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comments8.xml" ContentType="application/vnd.openxmlformats-officedocument.spreadsheetml.comments+xml"/>
  <Override PartName="/xl/drawings/drawing5.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https://psienergybr.sharepoint.com/sites/SRV/Comercial/00 Propostas/SIS/2024/PSI.SIS 24_139_LG - CTEEP - WS4616407356 SAGE Água Vermelha/02-Proposta Comercial/01 - Elaborada/"/>
    </mc:Choice>
  </mc:AlternateContent>
  <xr:revisionPtr revIDLastSave="52094" documentId="13_ncr:1_{14BD11BC-AF0F-482A-8914-4E9EA051C8D9}" xr6:coauthVersionLast="47" xr6:coauthVersionMax="47" xr10:uidLastSave="{AD5F650A-882F-4ACA-A305-EB3A70CA6C84}"/>
  <bookViews>
    <workbookView xWindow="-28920" yWindow="-75" windowWidth="29040" windowHeight="15720" tabRatio="819" firstSheet="1" activeTab="3" xr2:uid="{00000000-000D-0000-FFFF-FFFF00000000}"/>
  </bookViews>
  <sheets>
    <sheet name="LinkDB" sheetId="30" state="hidden" r:id="rId1"/>
    <sheet name="Abertura" sheetId="15" r:id="rId2"/>
    <sheet name="Abertura Padrões" sheetId="26" state="hidden" r:id="rId3"/>
    <sheet name="Dados" sheetId="2" r:id="rId4"/>
    <sheet name="Escopo" sheetId="1" r:id="rId5"/>
    <sheet name="Materiais" sheetId="7" r:id="rId6"/>
    <sheet name="Serviços" sheetId="11" r:id="rId7"/>
    <sheet name="Padrões" sheetId="23" state="hidden" r:id="rId8"/>
    <sheet name="80-20" sheetId="25" r:id="rId9"/>
    <sheet name="Risco &amp; Opp" sheetId="12" r:id="rId10"/>
    <sheet name="CF" sheetId="13" r:id="rId11"/>
    <sheet name="HH" sheetId="27" state="hidden" r:id="rId12"/>
    <sheet name="NCM" sheetId="9" r:id="rId13"/>
    <sheet name="Tributos" sheetId="4" r:id="rId14"/>
    <sheet name="IRPJ" sheetId="6" r:id="rId15"/>
    <sheet name="Parametrização" sheetId="10" r:id="rId16"/>
    <sheet name="Check Erro" sheetId="3" r:id="rId17"/>
    <sheet name="ResumoCom" sheetId="24" state="hidden" r:id="rId18"/>
  </sheets>
  <functionGroups builtInGroupCount="19"/>
  <definedNames>
    <definedName name="_xlnm._FilterDatabase" localSheetId="8" hidden="1">'80-20'!$C$4:$K$305</definedName>
    <definedName name="_xlnm._FilterDatabase" localSheetId="4" hidden="1">Escopo!$A$6:$EE$272</definedName>
    <definedName name="_xlnm._FilterDatabase" localSheetId="5" hidden="1">Materiais!$A$44:$AS$1268</definedName>
    <definedName name="aliviadora_auto">Dados!$A$45</definedName>
    <definedName name="_xlnm.Print_Area" localSheetId="4">Escopo!$K$1:$N$61</definedName>
    <definedName name="_xlnm.Print_Area" localSheetId="17">ResumoCom!$A$1:$V$37</definedName>
    <definedName name="bottom_numbering">Escopo!$K$277</definedName>
    <definedName name="bruto">Escopo!$AU$273</definedName>
    <definedName name="bruto_baseIR">Escopo!$BX$273</definedName>
    <definedName name="bruto_com_difal">Escopo!$BL$273</definedName>
    <definedName name="bruto_com_st">Escopo!$BQ$273</definedName>
    <definedName name="bruto_sem_ipi">Escopo!$AW$273</definedName>
    <definedName name="cf_check">Dados!$E$138</definedName>
    <definedName name="cf_custo_calculado">CF!$AS$48</definedName>
    <definedName name="cf_custo_pc">Dados!$E$137</definedName>
    <definedName name="cf_delta">Dados!$E$136</definedName>
    <definedName name="cf_pc">Dados!$G$76</definedName>
    <definedName name="cf_taxa_credito_aa">Dados!$V$54</definedName>
    <definedName name="cf_taxa_debito_aa">Dados!$V$53</definedName>
    <definedName name="cobertura_pc">Dados!$G$78</definedName>
    <definedName name="cobertura_total">Escopo!$AF$273</definedName>
    <definedName name="cofins_cum">Parametrização!$G$4</definedName>
    <definedName name="cofins_naocum">Parametrização!$H$4</definedName>
    <definedName name="cofins_total">Escopo!$BF$273</definedName>
    <definedName name="col_abertura1">Escopo!$H:$H</definedName>
    <definedName name="col_abertura2">Escopo!$G:$G</definedName>
    <definedName name="col_brutototal">Escopo!$AU:$AU</definedName>
    <definedName name="col_brutounitario">Escopo!$AT:$AT</definedName>
    <definedName name="col_cofins">Escopo!$BF:$BF</definedName>
    <definedName name="col_custoIRreal">Escopo!$BZ:$BZ</definedName>
    <definedName name="col_custoTotal">Escopo!$AA:$AA</definedName>
    <definedName name="col_custoUnitario">Escopo!$Z:$Z</definedName>
    <definedName name="col_descricao">Escopo!$M:$M</definedName>
    <definedName name="col_fatdir">Escopo!$D:$D</definedName>
    <definedName name="col_fatdir_bruto_com_mn">Escopo!$CX:$CX</definedName>
    <definedName name="col_fatdir_cofins_mn">Escopo!$DH:$DH</definedName>
    <definedName name="col_fatdir_icms_mn">Escopo!$CZ:$CZ</definedName>
    <definedName name="col_fatdir_ipi_mn">Escopo!$DD:$DD</definedName>
    <definedName name="col_fatdir_iss_mn">Escopo!$DB:$DB</definedName>
    <definedName name="col_fatdir_liquido_com_mn">Escopo!$CW:$CW</definedName>
    <definedName name="col_fatdir_pi_mn">Escopo!$DI:$DI</definedName>
    <definedName name="col_fatdir_pis_mn">Escopo!$DF:$DF</definedName>
    <definedName name="col_finalidade">Escopo!$C:$C</definedName>
    <definedName name="col_fuppm_gdv">Escopo!$CO:$CO</definedName>
    <definedName name="col_fuppm_totalhh">Escopo!$CN:$CN</definedName>
    <definedName name="col_icms">Escopo!$BC:$BC</definedName>
    <definedName name="col_ipi">Escopo!$BB:$BB</definedName>
    <definedName name="col_iss">Escopo!$BD:$BD</definedName>
    <definedName name="col_isstd">Escopo!$CQ:$CQ</definedName>
    <definedName name="col_item">Escopo!$L:$L</definedName>
    <definedName name="col_liquidototal">Escopo!$AR:$AR</definedName>
    <definedName name="col_nivel">Escopo!$A:$A</definedName>
    <definedName name="col_pis">Escopo!$BE:$BE</definedName>
    <definedName name="col_PLcomMN">Escopo!$AM:$AM</definedName>
    <definedName name="col_PLsemMN">Escopo!$AI:$AI</definedName>
    <definedName name="col_PVcomDIFAL">Escopo!$BL:$BL</definedName>
    <definedName name="col_qtd">Escopo!$N:$N</definedName>
    <definedName name="col_receitaIR">Escopo!$BX:$BX</definedName>
    <definedName name="col_regime">Escopo!$B:$B</definedName>
    <definedName name="col_std_custo">Escopo!$DW:$DW</definedName>
    <definedName name="col_std_PL">Escopo!$DX:$DX</definedName>
    <definedName name="col_std_PV">Escopo!$DY:$DY</definedName>
    <definedName name="col_tag_num">Escopo!$K:$K</definedName>
    <definedName name="col_tipodemargem">Escopo!$E:$E</definedName>
    <definedName name="col_tipoIR">Escopo!$BW:$BW</definedName>
    <definedName name="col_tipolinha">Escopo!$I:$I</definedName>
    <definedName name="col_tipoWBS">Escopo!$CB:$CB</definedName>
    <definedName name="comissao_check">Dados!$E$130</definedName>
    <definedName name="comissao_custo">Dados!$E$129</definedName>
    <definedName name="comissao_delta">Dados!$E$128</definedName>
    <definedName name="comissao_pc">Dados!$G$81</definedName>
    <definedName name="custo_total">Escopo!$AA$273</definedName>
    <definedName name="difal_total">Escopo!$BK$273</definedName>
    <definedName name="down_categoria">Escopo!$A$277</definedName>
    <definedName name="ebit_pc">Dados!$G$69</definedName>
    <definedName name="escopo_corner">Escopo!$EA$277</definedName>
    <definedName name="EUR">Dados!$M$65</definedName>
    <definedName name="exposicao">'Risco &amp; Opp'!$E$21</definedName>
    <definedName name="fd_com_mn">Escopo!$CX$273</definedName>
    <definedName name="fd_sem_mn">Escopo!$CV$273</definedName>
    <definedName name="flag_interestadual">Parametrização!$C$5</definedName>
    <definedName name="ForcarFrete">Dados!$A$14</definedName>
    <definedName name="ForcarNOPAT">Dados!$A$18</definedName>
    <definedName name="ForcarNOPAT_selector">Dados!$M$134</definedName>
    <definedName name="frete_check">Dados!$M$132</definedName>
    <definedName name="frete_delta">Dados!$M$131</definedName>
    <definedName name="frete_seguro_pc">Dados!$G$74</definedName>
    <definedName name="garantia_pc">Dados!$G$75</definedName>
    <definedName name="head_mat_bruto">Materiais!$AC$44</definedName>
    <definedName name="head_mat_CLpresumido">Materiais!$K$44</definedName>
    <definedName name="head_mat_CLreal">Materiais!$L$44</definedName>
    <definedName name="head_mat_cpforn">Materiais!$V$44</definedName>
    <definedName name="head_mat_credito_COFINS">Materiais!$AA$44</definedName>
    <definedName name="head_mat_credito_ICMS">Materiais!$X$44</definedName>
    <definedName name="head_mat_credito_IPI">Materiais!$Y$44</definedName>
    <definedName name="head_mat_credito_PIS">Materiais!$Z$44</definedName>
    <definedName name="head_mat_descricao">Materiais!$F$44</definedName>
    <definedName name="head_mat_div">Materiais!$D$44</definedName>
    <definedName name="head_mat_fat_desc">Materiais!$J$44</definedName>
    <definedName name="head_mat_fatdir">Materiais!$AS$44</definedName>
    <definedName name="head_mat_fornecedor">Materiais!$Q$44</definedName>
    <definedName name="head_mat_ICMS_input">Materiais!$AD$44</definedName>
    <definedName name="head_mat_IPI">Materiais!$P$44</definedName>
    <definedName name="head_mat_IPI_input">Materiais!$AE$44</definedName>
    <definedName name="head_mat_ISS_input">Materiais!$AF$44</definedName>
    <definedName name="head_mat_item">Materiais!$E$44</definedName>
    <definedName name="head_mat_moeda">Materiais!$I$44</definedName>
    <definedName name="head_mat_NCM">Materiais!$O$44</definedName>
    <definedName name="head_mat_PBrutoComIPI">Materiais!$AH$44</definedName>
    <definedName name="head_mat_reference">Materiais!$A$44</definedName>
    <definedName name="head_mat_st">Materiais!$AG$44</definedName>
    <definedName name="head_mat_tag">Materiais!$C$44</definedName>
    <definedName name="head_mat_WBS">Materiais!$N$44</definedName>
    <definedName name="head_moeda_ref">Materiais!$AJ$44</definedName>
    <definedName name="head_porNCM_II">NCM!$E$2</definedName>
    <definedName name="head_porNCM_IPI">NCM!$D$2</definedName>
    <definedName name="head_porNCM_NCM">NCM!$A$2</definedName>
    <definedName name="head_serv_CL">Serviços!$K$2</definedName>
    <definedName name="head_serv_descricao">Serviços!$C$2</definedName>
    <definedName name="head_serv_item">Serviços!$B$2</definedName>
    <definedName name="head_serv_WBS">Serviços!$D$2</definedName>
    <definedName name="hh_3rd">Parametrização!$C$23</definedName>
    <definedName name="hh_coord">Parametrização!$C$24</definedName>
    <definedName name="hh_ctrl">Parametrização!$C$18</definedName>
    <definedName name="hh_eletr">Parametrização!$C$22</definedName>
    <definedName name="hh_patio">Parametrização!$C$19</definedName>
    <definedName name="hh_prj">Parametrização!$C$20</definedName>
    <definedName name="hh_prot">Parametrização!$C$17</definedName>
    <definedName name="hh_selet">Parametrização!$C$21</definedName>
    <definedName name="icms_total">Escopo!$BC$273</definedName>
    <definedName name="ipi_total">Escopo!$BB$273</definedName>
    <definedName name="iss_total">Escopo!$BD$273</definedName>
    <definedName name="linkDB">Parametrização!$C$35</definedName>
    <definedName name="liquido">Escopo!$AR$273</definedName>
    <definedName name="liquido_com_MN_total">Escopo!$AM$273</definedName>
    <definedName name="liquido_sem_MN_total">Escopo!$AI$273</definedName>
    <definedName name="mb_pc">Dados!$G$70</definedName>
    <definedName name="mb_pc_total">Escopo!$AG$274</definedName>
    <definedName name="mb_total">Escopo!$AG$273</definedName>
    <definedName name="mid_numbering">Escopo!$K$62</definedName>
    <definedName name="mn_pc">Dados!$G$71</definedName>
    <definedName name="mn_total">Escopo!$AL$273</definedName>
    <definedName name="nopat_check">Dados!$M$137</definedName>
    <definedName name="nopat_com_mn">Dados!$Q$91</definedName>
    <definedName name="nopat_delta">Dados!$M$136</definedName>
    <definedName name="nopat_sem_mn">Dados!$Q$90</definedName>
    <definedName name="offline_param_tbl1">Parametrização!$B$10:$C$14</definedName>
    <definedName name="offline_param_tbl3">Parametrização!$G$3:$H$4</definedName>
    <definedName name="offline_param_tbl4">Parametrização!$G$7:$I$12</definedName>
    <definedName name="offline_std_tblA">Padrões!$E$3:$IT$203</definedName>
    <definedName name="offline_std_tblB">Padrões!$JF$4:$JG$202</definedName>
    <definedName name="offline_tributos1_tbl2">Tributos!$AI$5:$AI$38</definedName>
    <definedName name="offline_tributos1_tbl3">Tributos!$AK$5:$AK$34</definedName>
    <definedName name="offline_tributos2_tbl1">IRPJ!$E$11:$F$11</definedName>
    <definedName name="offline_tributos2_tbl2">IRPJ!$E$13:$F$13</definedName>
    <definedName name="offline_tributos2_tbl3">IRPJ!$E$22:$F$22</definedName>
    <definedName name="offline_tributos2_tbl4">IRPJ!$H$11:$I$11</definedName>
    <definedName name="opp_total">'Risco &amp; Opp'!$E$18</definedName>
    <definedName name="over_pc">Parametrização!$F$17</definedName>
    <definedName name="painel_total">Dados!$Y$57</definedName>
    <definedName name="pis_cum">Parametrização!$G$3</definedName>
    <definedName name="pis_naocum">Parametrização!$H$3</definedName>
    <definedName name="pis_total">Escopo!$BE$273</definedName>
    <definedName name="prazo_entrega">Dados!$M$57</definedName>
    <definedName name="preco_bruto_com_ipi">Dados!$M$105</definedName>
    <definedName name="recuperavel_coberturas_ir_real">Tributos!$AK$38</definedName>
    <definedName name="recuperavel_MB_ir_real">IRPJ!$I$21</definedName>
    <definedName name="ref_L">Escopo!$K$11</definedName>
    <definedName name="ref_N0">Escopo!$K$10</definedName>
    <definedName name="ref_N1">Escopo!$K$9</definedName>
    <definedName name="ref_N2">Escopo!$K$8</definedName>
    <definedName name="ref_N3">Escopo!$K$7</definedName>
    <definedName name="reidi">Dados!$M$69</definedName>
    <definedName name="risco_check">Dados!$E$134</definedName>
    <definedName name="risco_custo_pc">Dados!$E$133</definedName>
    <definedName name="risco_delta">Dados!$E$132</definedName>
    <definedName name="risco_pc">Dados!$G$77</definedName>
    <definedName name="risco_total">'Risco &amp; Opp'!$E$9</definedName>
    <definedName name="row_mat_end">Materiais!$A$1270</definedName>
    <definedName name="row_mat_middle">Materiais!$A$57</definedName>
    <definedName name="row_mat_online">Materiais!$A$58</definedName>
    <definedName name="row_mat_reference">Materiais!$A$1268</definedName>
    <definedName name="row_mat_std">Materiais!$A$1007</definedName>
    <definedName name="row_std_descr">Padrões!$D$217</definedName>
    <definedName name="row_std_head">Padrões!$D$3</definedName>
    <definedName name="row_std_qtdreal">Padrões!$D$215</definedName>
    <definedName name="serv_col_gdv">Serviços!$X:$X</definedName>
    <definedName name="serv_col_item">Serviços!$B:$B</definedName>
    <definedName name="serv_col_totalhh">Serviços!$J:$J</definedName>
    <definedName name="sobress_pc">Materiais!$E$1273</definedName>
    <definedName name="st_total">Escopo!$BP$273</definedName>
    <definedName name="std_finalidade">Escopo!$C$63</definedName>
    <definedName name="std_ncm">Padrões!$C$222</definedName>
    <definedName name="std_PL_real">Padrões!$D$216</definedName>
    <definedName name="std_tbl1">Padrões!$E$2:$JD$213</definedName>
    <definedName name="std_tbl2">Padrões!$JF$4:$JG$213</definedName>
    <definedName name="std_tbl3">Padrões!$E$2:$JD$217</definedName>
    <definedName name="std_tbl4">Padrões!$E$3:$JD$3</definedName>
    <definedName name="std_tbl5">Padrões!$C$4:$C$213</definedName>
    <definedName name="std_tbl6">Padrões!$E$3:$JD$217</definedName>
    <definedName name="std_tiponcm">Padrões!$C$221</definedName>
    <definedName name="target_check">Dados!$M$120</definedName>
    <definedName name="target_delta">Dados!$M$119</definedName>
    <definedName name="target_valor">Dados!$M$118</definedName>
    <definedName name="tbl_8020_full">'80-20'!$C$4:$K$305</definedName>
    <definedName name="tbl_8020_itens">'80-20'!$C$5:$C$305</definedName>
    <definedName name="tbl_8020_tofilter">'80-20'!$K$4:$K$305</definedName>
    <definedName name="tbl_abertura1" localSheetId="2">'Abertura Padrões'!$C$6:$C$35</definedName>
    <definedName name="tbl_abertura1">Abertura!$C$6:$C$35</definedName>
    <definedName name="tbl_abertura2" localSheetId="2">'Abertura Padrões'!$D$5:$W$5</definedName>
    <definedName name="tbl_abertura2">Abertura!$D$5:$W$5</definedName>
    <definedName name="tbl_cambio">Materiais!$A$39:$B$42</definedName>
    <definedName name="tbl_DIFAL_data">NCM!$AI$3:$BI$99</definedName>
    <definedName name="tbl_DIFAL_NCM">NCM!$AH$3:$AH$99</definedName>
    <definedName name="tbl_DIFAL_UF">NCM!$AI$2:$BI$2</definedName>
    <definedName name="tbl_Escopo">Escopo!$L:$EA</definedName>
    <definedName name="tbl_evento_pagto">CF!$B$40:$B$61</definedName>
    <definedName name="tbl_hh">Parametrização!$B$17:$C$31</definedName>
    <definedName name="tbl_ICMSinterest_data">Tributos!$D$5:$AE$32</definedName>
    <definedName name="tbl_ICMSinterest_ufdest">Tributos!$D$4:$AE$4</definedName>
    <definedName name="tbl_ICMSinterest_uforig">Tributos!$C$5:$C$32</definedName>
    <definedName name="tbl_ICMSinterno_data">NCM!$G$3:$AG$99</definedName>
    <definedName name="tbl_ICMSinterno_NCM">NCM!$F$3:$F$99</definedName>
    <definedName name="tbl_ICMSinterno_UF">NCM!$G$2:$AG$2</definedName>
    <definedName name="tbl_incoterms2010">Dados!$A$22:$A$33</definedName>
    <definedName name="tbl_IRPJaux">Tributos!$AG$5:$AI$34</definedName>
    <definedName name="tbl_ISS">Tributos!$AG$5:$AK$34</definedName>
    <definedName name="tbl_materiais">Materiais!$E$44:$AS$1270</definedName>
    <definedName name="tbl_mb">Dados!$Q$64:$R$70</definedName>
    <definedName name="tbl_MVA">NCM!$BJ$2:$CK$99</definedName>
    <definedName name="tbl_NCM_info">NCM!$A$3:$E$99</definedName>
    <definedName name="tbl_servicos">Serviços!$B$2:$X$14</definedName>
    <definedName name="tbl_ST_data">NCM!$BK$3:$CK$99</definedName>
    <definedName name="tbl_ST_NCM">NCM!$BJ$3:$BJ$99</definedName>
    <definedName name="tbl_ST_UF">NCM!$BK$2:$CK$2</definedName>
    <definedName name="tbl_tipodemargem">Dados!$Q$64:$Q$70</definedName>
    <definedName name="tbl_TipoLinha">Parametrização!$B$8:$C$14</definedName>
    <definedName name="tbl_tipoWBS_mat">Materiais!$A$2:$A$30</definedName>
    <definedName name="tbl_UF">Tributos!$B$5:$C$32</definedName>
    <definedName name="tblFinalidade">Dados!$C$7:$C$10</definedName>
    <definedName name="tblRegime">Dados!$C$2:$C$4</definedName>
    <definedName name="tblSimNao">Dados!$C$13:$C$14</definedName>
    <definedName name="tblTipoPM">Tributos!$AM$5:$AN$34</definedName>
    <definedName name="tbm_natureza">Materiais!$A$33:$A$36</definedName>
    <definedName name="_xlnm.Print_Titles" localSheetId="4">Escopo!$5:$6</definedName>
    <definedName name="top_categoria">Escopo!$A$12</definedName>
    <definedName name="top_numbering">Escopo!$K$12</definedName>
    <definedName name="UFdestino">Dados!$I$62</definedName>
    <definedName name="UForigem">Parametrização!$D$3</definedName>
    <definedName name="up_mat">Parametrização!$D$36</definedName>
    <definedName name="up_ncm">Parametrização!$D$38</definedName>
    <definedName name="up_param">Parametrização!$D$41</definedName>
    <definedName name="up_std">Parametrização!$D$37</definedName>
    <definedName name="up_trib1">Parametrização!$D$39</definedName>
    <definedName name="up_trib2">Parametrização!$D$40</definedName>
    <definedName name="USD">Dados!$M$64</definedName>
    <definedName name="validade">Dados!$F$59</definedName>
    <definedName name="versao_pp">Parametrização!$C$44</definedName>
    <definedName name="zeradora">Dados!$M$122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C24" i="1" l="1"/>
  <c r="DA24" i="1"/>
  <c r="CY24" i="1"/>
  <c r="CU24" i="1"/>
  <c r="DU24" i="1" s="1"/>
  <c r="CQ24" i="1"/>
  <c r="CS24" i="1" s="1"/>
  <c r="CO24" i="1"/>
  <c r="CN24" i="1"/>
  <c r="CL24" i="1"/>
  <c r="CK24" i="1"/>
  <c r="CJ24" i="1"/>
  <c r="CI24" i="1"/>
  <c r="CD24" i="1"/>
  <c r="CB24" i="1"/>
  <c r="BW24" i="1" s="1"/>
  <c r="AK24" i="1"/>
  <c r="AD24" i="1"/>
  <c r="T24" i="1"/>
  <c r="S24" i="1"/>
  <c r="R24" i="1"/>
  <c r="O24" i="1"/>
  <c r="Q24" i="1" s="1"/>
  <c r="M24" i="1"/>
  <c r="AH50" i="7"/>
  <c r="AS50" i="7" s="1"/>
  <c r="Y50" i="7"/>
  <c r="AA50" i="7" s="1"/>
  <c r="X50" i="7"/>
  <c r="P50" i="7"/>
  <c r="H50" i="7"/>
  <c r="L50" i="7" s="1"/>
  <c r="G50" i="7"/>
  <c r="K50" i="7" s="1"/>
  <c r="AH49" i="7"/>
  <c r="AS49" i="7" s="1"/>
  <c r="Y49" i="7"/>
  <c r="AA49" i="7" s="1"/>
  <c r="P49" i="7"/>
  <c r="H49" i="7"/>
  <c r="L49" i="7" s="1"/>
  <c r="G49" i="7"/>
  <c r="K49" i="7" s="1"/>
  <c r="AH48" i="7"/>
  <c r="AS48" i="7" s="1"/>
  <c r="Y48" i="7"/>
  <c r="AA48" i="7" s="1"/>
  <c r="P48" i="7"/>
  <c r="H48" i="7"/>
  <c r="L48" i="7" s="1"/>
  <c r="G48" i="7"/>
  <c r="K48" i="7" s="1"/>
  <c r="AH53" i="7"/>
  <c r="AS53" i="7" s="1"/>
  <c r="Y53" i="7"/>
  <c r="AA53" i="7" s="1"/>
  <c r="P53" i="7"/>
  <c r="H53" i="7"/>
  <c r="L53" i="7" s="1"/>
  <c r="G53" i="7"/>
  <c r="K53" i="7" s="1"/>
  <c r="AH52" i="7"/>
  <c r="AS52" i="7" s="1"/>
  <c r="Y52" i="7"/>
  <c r="AA52" i="7" s="1"/>
  <c r="P52" i="7"/>
  <c r="H52" i="7"/>
  <c r="L52" i="7" s="1"/>
  <c r="G52" i="7"/>
  <c r="K52" i="7" s="1"/>
  <c r="AH47" i="7"/>
  <c r="AS47" i="7" s="1"/>
  <c r="Y47" i="7"/>
  <c r="AA47" i="7" s="1"/>
  <c r="P47" i="7"/>
  <c r="H47" i="7"/>
  <c r="L47" i="7" s="1"/>
  <c r="G47" i="7"/>
  <c r="K47" i="7" s="1"/>
  <c r="AO1006" i="7"/>
  <c r="AM1006" i="7"/>
  <c r="AH1006" i="7"/>
  <c r="AS1006" i="7" s="1"/>
  <c r="Y1006" i="7"/>
  <c r="X1006" i="7" s="1"/>
  <c r="P1006" i="7"/>
  <c r="H1006" i="7"/>
  <c r="L1006" i="7" s="1"/>
  <c r="G1006" i="7"/>
  <c r="K1006" i="7" s="1"/>
  <c r="AO1005" i="7"/>
  <c r="AM1005" i="7"/>
  <c r="AH1005" i="7"/>
  <c r="AS1005" i="7" s="1"/>
  <c r="Y1005" i="7"/>
  <c r="AA1005" i="7" s="1"/>
  <c r="P1005" i="7"/>
  <c r="H1005" i="7"/>
  <c r="L1005" i="7" s="1"/>
  <c r="G1005" i="7"/>
  <c r="K1005" i="7" s="1"/>
  <c r="AO1004" i="7"/>
  <c r="AM1004" i="7"/>
  <c r="AH1004" i="7"/>
  <c r="AS1004" i="7" s="1"/>
  <c r="Y1004" i="7"/>
  <c r="X1004" i="7" s="1"/>
  <c r="P1004" i="7"/>
  <c r="H1004" i="7"/>
  <c r="L1004" i="7" s="1"/>
  <c r="G1004" i="7"/>
  <c r="K1004" i="7" s="1"/>
  <c r="AO1003" i="7"/>
  <c r="AM1003" i="7"/>
  <c r="AH1003" i="7"/>
  <c r="AS1003" i="7" s="1"/>
  <c r="Y1003" i="7"/>
  <c r="AA1003" i="7" s="1"/>
  <c r="P1003" i="7"/>
  <c r="H1003" i="7"/>
  <c r="L1003" i="7" s="1"/>
  <c r="G1003" i="7"/>
  <c r="K1003" i="7" s="1"/>
  <c r="AO1002" i="7"/>
  <c r="AM1002" i="7"/>
  <c r="AH1002" i="7"/>
  <c r="AS1002" i="7" s="1"/>
  <c r="Y1002" i="7"/>
  <c r="Z1002" i="7" s="1"/>
  <c r="P1002" i="7"/>
  <c r="H1002" i="7"/>
  <c r="L1002" i="7" s="1"/>
  <c r="G1002" i="7"/>
  <c r="K1002" i="7" s="1"/>
  <c r="AO1001" i="7"/>
  <c r="AM1001" i="7"/>
  <c r="AH1001" i="7"/>
  <c r="AS1001" i="7" s="1"/>
  <c r="Y1001" i="7"/>
  <c r="X1001" i="7" s="1"/>
  <c r="P1001" i="7"/>
  <c r="H1001" i="7"/>
  <c r="L1001" i="7" s="1"/>
  <c r="G1001" i="7"/>
  <c r="K1001" i="7" s="1"/>
  <c r="AO1000" i="7"/>
  <c r="AM1000" i="7"/>
  <c r="AH1000" i="7"/>
  <c r="AS1000" i="7" s="1"/>
  <c r="Y1000" i="7"/>
  <c r="P1000" i="7"/>
  <c r="H1000" i="7"/>
  <c r="L1000" i="7" s="1"/>
  <c r="G1000" i="7"/>
  <c r="K1000" i="7" s="1"/>
  <c r="AO999" i="7"/>
  <c r="AM999" i="7"/>
  <c r="AH999" i="7"/>
  <c r="AS999" i="7" s="1"/>
  <c r="Y999" i="7"/>
  <c r="X999" i="7" s="1"/>
  <c r="P999" i="7"/>
  <c r="H999" i="7"/>
  <c r="L999" i="7" s="1"/>
  <c r="G999" i="7"/>
  <c r="K999" i="7" s="1"/>
  <c r="AO998" i="7"/>
  <c r="AM998" i="7"/>
  <c r="AH998" i="7"/>
  <c r="AS998" i="7" s="1"/>
  <c r="Y998" i="7"/>
  <c r="AA998" i="7" s="1"/>
  <c r="P998" i="7"/>
  <c r="H998" i="7"/>
  <c r="L998" i="7" s="1"/>
  <c r="G998" i="7"/>
  <c r="K998" i="7" s="1"/>
  <c r="AO997" i="7"/>
  <c r="AM997" i="7"/>
  <c r="AH997" i="7"/>
  <c r="AS997" i="7" s="1"/>
  <c r="Y997" i="7"/>
  <c r="AA997" i="7" s="1"/>
  <c r="P997" i="7"/>
  <c r="H997" i="7"/>
  <c r="L997" i="7" s="1"/>
  <c r="G997" i="7"/>
  <c r="K997" i="7" s="1"/>
  <c r="AO996" i="7"/>
  <c r="AM996" i="7"/>
  <c r="AH996" i="7"/>
  <c r="AS996" i="7" s="1"/>
  <c r="Y996" i="7"/>
  <c r="Z996" i="7" s="1"/>
  <c r="P996" i="7"/>
  <c r="H996" i="7"/>
  <c r="L996" i="7" s="1"/>
  <c r="G996" i="7"/>
  <c r="K996" i="7" s="1"/>
  <c r="AO995" i="7"/>
  <c r="AM995" i="7"/>
  <c r="AH995" i="7"/>
  <c r="AS995" i="7" s="1"/>
  <c r="Y995" i="7"/>
  <c r="X995" i="7" s="1"/>
  <c r="P995" i="7"/>
  <c r="H995" i="7"/>
  <c r="L995" i="7" s="1"/>
  <c r="G995" i="7"/>
  <c r="K995" i="7" s="1"/>
  <c r="AO994" i="7"/>
  <c r="AM994" i="7"/>
  <c r="AH994" i="7"/>
  <c r="AS994" i="7" s="1"/>
  <c r="Y994" i="7"/>
  <c r="P994" i="7"/>
  <c r="H994" i="7"/>
  <c r="L994" i="7" s="1"/>
  <c r="G994" i="7"/>
  <c r="K994" i="7" s="1"/>
  <c r="AO993" i="7"/>
  <c r="AM993" i="7"/>
  <c r="AH993" i="7"/>
  <c r="AS993" i="7" s="1"/>
  <c r="Y993" i="7"/>
  <c r="Z993" i="7" s="1"/>
  <c r="P993" i="7"/>
  <c r="H993" i="7"/>
  <c r="L993" i="7" s="1"/>
  <c r="G993" i="7"/>
  <c r="K993" i="7" s="1"/>
  <c r="AH992" i="7"/>
  <c r="AS992" i="7" s="1"/>
  <c r="Y992" i="7"/>
  <c r="Z992" i="7" s="1"/>
  <c r="P992" i="7"/>
  <c r="H992" i="7"/>
  <c r="L992" i="7" s="1"/>
  <c r="G992" i="7"/>
  <c r="K992" i="7" s="1"/>
  <c r="AH991" i="7"/>
  <c r="AS991" i="7" s="1"/>
  <c r="Y991" i="7"/>
  <c r="X991" i="7" s="1"/>
  <c r="P991" i="7"/>
  <c r="H991" i="7"/>
  <c r="L991" i="7" s="1"/>
  <c r="G991" i="7"/>
  <c r="K991" i="7" s="1"/>
  <c r="AH990" i="7"/>
  <c r="AS990" i="7" s="1"/>
  <c r="Y990" i="7"/>
  <c r="AA990" i="7" s="1"/>
  <c r="P990" i="7"/>
  <c r="H990" i="7"/>
  <c r="L990" i="7" s="1"/>
  <c r="G990" i="7"/>
  <c r="K990" i="7" s="1"/>
  <c r="AH989" i="7"/>
  <c r="AS989" i="7" s="1"/>
  <c r="Y989" i="7"/>
  <c r="AA989" i="7" s="1"/>
  <c r="P989" i="7"/>
  <c r="H989" i="7"/>
  <c r="L989" i="7" s="1"/>
  <c r="G989" i="7"/>
  <c r="K989" i="7" s="1"/>
  <c r="AH988" i="7"/>
  <c r="AS988" i="7" s="1"/>
  <c r="Y988" i="7"/>
  <c r="P988" i="7"/>
  <c r="H988" i="7"/>
  <c r="L988" i="7" s="1"/>
  <c r="G988" i="7"/>
  <c r="K988" i="7" s="1"/>
  <c r="AH987" i="7"/>
  <c r="AS987" i="7" s="1"/>
  <c r="Y987" i="7"/>
  <c r="P987" i="7"/>
  <c r="H987" i="7"/>
  <c r="L987" i="7" s="1"/>
  <c r="G987" i="7"/>
  <c r="K987" i="7" s="1"/>
  <c r="AH986" i="7"/>
  <c r="AS986" i="7" s="1"/>
  <c r="Y986" i="7"/>
  <c r="P986" i="7"/>
  <c r="H986" i="7"/>
  <c r="L986" i="7" s="1"/>
  <c r="G986" i="7"/>
  <c r="K986" i="7" s="1"/>
  <c r="AH985" i="7"/>
  <c r="AS985" i="7" s="1"/>
  <c r="Y985" i="7"/>
  <c r="AA985" i="7" s="1"/>
  <c r="P985" i="7"/>
  <c r="H985" i="7"/>
  <c r="L985" i="7" s="1"/>
  <c r="G985" i="7"/>
  <c r="K985" i="7" s="1"/>
  <c r="AH984" i="7"/>
  <c r="AS984" i="7" s="1"/>
  <c r="Y984" i="7"/>
  <c r="AA984" i="7" s="1"/>
  <c r="P984" i="7"/>
  <c r="H984" i="7"/>
  <c r="L984" i="7" s="1"/>
  <c r="G984" i="7"/>
  <c r="K984" i="7" s="1"/>
  <c r="AH983" i="7"/>
  <c r="AS983" i="7" s="1"/>
  <c r="Y983" i="7"/>
  <c r="X983" i="7" s="1"/>
  <c r="P983" i="7"/>
  <c r="H983" i="7"/>
  <c r="L983" i="7" s="1"/>
  <c r="G983" i="7"/>
  <c r="K983" i="7" s="1"/>
  <c r="AH982" i="7"/>
  <c r="AS982" i="7" s="1"/>
  <c r="Y982" i="7"/>
  <c r="P982" i="7"/>
  <c r="H982" i="7"/>
  <c r="L982" i="7" s="1"/>
  <c r="G982" i="7"/>
  <c r="K982" i="7" s="1"/>
  <c r="AH981" i="7"/>
  <c r="AS981" i="7" s="1"/>
  <c r="Y981" i="7"/>
  <c r="Z981" i="7" s="1"/>
  <c r="P981" i="7"/>
  <c r="H981" i="7"/>
  <c r="L981" i="7" s="1"/>
  <c r="G981" i="7"/>
  <c r="K981" i="7" s="1"/>
  <c r="AH980" i="7"/>
  <c r="AS980" i="7" s="1"/>
  <c r="Y980" i="7"/>
  <c r="AA980" i="7" s="1"/>
  <c r="P980" i="7"/>
  <c r="H980" i="7"/>
  <c r="L980" i="7" s="1"/>
  <c r="G980" i="7"/>
  <c r="K980" i="7" s="1"/>
  <c r="AH979" i="7"/>
  <c r="AS979" i="7" s="1"/>
  <c r="Y979" i="7"/>
  <c r="X979" i="7" s="1"/>
  <c r="P979" i="7"/>
  <c r="H979" i="7"/>
  <c r="L979" i="7" s="1"/>
  <c r="G979" i="7"/>
  <c r="K979" i="7" s="1"/>
  <c r="AH978" i="7"/>
  <c r="AS978" i="7" s="1"/>
  <c r="Y978" i="7"/>
  <c r="AA978" i="7" s="1"/>
  <c r="P978" i="7"/>
  <c r="H978" i="7"/>
  <c r="L978" i="7" s="1"/>
  <c r="G978" i="7"/>
  <c r="K978" i="7" s="1"/>
  <c r="AH977" i="7"/>
  <c r="AS977" i="7" s="1"/>
  <c r="Y977" i="7"/>
  <c r="P977" i="7"/>
  <c r="H977" i="7"/>
  <c r="L977" i="7" s="1"/>
  <c r="G977" i="7"/>
  <c r="K977" i="7" s="1"/>
  <c r="AH976" i="7"/>
  <c r="AS976" i="7" s="1"/>
  <c r="Y976" i="7"/>
  <c r="P976" i="7"/>
  <c r="H976" i="7"/>
  <c r="L976" i="7" s="1"/>
  <c r="G976" i="7"/>
  <c r="K976" i="7" s="1"/>
  <c r="AH975" i="7"/>
  <c r="AS975" i="7" s="1"/>
  <c r="Y975" i="7"/>
  <c r="X975" i="7" s="1"/>
  <c r="P975" i="7"/>
  <c r="H975" i="7"/>
  <c r="L975" i="7" s="1"/>
  <c r="G975" i="7"/>
  <c r="K975" i="7" s="1"/>
  <c r="AH974" i="7"/>
  <c r="AS974" i="7" s="1"/>
  <c r="Y974" i="7"/>
  <c r="AA974" i="7" s="1"/>
  <c r="P974" i="7"/>
  <c r="H974" i="7"/>
  <c r="L974" i="7" s="1"/>
  <c r="G974" i="7"/>
  <c r="K974" i="7" s="1"/>
  <c r="AH973" i="7"/>
  <c r="AS973" i="7" s="1"/>
  <c r="Y973" i="7"/>
  <c r="AA973" i="7" s="1"/>
  <c r="P973" i="7"/>
  <c r="H973" i="7"/>
  <c r="L973" i="7" s="1"/>
  <c r="G973" i="7"/>
  <c r="K973" i="7" s="1"/>
  <c r="AH972" i="7"/>
  <c r="AS972" i="7" s="1"/>
  <c r="Y972" i="7"/>
  <c r="X972" i="7" s="1"/>
  <c r="P972" i="7"/>
  <c r="H972" i="7"/>
  <c r="L972" i="7" s="1"/>
  <c r="G972" i="7"/>
  <c r="K972" i="7" s="1"/>
  <c r="AH971" i="7"/>
  <c r="AS971" i="7" s="1"/>
  <c r="Y971" i="7"/>
  <c r="X971" i="7" s="1"/>
  <c r="P971" i="7"/>
  <c r="H971" i="7"/>
  <c r="L971" i="7" s="1"/>
  <c r="G971" i="7"/>
  <c r="K971" i="7" s="1"/>
  <c r="AH970" i="7"/>
  <c r="AS970" i="7" s="1"/>
  <c r="Y970" i="7"/>
  <c r="P970" i="7"/>
  <c r="H970" i="7"/>
  <c r="L970" i="7" s="1"/>
  <c r="G970" i="7"/>
  <c r="K970" i="7" s="1"/>
  <c r="AH969" i="7"/>
  <c r="AS969" i="7" s="1"/>
  <c r="Y969" i="7"/>
  <c r="X969" i="7" s="1"/>
  <c r="P969" i="7"/>
  <c r="H969" i="7"/>
  <c r="L969" i="7" s="1"/>
  <c r="G969" i="7"/>
  <c r="K969" i="7" s="1"/>
  <c r="AH968" i="7"/>
  <c r="AS968" i="7" s="1"/>
  <c r="Y968" i="7"/>
  <c r="AA968" i="7" s="1"/>
  <c r="P968" i="7"/>
  <c r="H968" i="7"/>
  <c r="L968" i="7" s="1"/>
  <c r="G968" i="7"/>
  <c r="K968" i="7" s="1"/>
  <c r="AH967" i="7"/>
  <c r="AS967" i="7" s="1"/>
  <c r="Y967" i="7"/>
  <c r="X967" i="7" s="1"/>
  <c r="P967" i="7"/>
  <c r="H967" i="7"/>
  <c r="L967" i="7" s="1"/>
  <c r="G967" i="7"/>
  <c r="K967" i="7" s="1"/>
  <c r="AO966" i="7"/>
  <c r="AM966" i="7"/>
  <c r="AH966" i="7"/>
  <c r="AS966" i="7" s="1"/>
  <c r="Y966" i="7"/>
  <c r="P966" i="7"/>
  <c r="H966" i="7"/>
  <c r="L966" i="7" s="1"/>
  <c r="G966" i="7"/>
  <c r="K966" i="7" s="1"/>
  <c r="AH965" i="7"/>
  <c r="AS965" i="7" s="1"/>
  <c r="Y965" i="7"/>
  <c r="AA965" i="7" s="1"/>
  <c r="P965" i="7"/>
  <c r="H965" i="7"/>
  <c r="L965" i="7" s="1"/>
  <c r="G965" i="7"/>
  <c r="K965" i="7" s="1"/>
  <c r="AH964" i="7"/>
  <c r="AS964" i="7" s="1"/>
  <c r="Y964" i="7"/>
  <c r="Z964" i="7" s="1"/>
  <c r="P964" i="7"/>
  <c r="H964" i="7"/>
  <c r="L964" i="7" s="1"/>
  <c r="G964" i="7"/>
  <c r="K964" i="7" s="1"/>
  <c r="AH963" i="7"/>
  <c r="AS963" i="7" s="1"/>
  <c r="Y963" i="7"/>
  <c r="X963" i="7" s="1"/>
  <c r="P963" i="7"/>
  <c r="H963" i="7"/>
  <c r="L963" i="7" s="1"/>
  <c r="G963" i="7"/>
  <c r="K963" i="7" s="1"/>
  <c r="AH962" i="7"/>
  <c r="AS962" i="7" s="1"/>
  <c r="Y962" i="7"/>
  <c r="AA962" i="7" s="1"/>
  <c r="P962" i="7"/>
  <c r="H962" i="7"/>
  <c r="L962" i="7" s="1"/>
  <c r="G962" i="7"/>
  <c r="K962" i="7" s="1"/>
  <c r="AH961" i="7"/>
  <c r="AS961" i="7" s="1"/>
  <c r="Y961" i="7"/>
  <c r="AA961" i="7" s="1"/>
  <c r="P961" i="7"/>
  <c r="H961" i="7"/>
  <c r="L961" i="7" s="1"/>
  <c r="G961" i="7"/>
  <c r="K961" i="7" s="1"/>
  <c r="AH960" i="7"/>
  <c r="AS960" i="7" s="1"/>
  <c r="Y960" i="7"/>
  <c r="X960" i="7" s="1"/>
  <c r="P960" i="7"/>
  <c r="H960" i="7"/>
  <c r="L960" i="7" s="1"/>
  <c r="G960" i="7"/>
  <c r="K960" i="7" s="1"/>
  <c r="AO959" i="7"/>
  <c r="AM959" i="7"/>
  <c r="AH959" i="7"/>
  <c r="AS959" i="7" s="1"/>
  <c r="Y959" i="7"/>
  <c r="X959" i="7" s="1"/>
  <c r="P959" i="7"/>
  <c r="H959" i="7"/>
  <c r="L959" i="7" s="1"/>
  <c r="G959" i="7"/>
  <c r="K959" i="7" s="1"/>
  <c r="AO958" i="7"/>
  <c r="AM958" i="7"/>
  <c r="AH958" i="7"/>
  <c r="Y958" i="7"/>
  <c r="Z958" i="7" s="1"/>
  <c r="P958" i="7"/>
  <c r="H958" i="7"/>
  <c r="G958" i="7"/>
  <c r="AO957" i="7"/>
  <c r="AH957" i="7"/>
  <c r="Y957" i="7"/>
  <c r="AA957" i="7" s="1"/>
  <c r="P957" i="7"/>
  <c r="H957" i="7"/>
  <c r="G957" i="7"/>
  <c r="AO956" i="7"/>
  <c r="AM956" i="7"/>
  <c r="AH956" i="7"/>
  <c r="Y956" i="7"/>
  <c r="AA956" i="7" s="1"/>
  <c r="P956" i="7"/>
  <c r="H956" i="7"/>
  <c r="G956" i="7"/>
  <c r="AH955" i="7"/>
  <c r="Y955" i="7"/>
  <c r="X955" i="7" s="1"/>
  <c r="P955" i="7"/>
  <c r="H955" i="7"/>
  <c r="G955" i="7"/>
  <c r="AH954" i="7"/>
  <c r="Y954" i="7"/>
  <c r="X954" i="7" s="1"/>
  <c r="P954" i="7"/>
  <c r="H954" i="7"/>
  <c r="G954" i="7"/>
  <c r="AH953" i="7"/>
  <c r="Y953" i="7"/>
  <c r="AA953" i="7" s="1"/>
  <c r="P953" i="7"/>
  <c r="H953" i="7"/>
  <c r="G953" i="7"/>
  <c r="AH952" i="7"/>
  <c r="Y952" i="7"/>
  <c r="X952" i="7" s="1"/>
  <c r="P952" i="7"/>
  <c r="H952" i="7"/>
  <c r="G952" i="7"/>
  <c r="AH951" i="7"/>
  <c r="Y951" i="7"/>
  <c r="X951" i="7" s="1"/>
  <c r="P951" i="7"/>
  <c r="H951" i="7"/>
  <c r="G951" i="7"/>
  <c r="AH950" i="7"/>
  <c r="Y950" i="7"/>
  <c r="P950" i="7"/>
  <c r="H950" i="7"/>
  <c r="G950" i="7"/>
  <c r="AH949" i="7"/>
  <c r="Y949" i="7"/>
  <c r="Z949" i="7" s="1"/>
  <c r="P949" i="7"/>
  <c r="H949" i="7"/>
  <c r="G949" i="7"/>
  <c r="AH948" i="7"/>
  <c r="Y948" i="7"/>
  <c r="X948" i="7" s="1"/>
  <c r="P948" i="7"/>
  <c r="H948" i="7"/>
  <c r="G948" i="7"/>
  <c r="AH947" i="7"/>
  <c r="Y947" i="7"/>
  <c r="P947" i="7"/>
  <c r="H947" i="7"/>
  <c r="G947" i="7"/>
  <c r="AH946" i="7"/>
  <c r="Y946" i="7"/>
  <c r="P946" i="7"/>
  <c r="H946" i="7"/>
  <c r="G946" i="7"/>
  <c r="AH945" i="7"/>
  <c r="Y945" i="7"/>
  <c r="AA945" i="7" s="1"/>
  <c r="P945" i="7"/>
  <c r="H945" i="7"/>
  <c r="G945" i="7"/>
  <c r="AH944" i="7"/>
  <c r="Y944" i="7"/>
  <c r="AA944" i="7" s="1"/>
  <c r="P944" i="7"/>
  <c r="H944" i="7"/>
  <c r="G944" i="7"/>
  <c r="AH943" i="7"/>
  <c r="Y943" i="7"/>
  <c r="X943" i="7" s="1"/>
  <c r="P943" i="7"/>
  <c r="H943" i="7"/>
  <c r="G943" i="7"/>
  <c r="AH942" i="7"/>
  <c r="Y942" i="7"/>
  <c r="X942" i="7" s="1"/>
  <c r="P942" i="7"/>
  <c r="H942" i="7"/>
  <c r="G942" i="7"/>
  <c r="AH941" i="7"/>
  <c r="Y941" i="7"/>
  <c r="P941" i="7"/>
  <c r="H941" i="7"/>
  <c r="G941" i="7"/>
  <c r="AH940" i="7"/>
  <c r="Y940" i="7"/>
  <c r="Z940" i="7" s="1"/>
  <c r="P940" i="7"/>
  <c r="H940" i="7"/>
  <c r="G940" i="7"/>
  <c r="AH939" i="7"/>
  <c r="Y939" i="7"/>
  <c r="X939" i="7" s="1"/>
  <c r="P939" i="7"/>
  <c r="H939" i="7"/>
  <c r="G939" i="7"/>
  <c r="AH938" i="7"/>
  <c r="Y938" i="7"/>
  <c r="P938" i="7"/>
  <c r="H938" i="7"/>
  <c r="G938" i="7"/>
  <c r="AH937" i="7"/>
  <c r="Y937" i="7"/>
  <c r="Z937" i="7" s="1"/>
  <c r="P937" i="7"/>
  <c r="H937" i="7"/>
  <c r="G937" i="7"/>
  <c r="AH936" i="7"/>
  <c r="Y936" i="7"/>
  <c r="P936" i="7"/>
  <c r="H936" i="7"/>
  <c r="G936" i="7"/>
  <c r="AO935" i="7"/>
  <c r="AM935" i="7"/>
  <c r="AH935" i="7"/>
  <c r="AS935" i="7" s="1"/>
  <c r="Y935" i="7"/>
  <c r="P935" i="7"/>
  <c r="H935" i="7"/>
  <c r="L935" i="7" s="1"/>
  <c r="G935" i="7"/>
  <c r="K935" i="7" s="1"/>
  <c r="AO934" i="7"/>
  <c r="AH934" i="7"/>
  <c r="AS934" i="7" s="1"/>
  <c r="Y934" i="7"/>
  <c r="AA934" i="7" s="1"/>
  <c r="P934" i="7"/>
  <c r="H934" i="7"/>
  <c r="L934" i="7" s="1"/>
  <c r="G934" i="7"/>
  <c r="K934" i="7" s="1"/>
  <c r="AO933" i="7"/>
  <c r="AH933" i="7"/>
  <c r="AS933" i="7" s="1"/>
  <c r="Y933" i="7"/>
  <c r="AA933" i="7" s="1"/>
  <c r="P933" i="7"/>
  <c r="H933" i="7"/>
  <c r="L933" i="7" s="1"/>
  <c r="G933" i="7"/>
  <c r="K933" i="7" s="1"/>
  <c r="AO932" i="7"/>
  <c r="AH932" i="7"/>
  <c r="AS932" i="7" s="1"/>
  <c r="Y932" i="7"/>
  <c r="Z932" i="7" s="1"/>
  <c r="P932" i="7"/>
  <c r="H932" i="7"/>
  <c r="L932" i="7" s="1"/>
  <c r="G932" i="7"/>
  <c r="K932" i="7" s="1"/>
  <c r="AO931" i="7"/>
  <c r="AH931" i="7"/>
  <c r="AS931" i="7" s="1"/>
  <c r="Y931" i="7"/>
  <c r="Z931" i="7" s="1"/>
  <c r="P931" i="7"/>
  <c r="H931" i="7"/>
  <c r="L931" i="7" s="1"/>
  <c r="G931" i="7"/>
  <c r="K931" i="7" s="1"/>
  <c r="AO930" i="7"/>
  <c r="AH930" i="7"/>
  <c r="AS930" i="7" s="1"/>
  <c r="Y930" i="7"/>
  <c r="AA930" i="7" s="1"/>
  <c r="P930" i="7"/>
  <c r="H930" i="7"/>
  <c r="L930" i="7" s="1"/>
  <c r="G930" i="7"/>
  <c r="K930" i="7" s="1"/>
  <c r="AO929" i="7"/>
  <c r="AH929" i="7"/>
  <c r="AS929" i="7" s="1"/>
  <c r="Y929" i="7"/>
  <c r="X929" i="7" s="1"/>
  <c r="P929" i="7"/>
  <c r="H929" i="7"/>
  <c r="L929" i="7" s="1"/>
  <c r="G929" i="7"/>
  <c r="K929" i="7" s="1"/>
  <c r="AO928" i="7"/>
  <c r="AH928" i="7"/>
  <c r="AS928" i="7" s="1"/>
  <c r="Y928" i="7"/>
  <c r="X928" i="7" s="1"/>
  <c r="P928" i="7"/>
  <c r="H928" i="7"/>
  <c r="L928" i="7" s="1"/>
  <c r="G928" i="7"/>
  <c r="K928" i="7" s="1"/>
  <c r="AO927" i="7"/>
  <c r="AH927" i="7"/>
  <c r="AS927" i="7" s="1"/>
  <c r="Y927" i="7"/>
  <c r="X927" i="7" s="1"/>
  <c r="P927" i="7"/>
  <c r="H927" i="7"/>
  <c r="L927" i="7" s="1"/>
  <c r="G927" i="7"/>
  <c r="K927" i="7" s="1"/>
  <c r="AO926" i="7"/>
  <c r="AH926" i="7"/>
  <c r="AS926" i="7" s="1"/>
  <c r="Y926" i="7"/>
  <c r="X926" i="7" s="1"/>
  <c r="P926" i="7"/>
  <c r="H926" i="7"/>
  <c r="L926" i="7" s="1"/>
  <c r="G926" i="7"/>
  <c r="K926" i="7" s="1"/>
  <c r="AO925" i="7"/>
  <c r="AH925" i="7"/>
  <c r="AS925" i="7" s="1"/>
  <c r="Y925" i="7"/>
  <c r="AA925" i="7" s="1"/>
  <c r="P925" i="7"/>
  <c r="H925" i="7"/>
  <c r="L925" i="7" s="1"/>
  <c r="G925" i="7"/>
  <c r="K925" i="7" s="1"/>
  <c r="AO924" i="7"/>
  <c r="AH924" i="7"/>
  <c r="AS924" i="7" s="1"/>
  <c r="Y924" i="7"/>
  <c r="P924" i="7"/>
  <c r="H924" i="7"/>
  <c r="L924" i="7" s="1"/>
  <c r="G924" i="7"/>
  <c r="K924" i="7" s="1"/>
  <c r="AH923" i="7"/>
  <c r="Y923" i="7"/>
  <c r="P923" i="7"/>
  <c r="H923" i="7"/>
  <c r="G923" i="7"/>
  <c r="AH922" i="7"/>
  <c r="Y922" i="7"/>
  <c r="X922" i="7" s="1"/>
  <c r="P922" i="7"/>
  <c r="H922" i="7"/>
  <c r="G922" i="7"/>
  <c r="AH921" i="7"/>
  <c r="Y921" i="7"/>
  <c r="X921" i="7" s="1"/>
  <c r="P921" i="7"/>
  <c r="H921" i="7"/>
  <c r="G921" i="7"/>
  <c r="AH920" i="7"/>
  <c r="Y920" i="7"/>
  <c r="P920" i="7"/>
  <c r="H920" i="7"/>
  <c r="G920" i="7"/>
  <c r="AH919" i="7"/>
  <c r="Y919" i="7"/>
  <c r="Z919" i="7" s="1"/>
  <c r="P919" i="7"/>
  <c r="H919" i="7"/>
  <c r="G919" i="7"/>
  <c r="AH918" i="7"/>
  <c r="Y918" i="7"/>
  <c r="Z918" i="7" s="1"/>
  <c r="P918" i="7"/>
  <c r="H918" i="7"/>
  <c r="G918" i="7"/>
  <c r="AH917" i="7"/>
  <c r="Y917" i="7"/>
  <c r="AA917" i="7" s="1"/>
  <c r="P917" i="7"/>
  <c r="H917" i="7"/>
  <c r="G917" i="7"/>
  <c r="AH916" i="7"/>
  <c r="Y916" i="7"/>
  <c r="P916" i="7"/>
  <c r="H916" i="7"/>
  <c r="G916" i="7"/>
  <c r="AH915" i="7"/>
  <c r="Y915" i="7"/>
  <c r="AA915" i="7" s="1"/>
  <c r="P915" i="7"/>
  <c r="H915" i="7"/>
  <c r="G915" i="7"/>
  <c r="AH914" i="7"/>
  <c r="Y914" i="7"/>
  <c r="AA914" i="7" s="1"/>
  <c r="P914" i="7"/>
  <c r="H914" i="7"/>
  <c r="G914" i="7"/>
  <c r="AH913" i="7"/>
  <c r="Y913" i="7"/>
  <c r="Z913" i="7" s="1"/>
  <c r="P913" i="7"/>
  <c r="H913" i="7"/>
  <c r="G913" i="7"/>
  <c r="AH912" i="7"/>
  <c r="Y912" i="7"/>
  <c r="AA912" i="7" s="1"/>
  <c r="P912" i="7"/>
  <c r="H912" i="7"/>
  <c r="G912" i="7"/>
  <c r="AH911" i="7"/>
  <c r="Y911" i="7"/>
  <c r="Z911" i="7" s="1"/>
  <c r="P911" i="7"/>
  <c r="H911" i="7"/>
  <c r="G911" i="7"/>
  <c r="AH910" i="7"/>
  <c r="Y910" i="7"/>
  <c r="AA910" i="7" s="1"/>
  <c r="P910" i="7"/>
  <c r="H910" i="7"/>
  <c r="G910" i="7"/>
  <c r="AH909" i="7"/>
  <c r="AS909" i="7" s="1"/>
  <c r="Y909" i="7"/>
  <c r="Z909" i="7" s="1"/>
  <c r="P909" i="7"/>
  <c r="H909" i="7"/>
  <c r="L909" i="7" s="1"/>
  <c r="G909" i="7"/>
  <c r="K909" i="7" s="1"/>
  <c r="AH908" i="7"/>
  <c r="AS908" i="7" s="1"/>
  <c r="Y908" i="7"/>
  <c r="P908" i="7"/>
  <c r="H908" i="7"/>
  <c r="L908" i="7" s="1"/>
  <c r="G908" i="7"/>
  <c r="K908" i="7" s="1"/>
  <c r="AH907" i="7"/>
  <c r="AS907" i="7" s="1"/>
  <c r="Y907" i="7"/>
  <c r="X907" i="7" s="1"/>
  <c r="P907" i="7"/>
  <c r="H907" i="7"/>
  <c r="L907" i="7" s="1"/>
  <c r="G907" i="7"/>
  <c r="K907" i="7" s="1"/>
  <c r="AH906" i="7"/>
  <c r="AS906" i="7" s="1"/>
  <c r="Y906" i="7"/>
  <c r="X906" i="7" s="1"/>
  <c r="P906" i="7"/>
  <c r="H906" i="7"/>
  <c r="L906" i="7" s="1"/>
  <c r="G906" i="7"/>
  <c r="K906" i="7" s="1"/>
  <c r="AH905" i="7"/>
  <c r="AS905" i="7" s="1"/>
  <c r="Y905" i="7"/>
  <c r="X905" i="7" s="1"/>
  <c r="P905" i="7"/>
  <c r="H905" i="7"/>
  <c r="L905" i="7" s="1"/>
  <c r="G905" i="7"/>
  <c r="K905" i="7" s="1"/>
  <c r="AO904" i="7"/>
  <c r="AM904" i="7"/>
  <c r="AH904" i="7"/>
  <c r="AS904" i="7" s="1"/>
  <c r="Y904" i="7"/>
  <c r="X904" i="7" s="1"/>
  <c r="P904" i="7"/>
  <c r="H904" i="7"/>
  <c r="L904" i="7" s="1"/>
  <c r="G904" i="7"/>
  <c r="K904" i="7" s="1"/>
  <c r="AH903" i="7"/>
  <c r="AS903" i="7" s="1"/>
  <c r="Y903" i="7"/>
  <c r="X903" i="7" s="1"/>
  <c r="P903" i="7"/>
  <c r="H903" i="7"/>
  <c r="L903" i="7" s="1"/>
  <c r="G903" i="7"/>
  <c r="K903" i="7" s="1"/>
  <c r="AH902" i="7"/>
  <c r="AS902" i="7" s="1"/>
  <c r="Y902" i="7"/>
  <c r="AA902" i="7" s="1"/>
  <c r="P902" i="7"/>
  <c r="H902" i="7"/>
  <c r="L902" i="7" s="1"/>
  <c r="G902" i="7"/>
  <c r="K902" i="7" s="1"/>
  <c r="AH901" i="7"/>
  <c r="AS901" i="7" s="1"/>
  <c r="Y901" i="7"/>
  <c r="AA901" i="7" s="1"/>
  <c r="P901" i="7"/>
  <c r="H901" i="7"/>
  <c r="L901" i="7" s="1"/>
  <c r="G901" i="7"/>
  <c r="K901" i="7" s="1"/>
  <c r="AO900" i="7"/>
  <c r="AM900" i="7"/>
  <c r="AH900" i="7"/>
  <c r="AS900" i="7" s="1"/>
  <c r="Y900" i="7"/>
  <c r="AA900" i="7" s="1"/>
  <c r="P900" i="7"/>
  <c r="H900" i="7"/>
  <c r="L900" i="7" s="1"/>
  <c r="G900" i="7"/>
  <c r="K900" i="7" s="1"/>
  <c r="AH899" i="7"/>
  <c r="AS899" i="7" s="1"/>
  <c r="Y899" i="7"/>
  <c r="P899" i="7"/>
  <c r="H899" i="7"/>
  <c r="L899" i="7" s="1"/>
  <c r="G899" i="7"/>
  <c r="K899" i="7" s="1"/>
  <c r="AH898" i="7"/>
  <c r="AS898" i="7" s="1"/>
  <c r="Y898" i="7"/>
  <c r="X898" i="7" s="1"/>
  <c r="P898" i="7"/>
  <c r="H898" i="7"/>
  <c r="L898" i="7" s="1"/>
  <c r="G898" i="7"/>
  <c r="K898" i="7" s="1"/>
  <c r="AH897" i="7"/>
  <c r="AS897" i="7" s="1"/>
  <c r="Y897" i="7"/>
  <c r="Z897" i="7" s="1"/>
  <c r="P897" i="7"/>
  <c r="H897" i="7"/>
  <c r="L897" i="7" s="1"/>
  <c r="G897" i="7"/>
  <c r="K897" i="7" s="1"/>
  <c r="AH896" i="7"/>
  <c r="AS896" i="7" s="1"/>
  <c r="Y896" i="7"/>
  <c r="AA896" i="7" s="1"/>
  <c r="P896" i="7"/>
  <c r="H896" i="7"/>
  <c r="L896" i="7" s="1"/>
  <c r="G896" i="7"/>
  <c r="K896" i="7" s="1"/>
  <c r="AH895" i="7"/>
  <c r="AS895" i="7" s="1"/>
  <c r="Y895" i="7"/>
  <c r="P895" i="7"/>
  <c r="H895" i="7"/>
  <c r="L895" i="7" s="1"/>
  <c r="G895" i="7"/>
  <c r="K895" i="7" s="1"/>
  <c r="AH894" i="7"/>
  <c r="AS894" i="7" s="1"/>
  <c r="Y894" i="7"/>
  <c r="AA894" i="7" s="1"/>
  <c r="P894" i="7"/>
  <c r="H894" i="7"/>
  <c r="L894" i="7" s="1"/>
  <c r="G894" i="7"/>
  <c r="K894" i="7" s="1"/>
  <c r="AH893" i="7"/>
  <c r="AS893" i="7" s="1"/>
  <c r="Y893" i="7"/>
  <c r="Z893" i="7" s="1"/>
  <c r="P893" i="7"/>
  <c r="H893" i="7"/>
  <c r="L893" i="7" s="1"/>
  <c r="G893" i="7"/>
  <c r="K893" i="7" s="1"/>
  <c r="AH892" i="7"/>
  <c r="AS892" i="7" s="1"/>
  <c r="Y892" i="7"/>
  <c r="X892" i="7" s="1"/>
  <c r="P892" i="7"/>
  <c r="H892" i="7"/>
  <c r="L892" i="7" s="1"/>
  <c r="G892" i="7"/>
  <c r="K892" i="7" s="1"/>
  <c r="AH891" i="7"/>
  <c r="AS891" i="7" s="1"/>
  <c r="Y891" i="7"/>
  <c r="AA891" i="7" s="1"/>
  <c r="P891" i="7"/>
  <c r="H891" i="7"/>
  <c r="L891" i="7" s="1"/>
  <c r="G891" i="7"/>
  <c r="K891" i="7" s="1"/>
  <c r="AH890" i="7"/>
  <c r="AS890" i="7" s="1"/>
  <c r="Y890" i="7"/>
  <c r="X890" i="7" s="1"/>
  <c r="P890" i="7"/>
  <c r="H890" i="7"/>
  <c r="L890" i="7" s="1"/>
  <c r="G890" i="7"/>
  <c r="K890" i="7" s="1"/>
  <c r="AH889" i="7"/>
  <c r="AS889" i="7" s="1"/>
  <c r="Y889" i="7"/>
  <c r="P889" i="7"/>
  <c r="H889" i="7"/>
  <c r="L889" i="7" s="1"/>
  <c r="G889" i="7"/>
  <c r="K889" i="7" s="1"/>
  <c r="AH888" i="7"/>
  <c r="AS888" i="7" s="1"/>
  <c r="Y888" i="7"/>
  <c r="Z888" i="7" s="1"/>
  <c r="P888" i="7"/>
  <c r="H888" i="7"/>
  <c r="L888" i="7" s="1"/>
  <c r="G888" i="7"/>
  <c r="K888" i="7" s="1"/>
  <c r="AH887" i="7"/>
  <c r="AS887" i="7" s="1"/>
  <c r="Y887" i="7"/>
  <c r="P887" i="7"/>
  <c r="H887" i="7"/>
  <c r="L887" i="7" s="1"/>
  <c r="G887" i="7"/>
  <c r="K887" i="7" s="1"/>
  <c r="AH886" i="7"/>
  <c r="AS886" i="7" s="1"/>
  <c r="Y886" i="7"/>
  <c r="P886" i="7"/>
  <c r="H886" i="7"/>
  <c r="L886" i="7" s="1"/>
  <c r="G886" i="7"/>
  <c r="K886" i="7" s="1"/>
  <c r="AH885" i="7"/>
  <c r="AS885" i="7" s="1"/>
  <c r="Y885" i="7"/>
  <c r="Z885" i="7" s="1"/>
  <c r="P885" i="7"/>
  <c r="H885" i="7"/>
  <c r="L885" i="7" s="1"/>
  <c r="G885" i="7"/>
  <c r="K885" i="7" s="1"/>
  <c r="AH884" i="7"/>
  <c r="AS884" i="7" s="1"/>
  <c r="Y884" i="7"/>
  <c r="P884" i="7"/>
  <c r="H884" i="7"/>
  <c r="L884" i="7" s="1"/>
  <c r="G884" i="7"/>
  <c r="K884" i="7" s="1"/>
  <c r="AH883" i="7"/>
  <c r="AS883" i="7" s="1"/>
  <c r="Y883" i="7"/>
  <c r="P883" i="7"/>
  <c r="H883" i="7"/>
  <c r="L883" i="7" s="1"/>
  <c r="G883" i="7"/>
  <c r="K883" i="7" s="1"/>
  <c r="AH882" i="7"/>
  <c r="AS882" i="7" s="1"/>
  <c r="Y882" i="7"/>
  <c r="P882" i="7"/>
  <c r="H882" i="7"/>
  <c r="L882" i="7" s="1"/>
  <c r="G882" i="7"/>
  <c r="K882" i="7" s="1"/>
  <c r="AH881" i="7"/>
  <c r="AS881" i="7" s="1"/>
  <c r="Y881" i="7"/>
  <c r="P881" i="7"/>
  <c r="H881" i="7"/>
  <c r="L881" i="7" s="1"/>
  <c r="G881" i="7"/>
  <c r="K881" i="7" s="1"/>
  <c r="AH880" i="7"/>
  <c r="AS880" i="7" s="1"/>
  <c r="Y880" i="7"/>
  <c r="P880" i="7"/>
  <c r="H880" i="7"/>
  <c r="L880" i="7" s="1"/>
  <c r="G880" i="7"/>
  <c r="K880" i="7" s="1"/>
  <c r="AH879" i="7"/>
  <c r="AS879" i="7" s="1"/>
  <c r="Y879" i="7"/>
  <c r="AA879" i="7" s="1"/>
  <c r="P879" i="7"/>
  <c r="H879" i="7"/>
  <c r="L879" i="7" s="1"/>
  <c r="G879" i="7"/>
  <c r="K879" i="7" s="1"/>
  <c r="AH878" i="7"/>
  <c r="AS878" i="7" s="1"/>
  <c r="Y878" i="7"/>
  <c r="P878" i="7"/>
  <c r="H878" i="7"/>
  <c r="L878" i="7" s="1"/>
  <c r="G878" i="7"/>
  <c r="K878" i="7" s="1"/>
  <c r="AH877" i="7"/>
  <c r="AS877" i="7" s="1"/>
  <c r="Y877" i="7"/>
  <c r="X877" i="7" s="1"/>
  <c r="P877" i="7"/>
  <c r="H877" i="7"/>
  <c r="L877" i="7" s="1"/>
  <c r="G877" i="7"/>
  <c r="K877" i="7" s="1"/>
  <c r="AH876" i="7"/>
  <c r="AS876" i="7" s="1"/>
  <c r="Y876" i="7"/>
  <c r="Z876" i="7" s="1"/>
  <c r="P876" i="7"/>
  <c r="H876" i="7"/>
  <c r="L876" i="7" s="1"/>
  <c r="G876" i="7"/>
  <c r="K876" i="7" s="1"/>
  <c r="AH875" i="7"/>
  <c r="AS875" i="7" s="1"/>
  <c r="Y875" i="7"/>
  <c r="P875" i="7"/>
  <c r="H875" i="7"/>
  <c r="L875" i="7" s="1"/>
  <c r="G875" i="7"/>
  <c r="K875" i="7" s="1"/>
  <c r="AH874" i="7"/>
  <c r="AS874" i="7" s="1"/>
  <c r="Y874" i="7"/>
  <c r="P874" i="7"/>
  <c r="H874" i="7"/>
  <c r="L874" i="7" s="1"/>
  <c r="G874" i="7"/>
  <c r="K874" i="7" s="1"/>
  <c r="AH873" i="7"/>
  <c r="AS873" i="7" s="1"/>
  <c r="Y873" i="7"/>
  <c r="X873" i="7" s="1"/>
  <c r="P873" i="7"/>
  <c r="H873" i="7"/>
  <c r="L873" i="7" s="1"/>
  <c r="G873" i="7"/>
  <c r="K873" i="7" s="1"/>
  <c r="AH872" i="7"/>
  <c r="AS872" i="7" s="1"/>
  <c r="Y872" i="7"/>
  <c r="AA872" i="7" s="1"/>
  <c r="P872" i="7"/>
  <c r="H872" i="7"/>
  <c r="L872" i="7" s="1"/>
  <c r="G872" i="7"/>
  <c r="K872" i="7" s="1"/>
  <c r="AH871" i="7"/>
  <c r="AS871" i="7" s="1"/>
  <c r="Y871" i="7"/>
  <c r="AA871" i="7" s="1"/>
  <c r="P871" i="7"/>
  <c r="H871" i="7"/>
  <c r="L871" i="7" s="1"/>
  <c r="G871" i="7"/>
  <c r="K871" i="7" s="1"/>
  <c r="AH870" i="7"/>
  <c r="AS870" i="7" s="1"/>
  <c r="Y870" i="7"/>
  <c r="AA870" i="7" s="1"/>
  <c r="P870" i="7"/>
  <c r="H870" i="7"/>
  <c r="L870" i="7" s="1"/>
  <c r="G870" i="7"/>
  <c r="K870" i="7" s="1"/>
  <c r="AH869" i="7"/>
  <c r="AS869" i="7" s="1"/>
  <c r="Y869" i="7"/>
  <c r="AA869" i="7" s="1"/>
  <c r="P869" i="7"/>
  <c r="H869" i="7"/>
  <c r="L869" i="7" s="1"/>
  <c r="G869" i="7"/>
  <c r="K869" i="7" s="1"/>
  <c r="AH868" i="7"/>
  <c r="AS868" i="7" s="1"/>
  <c r="Y868" i="7"/>
  <c r="P868" i="7"/>
  <c r="H868" i="7"/>
  <c r="L868" i="7" s="1"/>
  <c r="G868" i="7"/>
  <c r="K868" i="7" s="1"/>
  <c r="AH867" i="7"/>
  <c r="AS867" i="7" s="1"/>
  <c r="Y867" i="7"/>
  <c r="P867" i="7"/>
  <c r="H867" i="7"/>
  <c r="L867" i="7" s="1"/>
  <c r="G867" i="7"/>
  <c r="K867" i="7" s="1"/>
  <c r="AO866" i="7"/>
  <c r="AM866" i="7"/>
  <c r="AH866" i="7"/>
  <c r="AS866" i="7" s="1"/>
  <c r="Y866" i="7"/>
  <c r="Z866" i="7" s="1"/>
  <c r="P866" i="7"/>
  <c r="H866" i="7"/>
  <c r="L866" i="7" s="1"/>
  <c r="G866" i="7"/>
  <c r="K866" i="7" s="1"/>
  <c r="AO865" i="7"/>
  <c r="AM865" i="7"/>
  <c r="AH865" i="7"/>
  <c r="AS865" i="7" s="1"/>
  <c r="Y865" i="7"/>
  <c r="P865" i="7"/>
  <c r="H865" i="7"/>
  <c r="L865" i="7" s="1"/>
  <c r="G865" i="7"/>
  <c r="K865" i="7" s="1"/>
  <c r="AO864" i="7"/>
  <c r="AM864" i="7"/>
  <c r="AH864" i="7"/>
  <c r="AS864" i="7" s="1"/>
  <c r="Y864" i="7"/>
  <c r="P864" i="7"/>
  <c r="H864" i="7"/>
  <c r="L864" i="7" s="1"/>
  <c r="G864" i="7"/>
  <c r="K864" i="7" s="1"/>
  <c r="AM863" i="7"/>
  <c r="AH863" i="7"/>
  <c r="AS863" i="7" s="1"/>
  <c r="Y863" i="7"/>
  <c r="P863" i="7"/>
  <c r="H863" i="7"/>
  <c r="L863" i="7" s="1"/>
  <c r="G863" i="7"/>
  <c r="K863" i="7" s="1"/>
  <c r="AM862" i="7"/>
  <c r="AH862" i="7"/>
  <c r="AS862" i="7" s="1"/>
  <c r="Y862" i="7"/>
  <c r="P862" i="7"/>
  <c r="H862" i="7"/>
  <c r="L862" i="7" s="1"/>
  <c r="G862" i="7"/>
  <c r="K862" i="7" s="1"/>
  <c r="AM861" i="7"/>
  <c r="AH861" i="7"/>
  <c r="AS861" i="7" s="1"/>
  <c r="Y861" i="7"/>
  <c r="P861" i="7"/>
  <c r="H861" i="7"/>
  <c r="L861" i="7" s="1"/>
  <c r="G861" i="7"/>
  <c r="K861" i="7" s="1"/>
  <c r="AM860" i="7"/>
  <c r="AH860" i="7"/>
  <c r="AS860" i="7" s="1"/>
  <c r="Y860" i="7"/>
  <c r="X860" i="7" s="1"/>
  <c r="P860" i="7"/>
  <c r="H860" i="7"/>
  <c r="L860" i="7" s="1"/>
  <c r="G860" i="7"/>
  <c r="K860" i="7" s="1"/>
  <c r="AM859" i="7"/>
  <c r="AH859" i="7"/>
  <c r="AS859" i="7" s="1"/>
  <c r="Y859" i="7"/>
  <c r="P859" i="7"/>
  <c r="H859" i="7"/>
  <c r="L859" i="7" s="1"/>
  <c r="G859" i="7"/>
  <c r="K859" i="7" s="1"/>
  <c r="AM858" i="7"/>
  <c r="AH858" i="7"/>
  <c r="AS858" i="7" s="1"/>
  <c r="Y858" i="7"/>
  <c r="P858" i="7"/>
  <c r="H858" i="7"/>
  <c r="L858" i="7" s="1"/>
  <c r="G858" i="7"/>
  <c r="K858" i="7" s="1"/>
  <c r="AM857" i="7"/>
  <c r="AH857" i="7"/>
  <c r="AS857" i="7" s="1"/>
  <c r="Y857" i="7"/>
  <c r="P857" i="7"/>
  <c r="H857" i="7"/>
  <c r="L857" i="7" s="1"/>
  <c r="G857" i="7"/>
  <c r="K857" i="7" s="1"/>
  <c r="AM856" i="7"/>
  <c r="AH856" i="7"/>
  <c r="AS856" i="7" s="1"/>
  <c r="Y856" i="7"/>
  <c r="X856" i="7" s="1"/>
  <c r="P856" i="7"/>
  <c r="H856" i="7"/>
  <c r="L856" i="7" s="1"/>
  <c r="G856" i="7"/>
  <c r="K856" i="7" s="1"/>
  <c r="AM855" i="7"/>
  <c r="AH855" i="7"/>
  <c r="AS855" i="7" s="1"/>
  <c r="Y855" i="7"/>
  <c r="P855" i="7"/>
  <c r="H855" i="7"/>
  <c r="L855" i="7" s="1"/>
  <c r="G855" i="7"/>
  <c r="K855" i="7" s="1"/>
  <c r="AM854" i="7"/>
  <c r="AH854" i="7"/>
  <c r="AS854" i="7" s="1"/>
  <c r="Y854" i="7"/>
  <c r="Z854" i="7" s="1"/>
  <c r="P854" i="7"/>
  <c r="H854" i="7"/>
  <c r="L854" i="7" s="1"/>
  <c r="G854" i="7"/>
  <c r="K854" i="7" s="1"/>
  <c r="AM853" i="7"/>
  <c r="AH853" i="7"/>
  <c r="AS853" i="7" s="1"/>
  <c r="Y853" i="7"/>
  <c r="P853" i="7"/>
  <c r="H853" i="7"/>
  <c r="L853" i="7" s="1"/>
  <c r="G853" i="7"/>
  <c r="K853" i="7" s="1"/>
  <c r="AM852" i="7"/>
  <c r="AH852" i="7"/>
  <c r="AS852" i="7" s="1"/>
  <c r="Y852" i="7"/>
  <c r="AA852" i="7" s="1"/>
  <c r="P852" i="7"/>
  <c r="H852" i="7"/>
  <c r="L852" i="7" s="1"/>
  <c r="G852" i="7"/>
  <c r="K852" i="7" s="1"/>
  <c r="AM851" i="7"/>
  <c r="AH851" i="7"/>
  <c r="AS851" i="7" s="1"/>
  <c r="Y851" i="7"/>
  <c r="X851" i="7" s="1"/>
  <c r="P851" i="7"/>
  <c r="H851" i="7"/>
  <c r="L851" i="7" s="1"/>
  <c r="G851" i="7"/>
  <c r="K851" i="7" s="1"/>
  <c r="AM850" i="7"/>
  <c r="AH850" i="7"/>
  <c r="AS850" i="7" s="1"/>
  <c r="Y850" i="7"/>
  <c r="P850" i="7"/>
  <c r="H850" i="7"/>
  <c r="L850" i="7" s="1"/>
  <c r="G850" i="7"/>
  <c r="K850" i="7" s="1"/>
  <c r="AM849" i="7"/>
  <c r="AH849" i="7"/>
  <c r="AS849" i="7" s="1"/>
  <c r="Y849" i="7"/>
  <c r="P849" i="7"/>
  <c r="H849" i="7"/>
  <c r="L849" i="7" s="1"/>
  <c r="G849" i="7"/>
  <c r="K849" i="7" s="1"/>
  <c r="AM848" i="7"/>
  <c r="AH848" i="7"/>
  <c r="AS848" i="7" s="1"/>
  <c r="Y848" i="7"/>
  <c r="P848" i="7"/>
  <c r="H848" i="7"/>
  <c r="L848" i="7" s="1"/>
  <c r="G848" i="7"/>
  <c r="K848" i="7" s="1"/>
  <c r="AM847" i="7"/>
  <c r="AH847" i="7"/>
  <c r="AS847" i="7" s="1"/>
  <c r="Y847" i="7"/>
  <c r="P847" i="7"/>
  <c r="H847" i="7"/>
  <c r="L847" i="7" s="1"/>
  <c r="G847" i="7"/>
  <c r="K847" i="7" s="1"/>
  <c r="AM846" i="7"/>
  <c r="AH846" i="7"/>
  <c r="AS846" i="7" s="1"/>
  <c r="Y846" i="7"/>
  <c r="AA846" i="7" s="1"/>
  <c r="P846" i="7"/>
  <c r="H846" i="7"/>
  <c r="L846" i="7" s="1"/>
  <c r="G846" i="7"/>
  <c r="K846" i="7" s="1"/>
  <c r="AM845" i="7"/>
  <c r="AH845" i="7"/>
  <c r="AS845" i="7" s="1"/>
  <c r="Y845" i="7"/>
  <c r="X845" i="7" s="1"/>
  <c r="P845" i="7"/>
  <c r="H845" i="7"/>
  <c r="L845" i="7" s="1"/>
  <c r="G845" i="7"/>
  <c r="K845" i="7" s="1"/>
  <c r="AM844" i="7"/>
  <c r="AH844" i="7"/>
  <c r="AS844" i="7" s="1"/>
  <c r="Y844" i="7"/>
  <c r="X844" i="7" s="1"/>
  <c r="P844" i="7"/>
  <c r="H844" i="7"/>
  <c r="L844" i="7" s="1"/>
  <c r="G844" i="7"/>
  <c r="K844" i="7" s="1"/>
  <c r="AM843" i="7"/>
  <c r="AH843" i="7"/>
  <c r="AS843" i="7" s="1"/>
  <c r="Y843" i="7"/>
  <c r="Z843" i="7" s="1"/>
  <c r="P843" i="7"/>
  <c r="H843" i="7"/>
  <c r="L843" i="7" s="1"/>
  <c r="G843" i="7"/>
  <c r="K843" i="7" s="1"/>
  <c r="AM842" i="7"/>
  <c r="AH842" i="7"/>
  <c r="AS842" i="7" s="1"/>
  <c r="Y842" i="7"/>
  <c r="X842" i="7" s="1"/>
  <c r="P842" i="7"/>
  <c r="H842" i="7"/>
  <c r="L842" i="7" s="1"/>
  <c r="G842" i="7"/>
  <c r="K842" i="7" s="1"/>
  <c r="AM841" i="7"/>
  <c r="AH841" i="7"/>
  <c r="AS841" i="7" s="1"/>
  <c r="Y841" i="7"/>
  <c r="Z841" i="7" s="1"/>
  <c r="P841" i="7"/>
  <c r="H841" i="7"/>
  <c r="L841" i="7" s="1"/>
  <c r="G841" i="7"/>
  <c r="K841" i="7" s="1"/>
  <c r="AM840" i="7"/>
  <c r="AH840" i="7"/>
  <c r="AS840" i="7" s="1"/>
  <c r="Y840" i="7"/>
  <c r="X840" i="7" s="1"/>
  <c r="P840" i="7"/>
  <c r="H840" i="7"/>
  <c r="L840" i="7" s="1"/>
  <c r="G840" i="7"/>
  <c r="K840" i="7" s="1"/>
  <c r="AO839" i="7"/>
  <c r="AM839" i="7"/>
  <c r="AH839" i="7"/>
  <c r="AS839" i="7" s="1"/>
  <c r="Y839" i="7"/>
  <c r="X839" i="7" s="1"/>
  <c r="P839" i="7"/>
  <c r="H839" i="7"/>
  <c r="L839" i="7" s="1"/>
  <c r="G839" i="7"/>
  <c r="K839" i="7" s="1"/>
  <c r="AO838" i="7"/>
  <c r="AM838" i="7"/>
  <c r="AH838" i="7"/>
  <c r="AS838" i="7" s="1"/>
  <c r="Y838" i="7"/>
  <c r="P838" i="7"/>
  <c r="H838" i="7"/>
  <c r="L838" i="7" s="1"/>
  <c r="G838" i="7"/>
  <c r="K838" i="7" s="1"/>
  <c r="AO837" i="7"/>
  <c r="AM837" i="7"/>
  <c r="AH837" i="7"/>
  <c r="AS837" i="7" s="1"/>
  <c r="Y837" i="7"/>
  <c r="AA837" i="7" s="1"/>
  <c r="P837" i="7"/>
  <c r="H837" i="7"/>
  <c r="L837" i="7" s="1"/>
  <c r="G837" i="7"/>
  <c r="K837" i="7" s="1"/>
  <c r="AH836" i="7"/>
  <c r="AS836" i="7" s="1"/>
  <c r="Y836" i="7"/>
  <c r="P836" i="7"/>
  <c r="H836" i="7"/>
  <c r="L836" i="7" s="1"/>
  <c r="G836" i="7"/>
  <c r="K836" i="7" s="1"/>
  <c r="AH835" i="7"/>
  <c r="AS835" i="7" s="1"/>
  <c r="Y835" i="7"/>
  <c r="P835" i="7"/>
  <c r="H835" i="7"/>
  <c r="L835" i="7" s="1"/>
  <c r="G835" i="7"/>
  <c r="K835" i="7" s="1"/>
  <c r="AH834" i="7"/>
  <c r="AS834" i="7" s="1"/>
  <c r="Y834" i="7"/>
  <c r="AA834" i="7" s="1"/>
  <c r="P834" i="7"/>
  <c r="H834" i="7"/>
  <c r="L834" i="7" s="1"/>
  <c r="G834" i="7"/>
  <c r="K834" i="7" s="1"/>
  <c r="AH833" i="7"/>
  <c r="AS833" i="7" s="1"/>
  <c r="Y833" i="7"/>
  <c r="P833" i="7"/>
  <c r="H833" i="7"/>
  <c r="L833" i="7" s="1"/>
  <c r="G833" i="7"/>
  <c r="K833" i="7" s="1"/>
  <c r="AH832" i="7"/>
  <c r="AS832" i="7" s="1"/>
  <c r="Y832" i="7"/>
  <c r="AA832" i="7" s="1"/>
  <c r="P832" i="7"/>
  <c r="H832" i="7"/>
  <c r="L832" i="7" s="1"/>
  <c r="G832" i="7"/>
  <c r="K832" i="7" s="1"/>
  <c r="AH831" i="7"/>
  <c r="AS831" i="7" s="1"/>
  <c r="Y831" i="7"/>
  <c r="P831" i="7"/>
  <c r="H831" i="7"/>
  <c r="L831" i="7" s="1"/>
  <c r="G831" i="7"/>
  <c r="K831" i="7" s="1"/>
  <c r="AH830" i="7"/>
  <c r="AS830" i="7" s="1"/>
  <c r="Y830" i="7"/>
  <c r="P830" i="7"/>
  <c r="H830" i="7"/>
  <c r="L830" i="7" s="1"/>
  <c r="G830" i="7"/>
  <c r="K830" i="7" s="1"/>
  <c r="AH829" i="7"/>
  <c r="AS829" i="7" s="1"/>
  <c r="Y829" i="7"/>
  <c r="P829" i="7"/>
  <c r="H829" i="7"/>
  <c r="L829" i="7" s="1"/>
  <c r="G829" i="7"/>
  <c r="K829" i="7" s="1"/>
  <c r="AH828" i="7"/>
  <c r="AS828" i="7" s="1"/>
  <c r="Y828" i="7"/>
  <c r="P828" i="7"/>
  <c r="H828" i="7"/>
  <c r="L828" i="7" s="1"/>
  <c r="G828" i="7"/>
  <c r="K828" i="7" s="1"/>
  <c r="AH827" i="7"/>
  <c r="AS827" i="7" s="1"/>
  <c r="Y827" i="7"/>
  <c r="P827" i="7"/>
  <c r="H827" i="7"/>
  <c r="L827" i="7" s="1"/>
  <c r="G827" i="7"/>
  <c r="K827" i="7" s="1"/>
  <c r="AH826" i="7"/>
  <c r="AS826" i="7" s="1"/>
  <c r="Y826" i="7"/>
  <c r="Z826" i="7" s="1"/>
  <c r="P826" i="7"/>
  <c r="H826" i="7"/>
  <c r="L826" i="7" s="1"/>
  <c r="G826" i="7"/>
  <c r="K826" i="7" s="1"/>
  <c r="AH825" i="7"/>
  <c r="AS825" i="7" s="1"/>
  <c r="Y825" i="7"/>
  <c r="X825" i="7" s="1"/>
  <c r="P825" i="7"/>
  <c r="H825" i="7"/>
  <c r="L825" i="7" s="1"/>
  <c r="G825" i="7"/>
  <c r="K825" i="7" s="1"/>
  <c r="AH824" i="7"/>
  <c r="AS824" i="7" s="1"/>
  <c r="Y824" i="7"/>
  <c r="P824" i="7"/>
  <c r="H824" i="7"/>
  <c r="L824" i="7" s="1"/>
  <c r="G824" i="7"/>
  <c r="K824" i="7" s="1"/>
  <c r="AH823" i="7"/>
  <c r="AS823" i="7" s="1"/>
  <c r="Y823" i="7"/>
  <c r="P823" i="7"/>
  <c r="H823" i="7"/>
  <c r="L823" i="7" s="1"/>
  <c r="G823" i="7"/>
  <c r="K823" i="7" s="1"/>
  <c r="AH822" i="7"/>
  <c r="AS822" i="7" s="1"/>
  <c r="Y822" i="7"/>
  <c r="X822" i="7" s="1"/>
  <c r="P822" i="7"/>
  <c r="H822" i="7"/>
  <c r="L822" i="7" s="1"/>
  <c r="G822" i="7"/>
  <c r="K822" i="7" s="1"/>
  <c r="AH821" i="7"/>
  <c r="AS821" i="7" s="1"/>
  <c r="Y821" i="7"/>
  <c r="AA821" i="7" s="1"/>
  <c r="P821" i="7"/>
  <c r="H821" i="7"/>
  <c r="L821" i="7" s="1"/>
  <c r="G821" i="7"/>
  <c r="K821" i="7" s="1"/>
  <c r="AH820" i="7"/>
  <c r="AS820" i="7" s="1"/>
  <c r="Y820" i="7"/>
  <c r="X820" i="7" s="1"/>
  <c r="P820" i="7"/>
  <c r="H820" i="7"/>
  <c r="L820" i="7" s="1"/>
  <c r="G820" i="7"/>
  <c r="K820" i="7" s="1"/>
  <c r="AH819" i="7"/>
  <c r="AS819" i="7" s="1"/>
  <c r="Y819" i="7"/>
  <c r="P819" i="7"/>
  <c r="H819" i="7"/>
  <c r="L819" i="7" s="1"/>
  <c r="G819" i="7"/>
  <c r="K819" i="7" s="1"/>
  <c r="AH818" i="7"/>
  <c r="AS818" i="7" s="1"/>
  <c r="Y818" i="7"/>
  <c r="X818" i="7" s="1"/>
  <c r="P818" i="7"/>
  <c r="H818" i="7"/>
  <c r="L818" i="7" s="1"/>
  <c r="G818" i="7"/>
  <c r="K818" i="7" s="1"/>
  <c r="AH817" i="7"/>
  <c r="AS817" i="7" s="1"/>
  <c r="Y817" i="7"/>
  <c r="P817" i="7"/>
  <c r="H817" i="7"/>
  <c r="L817" i="7" s="1"/>
  <c r="G817" i="7"/>
  <c r="K817" i="7" s="1"/>
  <c r="AH816" i="7"/>
  <c r="AS816" i="7" s="1"/>
  <c r="Y816" i="7"/>
  <c r="P816" i="7"/>
  <c r="H816" i="7"/>
  <c r="L816" i="7" s="1"/>
  <c r="G816" i="7"/>
  <c r="K816" i="7" s="1"/>
  <c r="AH815" i="7"/>
  <c r="AS815" i="7" s="1"/>
  <c r="Y815" i="7"/>
  <c r="X815" i="7" s="1"/>
  <c r="P815" i="7"/>
  <c r="H815" i="7"/>
  <c r="L815" i="7" s="1"/>
  <c r="G815" i="7"/>
  <c r="K815" i="7" s="1"/>
  <c r="AH814" i="7"/>
  <c r="AS814" i="7" s="1"/>
  <c r="Y814" i="7"/>
  <c r="AA814" i="7" s="1"/>
  <c r="P814" i="7"/>
  <c r="H814" i="7"/>
  <c r="L814" i="7" s="1"/>
  <c r="G814" i="7"/>
  <c r="K814" i="7" s="1"/>
  <c r="AH813" i="7"/>
  <c r="AS813" i="7" s="1"/>
  <c r="Y813" i="7"/>
  <c r="AA813" i="7" s="1"/>
  <c r="P813" i="7"/>
  <c r="H813" i="7"/>
  <c r="L813" i="7" s="1"/>
  <c r="G813" i="7"/>
  <c r="K813" i="7" s="1"/>
  <c r="AO812" i="7"/>
  <c r="AM812" i="7"/>
  <c r="AH812" i="7"/>
  <c r="AS812" i="7" s="1"/>
  <c r="Y812" i="7"/>
  <c r="Z812" i="7" s="1"/>
  <c r="P812" i="7"/>
  <c r="H812" i="7"/>
  <c r="L812" i="7" s="1"/>
  <c r="G812" i="7"/>
  <c r="K812" i="7" s="1"/>
  <c r="AH811" i="7"/>
  <c r="AS811" i="7" s="1"/>
  <c r="Y811" i="7"/>
  <c r="X811" i="7" s="1"/>
  <c r="P811" i="7"/>
  <c r="H811" i="7"/>
  <c r="L811" i="7" s="1"/>
  <c r="G811" i="7"/>
  <c r="K811" i="7" s="1"/>
  <c r="AH810" i="7"/>
  <c r="AS810" i="7" s="1"/>
  <c r="Y810" i="7"/>
  <c r="X810" i="7" s="1"/>
  <c r="P810" i="7"/>
  <c r="H810" i="7"/>
  <c r="L810" i="7" s="1"/>
  <c r="G810" i="7"/>
  <c r="K810" i="7" s="1"/>
  <c r="AH809" i="7"/>
  <c r="AS809" i="7" s="1"/>
  <c r="Y809" i="7"/>
  <c r="Z809" i="7" s="1"/>
  <c r="P809" i="7"/>
  <c r="H809" i="7"/>
  <c r="L809" i="7" s="1"/>
  <c r="G809" i="7"/>
  <c r="K809" i="7" s="1"/>
  <c r="AH808" i="7"/>
  <c r="AS808" i="7" s="1"/>
  <c r="Y808" i="7"/>
  <c r="Z808" i="7" s="1"/>
  <c r="P808" i="7"/>
  <c r="H808" i="7"/>
  <c r="L808" i="7" s="1"/>
  <c r="G808" i="7"/>
  <c r="K808" i="7" s="1"/>
  <c r="AH807" i="7"/>
  <c r="AS807" i="7" s="1"/>
  <c r="Y807" i="7"/>
  <c r="Z807" i="7" s="1"/>
  <c r="P807" i="7"/>
  <c r="H807" i="7"/>
  <c r="L807" i="7" s="1"/>
  <c r="G807" i="7"/>
  <c r="K807" i="7" s="1"/>
  <c r="AH806" i="7"/>
  <c r="AS806" i="7" s="1"/>
  <c r="Y806" i="7"/>
  <c r="Z806" i="7" s="1"/>
  <c r="P806" i="7"/>
  <c r="H806" i="7"/>
  <c r="L806" i="7" s="1"/>
  <c r="G806" i="7"/>
  <c r="K806" i="7" s="1"/>
  <c r="AH805" i="7"/>
  <c r="AS805" i="7" s="1"/>
  <c r="Y805" i="7"/>
  <c r="P805" i="7"/>
  <c r="H805" i="7"/>
  <c r="L805" i="7" s="1"/>
  <c r="G805" i="7"/>
  <c r="K805" i="7" s="1"/>
  <c r="AH804" i="7"/>
  <c r="AS804" i="7" s="1"/>
  <c r="Y804" i="7"/>
  <c r="P804" i="7"/>
  <c r="H804" i="7"/>
  <c r="L804" i="7" s="1"/>
  <c r="G804" i="7"/>
  <c r="K804" i="7" s="1"/>
  <c r="AH803" i="7"/>
  <c r="AS803" i="7" s="1"/>
  <c r="Y803" i="7"/>
  <c r="X803" i="7" s="1"/>
  <c r="P803" i="7"/>
  <c r="H803" i="7"/>
  <c r="L803" i="7" s="1"/>
  <c r="G803" i="7"/>
  <c r="K803" i="7" s="1"/>
  <c r="AO802" i="7"/>
  <c r="AM802" i="7"/>
  <c r="AH802" i="7"/>
  <c r="AS802" i="7" s="1"/>
  <c r="Y802" i="7"/>
  <c r="P802" i="7"/>
  <c r="H802" i="7"/>
  <c r="L802" i="7" s="1"/>
  <c r="G802" i="7"/>
  <c r="K802" i="7" s="1"/>
  <c r="AH801" i="7"/>
  <c r="AS801" i="7" s="1"/>
  <c r="Y801" i="7"/>
  <c r="X801" i="7" s="1"/>
  <c r="P801" i="7"/>
  <c r="H801" i="7"/>
  <c r="L801" i="7" s="1"/>
  <c r="G801" i="7"/>
  <c r="K801" i="7" s="1"/>
  <c r="AO800" i="7"/>
  <c r="AM800" i="7"/>
  <c r="AH800" i="7"/>
  <c r="AS800" i="7" s="1"/>
  <c r="Y800" i="7"/>
  <c r="Z800" i="7" s="1"/>
  <c r="P800" i="7"/>
  <c r="H800" i="7"/>
  <c r="L800" i="7" s="1"/>
  <c r="G800" i="7"/>
  <c r="K800" i="7" s="1"/>
  <c r="AH799" i="7"/>
  <c r="AS799" i="7" s="1"/>
  <c r="Y799" i="7"/>
  <c r="P799" i="7"/>
  <c r="H799" i="7"/>
  <c r="L799" i="7" s="1"/>
  <c r="G799" i="7"/>
  <c r="K799" i="7" s="1"/>
  <c r="AH798" i="7"/>
  <c r="AS798" i="7" s="1"/>
  <c r="Y798" i="7"/>
  <c r="P798" i="7"/>
  <c r="H798" i="7"/>
  <c r="L798" i="7" s="1"/>
  <c r="G798" i="7"/>
  <c r="K798" i="7" s="1"/>
  <c r="AH797" i="7"/>
  <c r="AS797" i="7" s="1"/>
  <c r="Y797" i="7"/>
  <c r="X797" i="7" s="1"/>
  <c r="P797" i="7"/>
  <c r="H797" i="7"/>
  <c r="L797" i="7" s="1"/>
  <c r="G797" i="7"/>
  <c r="K797" i="7" s="1"/>
  <c r="AH796" i="7"/>
  <c r="AS796" i="7" s="1"/>
  <c r="Y796" i="7"/>
  <c r="P796" i="7"/>
  <c r="H796" i="7"/>
  <c r="L796" i="7" s="1"/>
  <c r="G796" i="7"/>
  <c r="K796" i="7" s="1"/>
  <c r="AH795" i="7"/>
  <c r="AS795" i="7" s="1"/>
  <c r="Y795" i="7"/>
  <c r="P795" i="7"/>
  <c r="H795" i="7"/>
  <c r="L795" i="7" s="1"/>
  <c r="G795" i="7"/>
  <c r="K795" i="7" s="1"/>
  <c r="AH794" i="7"/>
  <c r="AS794" i="7" s="1"/>
  <c r="Y794" i="7"/>
  <c r="AA794" i="7" s="1"/>
  <c r="P794" i="7"/>
  <c r="H794" i="7"/>
  <c r="L794" i="7" s="1"/>
  <c r="G794" i="7"/>
  <c r="K794" i="7" s="1"/>
  <c r="AH793" i="7"/>
  <c r="AS793" i="7" s="1"/>
  <c r="Y793" i="7"/>
  <c r="AA793" i="7" s="1"/>
  <c r="P793" i="7"/>
  <c r="H793" i="7"/>
  <c r="L793" i="7" s="1"/>
  <c r="G793" i="7"/>
  <c r="K793" i="7" s="1"/>
  <c r="AH792" i="7"/>
  <c r="AS792" i="7" s="1"/>
  <c r="Y792" i="7"/>
  <c r="X792" i="7" s="1"/>
  <c r="P792" i="7"/>
  <c r="H792" i="7"/>
  <c r="L792" i="7" s="1"/>
  <c r="G792" i="7"/>
  <c r="K792" i="7" s="1"/>
  <c r="AH791" i="7"/>
  <c r="AS791" i="7" s="1"/>
  <c r="Y791" i="7"/>
  <c r="X791" i="7" s="1"/>
  <c r="P791" i="7"/>
  <c r="H791" i="7"/>
  <c r="L791" i="7" s="1"/>
  <c r="G791" i="7"/>
  <c r="K791" i="7" s="1"/>
  <c r="AH790" i="7"/>
  <c r="AS790" i="7" s="1"/>
  <c r="Y790" i="7"/>
  <c r="AA790" i="7" s="1"/>
  <c r="P790" i="7"/>
  <c r="H790" i="7"/>
  <c r="L790" i="7" s="1"/>
  <c r="G790" i="7"/>
  <c r="K790" i="7" s="1"/>
  <c r="AH789" i="7"/>
  <c r="AS789" i="7" s="1"/>
  <c r="Y789" i="7"/>
  <c r="X789" i="7" s="1"/>
  <c r="P789" i="7"/>
  <c r="H789" i="7"/>
  <c r="L789" i="7" s="1"/>
  <c r="G789" i="7"/>
  <c r="K789" i="7" s="1"/>
  <c r="AH788" i="7"/>
  <c r="AS788" i="7" s="1"/>
  <c r="Y788" i="7"/>
  <c r="AA788" i="7" s="1"/>
  <c r="P788" i="7"/>
  <c r="H788" i="7"/>
  <c r="L788" i="7" s="1"/>
  <c r="G788" i="7"/>
  <c r="K788" i="7" s="1"/>
  <c r="AH787" i="7"/>
  <c r="AS787" i="7" s="1"/>
  <c r="Y787" i="7"/>
  <c r="Z787" i="7" s="1"/>
  <c r="P787" i="7"/>
  <c r="H787" i="7"/>
  <c r="L787" i="7" s="1"/>
  <c r="G787" i="7"/>
  <c r="K787" i="7" s="1"/>
  <c r="AO786" i="7"/>
  <c r="AM786" i="7"/>
  <c r="AH786" i="7"/>
  <c r="AS786" i="7" s="1"/>
  <c r="Y786" i="7"/>
  <c r="Z786" i="7" s="1"/>
  <c r="P786" i="7"/>
  <c r="H786" i="7"/>
  <c r="L786" i="7" s="1"/>
  <c r="G786" i="7"/>
  <c r="K786" i="7" s="1"/>
  <c r="AH785" i="7"/>
  <c r="Y785" i="7"/>
  <c r="AA785" i="7" s="1"/>
  <c r="P785" i="7"/>
  <c r="H785" i="7"/>
  <c r="G785" i="7"/>
  <c r="AH784" i="7"/>
  <c r="Y784" i="7"/>
  <c r="X784" i="7" s="1"/>
  <c r="P784" i="7"/>
  <c r="H784" i="7"/>
  <c r="G784" i="7"/>
  <c r="AH783" i="7"/>
  <c r="Y783" i="7"/>
  <c r="Z783" i="7" s="1"/>
  <c r="P783" i="7"/>
  <c r="H783" i="7"/>
  <c r="G783" i="7"/>
  <c r="AH782" i="7"/>
  <c r="Y782" i="7"/>
  <c r="AA782" i="7" s="1"/>
  <c r="P782" i="7"/>
  <c r="H782" i="7"/>
  <c r="G782" i="7"/>
  <c r="AH781" i="7"/>
  <c r="Y781" i="7"/>
  <c r="P781" i="7"/>
  <c r="H781" i="7"/>
  <c r="G781" i="7"/>
  <c r="AH780" i="7"/>
  <c r="Y780" i="7"/>
  <c r="AA780" i="7" s="1"/>
  <c r="P780" i="7"/>
  <c r="H780" i="7"/>
  <c r="G780" i="7"/>
  <c r="AO779" i="7"/>
  <c r="AM779" i="7"/>
  <c r="AH779" i="7"/>
  <c r="Y779" i="7"/>
  <c r="P779" i="7"/>
  <c r="H779" i="7"/>
  <c r="G779" i="7"/>
  <c r="AO778" i="7"/>
  <c r="AM778" i="7"/>
  <c r="AH778" i="7"/>
  <c r="AS778" i="7" s="1"/>
  <c r="Y778" i="7"/>
  <c r="AA778" i="7" s="1"/>
  <c r="P778" i="7"/>
  <c r="H778" i="7"/>
  <c r="L778" i="7" s="1"/>
  <c r="G778" i="7"/>
  <c r="K778" i="7" s="1"/>
  <c r="AO777" i="7"/>
  <c r="AM777" i="7"/>
  <c r="AH777" i="7"/>
  <c r="AS777" i="7" s="1"/>
  <c r="Y777" i="7"/>
  <c r="P777" i="7"/>
  <c r="H777" i="7"/>
  <c r="L777" i="7" s="1"/>
  <c r="G777" i="7"/>
  <c r="K777" i="7" s="1"/>
  <c r="AO776" i="7"/>
  <c r="AM776" i="7"/>
  <c r="AH776" i="7"/>
  <c r="AS776" i="7" s="1"/>
  <c r="Y776" i="7"/>
  <c r="P776" i="7"/>
  <c r="H776" i="7"/>
  <c r="L776" i="7" s="1"/>
  <c r="G776" i="7"/>
  <c r="K776" i="7" s="1"/>
  <c r="AO775" i="7"/>
  <c r="AM775" i="7"/>
  <c r="AH775" i="7"/>
  <c r="AS775" i="7" s="1"/>
  <c r="Y775" i="7"/>
  <c r="P775" i="7"/>
  <c r="H775" i="7"/>
  <c r="L775" i="7" s="1"/>
  <c r="G775" i="7"/>
  <c r="K775" i="7" s="1"/>
  <c r="AO774" i="7"/>
  <c r="AM774" i="7"/>
  <c r="AH774" i="7"/>
  <c r="AS774" i="7" s="1"/>
  <c r="Y774" i="7"/>
  <c r="P774" i="7"/>
  <c r="H774" i="7"/>
  <c r="L774" i="7" s="1"/>
  <c r="G774" i="7"/>
  <c r="K774" i="7" s="1"/>
  <c r="AO773" i="7"/>
  <c r="AM773" i="7"/>
  <c r="AH773" i="7"/>
  <c r="AS773" i="7" s="1"/>
  <c r="Y773" i="7"/>
  <c r="X773" i="7" s="1"/>
  <c r="P773" i="7"/>
  <c r="H773" i="7"/>
  <c r="L773" i="7" s="1"/>
  <c r="G773" i="7"/>
  <c r="K773" i="7" s="1"/>
  <c r="AO772" i="7"/>
  <c r="AM772" i="7"/>
  <c r="AH772" i="7"/>
  <c r="AS772" i="7" s="1"/>
  <c r="Y772" i="7"/>
  <c r="AA772" i="7" s="1"/>
  <c r="P772" i="7"/>
  <c r="H772" i="7"/>
  <c r="L772" i="7" s="1"/>
  <c r="G772" i="7"/>
  <c r="K772" i="7" s="1"/>
  <c r="AO771" i="7"/>
  <c r="AM771" i="7"/>
  <c r="AH771" i="7"/>
  <c r="AS771" i="7" s="1"/>
  <c r="Y771" i="7"/>
  <c r="AA771" i="7" s="1"/>
  <c r="P771" i="7"/>
  <c r="H771" i="7"/>
  <c r="L771" i="7" s="1"/>
  <c r="G771" i="7"/>
  <c r="K771" i="7" s="1"/>
  <c r="AO770" i="7"/>
  <c r="AM770" i="7"/>
  <c r="AH770" i="7"/>
  <c r="AS770" i="7" s="1"/>
  <c r="Y770" i="7"/>
  <c r="P770" i="7"/>
  <c r="H770" i="7"/>
  <c r="L770" i="7" s="1"/>
  <c r="G770" i="7"/>
  <c r="K770" i="7" s="1"/>
  <c r="AO769" i="7"/>
  <c r="AM769" i="7"/>
  <c r="AH769" i="7"/>
  <c r="AS769" i="7" s="1"/>
  <c r="Y769" i="7"/>
  <c r="P769" i="7"/>
  <c r="H769" i="7"/>
  <c r="L769" i="7" s="1"/>
  <c r="G769" i="7"/>
  <c r="K769" i="7" s="1"/>
  <c r="AO768" i="7"/>
  <c r="AM768" i="7"/>
  <c r="AH768" i="7"/>
  <c r="AS768" i="7" s="1"/>
  <c r="Y768" i="7"/>
  <c r="AA768" i="7" s="1"/>
  <c r="P768" i="7"/>
  <c r="H768" i="7"/>
  <c r="L768" i="7" s="1"/>
  <c r="G768" i="7"/>
  <c r="K768" i="7" s="1"/>
  <c r="AO767" i="7"/>
  <c r="AM767" i="7"/>
  <c r="AH767" i="7"/>
  <c r="AS767" i="7" s="1"/>
  <c r="Y767" i="7"/>
  <c r="AA767" i="7" s="1"/>
  <c r="P767" i="7"/>
  <c r="H767" i="7"/>
  <c r="L767" i="7" s="1"/>
  <c r="G767" i="7"/>
  <c r="K767" i="7" s="1"/>
  <c r="AO766" i="7"/>
  <c r="AM766" i="7"/>
  <c r="AH766" i="7"/>
  <c r="AS766" i="7" s="1"/>
  <c r="Y766" i="7"/>
  <c r="P766" i="7"/>
  <c r="H766" i="7"/>
  <c r="L766" i="7" s="1"/>
  <c r="G766" i="7"/>
  <c r="K766" i="7" s="1"/>
  <c r="AO765" i="7"/>
  <c r="AM765" i="7"/>
  <c r="AH765" i="7"/>
  <c r="AS765" i="7" s="1"/>
  <c r="Y765" i="7"/>
  <c r="X765" i="7" s="1"/>
  <c r="P765" i="7"/>
  <c r="H765" i="7"/>
  <c r="L765" i="7" s="1"/>
  <c r="G765" i="7"/>
  <c r="K765" i="7" s="1"/>
  <c r="AO764" i="7"/>
  <c r="AM764" i="7"/>
  <c r="AH764" i="7"/>
  <c r="AS764" i="7" s="1"/>
  <c r="Y764" i="7"/>
  <c r="Z764" i="7" s="1"/>
  <c r="P764" i="7"/>
  <c r="H764" i="7"/>
  <c r="L764" i="7" s="1"/>
  <c r="G764" i="7"/>
  <c r="K764" i="7" s="1"/>
  <c r="AO763" i="7"/>
  <c r="AM763" i="7"/>
  <c r="AH763" i="7"/>
  <c r="AS763" i="7" s="1"/>
  <c r="Y763" i="7"/>
  <c r="AA763" i="7" s="1"/>
  <c r="P763" i="7"/>
  <c r="H763" i="7"/>
  <c r="L763" i="7" s="1"/>
  <c r="G763" i="7"/>
  <c r="K763" i="7" s="1"/>
  <c r="AO762" i="7"/>
  <c r="AM762" i="7"/>
  <c r="AH762" i="7"/>
  <c r="AS762" i="7" s="1"/>
  <c r="Y762" i="7"/>
  <c r="P762" i="7"/>
  <c r="H762" i="7"/>
  <c r="L762" i="7" s="1"/>
  <c r="G762" i="7"/>
  <c r="K762" i="7" s="1"/>
  <c r="AO761" i="7"/>
  <c r="AM761" i="7"/>
  <c r="AH761" i="7"/>
  <c r="AS761" i="7" s="1"/>
  <c r="Y761" i="7"/>
  <c r="P761" i="7"/>
  <c r="H761" i="7"/>
  <c r="L761" i="7" s="1"/>
  <c r="G761" i="7"/>
  <c r="K761" i="7" s="1"/>
  <c r="AO760" i="7"/>
  <c r="AM760" i="7"/>
  <c r="AH760" i="7"/>
  <c r="AS760" i="7" s="1"/>
  <c r="Y760" i="7"/>
  <c r="Z760" i="7" s="1"/>
  <c r="P760" i="7"/>
  <c r="H760" i="7"/>
  <c r="L760" i="7" s="1"/>
  <c r="G760" i="7"/>
  <c r="K760" i="7" s="1"/>
  <c r="AO759" i="7"/>
  <c r="AM759" i="7"/>
  <c r="AH759" i="7"/>
  <c r="AS759" i="7" s="1"/>
  <c r="Y759" i="7"/>
  <c r="X759" i="7" s="1"/>
  <c r="P759" i="7"/>
  <c r="H759" i="7"/>
  <c r="L759" i="7" s="1"/>
  <c r="G759" i="7"/>
  <c r="K759" i="7" s="1"/>
  <c r="AO758" i="7"/>
  <c r="AM758" i="7"/>
  <c r="AH758" i="7"/>
  <c r="AS758" i="7" s="1"/>
  <c r="Y758" i="7"/>
  <c r="P758" i="7"/>
  <c r="H758" i="7"/>
  <c r="L758" i="7" s="1"/>
  <c r="G758" i="7"/>
  <c r="K758" i="7" s="1"/>
  <c r="AO757" i="7"/>
  <c r="AM757" i="7"/>
  <c r="AH757" i="7"/>
  <c r="AS757" i="7" s="1"/>
  <c r="Y757" i="7"/>
  <c r="AA757" i="7" s="1"/>
  <c r="P757" i="7"/>
  <c r="H757" i="7"/>
  <c r="L757" i="7" s="1"/>
  <c r="G757" i="7"/>
  <c r="K757" i="7" s="1"/>
  <c r="AO756" i="7"/>
  <c r="AM756" i="7"/>
  <c r="AH756" i="7"/>
  <c r="AS756" i="7" s="1"/>
  <c r="Y756" i="7"/>
  <c r="Z756" i="7" s="1"/>
  <c r="P756" i="7"/>
  <c r="H756" i="7"/>
  <c r="L756" i="7" s="1"/>
  <c r="G756" i="7"/>
  <c r="K756" i="7" s="1"/>
  <c r="AO755" i="7"/>
  <c r="AM755" i="7"/>
  <c r="AH755" i="7"/>
  <c r="AS755" i="7" s="1"/>
  <c r="Y755" i="7"/>
  <c r="X755" i="7" s="1"/>
  <c r="P755" i="7"/>
  <c r="H755" i="7"/>
  <c r="L755" i="7" s="1"/>
  <c r="G755" i="7"/>
  <c r="K755" i="7" s="1"/>
  <c r="AO754" i="7"/>
  <c r="AM754" i="7"/>
  <c r="AH754" i="7"/>
  <c r="AS754" i="7" s="1"/>
  <c r="Y754" i="7"/>
  <c r="P754" i="7"/>
  <c r="H754" i="7"/>
  <c r="L754" i="7" s="1"/>
  <c r="G754" i="7"/>
  <c r="K754" i="7" s="1"/>
  <c r="AO753" i="7"/>
  <c r="AM753" i="7"/>
  <c r="AH753" i="7"/>
  <c r="AS753" i="7" s="1"/>
  <c r="Y753" i="7"/>
  <c r="Z753" i="7" s="1"/>
  <c r="P753" i="7"/>
  <c r="H753" i="7"/>
  <c r="L753" i="7" s="1"/>
  <c r="G753" i="7"/>
  <c r="K753" i="7" s="1"/>
  <c r="AO752" i="7"/>
  <c r="AM752" i="7"/>
  <c r="AH752" i="7"/>
  <c r="AS752" i="7" s="1"/>
  <c r="Y752" i="7"/>
  <c r="P752" i="7"/>
  <c r="H752" i="7"/>
  <c r="L752" i="7" s="1"/>
  <c r="G752" i="7"/>
  <c r="K752" i="7" s="1"/>
  <c r="AO751" i="7"/>
  <c r="AM751" i="7"/>
  <c r="AH751" i="7"/>
  <c r="AS751" i="7" s="1"/>
  <c r="Y751" i="7"/>
  <c r="P751" i="7"/>
  <c r="H751" i="7"/>
  <c r="L751" i="7" s="1"/>
  <c r="G751" i="7"/>
  <c r="K751" i="7" s="1"/>
  <c r="AO750" i="7"/>
  <c r="AM750" i="7"/>
  <c r="AH750" i="7"/>
  <c r="AS750" i="7" s="1"/>
  <c r="Y750" i="7"/>
  <c r="X750" i="7" s="1"/>
  <c r="P750" i="7"/>
  <c r="H750" i="7"/>
  <c r="L750" i="7" s="1"/>
  <c r="G750" i="7"/>
  <c r="K750" i="7" s="1"/>
  <c r="AO749" i="7"/>
  <c r="AM749" i="7"/>
  <c r="AH749" i="7"/>
  <c r="AS749" i="7" s="1"/>
  <c r="Y749" i="7"/>
  <c r="Z749" i="7" s="1"/>
  <c r="P749" i="7"/>
  <c r="H749" i="7"/>
  <c r="L749" i="7" s="1"/>
  <c r="G749" i="7"/>
  <c r="K749" i="7" s="1"/>
  <c r="AO748" i="7"/>
  <c r="AM748" i="7"/>
  <c r="AH748" i="7"/>
  <c r="AS748" i="7" s="1"/>
  <c r="Y748" i="7"/>
  <c r="Z748" i="7" s="1"/>
  <c r="P748" i="7"/>
  <c r="H748" i="7"/>
  <c r="L748" i="7" s="1"/>
  <c r="G748" i="7"/>
  <c r="K748" i="7" s="1"/>
  <c r="AO747" i="7"/>
  <c r="AM747" i="7"/>
  <c r="AH747" i="7"/>
  <c r="AS747" i="7" s="1"/>
  <c r="Y747" i="7"/>
  <c r="P747" i="7"/>
  <c r="H747" i="7"/>
  <c r="L747" i="7" s="1"/>
  <c r="G747" i="7"/>
  <c r="K747" i="7" s="1"/>
  <c r="AO746" i="7"/>
  <c r="AM746" i="7"/>
  <c r="AH746" i="7"/>
  <c r="AS746" i="7" s="1"/>
  <c r="Y746" i="7"/>
  <c r="Z746" i="7" s="1"/>
  <c r="P746" i="7"/>
  <c r="H746" i="7"/>
  <c r="L746" i="7" s="1"/>
  <c r="G746" i="7"/>
  <c r="K746" i="7" s="1"/>
  <c r="AO745" i="7"/>
  <c r="AM745" i="7"/>
  <c r="AH745" i="7"/>
  <c r="AS745" i="7" s="1"/>
  <c r="Y745" i="7"/>
  <c r="X745" i="7" s="1"/>
  <c r="P745" i="7"/>
  <c r="H745" i="7"/>
  <c r="L745" i="7" s="1"/>
  <c r="G745" i="7"/>
  <c r="K745" i="7" s="1"/>
  <c r="AO744" i="7"/>
  <c r="AM744" i="7"/>
  <c r="AH744" i="7"/>
  <c r="AS744" i="7" s="1"/>
  <c r="Y744" i="7"/>
  <c r="Z744" i="7" s="1"/>
  <c r="P744" i="7"/>
  <c r="H744" i="7"/>
  <c r="L744" i="7" s="1"/>
  <c r="G744" i="7"/>
  <c r="K744" i="7" s="1"/>
  <c r="AO743" i="7"/>
  <c r="AM743" i="7"/>
  <c r="AH743" i="7"/>
  <c r="AS743" i="7" s="1"/>
  <c r="Y743" i="7"/>
  <c r="Z743" i="7" s="1"/>
  <c r="P743" i="7"/>
  <c r="H743" i="7"/>
  <c r="L743" i="7" s="1"/>
  <c r="G743" i="7"/>
  <c r="K743" i="7" s="1"/>
  <c r="AO742" i="7"/>
  <c r="AM742" i="7"/>
  <c r="AH742" i="7"/>
  <c r="AS742" i="7" s="1"/>
  <c r="Y742" i="7"/>
  <c r="P742" i="7"/>
  <c r="H742" i="7"/>
  <c r="L742" i="7" s="1"/>
  <c r="G742" i="7"/>
  <c r="K742" i="7" s="1"/>
  <c r="AO741" i="7"/>
  <c r="AM741" i="7"/>
  <c r="AH741" i="7"/>
  <c r="AS741" i="7" s="1"/>
  <c r="Y741" i="7"/>
  <c r="P741" i="7"/>
  <c r="H741" i="7"/>
  <c r="L741" i="7" s="1"/>
  <c r="G741" i="7"/>
  <c r="K741" i="7" s="1"/>
  <c r="AO740" i="7"/>
  <c r="AM740" i="7"/>
  <c r="AH740" i="7"/>
  <c r="AS740" i="7" s="1"/>
  <c r="Y740" i="7"/>
  <c r="Z740" i="7" s="1"/>
  <c r="P740" i="7"/>
  <c r="H740" i="7"/>
  <c r="L740" i="7" s="1"/>
  <c r="G740" i="7"/>
  <c r="K740" i="7" s="1"/>
  <c r="AO739" i="7"/>
  <c r="AM739" i="7"/>
  <c r="AH739" i="7"/>
  <c r="AS739" i="7" s="1"/>
  <c r="Y739" i="7"/>
  <c r="AA739" i="7" s="1"/>
  <c r="P739" i="7"/>
  <c r="H739" i="7"/>
  <c r="L739" i="7" s="1"/>
  <c r="G739" i="7"/>
  <c r="K739" i="7" s="1"/>
  <c r="AO738" i="7"/>
  <c r="AM738" i="7"/>
  <c r="AH738" i="7"/>
  <c r="AS738" i="7" s="1"/>
  <c r="Y738" i="7"/>
  <c r="P738" i="7"/>
  <c r="H738" i="7"/>
  <c r="L738" i="7" s="1"/>
  <c r="G738" i="7"/>
  <c r="K738" i="7" s="1"/>
  <c r="AO737" i="7"/>
  <c r="AM737" i="7"/>
  <c r="AH737" i="7"/>
  <c r="AS737" i="7" s="1"/>
  <c r="Y737" i="7"/>
  <c r="Z737" i="7" s="1"/>
  <c r="P737" i="7"/>
  <c r="H737" i="7"/>
  <c r="L737" i="7" s="1"/>
  <c r="G737" i="7"/>
  <c r="K737" i="7" s="1"/>
  <c r="AO736" i="7"/>
  <c r="AM736" i="7"/>
  <c r="AH736" i="7"/>
  <c r="AS736" i="7" s="1"/>
  <c r="Y736" i="7"/>
  <c r="P736" i="7"/>
  <c r="H736" i="7"/>
  <c r="L736" i="7" s="1"/>
  <c r="G736" i="7"/>
  <c r="K736" i="7" s="1"/>
  <c r="AO735" i="7"/>
  <c r="AM735" i="7"/>
  <c r="AH735" i="7"/>
  <c r="AS735" i="7" s="1"/>
  <c r="Y735" i="7"/>
  <c r="AA735" i="7" s="1"/>
  <c r="P735" i="7"/>
  <c r="H735" i="7"/>
  <c r="L735" i="7" s="1"/>
  <c r="G735" i="7"/>
  <c r="K735" i="7" s="1"/>
  <c r="AO734" i="7"/>
  <c r="AM734" i="7"/>
  <c r="AH734" i="7"/>
  <c r="AS734" i="7" s="1"/>
  <c r="Y734" i="7"/>
  <c r="X734" i="7" s="1"/>
  <c r="P734" i="7"/>
  <c r="H734" i="7"/>
  <c r="L734" i="7" s="1"/>
  <c r="G734" i="7"/>
  <c r="K734" i="7" s="1"/>
  <c r="AO733" i="7"/>
  <c r="AM733" i="7"/>
  <c r="AH733" i="7"/>
  <c r="AS733" i="7" s="1"/>
  <c r="Y733" i="7"/>
  <c r="Z733" i="7" s="1"/>
  <c r="P733" i="7"/>
  <c r="H733" i="7"/>
  <c r="L733" i="7" s="1"/>
  <c r="G733" i="7"/>
  <c r="K733" i="7" s="1"/>
  <c r="AO732" i="7"/>
  <c r="AM732" i="7"/>
  <c r="AH732" i="7"/>
  <c r="AS732" i="7" s="1"/>
  <c r="Y732" i="7"/>
  <c r="X732" i="7" s="1"/>
  <c r="P732" i="7"/>
  <c r="H732" i="7"/>
  <c r="L732" i="7" s="1"/>
  <c r="G732" i="7"/>
  <c r="K732" i="7" s="1"/>
  <c r="AO731" i="7"/>
  <c r="AM731" i="7"/>
  <c r="AH731" i="7"/>
  <c r="AS731" i="7" s="1"/>
  <c r="Y731" i="7"/>
  <c r="AA731" i="7" s="1"/>
  <c r="P731" i="7"/>
  <c r="H731" i="7"/>
  <c r="L731" i="7" s="1"/>
  <c r="G731" i="7"/>
  <c r="K731" i="7" s="1"/>
  <c r="AM730" i="7"/>
  <c r="AH730" i="7"/>
  <c r="AS730" i="7" s="1"/>
  <c r="Y730" i="7"/>
  <c r="P730" i="7"/>
  <c r="H730" i="7"/>
  <c r="L730" i="7" s="1"/>
  <c r="G730" i="7"/>
  <c r="K730" i="7" s="1"/>
  <c r="AM729" i="7"/>
  <c r="AH729" i="7"/>
  <c r="AS729" i="7" s="1"/>
  <c r="Y729" i="7"/>
  <c r="AA729" i="7" s="1"/>
  <c r="P729" i="7"/>
  <c r="H729" i="7"/>
  <c r="L729" i="7" s="1"/>
  <c r="G729" i="7"/>
  <c r="K729" i="7" s="1"/>
  <c r="AM728" i="7"/>
  <c r="AH728" i="7"/>
  <c r="AS728" i="7" s="1"/>
  <c r="Y728" i="7"/>
  <c r="Z728" i="7" s="1"/>
  <c r="P728" i="7"/>
  <c r="H728" i="7"/>
  <c r="L728" i="7" s="1"/>
  <c r="G728" i="7"/>
  <c r="K728" i="7" s="1"/>
  <c r="AM727" i="7"/>
  <c r="AH727" i="7"/>
  <c r="AS727" i="7" s="1"/>
  <c r="Y727" i="7"/>
  <c r="Z727" i="7" s="1"/>
  <c r="P727" i="7"/>
  <c r="H727" i="7"/>
  <c r="L727" i="7" s="1"/>
  <c r="G727" i="7"/>
  <c r="K727" i="7" s="1"/>
  <c r="AM726" i="7"/>
  <c r="AH726" i="7"/>
  <c r="AS726" i="7" s="1"/>
  <c r="Y726" i="7"/>
  <c r="P726" i="7"/>
  <c r="H726" i="7"/>
  <c r="L726" i="7" s="1"/>
  <c r="G726" i="7"/>
  <c r="K726" i="7" s="1"/>
  <c r="AM725" i="7"/>
  <c r="AH725" i="7"/>
  <c r="AS725" i="7" s="1"/>
  <c r="Y725" i="7"/>
  <c r="AA725" i="7" s="1"/>
  <c r="P725" i="7"/>
  <c r="H725" i="7"/>
  <c r="L725" i="7" s="1"/>
  <c r="G725" i="7"/>
  <c r="K725" i="7" s="1"/>
  <c r="AO724" i="7"/>
  <c r="AM724" i="7"/>
  <c r="AH724" i="7"/>
  <c r="AS724" i="7" s="1"/>
  <c r="Y724" i="7"/>
  <c r="P724" i="7"/>
  <c r="H724" i="7"/>
  <c r="L724" i="7" s="1"/>
  <c r="G724" i="7"/>
  <c r="K724" i="7" s="1"/>
  <c r="AM723" i="7"/>
  <c r="AH723" i="7"/>
  <c r="AS723" i="7" s="1"/>
  <c r="Y723" i="7"/>
  <c r="P723" i="7"/>
  <c r="H723" i="7"/>
  <c r="L723" i="7" s="1"/>
  <c r="G723" i="7"/>
  <c r="K723" i="7" s="1"/>
  <c r="AM722" i="7"/>
  <c r="AH722" i="7"/>
  <c r="AS722" i="7" s="1"/>
  <c r="Y722" i="7"/>
  <c r="X722" i="7" s="1"/>
  <c r="P722" i="7"/>
  <c r="H722" i="7"/>
  <c r="L722" i="7" s="1"/>
  <c r="G722" i="7"/>
  <c r="K722" i="7" s="1"/>
  <c r="AM721" i="7"/>
  <c r="AH721" i="7"/>
  <c r="AS721" i="7" s="1"/>
  <c r="Y721" i="7"/>
  <c r="Z721" i="7" s="1"/>
  <c r="P721" i="7"/>
  <c r="H721" i="7"/>
  <c r="L721" i="7" s="1"/>
  <c r="G721" i="7"/>
  <c r="K721" i="7" s="1"/>
  <c r="AM720" i="7"/>
  <c r="AH720" i="7"/>
  <c r="AS720" i="7" s="1"/>
  <c r="Y720" i="7"/>
  <c r="X720" i="7" s="1"/>
  <c r="P720" i="7"/>
  <c r="H720" i="7"/>
  <c r="L720" i="7" s="1"/>
  <c r="G720" i="7"/>
  <c r="K720" i="7" s="1"/>
  <c r="AM719" i="7"/>
  <c r="AH719" i="7"/>
  <c r="AS719" i="7" s="1"/>
  <c r="Y719" i="7"/>
  <c r="AA719" i="7" s="1"/>
  <c r="P719" i="7"/>
  <c r="H719" i="7"/>
  <c r="L719" i="7" s="1"/>
  <c r="G719" i="7"/>
  <c r="K719" i="7" s="1"/>
  <c r="AM718" i="7"/>
  <c r="AH718" i="7"/>
  <c r="AS718" i="7" s="1"/>
  <c r="Y718" i="7"/>
  <c r="P718" i="7"/>
  <c r="H718" i="7"/>
  <c r="L718" i="7" s="1"/>
  <c r="G718" i="7"/>
  <c r="K718" i="7" s="1"/>
  <c r="AM717" i="7"/>
  <c r="AH717" i="7"/>
  <c r="AS717" i="7" s="1"/>
  <c r="Y717" i="7"/>
  <c r="X717" i="7" s="1"/>
  <c r="P717" i="7"/>
  <c r="H717" i="7"/>
  <c r="L717" i="7" s="1"/>
  <c r="G717" i="7"/>
  <c r="K717" i="7" s="1"/>
  <c r="AM716" i="7"/>
  <c r="AH716" i="7"/>
  <c r="AS716" i="7" s="1"/>
  <c r="Y716" i="7"/>
  <c r="Z716" i="7" s="1"/>
  <c r="P716" i="7"/>
  <c r="H716" i="7"/>
  <c r="L716" i="7" s="1"/>
  <c r="G716" i="7"/>
  <c r="K716" i="7" s="1"/>
  <c r="AM715" i="7"/>
  <c r="AH715" i="7"/>
  <c r="AS715" i="7" s="1"/>
  <c r="Y715" i="7"/>
  <c r="P715" i="7"/>
  <c r="H715" i="7"/>
  <c r="L715" i="7" s="1"/>
  <c r="G715" i="7"/>
  <c r="K715" i="7" s="1"/>
  <c r="AM714" i="7"/>
  <c r="AH714" i="7"/>
  <c r="AS714" i="7" s="1"/>
  <c r="Y714" i="7"/>
  <c r="X714" i="7" s="1"/>
  <c r="P714" i="7"/>
  <c r="H714" i="7"/>
  <c r="L714" i="7" s="1"/>
  <c r="G714" i="7"/>
  <c r="K714" i="7" s="1"/>
  <c r="AM713" i="7"/>
  <c r="AH713" i="7"/>
  <c r="AS713" i="7" s="1"/>
  <c r="Y713" i="7"/>
  <c r="P713" i="7"/>
  <c r="H713" i="7"/>
  <c r="L713" i="7" s="1"/>
  <c r="G713" i="7"/>
  <c r="K713" i="7" s="1"/>
  <c r="AM712" i="7"/>
  <c r="AH712" i="7"/>
  <c r="AS712" i="7" s="1"/>
  <c r="Y712" i="7"/>
  <c r="Z712" i="7" s="1"/>
  <c r="P712" i="7"/>
  <c r="H712" i="7"/>
  <c r="L712" i="7" s="1"/>
  <c r="G712" i="7"/>
  <c r="K712" i="7" s="1"/>
  <c r="AM711" i="7"/>
  <c r="AH711" i="7"/>
  <c r="AS711" i="7" s="1"/>
  <c r="Y711" i="7"/>
  <c r="AA711" i="7" s="1"/>
  <c r="P711" i="7"/>
  <c r="H711" i="7"/>
  <c r="L711" i="7" s="1"/>
  <c r="G711" i="7"/>
  <c r="K711" i="7" s="1"/>
  <c r="AM710" i="7"/>
  <c r="AH710" i="7"/>
  <c r="AS710" i="7" s="1"/>
  <c r="Y710" i="7"/>
  <c r="X710" i="7" s="1"/>
  <c r="P710" i="7"/>
  <c r="H710" i="7"/>
  <c r="L710" i="7" s="1"/>
  <c r="G710" i="7"/>
  <c r="K710" i="7" s="1"/>
  <c r="AM709" i="7"/>
  <c r="AH709" i="7"/>
  <c r="AS709" i="7" s="1"/>
  <c r="Y709" i="7"/>
  <c r="P709" i="7"/>
  <c r="H709" i="7"/>
  <c r="L709" i="7" s="1"/>
  <c r="G709" i="7"/>
  <c r="K709" i="7" s="1"/>
  <c r="AM708" i="7"/>
  <c r="AH708" i="7"/>
  <c r="AS708" i="7" s="1"/>
  <c r="Y708" i="7"/>
  <c r="Z708" i="7" s="1"/>
  <c r="P708" i="7"/>
  <c r="H708" i="7"/>
  <c r="L708" i="7" s="1"/>
  <c r="G708" i="7"/>
  <c r="K708" i="7" s="1"/>
  <c r="AM707" i="7"/>
  <c r="AH707" i="7"/>
  <c r="AS707" i="7" s="1"/>
  <c r="Y707" i="7"/>
  <c r="X707" i="7" s="1"/>
  <c r="P707" i="7"/>
  <c r="H707" i="7"/>
  <c r="L707" i="7" s="1"/>
  <c r="G707" i="7"/>
  <c r="K707" i="7" s="1"/>
  <c r="AM706" i="7"/>
  <c r="AH706" i="7"/>
  <c r="AS706" i="7" s="1"/>
  <c r="Y706" i="7"/>
  <c r="X706" i="7" s="1"/>
  <c r="P706" i="7"/>
  <c r="H706" i="7"/>
  <c r="L706" i="7" s="1"/>
  <c r="G706" i="7"/>
  <c r="K706" i="7" s="1"/>
  <c r="AM705" i="7"/>
  <c r="AH705" i="7"/>
  <c r="AS705" i="7" s="1"/>
  <c r="Y705" i="7"/>
  <c r="Z705" i="7" s="1"/>
  <c r="P705" i="7"/>
  <c r="H705" i="7"/>
  <c r="L705" i="7" s="1"/>
  <c r="G705" i="7"/>
  <c r="K705" i="7" s="1"/>
  <c r="AO704" i="7"/>
  <c r="AM704" i="7"/>
  <c r="AH704" i="7"/>
  <c r="AS704" i="7" s="1"/>
  <c r="Y704" i="7"/>
  <c r="Z704" i="7" s="1"/>
  <c r="P704" i="7"/>
  <c r="H704" i="7"/>
  <c r="L704" i="7" s="1"/>
  <c r="G704" i="7"/>
  <c r="K704" i="7" s="1"/>
  <c r="AM703" i="7"/>
  <c r="AH703" i="7"/>
  <c r="AS703" i="7" s="1"/>
  <c r="Y703" i="7"/>
  <c r="Z703" i="7" s="1"/>
  <c r="P703" i="7"/>
  <c r="H703" i="7"/>
  <c r="L703" i="7" s="1"/>
  <c r="G703" i="7"/>
  <c r="K703" i="7" s="1"/>
  <c r="AM702" i="7"/>
  <c r="AH702" i="7"/>
  <c r="AS702" i="7" s="1"/>
  <c r="Y702" i="7"/>
  <c r="P702" i="7"/>
  <c r="H702" i="7"/>
  <c r="L702" i="7" s="1"/>
  <c r="G702" i="7"/>
  <c r="K702" i="7" s="1"/>
  <c r="AM701" i="7"/>
  <c r="AH701" i="7"/>
  <c r="AS701" i="7" s="1"/>
  <c r="Y701" i="7"/>
  <c r="Z701" i="7" s="1"/>
  <c r="P701" i="7"/>
  <c r="H701" i="7"/>
  <c r="L701" i="7" s="1"/>
  <c r="G701" i="7"/>
  <c r="K701" i="7" s="1"/>
  <c r="AM700" i="7"/>
  <c r="AH700" i="7"/>
  <c r="AS700" i="7" s="1"/>
  <c r="Y700" i="7"/>
  <c r="Z700" i="7" s="1"/>
  <c r="P700" i="7"/>
  <c r="H700" i="7"/>
  <c r="L700" i="7" s="1"/>
  <c r="G700" i="7"/>
  <c r="K700" i="7" s="1"/>
  <c r="AM699" i="7"/>
  <c r="AH699" i="7"/>
  <c r="AS699" i="7" s="1"/>
  <c r="Y699" i="7"/>
  <c r="X699" i="7" s="1"/>
  <c r="P699" i="7"/>
  <c r="H699" i="7"/>
  <c r="L699" i="7" s="1"/>
  <c r="G699" i="7"/>
  <c r="K699" i="7" s="1"/>
  <c r="AM698" i="7"/>
  <c r="AH698" i="7"/>
  <c r="AS698" i="7" s="1"/>
  <c r="Y698" i="7"/>
  <c r="AA698" i="7" s="1"/>
  <c r="P698" i="7"/>
  <c r="H698" i="7"/>
  <c r="L698" i="7" s="1"/>
  <c r="G698" i="7"/>
  <c r="K698" i="7" s="1"/>
  <c r="AM697" i="7"/>
  <c r="AH697" i="7"/>
  <c r="AS697" i="7" s="1"/>
  <c r="Y697" i="7"/>
  <c r="P697" i="7"/>
  <c r="H697" i="7"/>
  <c r="L697" i="7" s="1"/>
  <c r="G697" i="7"/>
  <c r="K697" i="7" s="1"/>
  <c r="AM696" i="7"/>
  <c r="AH696" i="7"/>
  <c r="AS696" i="7" s="1"/>
  <c r="Y696" i="7"/>
  <c r="AA696" i="7" s="1"/>
  <c r="P696" i="7"/>
  <c r="H696" i="7"/>
  <c r="L696" i="7" s="1"/>
  <c r="G696" i="7"/>
  <c r="K696" i="7" s="1"/>
  <c r="AM695" i="7"/>
  <c r="AH695" i="7"/>
  <c r="AS695" i="7" s="1"/>
  <c r="Y695" i="7"/>
  <c r="AA695" i="7" s="1"/>
  <c r="P695" i="7"/>
  <c r="H695" i="7"/>
  <c r="L695" i="7" s="1"/>
  <c r="G695" i="7"/>
  <c r="K695" i="7" s="1"/>
  <c r="AM694" i="7"/>
  <c r="AH694" i="7"/>
  <c r="AS694" i="7" s="1"/>
  <c r="Y694" i="7"/>
  <c r="AA694" i="7" s="1"/>
  <c r="P694" i="7"/>
  <c r="H694" i="7"/>
  <c r="L694" i="7" s="1"/>
  <c r="G694" i="7"/>
  <c r="K694" i="7" s="1"/>
  <c r="AM693" i="7"/>
  <c r="AH693" i="7"/>
  <c r="AS693" i="7" s="1"/>
  <c r="Y693" i="7"/>
  <c r="X693" i="7" s="1"/>
  <c r="P693" i="7"/>
  <c r="H693" i="7"/>
  <c r="L693" i="7" s="1"/>
  <c r="G693" i="7"/>
  <c r="K693" i="7" s="1"/>
  <c r="AM692" i="7"/>
  <c r="AH692" i="7"/>
  <c r="AS692" i="7" s="1"/>
  <c r="Y692" i="7"/>
  <c r="P692" i="7"/>
  <c r="H692" i="7"/>
  <c r="L692" i="7" s="1"/>
  <c r="G692" i="7"/>
  <c r="K692" i="7" s="1"/>
  <c r="AM691" i="7"/>
  <c r="AH691" i="7"/>
  <c r="AS691" i="7" s="1"/>
  <c r="Y691" i="7"/>
  <c r="P691" i="7"/>
  <c r="H691" i="7"/>
  <c r="L691" i="7" s="1"/>
  <c r="G691" i="7"/>
  <c r="K691" i="7" s="1"/>
  <c r="AM690" i="7"/>
  <c r="AH690" i="7"/>
  <c r="AS690" i="7" s="1"/>
  <c r="Y690" i="7"/>
  <c r="AA690" i="7" s="1"/>
  <c r="P690" i="7"/>
  <c r="H690" i="7"/>
  <c r="L690" i="7" s="1"/>
  <c r="G690" i="7"/>
  <c r="K690" i="7" s="1"/>
  <c r="AO689" i="7"/>
  <c r="AM689" i="7"/>
  <c r="AH689" i="7"/>
  <c r="AS689" i="7" s="1"/>
  <c r="Y689" i="7"/>
  <c r="X689" i="7" s="1"/>
  <c r="P689" i="7"/>
  <c r="H689" i="7"/>
  <c r="L689" i="7" s="1"/>
  <c r="G689" i="7"/>
  <c r="K689" i="7" s="1"/>
  <c r="AM688" i="7"/>
  <c r="AH688" i="7"/>
  <c r="AS688" i="7" s="1"/>
  <c r="Y688" i="7"/>
  <c r="AA688" i="7" s="1"/>
  <c r="P688" i="7"/>
  <c r="H688" i="7"/>
  <c r="L688" i="7" s="1"/>
  <c r="G688" i="7"/>
  <c r="K688" i="7" s="1"/>
  <c r="AM687" i="7"/>
  <c r="AH687" i="7"/>
  <c r="AS687" i="7" s="1"/>
  <c r="Y687" i="7"/>
  <c r="X687" i="7" s="1"/>
  <c r="P687" i="7"/>
  <c r="H687" i="7"/>
  <c r="L687" i="7" s="1"/>
  <c r="G687" i="7"/>
  <c r="K687" i="7" s="1"/>
  <c r="AM686" i="7"/>
  <c r="AH686" i="7"/>
  <c r="AS686" i="7" s="1"/>
  <c r="Y686" i="7"/>
  <c r="P686" i="7"/>
  <c r="H686" i="7"/>
  <c r="L686" i="7" s="1"/>
  <c r="G686" i="7"/>
  <c r="K686" i="7" s="1"/>
  <c r="AM685" i="7"/>
  <c r="AH685" i="7"/>
  <c r="AS685" i="7" s="1"/>
  <c r="Y685" i="7"/>
  <c r="P685" i="7"/>
  <c r="H685" i="7"/>
  <c r="L685" i="7" s="1"/>
  <c r="G685" i="7"/>
  <c r="K685" i="7" s="1"/>
  <c r="AO684" i="7"/>
  <c r="AM684" i="7"/>
  <c r="AH684" i="7"/>
  <c r="AS684" i="7" s="1"/>
  <c r="Y684" i="7"/>
  <c r="P684" i="7"/>
  <c r="H684" i="7"/>
  <c r="L684" i="7" s="1"/>
  <c r="G684" i="7"/>
  <c r="K684" i="7" s="1"/>
  <c r="AO683" i="7"/>
  <c r="AM683" i="7"/>
  <c r="AH683" i="7"/>
  <c r="AS683" i="7" s="1"/>
  <c r="Y683" i="7"/>
  <c r="X683" i="7" s="1"/>
  <c r="P683" i="7"/>
  <c r="H683" i="7"/>
  <c r="L683" i="7" s="1"/>
  <c r="G683" i="7"/>
  <c r="K683" i="7" s="1"/>
  <c r="AM682" i="7"/>
  <c r="AH682" i="7"/>
  <c r="AS682" i="7" s="1"/>
  <c r="Y682" i="7"/>
  <c r="P682" i="7"/>
  <c r="H682" i="7"/>
  <c r="L682" i="7" s="1"/>
  <c r="G682" i="7"/>
  <c r="K682" i="7" s="1"/>
  <c r="AM681" i="7"/>
  <c r="AH681" i="7"/>
  <c r="AS681" i="7" s="1"/>
  <c r="Y681" i="7"/>
  <c r="Z681" i="7" s="1"/>
  <c r="P681" i="7"/>
  <c r="H681" i="7"/>
  <c r="L681" i="7" s="1"/>
  <c r="G681" i="7"/>
  <c r="K681" i="7" s="1"/>
  <c r="AM680" i="7"/>
  <c r="AH680" i="7"/>
  <c r="AS680" i="7" s="1"/>
  <c r="Y680" i="7"/>
  <c r="X680" i="7" s="1"/>
  <c r="P680" i="7"/>
  <c r="H680" i="7"/>
  <c r="L680" i="7" s="1"/>
  <c r="G680" i="7"/>
  <c r="K680" i="7" s="1"/>
  <c r="AM679" i="7"/>
  <c r="AH679" i="7"/>
  <c r="AS679" i="7" s="1"/>
  <c r="Y679" i="7"/>
  <c r="P679" i="7"/>
  <c r="H679" i="7"/>
  <c r="L679" i="7" s="1"/>
  <c r="G679" i="7"/>
  <c r="K679" i="7" s="1"/>
  <c r="AM678" i="7"/>
  <c r="AH678" i="7"/>
  <c r="AS678" i="7" s="1"/>
  <c r="Y678" i="7"/>
  <c r="P678" i="7"/>
  <c r="H678" i="7"/>
  <c r="L678" i="7" s="1"/>
  <c r="G678" i="7"/>
  <c r="K678" i="7" s="1"/>
  <c r="AM677" i="7"/>
  <c r="AH677" i="7"/>
  <c r="AS677" i="7" s="1"/>
  <c r="Y677" i="7"/>
  <c r="AA677" i="7" s="1"/>
  <c r="P677" i="7"/>
  <c r="H677" i="7"/>
  <c r="L677" i="7" s="1"/>
  <c r="G677" i="7"/>
  <c r="K677" i="7" s="1"/>
  <c r="AM676" i="7"/>
  <c r="AH676" i="7"/>
  <c r="AS676" i="7" s="1"/>
  <c r="Y676" i="7"/>
  <c r="P676" i="7"/>
  <c r="H676" i="7"/>
  <c r="L676" i="7" s="1"/>
  <c r="G676" i="7"/>
  <c r="K676" i="7" s="1"/>
  <c r="AO675" i="7"/>
  <c r="AM675" i="7"/>
  <c r="AH675" i="7"/>
  <c r="AS675" i="7" s="1"/>
  <c r="Y675" i="7"/>
  <c r="P675" i="7"/>
  <c r="H675" i="7"/>
  <c r="L675" i="7" s="1"/>
  <c r="G675" i="7"/>
  <c r="K675" i="7" s="1"/>
  <c r="AM674" i="7"/>
  <c r="AH674" i="7"/>
  <c r="AS674" i="7" s="1"/>
  <c r="Y674" i="7"/>
  <c r="AA674" i="7" s="1"/>
  <c r="P674" i="7"/>
  <c r="H674" i="7"/>
  <c r="L674" i="7" s="1"/>
  <c r="G674" i="7"/>
  <c r="K674" i="7" s="1"/>
  <c r="AM673" i="7"/>
  <c r="AH673" i="7"/>
  <c r="AS673" i="7" s="1"/>
  <c r="Y673" i="7"/>
  <c r="Z673" i="7" s="1"/>
  <c r="P673" i="7"/>
  <c r="H673" i="7"/>
  <c r="L673" i="7" s="1"/>
  <c r="G673" i="7"/>
  <c r="K673" i="7" s="1"/>
  <c r="AM672" i="7"/>
  <c r="AH672" i="7"/>
  <c r="AS672" i="7" s="1"/>
  <c r="Y672" i="7"/>
  <c r="P672" i="7"/>
  <c r="H672" i="7"/>
  <c r="L672" i="7" s="1"/>
  <c r="G672" i="7"/>
  <c r="K672" i="7" s="1"/>
  <c r="AM671" i="7"/>
  <c r="AH671" i="7"/>
  <c r="AS671" i="7" s="1"/>
  <c r="Y671" i="7"/>
  <c r="P671" i="7"/>
  <c r="H671" i="7"/>
  <c r="L671" i="7" s="1"/>
  <c r="G671" i="7"/>
  <c r="K671" i="7" s="1"/>
  <c r="AM670" i="7"/>
  <c r="AH670" i="7"/>
  <c r="AS670" i="7" s="1"/>
  <c r="Y670" i="7"/>
  <c r="P670" i="7"/>
  <c r="H670" i="7"/>
  <c r="L670" i="7" s="1"/>
  <c r="G670" i="7"/>
  <c r="K670" i="7" s="1"/>
  <c r="AM669" i="7"/>
  <c r="AH669" i="7"/>
  <c r="AS669" i="7" s="1"/>
  <c r="Y669" i="7"/>
  <c r="AA669" i="7" s="1"/>
  <c r="P669" i="7"/>
  <c r="H669" i="7"/>
  <c r="L669" i="7" s="1"/>
  <c r="G669" i="7"/>
  <c r="K669" i="7" s="1"/>
  <c r="AM668" i="7"/>
  <c r="AH668" i="7"/>
  <c r="AS668" i="7" s="1"/>
  <c r="Y668" i="7"/>
  <c r="X668" i="7" s="1"/>
  <c r="P668" i="7"/>
  <c r="H668" i="7"/>
  <c r="L668" i="7" s="1"/>
  <c r="G668" i="7"/>
  <c r="K668" i="7" s="1"/>
  <c r="AM667" i="7"/>
  <c r="AH667" i="7"/>
  <c r="AS667" i="7" s="1"/>
  <c r="Y667" i="7"/>
  <c r="AA667" i="7" s="1"/>
  <c r="P667" i="7"/>
  <c r="H667" i="7"/>
  <c r="L667" i="7" s="1"/>
  <c r="G667" i="7"/>
  <c r="K667" i="7" s="1"/>
  <c r="AM666" i="7"/>
  <c r="AH666" i="7"/>
  <c r="AS666" i="7" s="1"/>
  <c r="Y666" i="7"/>
  <c r="P666" i="7"/>
  <c r="H666" i="7"/>
  <c r="L666" i="7" s="1"/>
  <c r="G666" i="7"/>
  <c r="K666" i="7" s="1"/>
  <c r="AO665" i="7"/>
  <c r="AM665" i="7"/>
  <c r="AH665" i="7"/>
  <c r="AS665" i="7" s="1"/>
  <c r="Y665" i="7"/>
  <c r="Z665" i="7" s="1"/>
  <c r="P665" i="7"/>
  <c r="H665" i="7"/>
  <c r="L665" i="7" s="1"/>
  <c r="G665" i="7"/>
  <c r="K665" i="7" s="1"/>
  <c r="AM664" i="7"/>
  <c r="AH664" i="7"/>
  <c r="AS664" i="7" s="1"/>
  <c r="Y664" i="7"/>
  <c r="AA664" i="7" s="1"/>
  <c r="P664" i="7"/>
  <c r="H664" i="7"/>
  <c r="L664" i="7" s="1"/>
  <c r="G664" i="7"/>
  <c r="K664" i="7" s="1"/>
  <c r="AM663" i="7"/>
  <c r="AH663" i="7"/>
  <c r="AS663" i="7" s="1"/>
  <c r="Y663" i="7"/>
  <c r="X663" i="7" s="1"/>
  <c r="P663" i="7"/>
  <c r="H663" i="7"/>
  <c r="L663" i="7" s="1"/>
  <c r="G663" i="7"/>
  <c r="K663" i="7" s="1"/>
  <c r="AM662" i="7"/>
  <c r="AH662" i="7"/>
  <c r="AS662" i="7" s="1"/>
  <c r="Y662" i="7"/>
  <c r="X662" i="7" s="1"/>
  <c r="P662" i="7"/>
  <c r="H662" i="7"/>
  <c r="L662" i="7" s="1"/>
  <c r="G662" i="7"/>
  <c r="K662" i="7" s="1"/>
  <c r="AM661" i="7"/>
  <c r="AH661" i="7"/>
  <c r="AS661" i="7" s="1"/>
  <c r="Y661" i="7"/>
  <c r="Z661" i="7" s="1"/>
  <c r="P661" i="7"/>
  <c r="H661" i="7"/>
  <c r="L661" i="7" s="1"/>
  <c r="G661" i="7"/>
  <c r="K661" i="7" s="1"/>
  <c r="AM660" i="7"/>
  <c r="AH660" i="7"/>
  <c r="AS660" i="7" s="1"/>
  <c r="Y660" i="7"/>
  <c r="P660" i="7"/>
  <c r="H660" i="7"/>
  <c r="L660" i="7" s="1"/>
  <c r="G660" i="7"/>
  <c r="K660" i="7" s="1"/>
  <c r="AM659" i="7"/>
  <c r="AH659" i="7"/>
  <c r="AS659" i="7" s="1"/>
  <c r="Y659" i="7"/>
  <c r="X659" i="7" s="1"/>
  <c r="P659" i="7"/>
  <c r="H659" i="7"/>
  <c r="L659" i="7" s="1"/>
  <c r="G659" i="7"/>
  <c r="K659" i="7" s="1"/>
  <c r="AM658" i="7"/>
  <c r="AH658" i="7"/>
  <c r="AS658" i="7" s="1"/>
  <c r="Y658" i="7"/>
  <c r="P658" i="7"/>
  <c r="H658" i="7"/>
  <c r="L658" i="7" s="1"/>
  <c r="G658" i="7"/>
  <c r="K658" i="7" s="1"/>
  <c r="AM657" i="7"/>
  <c r="AH657" i="7"/>
  <c r="AS657" i="7" s="1"/>
  <c r="Y657" i="7"/>
  <c r="X657" i="7" s="1"/>
  <c r="P657" i="7"/>
  <c r="H657" i="7"/>
  <c r="L657" i="7" s="1"/>
  <c r="G657" i="7"/>
  <c r="K657" i="7" s="1"/>
  <c r="AM656" i="7"/>
  <c r="AH656" i="7"/>
  <c r="AS656" i="7" s="1"/>
  <c r="Y656" i="7"/>
  <c r="Z656" i="7" s="1"/>
  <c r="P656" i="7"/>
  <c r="H656" i="7"/>
  <c r="L656" i="7" s="1"/>
  <c r="G656" i="7"/>
  <c r="K656" i="7" s="1"/>
  <c r="AM655" i="7"/>
  <c r="AH655" i="7"/>
  <c r="AS655" i="7" s="1"/>
  <c r="Y655" i="7"/>
  <c r="AA655" i="7" s="1"/>
  <c r="P655" i="7"/>
  <c r="H655" i="7"/>
  <c r="L655" i="7" s="1"/>
  <c r="G655" i="7"/>
  <c r="K655" i="7" s="1"/>
  <c r="AO654" i="7"/>
  <c r="AM654" i="7"/>
  <c r="AH654" i="7"/>
  <c r="AS654" i="7" s="1"/>
  <c r="Y654" i="7"/>
  <c r="P654" i="7"/>
  <c r="H654" i="7"/>
  <c r="L654" i="7" s="1"/>
  <c r="G654" i="7"/>
  <c r="K654" i="7" s="1"/>
  <c r="AO653" i="7"/>
  <c r="AM653" i="7"/>
  <c r="AH653" i="7"/>
  <c r="AS653" i="7" s="1"/>
  <c r="Y653" i="7"/>
  <c r="P653" i="7"/>
  <c r="H653" i="7"/>
  <c r="L653" i="7" s="1"/>
  <c r="G653" i="7"/>
  <c r="K653" i="7" s="1"/>
  <c r="AM652" i="7"/>
  <c r="AH652" i="7"/>
  <c r="AS652" i="7" s="1"/>
  <c r="Y652" i="7"/>
  <c r="X652" i="7" s="1"/>
  <c r="P652" i="7"/>
  <c r="H652" i="7"/>
  <c r="L652" i="7" s="1"/>
  <c r="G652" i="7"/>
  <c r="K652" i="7" s="1"/>
  <c r="AM651" i="7"/>
  <c r="AH651" i="7"/>
  <c r="AS651" i="7" s="1"/>
  <c r="Y651" i="7"/>
  <c r="Z651" i="7" s="1"/>
  <c r="P651" i="7"/>
  <c r="H651" i="7"/>
  <c r="L651" i="7" s="1"/>
  <c r="G651" i="7"/>
  <c r="K651" i="7" s="1"/>
  <c r="AM650" i="7"/>
  <c r="AH650" i="7"/>
  <c r="AS650" i="7" s="1"/>
  <c r="Y650" i="7"/>
  <c r="Z650" i="7" s="1"/>
  <c r="P650" i="7"/>
  <c r="H650" i="7"/>
  <c r="L650" i="7" s="1"/>
  <c r="G650" i="7"/>
  <c r="K650" i="7" s="1"/>
  <c r="AM649" i="7"/>
  <c r="AH649" i="7"/>
  <c r="AS649" i="7" s="1"/>
  <c r="Y649" i="7"/>
  <c r="P649" i="7"/>
  <c r="H649" i="7"/>
  <c r="L649" i="7" s="1"/>
  <c r="G649" i="7"/>
  <c r="K649" i="7" s="1"/>
  <c r="AM648" i="7"/>
  <c r="AH648" i="7"/>
  <c r="AS648" i="7" s="1"/>
  <c r="Y648" i="7"/>
  <c r="X648" i="7" s="1"/>
  <c r="P648" i="7"/>
  <c r="H648" i="7"/>
  <c r="L648" i="7" s="1"/>
  <c r="G648" i="7"/>
  <c r="K648" i="7" s="1"/>
  <c r="AM647" i="7"/>
  <c r="AH647" i="7"/>
  <c r="AS647" i="7" s="1"/>
  <c r="Y647" i="7"/>
  <c r="Z647" i="7" s="1"/>
  <c r="P647" i="7"/>
  <c r="H647" i="7"/>
  <c r="L647" i="7" s="1"/>
  <c r="G647" i="7"/>
  <c r="K647" i="7" s="1"/>
  <c r="AM646" i="7"/>
  <c r="AH646" i="7"/>
  <c r="AS646" i="7" s="1"/>
  <c r="Y646" i="7"/>
  <c r="X646" i="7" s="1"/>
  <c r="P646" i="7"/>
  <c r="H646" i="7"/>
  <c r="L646" i="7" s="1"/>
  <c r="G646" i="7"/>
  <c r="K646" i="7" s="1"/>
  <c r="AM645" i="7"/>
  <c r="AH645" i="7"/>
  <c r="AS645" i="7" s="1"/>
  <c r="Y645" i="7"/>
  <c r="P645" i="7"/>
  <c r="H645" i="7"/>
  <c r="L645" i="7" s="1"/>
  <c r="G645" i="7"/>
  <c r="K645" i="7" s="1"/>
  <c r="AM644" i="7"/>
  <c r="AH644" i="7"/>
  <c r="AS644" i="7" s="1"/>
  <c r="Y644" i="7"/>
  <c r="AA644" i="7" s="1"/>
  <c r="P644" i="7"/>
  <c r="H644" i="7"/>
  <c r="L644" i="7" s="1"/>
  <c r="G644" i="7"/>
  <c r="K644" i="7" s="1"/>
  <c r="AO643" i="7"/>
  <c r="AM643" i="7"/>
  <c r="AH643" i="7"/>
  <c r="AS643" i="7" s="1"/>
  <c r="Y643" i="7"/>
  <c r="Z643" i="7" s="1"/>
  <c r="P643" i="7"/>
  <c r="H643" i="7"/>
  <c r="L643" i="7" s="1"/>
  <c r="G643" i="7"/>
  <c r="K643" i="7" s="1"/>
  <c r="AO642" i="7"/>
  <c r="AM642" i="7"/>
  <c r="AH642" i="7"/>
  <c r="AS642" i="7" s="1"/>
  <c r="Y642" i="7"/>
  <c r="X642" i="7" s="1"/>
  <c r="P642" i="7"/>
  <c r="H642" i="7"/>
  <c r="L642" i="7" s="1"/>
  <c r="G642" i="7"/>
  <c r="K642" i="7" s="1"/>
  <c r="AM641" i="7"/>
  <c r="AH641" i="7"/>
  <c r="AS641" i="7" s="1"/>
  <c r="Y641" i="7"/>
  <c r="P641" i="7"/>
  <c r="H641" i="7"/>
  <c r="L641" i="7" s="1"/>
  <c r="G641" i="7"/>
  <c r="K641" i="7" s="1"/>
  <c r="AM640" i="7"/>
  <c r="AH640" i="7"/>
  <c r="AS640" i="7" s="1"/>
  <c r="Y640" i="7"/>
  <c r="X640" i="7" s="1"/>
  <c r="P640" i="7"/>
  <c r="H640" i="7"/>
  <c r="L640" i="7" s="1"/>
  <c r="G640" i="7"/>
  <c r="K640" i="7" s="1"/>
  <c r="AM639" i="7"/>
  <c r="AH639" i="7"/>
  <c r="AS639" i="7" s="1"/>
  <c r="Y639" i="7"/>
  <c r="Z639" i="7" s="1"/>
  <c r="P639" i="7"/>
  <c r="H639" i="7"/>
  <c r="L639" i="7" s="1"/>
  <c r="G639" i="7"/>
  <c r="K639" i="7" s="1"/>
  <c r="AM638" i="7"/>
  <c r="AH638" i="7"/>
  <c r="AS638" i="7" s="1"/>
  <c r="Y638" i="7"/>
  <c r="AA638" i="7" s="1"/>
  <c r="P638" i="7"/>
  <c r="H638" i="7"/>
  <c r="L638" i="7" s="1"/>
  <c r="G638" i="7"/>
  <c r="K638" i="7" s="1"/>
  <c r="AM637" i="7"/>
  <c r="AH637" i="7"/>
  <c r="AS637" i="7" s="1"/>
  <c r="Y637" i="7"/>
  <c r="P637" i="7"/>
  <c r="H637" i="7"/>
  <c r="L637" i="7" s="1"/>
  <c r="G637" i="7"/>
  <c r="K637" i="7" s="1"/>
  <c r="AM636" i="7"/>
  <c r="AH636" i="7"/>
  <c r="AS636" i="7" s="1"/>
  <c r="Y636" i="7"/>
  <c r="AA636" i="7" s="1"/>
  <c r="P636" i="7"/>
  <c r="H636" i="7"/>
  <c r="L636" i="7" s="1"/>
  <c r="G636" i="7"/>
  <c r="K636" i="7" s="1"/>
  <c r="AO635" i="7"/>
  <c r="AM635" i="7"/>
  <c r="AH635" i="7"/>
  <c r="AS635" i="7" s="1"/>
  <c r="Y635" i="7"/>
  <c r="Z635" i="7" s="1"/>
  <c r="P635" i="7"/>
  <c r="H635" i="7"/>
  <c r="L635" i="7" s="1"/>
  <c r="G635" i="7"/>
  <c r="K635" i="7" s="1"/>
  <c r="AM634" i="7"/>
  <c r="AH634" i="7"/>
  <c r="AS634" i="7" s="1"/>
  <c r="Y634" i="7"/>
  <c r="AA634" i="7" s="1"/>
  <c r="P634" i="7"/>
  <c r="H634" i="7"/>
  <c r="L634" i="7" s="1"/>
  <c r="G634" i="7"/>
  <c r="K634" i="7" s="1"/>
  <c r="AO633" i="7"/>
  <c r="AM633" i="7"/>
  <c r="AH633" i="7"/>
  <c r="AS633" i="7" s="1"/>
  <c r="Y633" i="7"/>
  <c r="P633" i="7"/>
  <c r="H633" i="7"/>
  <c r="L633" i="7" s="1"/>
  <c r="G633" i="7"/>
  <c r="K633" i="7" s="1"/>
  <c r="AM632" i="7"/>
  <c r="AH632" i="7"/>
  <c r="AS632" i="7" s="1"/>
  <c r="Y632" i="7"/>
  <c r="Z632" i="7" s="1"/>
  <c r="P632" i="7"/>
  <c r="H632" i="7"/>
  <c r="L632" i="7" s="1"/>
  <c r="G632" i="7"/>
  <c r="K632" i="7" s="1"/>
  <c r="AM631" i="7"/>
  <c r="AH631" i="7"/>
  <c r="AS631" i="7" s="1"/>
  <c r="Y631" i="7"/>
  <c r="Z631" i="7" s="1"/>
  <c r="P631" i="7"/>
  <c r="H631" i="7"/>
  <c r="L631" i="7" s="1"/>
  <c r="G631" i="7"/>
  <c r="K631" i="7" s="1"/>
  <c r="AM630" i="7"/>
  <c r="AH630" i="7"/>
  <c r="AS630" i="7" s="1"/>
  <c r="Y630" i="7"/>
  <c r="X630" i="7" s="1"/>
  <c r="P630" i="7"/>
  <c r="H630" i="7"/>
  <c r="L630" i="7" s="1"/>
  <c r="G630" i="7"/>
  <c r="K630" i="7" s="1"/>
  <c r="AO629" i="7"/>
  <c r="AM629" i="7"/>
  <c r="AH629" i="7"/>
  <c r="AS629" i="7" s="1"/>
  <c r="Y629" i="7"/>
  <c r="Z629" i="7" s="1"/>
  <c r="P629" i="7"/>
  <c r="H629" i="7"/>
  <c r="L629" i="7" s="1"/>
  <c r="G629" i="7"/>
  <c r="K629" i="7" s="1"/>
  <c r="AM628" i="7"/>
  <c r="AH628" i="7"/>
  <c r="AS628" i="7" s="1"/>
  <c r="Y628" i="7"/>
  <c r="AA628" i="7" s="1"/>
  <c r="P628" i="7"/>
  <c r="H628" i="7"/>
  <c r="L628" i="7" s="1"/>
  <c r="G628" i="7"/>
  <c r="K628" i="7" s="1"/>
  <c r="AM627" i="7"/>
  <c r="AH627" i="7"/>
  <c r="AS627" i="7" s="1"/>
  <c r="Y627" i="7"/>
  <c r="Z627" i="7" s="1"/>
  <c r="P627" i="7"/>
  <c r="H627" i="7"/>
  <c r="L627" i="7" s="1"/>
  <c r="G627" i="7"/>
  <c r="K627" i="7" s="1"/>
  <c r="AM626" i="7"/>
  <c r="AH626" i="7"/>
  <c r="AS626" i="7" s="1"/>
  <c r="Y626" i="7"/>
  <c r="AA626" i="7" s="1"/>
  <c r="P626" i="7"/>
  <c r="H626" i="7"/>
  <c r="L626" i="7" s="1"/>
  <c r="G626" i="7"/>
  <c r="K626" i="7" s="1"/>
  <c r="AM625" i="7"/>
  <c r="AH625" i="7"/>
  <c r="AS625" i="7" s="1"/>
  <c r="Y625" i="7"/>
  <c r="P625" i="7"/>
  <c r="H625" i="7"/>
  <c r="L625" i="7" s="1"/>
  <c r="G625" i="7"/>
  <c r="K625" i="7" s="1"/>
  <c r="AO624" i="7"/>
  <c r="AM624" i="7"/>
  <c r="AH624" i="7"/>
  <c r="AS624" i="7" s="1"/>
  <c r="Y624" i="7"/>
  <c r="Z624" i="7" s="1"/>
  <c r="P624" i="7"/>
  <c r="H624" i="7"/>
  <c r="L624" i="7" s="1"/>
  <c r="G624" i="7"/>
  <c r="K624" i="7" s="1"/>
  <c r="AM623" i="7"/>
  <c r="AH623" i="7"/>
  <c r="AS623" i="7" s="1"/>
  <c r="Y623" i="7"/>
  <c r="P623" i="7"/>
  <c r="H623" i="7"/>
  <c r="L623" i="7" s="1"/>
  <c r="G623" i="7"/>
  <c r="K623" i="7" s="1"/>
  <c r="AM622" i="7"/>
  <c r="AH622" i="7"/>
  <c r="AS622" i="7" s="1"/>
  <c r="Y622" i="7"/>
  <c r="AA622" i="7" s="1"/>
  <c r="P622" i="7"/>
  <c r="H622" i="7"/>
  <c r="L622" i="7" s="1"/>
  <c r="G622" i="7"/>
  <c r="K622" i="7" s="1"/>
  <c r="AM621" i="7"/>
  <c r="AH621" i="7"/>
  <c r="AS621" i="7" s="1"/>
  <c r="Y621" i="7"/>
  <c r="P621" i="7"/>
  <c r="H621" i="7"/>
  <c r="L621" i="7" s="1"/>
  <c r="G621" i="7"/>
  <c r="K621" i="7" s="1"/>
  <c r="AO620" i="7"/>
  <c r="AM620" i="7"/>
  <c r="AH620" i="7"/>
  <c r="AS620" i="7" s="1"/>
  <c r="Y620" i="7"/>
  <c r="P620" i="7"/>
  <c r="H620" i="7"/>
  <c r="L620" i="7" s="1"/>
  <c r="G620" i="7"/>
  <c r="K620" i="7" s="1"/>
  <c r="AO619" i="7"/>
  <c r="AM619" i="7"/>
  <c r="AH619" i="7"/>
  <c r="AS619" i="7" s="1"/>
  <c r="Y619" i="7"/>
  <c r="Z619" i="7" s="1"/>
  <c r="P619" i="7"/>
  <c r="H619" i="7"/>
  <c r="L619" i="7" s="1"/>
  <c r="G619" i="7"/>
  <c r="K619" i="7" s="1"/>
  <c r="AM618" i="7"/>
  <c r="AH618" i="7"/>
  <c r="AS618" i="7" s="1"/>
  <c r="Y618" i="7"/>
  <c r="X618" i="7" s="1"/>
  <c r="P618" i="7"/>
  <c r="H618" i="7"/>
  <c r="L618" i="7" s="1"/>
  <c r="G618" i="7"/>
  <c r="K618" i="7" s="1"/>
  <c r="AM617" i="7"/>
  <c r="AH617" i="7"/>
  <c r="AS617" i="7" s="1"/>
  <c r="Y617" i="7"/>
  <c r="P617" i="7"/>
  <c r="H617" i="7"/>
  <c r="L617" i="7" s="1"/>
  <c r="G617" i="7"/>
  <c r="K617" i="7" s="1"/>
  <c r="AM616" i="7"/>
  <c r="AH616" i="7"/>
  <c r="AS616" i="7" s="1"/>
  <c r="Y616" i="7"/>
  <c r="Z616" i="7" s="1"/>
  <c r="P616" i="7"/>
  <c r="H616" i="7"/>
  <c r="L616" i="7" s="1"/>
  <c r="G616" i="7"/>
  <c r="K616" i="7" s="1"/>
  <c r="AM615" i="7"/>
  <c r="AH615" i="7"/>
  <c r="AS615" i="7" s="1"/>
  <c r="Y615" i="7"/>
  <c r="P615" i="7"/>
  <c r="H615" i="7"/>
  <c r="L615" i="7" s="1"/>
  <c r="G615" i="7"/>
  <c r="K615" i="7" s="1"/>
  <c r="AM614" i="7"/>
  <c r="AH614" i="7"/>
  <c r="AS614" i="7" s="1"/>
  <c r="Y614" i="7"/>
  <c r="Z614" i="7" s="1"/>
  <c r="P614" i="7"/>
  <c r="H614" i="7"/>
  <c r="L614" i="7" s="1"/>
  <c r="G614" i="7"/>
  <c r="K614" i="7" s="1"/>
  <c r="AM613" i="7"/>
  <c r="AH613" i="7"/>
  <c r="AS613" i="7" s="1"/>
  <c r="Y613" i="7"/>
  <c r="P613" i="7"/>
  <c r="H613" i="7"/>
  <c r="L613" i="7" s="1"/>
  <c r="G613" i="7"/>
  <c r="K613" i="7" s="1"/>
  <c r="AM612" i="7"/>
  <c r="AH612" i="7"/>
  <c r="AS612" i="7" s="1"/>
  <c r="Y612" i="7"/>
  <c r="AA612" i="7" s="1"/>
  <c r="P612" i="7"/>
  <c r="H612" i="7"/>
  <c r="L612" i="7" s="1"/>
  <c r="G612" i="7"/>
  <c r="K612" i="7" s="1"/>
  <c r="AM611" i="7"/>
  <c r="AH611" i="7"/>
  <c r="AS611" i="7" s="1"/>
  <c r="Y611" i="7"/>
  <c r="Z611" i="7" s="1"/>
  <c r="P611" i="7"/>
  <c r="H611" i="7"/>
  <c r="L611" i="7" s="1"/>
  <c r="G611" i="7"/>
  <c r="K611" i="7" s="1"/>
  <c r="AM610" i="7"/>
  <c r="AH610" i="7"/>
  <c r="AS610" i="7" s="1"/>
  <c r="Y610" i="7"/>
  <c r="P610" i="7"/>
  <c r="H610" i="7"/>
  <c r="L610" i="7" s="1"/>
  <c r="G610" i="7"/>
  <c r="K610" i="7" s="1"/>
  <c r="AM609" i="7"/>
  <c r="AH609" i="7"/>
  <c r="AS609" i="7" s="1"/>
  <c r="Y609" i="7"/>
  <c r="P609" i="7"/>
  <c r="H609" i="7"/>
  <c r="L609" i="7" s="1"/>
  <c r="G609" i="7"/>
  <c r="K609" i="7" s="1"/>
  <c r="AM608" i="7"/>
  <c r="AH608" i="7"/>
  <c r="AS608" i="7" s="1"/>
  <c r="Y608" i="7"/>
  <c r="Z608" i="7" s="1"/>
  <c r="P608" i="7"/>
  <c r="H608" i="7"/>
  <c r="L608" i="7" s="1"/>
  <c r="G608" i="7"/>
  <c r="K608" i="7" s="1"/>
  <c r="AM607" i="7"/>
  <c r="AH607" i="7"/>
  <c r="AS607" i="7" s="1"/>
  <c r="Y607" i="7"/>
  <c r="Z607" i="7" s="1"/>
  <c r="P607" i="7"/>
  <c r="H607" i="7"/>
  <c r="L607" i="7" s="1"/>
  <c r="G607" i="7"/>
  <c r="K607" i="7" s="1"/>
  <c r="AM606" i="7"/>
  <c r="AH606" i="7"/>
  <c r="AS606" i="7" s="1"/>
  <c r="Y606" i="7"/>
  <c r="Z606" i="7" s="1"/>
  <c r="P606" i="7"/>
  <c r="H606" i="7"/>
  <c r="L606" i="7" s="1"/>
  <c r="G606" i="7"/>
  <c r="K606" i="7" s="1"/>
  <c r="AM605" i="7"/>
  <c r="AH605" i="7"/>
  <c r="AS605" i="7" s="1"/>
  <c r="Y605" i="7"/>
  <c r="P605" i="7"/>
  <c r="H605" i="7"/>
  <c r="L605" i="7" s="1"/>
  <c r="G605" i="7"/>
  <c r="K605" i="7" s="1"/>
  <c r="AM604" i="7"/>
  <c r="AH604" i="7"/>
  <c r="AS604" i="7" s="1"/>
  <c r="Y604" i="7"/>
  <c r="Z604" i="7" s="1"/>
  <c r="P604" i="7"/>
  <c r="H604" i="7"/>
  <c r="L604" i="7" s="1"/>
  <c r="G604" i="7"/>
  <c r="K604" i="7" s="1"/>
  <c r="AM603" i="7"/>
  <c r="AH603" i="7"/>
  <c r="AS603" i="7" s="1"/>
  <c r="Y603" i="7"/>
  <c r="X603" i="7" s="1"/>
  <c r="P603" i="7"/>
  <c r="H603" i="7"/>
  <c r="L603" i="7" s="1"/>
  <c r="G603" i="7"/>
  <c r="K603" i="7" s="1"/>
  <c r="AM602" i="7"/>
  <c r="AH602" i="7"/>
  <c r="AS602" i="7" s="1"/>
  <c r="Y602" i="7"/>
  <c r="X602" i="7" s="1"/>
  <c r="P602" i="7"/>
  <c r="H602" i="7"/>
  <c r="L602" i="7" s="1"/>
  <c r="G602" i="7"/>
  <c r="K602" i="7" s="1"/>
  <c r="AM601" i="7"/>
  <c r="AH601" i="7"/>
  <c r="AS601" i="7" s="1"/>
  <c r="Y601" i="7"/>
  <c r="P601" i="7"/>
  <c r="H601" i="7"/>
  <c r="L601" i="7" s="1"/>
  <c r="G601" i="7"/>
  <c r="K601" i="7" s="1"/>
  <c r="AM600" i="7"/>
  <c r="AH600" i="7"/>
  <c r="AS600" i="7" s="1"/>
  <c r="Y600" i="7"/>
  <c r="Z600" i="7" s="1"/>
  <c r="P600" i="7"/>
  <c r="H600" i="7"/>
  <c r="L600" i="7" s="1"/>
  <c r="G600" i="7"/>
  <c r="K600" i="7" s="1"/>
  <c r="AM599" i="7"/>
  <c r="AH599" i="7"/>
  <c r="AS599" i="7" s="1"/>
  <c r="Y599" i="7"/>
  <c r="AA599" i="7" s="1"/>
  <c r="P599" i="7"/>
  <c r="H599" i="7"/>
  <c r="L599" i="7" s="1"/>
  <c r="G599" i="7"/>
  <c r="K599" i="7" s="1"/>
  <c r="AM598" i="7"/>
  <c r="AH598" i="7"/>
  <c r="AS598" i="7" s="1"/>
  <c r="Y598" i="7"/>
  <c r="X598" i="7" s="1"/>
  <c r="P598" i="7"/>
  <c r="H598" i="7"/>
  <c r="L598" i="7" s="1"/>
  <c r="G598" i="7"/>
  <c r="K598" i="7" s="1"/>
  <c r="AM597" i="7"/>
  <c r="AH597" i="7"/>
  <c r="AS597" i="7" s="1"/>
  <c r="Y597" i="7"/>
  <c r="X597" i="7" s="1"/>
  <c r="P597" i="7"/>
  <c r="H597" i="7"/>
  <c r="L597" i="7" s="1"/>
  <c r="G597" i="7"/>
  <c r="K597" i="7" s="1"/>
  <c r="AM596" i="7"/>
  <c r="AH596" i="7"/>
  <c r="AS596" i="7" s="1"/>
  <c r="Y596" i="7"/>
  <c r="AA596" i="7" s="1"/>
  <c r="P596" i="7"/>
  <c r="H596" i="7"/>
  <c r="L596" i="7" s="1"/>
  <c r="G596" i="7"/>
  <c r="K596" i="7" s="1"/>
  <c r="AM595" i="7"/>
  <c r="AH595" i="7"/>
  <c r="AS595" i="7" s="1"/>
  <c r="Y595" i="7"/>
  <c r="Z595" i="7" s="1"/>
  <c r="P595" i="7"/>
  <c r="H595" i="7"/>
  <c r="L595" i="7" s="1"/>
  <c r="G595" i="7"/>
  <c r="K595" i="7" s="1"/>
  <c r="AM594" i="7"/>
  <c r="AH594" i="7"/>
  <c r="AS594" i="7" s="1"/>
  <c r="Y594" i="7"/>
  <c r="AA594" i="7" s="1"/>
  <c r="P594" i="7"/>
  <c r="H594" i="7"/>
  <c r="L594" i="7" s="1"/>
  <c r="G594" i="7"/>
  <c r="K594" i="7" s="1"/>
  <c r="AM593" i="7"/>
  <c r="AH593" i="7"/>
  <c r="AS593" i="7" s="1"/>
  <c r="Y593" i="7"/>
  <c r="P593" i="7"/>
  <c r="H593" i="7"/>
  <c r="L593" i="7" s="1"/>
  <c r="G593" i="7"/>
  <c r="K593" i="7" s="1"/>
  <c r="AM592" i="7"/>
  <c r="AH592" i="7"/>
  <c r="AS592" i="7" s="1"/>
  <c r="Y592" i="7"/>
  <c r="Z592" i="7" s="1"/>
  <c r="P592" i="7"/>
  <c r="H592" i="7"/>
  <c r="L592" i="7" s="1"/>
  <c r="G592" i="7"/>
  <c r="K592" i="7" s="1"/>
  <c r="AM591" i="7"/>
  <c r="AH591" i="7"/>
  <c r="AS591" i="7" s="1"/>
  <c r="Y591" i="7"/>
  <c r="Z591" i="7" s="1"/>
  <c r="P591" i="7"/>
  <c r="H591" i="7"/>
  <c r="L591" i="7" s="1"/>
  <c r="G591" i="7"/>
  <c r="K591" i="7" s="1"/>
  <c r="AM590" i="7"/>
  <c r="AH590" i="7"/>
  <c r="AS590" i="7" s="1"/>
  <c r="Y590" i="7"/>
  <c r="AA590" i="7" s="1"/>
  <c r="P590" i="7"/>
  <c r="H590" i="7"/>
  <c r="L590" i="7" s="1"/>
  <c r="G590" i="7"/>
  <c r="K590" i="7" s="1"/>
  <c r="AM589" i="7"/>
  <c r="AH589" i="7"/>
  <c r="AS589" i="7" s="1"/>
  <c r="Y589" i="7"/>
  <c r="Z589" i="7" s="1"/>
  <c r="P589" i="7"/>
  <c r="H589" i="7"/>
  <c r="L589" i="7" s="1"/>
  <c r="G589" i="7"/>
  <c r="K589" i="7" s="1"/>
  <c r="AM588" i="7"/>
  <c r="AH588" i="7"/>
  <c r="AS588" i="7" s="1"/>
  <c r="Y588" i="7"/>
  <c r="Z588" i="7" s="1"/>
  <c r="P588" i="7"/>
  <c r="H588" i="7"/>
  <c r="L588" i="7" s="1"/>
  <c r="G588" i="7"/>
  <c r="K588" i="7" s="1"/>
  <c r="AM587" i="7"/>
  <c r="AH587" i="7"/>
  <c r="AS587" i="7" s="1"/>
  <c r="Y587" i="7"/>
  <c r="Z587" i="7" s="1"/>
  <c r="P587" i="7"/>
  <c r="H587" i="7"/>
  <c r="L587" i="7" s="1"/>
  <c r="G587" i="7"/>
  <c r="K587" i="7" s="1"/>
  <c r="AM586" i="7"/>
  <c r="AH586" i="7"/>
  <c r="AS586" i="7" s="1"/>
  <c r="Y586" i="7"/>
  <c r="AA586" i="7" s="1"/>
  <c r="P586" i="7"/>
  <c r="H586" i="7"/>
  <c r="L586" i="7" s="1"/>
  <c r="G586" i="7"/>
  <c r="K586" i="7" s="1"/>
  <c r="AM585" i="7"/>
  <c r="AH585" i="7"/>
  <c r="AS585" i="7" s="1"/>
  <c r="Y585" i="7"/>
  <c r="P585" i="7"/>
  <c r="H585" i="7"/>
  <c r="L585" i="7" s="1"/>
  <c r="G585" i="7"/>
  <c r="K585" i="7" s="1"/>
  <c r="AM584" i="7"/>
  <c r="AH584" i="7"/>
  <c r="AS584" i="7" s="1"/>
  <c r="Y584" i="7"/>
  <c r="Z584" i="7" s="1"/>
  <c r="P584" i="7"/>
  <c r="H584" i="7"/>
  <c r="L584" i="7" s="1"/>
  <c r="G584" i="7"/>
  <c r="K584" i="7" s="1"/>
  <c r="AM583" i="7"/>
  <c r="AH583" i="7"/>
  <c r="AS583" i="7" s="1"/>
  <c r="Y583" i="7"/>
  <c r="P583" i="7"/>
  <c r="H583" i="7"/>
  <c r="L583" i="7" s="1"/>
  <c r="G583" i="7"/>
  <c r="K583" i="7" s="1"/>
  <c r="AM582" i="7"/>
  <c r="AH582" i="7"/>
  <c r="AS582" i="7" s="1"/>
  <c r="Y582" i="7"/>
  <c r="Z582" i="7" s="1"/>
  <c r="P582" i="7"/>
  <c r="H582" i="7"/>
  <c r="L582" i="7" s="1"/>
  <c r="G582" i="7"/>
  <c r="K582" i="7" s="1"/>
  <c r="AM581" i="7"/>
  <c r="AH581" i="7"/>
  <c r="AS581" i="7" s="1"/>
  <c r="Y581" i="7"/>
  <c r="P581" i="7"/>
  <c r="H581" i="7"/>
  <c r="L581" i="7" s="1"/>
  <c r="G581" i="7"/>
  <c r="K581" i="7" s="1"/>
  <c r="AM580" i="7"/>
  <c r="AH580" i="7"/>
  <c r="AS580" i="7" s="1"/>
  <c r="Y580" i="7"/>
  <c r="P580" i="7"/>
  <c r="H580" i="7"/>
  <c r="L580" i="7" s="1"/>
  <c r="G580" i="7"/>
  <c r="K580" i="7" s="1"/>
  <c r="AM579" i="7"/>
  <c r="AH579" i="7"/>
  <c r="AS579" i="7" s="1"/>
  <c r="Y579" i="7"/>
  <c r="Z579" i="7" s="1"/>
  <c r="P579" i="7"/>
  <c r="H579" i="7"/>
  <c r="L579" i="7" s="1"/>
  <c r="G579" i="7"/>
  <c r="K579" i="7" s="1"/>
  <c r="AM578" i="7"/>
  <c r="AH578" i="7"/>
  <c r="AS578" i="7" s="1"/>
  <c r="Y578" i="7"/>
  <c r="AA578" i="7" s="1"/>
  <c r="P578" i="7"/>
  <c r="H578" i="7"/>
  <c r="L578" i="7" s="1"/>
  <c r="G578" i="7"/>
  <c r="K578" i="7" s="1"/>
  <c r="AM577" i="7"/>
  <c r="AH577" i="7"/>
  <c r="AS577" i="7" s="1"/>
  <c r="Y577" i="7"/>
  <c r="P577" i="7"/>
  <c r="H577" i="7"/>
  <c r="L577" i="7" s="1"/>
  <c r="G577" i="7"/>
  <c r="K577" i="7" s="1"/>
  <c r="AM576" i="7"/>
  <c r="AH576" i="7"/>
  <c r="AS576" i="7" s="1"/>
  <c r="Y576" i="7"/>
  <c r="Z576" i="7" s="1"/>
  <c r="P576" i="7"/>
  <c r="H576" i="7"/>
  <c r="L576" i="7" s="1"/>
  <c r="G576" i="7"/>
  <c r="K576" i="7" s="1"/>
  <c r="AM575" i="7"/>
  <c r="AH575" i="7"/>
  <c r="AS575" i="7" s="1"/>
  <c r="Y575" i="7"/>
  <c r="Z575" i="7" s="1"/>
  <c r="P575" i="7"/>
  <c r="H575" i="7"/>
  <c r="L575" i="7" s="1"/>
  <c r="G575" i="7"/>
  <c r="K575" i="7" s="1"/>
  <c r="AM574" i="7"/>
  <c r="AH574" i="7"/>
  <c r="AS574" i="7" s="1"/>
  <c r="Y574" i="7"/>
  <c r="AA574" i="7" s="1"/>
  <c r="P574" i="7"/>
  <c r="H574" i="7"/>
  <c r="L574" i="7" s="1"/>
  <c r="G574" i="7"/>
  <c r="K574" i="7" s="1"/>
  <c r="AM573" i="7"/>
  <c r="AH573" i="7"/>
  <c r="AS573" i="7" s="1"/>
  <c r="Y573" i="7"/>
  <c r="P573" i="7"/>
  <c r="H573" i="7"/>
  <c r="L573" i="7" s="1"/>
  <c r="G573" i="7"/>
  <c r="K573" i="7" s="1"/>
  <c r="AM572" i="7"/>
  <c r="AH572" i="7"/>
  <c r="AS572" i="7" s="1"/>
  <c r="Y572" i="7"/>
  <c r="P572" i="7"/>
  <c r="H572" i="7"/>
  <c r="L572" i="7" s="1"/>
  <c r="G572" i="7"/>
  <c r="K572" i="7" s="1"/>
  <c r="AM571" i="7"/>
  <c r="AH571" i="7"/>
  <c r="AS571" i="7" s="1"/>
  <c r="Y571" i="7"/>
  <c r="Z571" i="7" s="1"/>
  <c r="P571" i="7"/>
  <c r="H571" i="7"/>
  <c r="L571" i="7" s="1"/>
  <c r="G571" i="7"/>
  <c r="K571" i="7" s="1"/>
  <c r="AM570" i="7"/>
  <c r="AH570" i="7"/>
  <c r="AS570" i="7" s="1"/>
  <c r="Y570" i="7"/>
  <c r="AA570" i="7" s="1"/>
  <c r="P570" i="7"/>
  <c r="H570" i="7"/>
  <c r="L570" i="7" s="1"/>
  <c r="G570" i="7"/>
  <c r="K570" i="7" s="1"/>
  <c r="AM569" i="7"/>
  <c r="AH569" i="7"/>
  <c r="AS569" i="7" s="1"/>
  <c r="Y569" i="7"/>
  <c r="P569" i="7"/>
  <c r="H569" i="7"/>
  <c r="L569" i="7" s="1"/>
  <c r="G569" i="7"/>
  <c r="K569" i="7" s="1"/>
  <c r="AM568" i="7"/>
  <c r="AH568" i="7"/>
  <c r="AS568" i="7" s="1"/>
  <c r="Y568" i="7"/>
  <c r="P568" i="7"/>
  <c r="H568" i="7"/>
  <c r="L568" i="7" s="1"/>
  <c r="G568" i="7"/>
  <c r="K568" i="7" s="1"/>
  <c r="AM567" i="7"/>
  <c r="AH567" i="7"/>
  <c r="AS567" i="7" s="1"/>
  <c r="Y567" i="7"/>
  <c r="Z567" i="7" s="1"/>
  <c r="P567" i="7"/>
  <c r="H567" i="7"/>
  <c r="L567" i="7" s="1"/>
  <c r="G567" i="7"/>
  <c r="K567" i="7" s="1"/>
  <c r="AO566" i="7"/>
  <c r="AM566" i="7"/>
  <c r="AH566" i="7"/>
  <c r="AS566" i="7" s="1"/>
  <c r="Y566" i="7"/>
  <c r="AA566" i="7" s="1"/>
  <c r="P566" i="7"/>
  <c r="H566" i="7"/>
  <c r="L566" i="7" s="1"/>
  <c r="G566" i="7"/>
  <c r="K566" i="7" s="1"/>
  <c r="AM565" i="7"/>
  <c r="AH565" i="7"/>
  <c r="AS565" i="7" s="1"/>
  <c r="Y565" i="7"/>
  <c r="X565" i="7" s="1"/>
  <c r="P565" i="7"/>
  <c r="H565" i="7"/>
  <c r="L565" i="7" s="1"/>
  <c r="G565" i="7"/>
  <c r="K565" i="7" s="1"/>
  <c r="AM564" i="7"/>
  <c r="AH564" i="7"/>
  <c r="AS564" i="7" s="1"/>
  <c r="Y564" i="7"/>
  <c r="X564" i="7" s="1"/>
  <c r="P564" i="7"/>
  <c r="H564" i="7"/>
  <c r="L564" i="7" s="1"/>
  <c r="G564" i="7"/>
  <c r="K564" i="7" s="1"/>
  <c r="AM563" i="7"/>
  <c r="AH563" i="7"/>
  <c r="AS563" i="7" s="1"/>
  <c r="Y563" i="7"/>
  <c r="Z563" i="7" s="1"/>
  <c r="P563" i="7"/>
  <c r="H563" i="7"/>
  <c r="L563" i="7" s="1"/>
  <c r="G563" i="7"/>
  <c r="K563" i="7" s="1"/>
  <c r="AM562" i="7"/>
  <c r="AH562" i="7"/>
  <c r="AS562" i="7" s="1"/>
  <c r="Y562" i="7"/>
  <c r="Z562" i="7" s="1"/>
  <c r="P562" i="7"/>
  <c r="H562" i="7"/>
  <c r="L562" i="7" s="1"/>
  <c r="G562" i="7"/>
  <c r="K562" i="7" s="1"/>
  <c r="AM561" i="7"/>
  <c r="AH561" i="7"/>
  <c r="AS561" i="7" s="1"/>
  <c r="Y561" i="7"/>
  <c r="P561" i="7"/>
  <c r="H561" i="7"/>
  <c r="L561" i="7" s="1"/>
  <c r="G561" i="7"/>
  <c r="K561" i="7" s="1"/>
  <c r="AM560" i="7"/>
  <c r="AH560" i="7"/>
  <c r="AS560" i="7" s="1"/>
  <c r="Y560" i="7"/>
  <c r="P560" i="7"/>
  <c r="H560" i="7"/>
  <c r="L560" i="7" s="1"/>
  <c r="G560" i="7"/>
  <c r="K560" i="7" s="1"/>
  <c r="AM559" i="7"/>
  <c r="AH559" i="7"/>
  <c r="AS559" i="7" s="1"/>
  <c r="Y559" i="7"/>
  <c r="X559" i="7" s="1"/>
  <c r="P559" i="7"/>
  <c r="H559" i="7"/>
  <c r="L559" i="7" s="1"/>
  <c r="G559" i="7"/>
  <c r="K559" i="7" s="1"/>
  <c r="AM558" i="7"/>
  <c r="AH558" i="7"/>
  <c r="AS558" i="7" s="1"/>
  <c r="Y558" i="7"/>
  <c r="AA558" i="7" s="1"/>
  <c r="P558" i="7"/>
  <c r="H558" i="7"/>
  <c r="L558" i="7" s="1"/>
  <c r="G558" i="7"/>
  <c r="K558" i="7" s="1"/>
  <c r="AO557" i="7"/>
  <c r="AM557" i="7"/>
  <c r="AH557" i="7"/>
  <c r="AS557" i="7" s="1"/>
  <c r="Y557" i="7"/>
  <c r="X557" i="7" s="1"/>
  <c r="P557" i="7"/>
  <c r="H557" i="7"/>
  <c r="L557" i="7" s="1"/>
  <c r="G557" i="7"/>
  <c r="K557" i="7" s="1"/>
  <c r="AM556" i="7"/>
  <c r="AH556" i="7"/>
  <c r="AS556" i="7" s="1"/>
  <c r="Y556" i="7"/>
  <c r="P556" i="7"/>
  <c r="H556" i="7"/>
  <c r="L556" i="7" s="1"/>
  <c r="G556" i="7"/>
  <c r="K556" i="7" s="1"/>
  <c r="AM555" i="7"/>
  <c r="AH555" i="7"/>
  <c r="AS555" i="7" s="1"/>
  <c r="Y555" i="7"/>
  <c r="P555" i="7"/>
  <c r="H555" i="7"/>
  <c r="L555" i="7" s="1"/>
  <c r="G555" i="7"/>
  <c r="K555" i="7" s="1"/>
  <c r="AM554" i="7"/>
  <c r="AH554" i="7"/>
  <c r="AS554" i="7" s="1"/>
  <c r="Y554" i="7"/>
  <c r="Z554" i="7" s="1"/>
  <c r="P554" i="7"/>
  <c r="H554" i="7"/>
  <c r="L554" i="7" s="1"/>
  <c r="G554" i="7"/>
  <c r="K554" i="7" s="1"/>
  <c r="AM553" i="7"/>
  <c r="AH553" i="7"/>
  <c r="AS553" i="7" s="1"/>
  <c r="Y553" i="7"/>
  <c r="P553" i="7"/>
  <c r="H553" i="7"/>
  <c r="L553" i="7" s="1"/>
  <c r="G553" i="7"/>
  <c r="K553" i="7" s="1"/>
  <c r="AO552" i="7"/>
  <c r="AM552" i="7"/>
  <c r="AH552" i="7"/>
  <c r="AS552" i="7" s="1"/>
  <c r="Y552" i="7"/>
  <c r="AA552" i="7" s="1"/>
  <c r="P552" i="7"/>
  <c r="H552" i="7"/>
  <c r="L552" i="7" s="1"/>
  <c r="G552" i="7"/>
  <c r="K552" i="7" s="1"/>
  <c r="AO551" i="7"/>
  <c r="AM551" i="7"/>
  <c r="AH551" i="7"/>
  <c r="AS551" i="7" s="1"/>
  <c r="Y551" i="7"/>
  <c r="X551" i="7" s="1"/>
  <c r="P551" i="7"/>
  <c r="H551" i="7"/>
  <c r="L551" i="7" s="1"/>
  <c r="G551" i="7"/>
  <c r="K551" i="7" s="1"/>
  <c r="AM550" i="7"/>
  <c r="AH550" i="7"/>
  <c r="AS550" i="7" s="1"/>
  <c r="Y550" i="7"/>
  <c r="P550" i="7"/>
  <c r="H550" i="7"/>
  <c r="L550" i="7" s="1"/>
  <c r="G550" i="7"/>
  <c r="K550" i="7" s="1"/>
  <c r="AM549" i="7"/>
  <c r="AH549" i="7"/>
  <c r="AS549" i="7" s="1"/>
  <c r="Y549" i="7"/>
  <c r="X549" i="7" s="1"/>
  <c r="P549" i="7"/>
  <c r="H549" i="7"/>
  <c r="L549" i="7" s="1"/>
  <c r="G549" i="7"/>
  <c r="K549" i="7" s="1"/>
  <c r="AO548" i="7"/>
  <c r="AM548" i="7"/>
  <c r="AH548" i="7"/>
  <c r="AS548" i="7" s="1"/>
  <c r="Y548" i="7"/>
  <c r="X548" i="7" s="1"/>
  <c r="P548" i="7"/>
  <c r="H548" i="7"/>
  <c r="L548" i="7" s="1"/>
  <c r="G548" i="7"/>
  <c r="K548" i="7" s="1"/>
  <c r="AM547" i="7"/>
  <c r="AH547" i="7"/>
  <c r="AS547" i="7" s="1"/>
  <c r="Y547" i="7"/>
  <c r="P547" i="7"/>
  <c r="H547" i="7"/>
  <c r="L547" i="7" s="1"/>
  <c r="G547" i="7"/>
  <c r="K547" i="7" s="1"/>
  <c r="AM546" i="7"/>
  <c r="AH546" i="7"/>
  <c r="AS546" i="7" s="1"/>
  <c r="Y546" i="7"/>
  <c r="P546" i="7"/>
  <c r="H546" i="7"/>
  <c r="L546" i="7" s="1"/>
  <c r="G546" i="7"/>
  <c r="K546" i="7" s="1"/>
  <c r="AM545" i="7"/>
  <c r="AH545" i="7"/>
  <c r="AS545" i="7" s="1"/>
  <c r="Y545" i="7"/>
  <c r="Z545" i="7" s="1"/>
  <c r="P545" i="7"/>
  <c r="H545" i="7"/>
  <c r="L545" i="7" s="1"/>
  <c r="G545" i="7"/>
  <c r="K545" i="7" s="1"/>
  <c r="AM544" i="7"/>
  <c r="AH544" i="7"/>
  <c r="AS544" i="7" s="1"/>
  <c r="Y544" i="7"/>
  <c r="X544" i="7" s="1"/>
  <c r="P544" i="7"/>
  <c r="H544" i="7"/>
  <c r="L544" i="7" s="1"/>
  <c r="G544" i="7"/>
  <c r="K544" i="7" s="1"/>
  <c r="AM543" i="7"/>
  <c r="AH543" i="7"/>
  <c r="AS543" i="7" s="1"/>
  <c r="Y543" i="7"/>
  <c r="Z543" i="7" s="1"/>
  <c r="P543" i="7"/>
  <c r="H543" i="7"/>
  <c r="L543" i="7" s="1"/>
  <c r="G543" i="7"/>
  <c r="K543" i="7" s="1"/>
  <c r="AM542" i="7"/>
  <c r="AH542" i="7"/>
  <c r="AS542" i="7" s="1"/>
  <c r="Y542" i="7"/>
  <c r="AA542" i="7" s="1"/>
  <c r="P542" i="7"/>
  <c r="H542" i="7"/>
  <c r="L542" i="7" s="1"/>
  <c r="G542" i="7"/>
  <c r="K542" i="7" s="1"/>
  <c r="AM541" i="7"/>
  <c r="AH541" i="7"/>
  <c r="AS541" i="7" s="1"/>
  <c r="Y541" i="7"/>
  <c r="P541" i="7"/>
  <c r="H541" i="7"/>
  <c r="L541" i="7" s="1"/>
  <c r="G541" i="7"/>
  <c r="K541" i="7" s="1"/>
  <c r="AM540" i="7"/>
  <c r="AH540" i="7"/>
  <c r="AS540" i="7" s="1"/>
  <c r="Y540" i="7"/>
  <c r="P540" i="7"/>
  <c r="H540" i="7"/>
  <c r="L540" i="7" s="1"/>
  <c r="G540" i="7"/>
  <c r="K540" i="7" s="1"/>
  <c r="AM539" i="7"/>
  <c r="AH539" i="7"/>
  <c r="AS539" i="7" s="1"/>
  <c r="Y539" i="7"/>
  <c r="P539" i="7"/>
  <c r="H539" i="7"/>
  <c r="L539" i="7" s="1"/>
  <c r="G539" i="7"/>
  <c r="K539" i="7" s="1"/>
  <c r="AO538" i="7"/>
  <c r="AM538" i="7"/>
  <c r="AH538" i="7"/>
  <c r="AS538" i="7" s="1"/>
  <c r="Y538" i="7"/>
  <c r="P538" i="7"/>
  <c r="H538" i="7"/>
  <c r="L538" i="7" s="1"/>
  <c r="G538" i="7"/>
  <c r="K538" i="7" s="1"/>
  <c r="AM537" i="7"/>
  <c r="AH537" i="7"/>
  <c r="AS537" i="7" s="1"/>
  <c r="Y537" i="7"/>
  <c r="P537" i="7"/>
  <c r="H537" i="7"/>
  <c r="L537" i="7" s="1"/>
  <c r="G537" i="7"/>
  <c r="K537" i="7" s="1"/>
  <c r="AM536" i="7"/>
  <c r="AH536" i="7"/>
  <c r="AS536" i="7" s="1"/>
  <c r="Y536" i="7"/>
  <c r="P536" i="7"/>
  <c r="H536" i="7"/>
  <c r="L536" i="7" s="1"/>
  <c r="G536" i="7"/>
  <c r="K536" i="7" s="1"/>
  <c r="AM535" i="7"/>
  <c r="AH535" i="7"/>
  <c r="AS535" i="7" s="1"/>
  <c r="Y535" i="7"/>
  <c r="P535" i="7"/>
  <c r="H535" i="7"/>
  <c r="L535" i="7" s="1"/>
  <c r="G535" i="7"/>
  <c r="K535" i="7" s="1"/>
  <c r="AM534" i="7"/>
  <c r="AH534" i="7"/>
  <c r="AS534" i="7" s="1"/>
  <c r="Y534" i="7"/>
  <c r="Z534" i="7" s="1"/>
  <c r="P534" i="7"/>
  <c r="H534" i="7"/>
  <c r="L534" i="7" s="1"/>
  <c r="G534" i="7"/>
  <c r="K534" i="7" s="1"/>
  <c r="AM533" i="7"/>
  <c r="AH533" i="7"/>
  <c r="AS533" i="7" s="1"/>
  <c r="Y533" i="7"/>
  <c r="P533" i="7"/>
  <c r="H533" i="7"/>
  <c r="L533" i="7" s="1"/>
  <c r="G533" i="7"/>
  <c r="K533" i="7" s="1"/>
  <c r="AM532" i="7"/>
  <c r="AH532" i="7"/>
  <c r="AS532" i="7" s="1"/>
  <c r="Y532" i="7"/>
  <c r="X532" i="7" s="1"/>
  <c r="P532" i="7"/>
  <c r="H532" i="7"/>
  <c r="L532" i="7" s="1"/>
  <c r="G532" i="7"/>
  <c r="K532" i="7" s="1"/>
  <c r="AM531" i="7"/>
  <c r="AH531" i="7"/>
  <c r="AS531" i="7" s="1"/>
  <c r="Y531" i="7"/>
  <c r="P531" i="7"/>
  <c r="H531" i="7"/>
  <c r="L531" i="7" s="1"/>
  <c r="G531" i="7"/>
  <c r="K531" i="7" s="1"/>
  <c r="AM530" i="7"/>
  <c r="AH530" i="7"/>
  <c r="AS530" i="7" s="1"/>
  <c r="Y530" i="7"/>
  <c r="P530" i="7"/>
  <c r="H530" i="7"/>
  <c r="L530" i="7" s="1"/>
  <c r="G530" i="7"/>
  <c r="K530" i="7" s="1"/>
  <c r="AM529" i="7"/>
  <c r="AH529" i="7"/>
  <c r="AS529" i="7" s="1"/>
  <c r="Y529" i="7"/>
  <c r="P529" i="7"/>
  <c r="H529" i="7"/>
  <c r="L529" i="7" s="1"/>
  <c r="G529" i="7"/>
  <c r="K529" i="7" s="1"/>
  <c r="AO528" i="7"/>
  <c r="AM528" i="7"/>
  <c r="AH528" i="7"/>
  <c r="AS528" i="7" s="1"/>
  <c r="Y528" i="7"/>
  <c r="X528" i="7" s="1"/>
  <c r="P528" i="7"/>
  <c r="H528" i="7"/>
  <c r="L528" i="7" s="1"/>
  <c r="G528" i="7"/>
  <c r="K528" i="7" s="1"/>
  <c r="AM527" i="7"/>
  <c r="AH527" i="7"/>
  <c r="AS527" i="7" s="1"/>
  <c r="Y527" i="7"/>
  <c r="Z527" i="7" s="1"/>
  <c r="P527" i="7"/>
  <c r="H527" i="7"/>
  <c r="L527" i="7" s="1"/>
  <c r="G527" i="7"/>
  <c r="K527" i="7" s="1"/>
  <c r="AM526" i="7"/>
  <c r="AH526" i="7"/>
  <c r="AS526" i="7" s="1"/>
  <c r="Y526" i="7"/>
  <c r="Z526" i="7" s="1"/>
  <c r="P526" i="7"/>
  <c r="H526" i="7"/>
  <c r="L526" i="7" s="1"/>
  <c r="G526" i="7"/>
  <c r="K526" i="7" s="1"/>
  <c r="AM525" i="7"/>
  <c r="AH525" i="7"/>
  <c r="AS525" i="7" s="1"/>
  <c r="Y525" i="7"/>
  <c r="P525" i="7"/>
  <c r="H525" i="7"/>
  <c r="L525" i="7" s="1"/>
  <c r="G525" i="7"/>
  <c r="K525" i="7" s="1"/>
  <c r="AM524" i="7"/>
  <c r="AH524" i="7"/>
  <c r="AS524" i="7" s="1"/>
  <c r="Y524" i="7"/>
  <c r="X524" i="7" s="1"/>
  <c r="P524" i="7"/>
  <c r="H524" i="7"/>
  <c r="L524" i="7" s="1"/>
  <c r="G524" i="7"/>
  <c r="K524" i="7" s="1"/>
  <c r="AM523" i="7"/>
  <c r="AH523" i="7"/>
  <c r="AS523" i="7" s="1"/>
  <c r="Y523" i="7"/>
  <c r="Z523" i="7" s="1"/>
  <c r="P523" i="7"/>
  <c r="H523" i="7"/>
  <c r="L523" i="7" s="1"/>
  <c r="G523" i="7"/>
  <c r="K523" i="7" s="1"/>
  <c r="AM522" i="7"/>
  <c r="AH522" i="7"/>
  <c r="AS522" i="7" s="1"/>
  <c r="Y522" i="7"/>
  <c r="X522" i="7" s="1"/>
  <c r="P522" i="7"/>
  <c r="H522" i="7"/>
  <c r="L522" i="7" s="1"/>
  <c r="G522" i="7"/>
  <c r="K522" i="7" s="1"/>
  <c r="AM521" i="7"/>
  <c r="AH521" i="7"/>
  <c r="AS521" i="7" s="1"/>
  <c r="Y521" i="7"/>
  <c r="P521" i="7"/>
  <c r="H521" i="7"/>
  <c r="L521" i="7" s="1"/>
  <c r="G521" i="7"/>
  <c r="K521" i="7" s="1"/>
  <c r="AM520" i="7"/>
  <c r="AH520" i="7"/>
  <c r="AS520" i="7" s="1"/>
  <c r="Y520" i="7"/>
  <c r="AA520" i="7" s="1"/>
  <c r="P520" i="7"/>
  <c r="H520" i="7"/>
  <c r="L520" i="7" s="1"/>
  <c r="G520" i="7"/>
  <c r="K520" i="7" s="1"/>
  <c r="AM519" i="7"/>
  <c r="AH519" i="7"/>
  <c r="AS519" i="7" s="1"/>
  <c r="Y519" i="7"/>
  <c r="P519" i="7"/>
  <c r="H519" i="7"/>
  <c r="L519" i="7" s="1"/>
  <c r="G519" i="7"/>
  <c r="K519" i="7" s="1"/>
  <c r="AM518" i="7"/>
  <c r="AH518" i="7"/>
  <c r="AS518" i="7" s="1"/>
  <c r="Y518" i="7"/>
  <c r="P518" i="7"/>
  <c r="H518" i="7"/>
  <c r="L518" i="7" s="1"/>
  <c r="G518" i="7"/>
  <c r="K518" i="7" s="1"/>
  <c r="AM517" i="7"/>
  <c r="AH517" i="7"/>
  <c r="AS517" i="7" s="1"/>
  <c r="Y517" i="7"/>
  <c r="X517" i="7" s="1"/>
  <c r="P517" i="7"/>
  <c r="H517" i="7"/>
  <c r="L517" i="7" s="1"/>
  <c r="G517" i="7"/>
  <c r="K517" i="7" s="1"/>
  <c r="AM516" i="7"/>
  <c r="AH516" i="7"/>
  <c r="AS516" i="7" s="1"/>
  <c r="Y516" i="7"/>
  <c r="Z516" i="7" s="1"/>
  <c r="P516" i="7"/>
  <c r="H516" i="7"/>
  <c r="L516" i="7" s="1"/>
  <c r="G516" i="7"/>
  <c r="K516" i="7" s="1"/>
  <c r="AM515" i="7"/>
  <c r="AH515" i="7"/>
  <c r="AS515" i="7" s="1"/>
  <c r="Y515" i="7"/>
  <c r="X515" i="7" s="1"/>
  <c r="P515" i="7"/>
  <c r="H515" i="7"/>
  <c r="L515" i="7" s="1"/>
  <c r="G515" i="7"/>
  <c r="K515" i="7" s="1"/>
  <c r="AO514" i="7"/>
  <c r="AM514" i="7"/>
  <c r="AH514" i="7"/>
  <c r="AS514" i="7" s="1"/>
  <c r="Y514" i="7"/>
  <c r="X514" i="7" s="1"/>
  <c r="P514" i="7"/>
  <c r="H514" i="7"/>
  <c r="L514" i="7" s="1"/>
  <c r="G514" i="7"/>
  <c r="K514" i="7" s="1"/>
  <c r="AM513" i="7"/>
  <c r="AH513" i="7"/>
  <c r="AS513" i="7" s="1"/>
  <c r="Y513" i="7"/>
  <c r="P513" i="7"/>
  <c r="H513" i="7"/>
  <c r="L513" i="7" s="1"/>
  <c r="G513" i="7"/>
  <c r="K513" i="7" s="1"/>
  <c r="AM512" i="7"/>
  <c r="AH512" i="7"/>
  <c r="AS512" i="7" s="1"/>
  <c r="Y512" i="7"/>
  <c r="Z512" i="7" s="1"/>
  <c r="P512" i="7"/>
  <c r="H512" i="7"/>
  <c r="L512" i="7" s="1"/>
  <c r="G512" i="7"/>
  <c r="K512" i="7" s="1"/>
  <c r="AM511" i="7"/>
  <c r="AH511" i="7"/>
  <c r="AS511" i="7" s="1"/>
  <c r="Y511" i="7"/>
  <c r="Z511" i="7" s="1"/>
  <c r="P511" i="7"/>
  <c r="H511" i="7"/>
  <c r="L511" i="7" s="1"/>
  <c r="G511" i="7"/>
  <c r="K511" i="7" s="1"/>
  <c r="AM510" i="7"/>
  <c r="AH510" i="7"/>
  <c r="AS510" i="7" s="1"/>
  <c r="Y510" i="7"/>
  <c r="P510" i="7"/>
  <c r="H510" i="7"/>
  <c r="L510" i="7" s="1"/>
  <c r="G510" i="7"/>
  <c r="K510" i="7" s="1"/>
  <c r="AM509" i="7"/>
  <c r="AH509" i="7"/>
  <c r="AS509" i="7" s="1"/>
  <c r="Y509" i="7"/>
  <c r="AA509" i="7" s="1"/>
  <c r="P509" i="7"/>
  <c r="H509" i="7"/>
  <c r="L509" i="7" s="1"/>
  <c r="G509" i="7"/>
  <c r="K509" i="7" s="1"/>
  <c r="AM508" i="7"/>
  <c r="AH508" i="7"/>
  <c r="AS508" i="7" s="1"/>
  <c r="Y508" i="7"/>
  <c r="AA508" i="7" s="1"/>
  <c r="P508" i="7"/>
  <c r="H508" i="7"/>
  <c r="L508" i="7" s="1"/>
  <c r="G508" i="7"/>
  <c r="K508" i="7" s="1"/>
  <c r="AM507" i="7"/>
  <c r="AH507" i="7"/>
  <c r="AS507" i="7" s="1"/>
  <c r="Y507" i="7"/>
  <c r="P507" i="7"/>
  <c r="H507" i="7"/>
  <c r="L507" i="7" s="1"/>
  <c r="G507" i="7"/>
  <c r="K507" i="7" s="1"/>
  <c r="AM506" i="7"/>
  <c r="AH506" i="7"/>
  <c r="AS506" i="7" s="1"/>
  <c r="Y506" i="7"/>
  <c r="X506" i="7" s="1"/>
  <c r="P506" i="7"/>
  <c r="H506" i="7"/>
  <c r="L506" i="7" s="1"/>
  <c r="G506" i="7"/>
  <c r="K506" i="7" s="1"/>
  <c r="AM505" i="7"/>
  <c r="AH505" i="7"/>
  <c r="AS505" i="7" s="1"/>
  <c r="Y505" i="7"/>
  <c r="X505" i="7" s="1"/>
  <c r="P505" i="7"/>
  <c r="H505" i="7"/>
  <c r="L505" i="7" s="1"/>
  <c r="G505" i="7"/>
  <c r="K505" i="7" s="1"/>
  <c r="AM504" i="7"/>
  <c r="AH504" i="7"/>
  <c r="AS504" i="7" s="1"/>
  <c r="Y504" i="7"/>
  <c r="P504" i="7"/>
  <c r="H504" i="7"/>
  <c r="L504" i="7" s="1"/>
  <c r="G504" i="7"/>
  <c r="K504" i="7" s="1"/>
  <c r="AM503" i="7"/>
  <c r="AH503" i="7"/>
  <c r="AS503" i="7" s="1"/>
  <c r="Y503" i="7"/>
  <c r="P503" i="7"/>
  <c r="H503" i="7"/>
  <c r="L503" i="7" s="1"/>
  <c r="G503" i="7"/>
  <c r="K503" i="7" s="1"/>
  <c r="AM502" i="7"/>
  <c r="AH502" i="7"/>
  <c r="AS502" i="7" s="1"/>
  <c r="Y502" i="7"/>
  <c r="AA502" i="7" s="1"/>
  <c r="P502" i="7"/>
  <c r="H502" i="7"/>
  <c r="L502" i="7" s="1"/>
  <c r="G502" i="7"/>
  <c r="K502" i="7" s="1"/>
  <c r="AM501" i="7"/>
  <c r="AH501" i="7"/>
  <c r="AS501" i="7" s="1"/>
  <c r="Y501" i="7"/>
  <c r="P501" i="7"/>
  <c r="H501" i="7"/>
  <c r="L501" i="7" s="1"/>
  <c r="G501" i="7"/>
  <c r="K501" i="7" s="1"/>
  <c r="AO500" i="7"/>
  <c r="AM500" i="7"/>
  <c r="AH500" i="7"/>
  <c r="AS500" i="7" s="1"/>
  <c r="Y500" i="7"/>
  <c r="P500" i="7"/>
  <c r="H500" i="7"/>
  <c r="L500" i="7" s="1"/>
  <c r="G500" i="7"/>
  <c r="K500" i="7" s="1"/>
  <c r="AM499" i="7"/>
  <c r="AH499" i="7"/>
  <c r="AS499" i="7" s="1"/>
  <c r="Y499" i="7"/>
  <c r="P499" i="7"/>
  <c r="H499" i="7"/>
  <c r="L499" i="7" s="1"/>
  <c r="G499" i="7"/>
  <c r="K499" i="7" s="1"/>
  <c r="AM498" i="7"/>
  <c r="AH498" i="7"/>
  <c r="AS498" i="7" s="1"/>
  <c r="Y498" i="7"/>
  <c r="Z498" i="7" s="1"/>
  <c r="P498" i="7"/>
  <c r="H498" i="7"/>
  <c r="L498" i="7" s="1"/>
  <c r="G498" i="7"/>
  <c r="K498" i="7" s="1"/>
  <c r="AM497" i="7"/>
  <c r="AH497" i="7"/>
  <c r="AS497" i="7" s="1"/>
  <c r="Y497" i="7"/>
  <c r="AA497" i="7" s="1"/>
  <c r="P497" i="7"/>
  <c r="H497" i="7"/>
  <c r="L497" i="7" s="1"/>
  <c r="G497" i="7"/>
  <c r="K497" i="7" s="1"/>
  <c r="AM496" i="7"/>
  <c r="AH496" i="7"/>
  <c r="AS496" i="7" s="1"/>
  <c r="Y496" i="7"/>
  <c r="Z496" i="7" s="1"/>
  <c r="P496" i="7"/>
  <c r="H496" i="7"/>
  <c r="L496" i="7" s="1"/>
  <c r="G496" i="7"/>
  <c r="K496" i="7" s="1"/>
  <c r="AM495" i="7"/>
  <c r="AH495" i="7"/>
  <c r="AS495" i="7" s="1"/>
  <c r="Y495" i="7"/>
  <c r="P495" i="7"/>
  <c r="H495" i="7"/>
  <c r="L495" i="7" s="1"/>
  <c r="G495" i="7"/>
  <c r="K495" i="7" s="1"/>
  <c r="AM494" i="7"/>
  <c r="AH494" i="7"/>
  <c r="AS494" i="7" s="1"/>
  <c r="Y494" i="7"/>
  <c r="P494" i="7"/>
  <c r="H494" i="7"/>
  <c r="L494" i="7" s="1"/>
  <c r="G494" i="7"/>
  <c r="K494" i="7" s="1"/>
  <c r="AM493" i="7"/>
  <c r="AH493" i="7"/>
  <c r="AS493" i="7" s="1"/>
  <c r="Y493" i="7"/>
  <c r="P493" i="7"/>
  <c r="H493" i="7"/>
  <c r="L493" i="7" s="1"/>
  <c r="G493" i="7"/>
  <c r="K493" i="7" s="1"/>
  <c r="AM492" i="7"/>
  <c r="AH492" i="7"/>
  <c r="AS492" i="7" s="1"/>
  <c r="Y492" i="7"/>
  <c r="P492" i="7"/>
  <c r="H492" i="7"/>
  <c r="L492" i="7" s="1"/>
  <c r="G492" i="7"/>
  <c r="K492" i="7" s="1"/>
  <c r="AM491" i="7"/>
  <c r="AH491" i="7"/>
  <c r="AS491" i="7" s="1"/>
  <c r="Y491" i="7"/>
  <c r="X491" i="7" s="1"/>
  <c r="P491" i="7"/>
  <c r="H491" i="7"/>
  <c r="L491" i="7" s="1"/>
  <c r="G491" i="7"/>
  <c r="K491" i="7" s="1"/>
  <c r="AM490" i="7"/>
  <c r="AH490" i="7"/>
  <c r="AS490" i="7" s="1"/>
  <c r="Y490" i="7"/>
  <c r="AA490" i="7" s="1"/>
  <c r="P490" i="7"/>
  <c r="H490" i="7"/>
  <c r="L490" i="7" s="1"/>
  <c r="G490" i="7"/>
  <c r="K490" i="7" s="1"/>
  <c r="AM489" i="7"/>
  <c r="AH489" i="7"/>
  <c r="AS489" i="7" s="1"/>
  <c r="Y489" i="7"/>
  <c r="AA489" i="7" s="1"/>
  <c r="P489" i="7"/>
  <c r="H489" i="7"/>
  <c r="L489" i="7" s="1"/>
  <c r="G489" i="7"/>
  <c r="K489" i="7" s="1"/>
  <c r="AM488" i="7"/>
  <c r="AH488" i="7"/>
  <c r="AS488" i="7" s="1"/>
  <c r="Y488" i="7"/>
  <c r="Z488" i="7" s="1"/>
  <c r="P488" i="7"/>
  <c r="H488" i="7"/>
  <c r="L488" i="7" s="1"/>
  <c r="G488" i="7"/>
  <c r="K488" i="7" s="1"/>
  <c r="AM487" i="7"/>
  <c r="AH487" i="7"/>
  <c r="AS487" i="7" s="1"/>
  <c r="Y487" i="7"/>
  <c r="P487" i="7"/>
  <c r="H487" i="7"/>
  <c r="L487" i="7" s="1"/>
  <c r="G487" i="7"/>
  <c r="K487" i="7" s="1"/>
  <c r="AO486" i="7"/>
  <c r="AM486" i="7"/>
  <c r="AH486" i="7"/>
  <c r="AS486" i="7" s="1"/>
  <c r="Y486" i="7"/>
  <c r="P486" i="7"/>
  <c r="H486" i="7"/>
  <c r="L486" i="7" s="1"/>
  <c r="G486" i="7"/>
  <c r="K486" i="7" s="1"/>
  <c r="AO485" i="7"/>
  <c r="AM485" i="7"/>
  <c r="AH485" i="7"/>
  <c r="AS485" i="7" s="1"/>
  <c r="Y485" i="7"/>
  <c r="P485" i="7"/>
  <c r="H485" i="7"/>
  <c r="L485" i="7" s="1"/>
  <c r="G485" i="7"/>
  <c r="K485" i="7" s="1"/>
  <c r="AM484" i="7"/>
  <c r="AH484" i="7"/>
  <c r="AS484" i="7" s="1"/>
  <c r="Y484" i="7"/>
  <c r="AA484" i="7" s="1"/>
  <c r="P484" i="7"/>
  <c r="H484" i="7"/>
  <c r="L484" i="7" s="1"/>
  <c r="G484" i="7"/>
  <c r="K484" i="7" s="1"/>
  <c r="AO483" i="7"/>
  <c r="AM483" i="7"/>
  <c r="AH483" i="7"/>
  <c r="AS483" i="7" s="1"/>
  <c r="Y483" i="7"/>
  <c r="P483" i="7"/>
  <c r="H483" i="7"/>
  <c r="L483" i="7" s="1"/>
  <c r="G483" i="7"/>
  <c r="K483" i="7" s="1"/>
  <c r="AM482" i="7"/>
  <c r="AH482" i="7"/>
  <c r="AS482" i="7" s="1"/>
  <c r="Y482" i="7"/>
  <c r="AA482" i="7" s="1"/>
  <c r="P482" i="7"/>
  <c r="H482" i="7"/>
  <c r="L482" i="7" s="1"/>
  <c r="G482" i="7"/>
  <c r="K482" i="7" s="1"/>
  <c r="AM481" i="7"/>
  <c r="AH481" i="7"/>
  <c r="AS481" i="7" s="1"/>
  <c r="Y481" i="7"/>
  <c r="AA481" i="7" s="1"/>
  <c r="P481" i="7"/>
  <c r="H481" i="7"/>
  <c r="L481" i="7" s="1"/>
  <c r="G481" i="7"/>
  <c r="K481" i="7" s="1"/>
  <c r="AO480" i="7"/>
  <c r="AM480" i="7"/>
  <c r="AH480" i="7"/>
  <c r="AS480" i="7" s="1"/>
  <c r="Y480" i="7"/>
  <c r="P480" i="7"/>
  <c r="H480" i="7"/>
  <c r="L480" i="7" s="1"/>
  <c r="G480" i="7"/>
  <c r="K480" i="7" s="1"/>
  <c r="AM479" i="7"/>
  <c r="AH479" i="7"/>
  <c r="AS479" i="7" s="1"/>
  <c r="Y479" i="7"/>
  <c r="P479" i="7"/>
  <c r="H479" i="7"/>
  <c r="L479" i="7" s="1"/>
  <c r="G479" i="7"/>
  <c r="K479" i="7" s="1"/>
  <c r="AM478" i="7"/>
  <c r="AH478" i="7"/>
  <c r="AS478" i="7" s="1"/>
  <c r="Y478" i="7"/>
  <c r="Z478" i="7" s="1"/>
  <c r="P478" i="7"/>
  <c r="H478" i="7"/>
  <c r="L478" i="7" s="1"/>
  <c r="G478" i="7"/>
  <c r="K478" i="7" s="1"/>
  <c r="AM477" i="7"/>
  <c r="AH477" i="7"/>
  <c r="AS477" i="7" s="1"/>
  <c r="Y477" i="7"/>
  <c r="X477" i="7" s="1"/>
  <c r="P477" i="7"/>
  <c r="H477" i="7"/>
  <c r="L477" i="7" s="1"/>
  <c r="G477" i="7"/>
  <c r="K477" i="7" s="1"/>
  <c r="AO476" i="7"/>
  <c r="AM476" i="7"/>
  <c r="AH476" i="7"/>
  <c r="AS476" i="7" s="1"/>
  <c r="Y476" i="7"/>
  <c r="AA476" i="7" s="1"/>
  <c r="P476" i="7"/>
  <c r="H476" i="7"/>
  <c r="L476" i="7" s="1"/>
  <c r="G476" i="7"/>
  <c r="K476" i="7" s="1"/>
  <c r="AO475" i="7"/>
  <c r="AM475" i="7"/>
  <c r="AH475" i="7"/>
  <c r="AS475" i="7" s="1"/>
  <c r="Y475" i="7"/>
  <c r="Z475" i="7" s="1"/>
  <c r="P475" i="7"/>
  <c r="H475" i="7"/>
  <c r="L475" i="7" s="1"/>
  <c r="G475" i="7"/>
  <c r="K475" i="7" s="1"/>
  <c r="AH474" i="7"/>
  <c r="AS474" i="7" s="1"/>
  <c r="Y474" i="7"/>
  <c r="Z474" i="7" s="1"/>
  <c r="P474" i="7"/>
  <c r="H474" i="7"/>
  <c r="L474" i="7" s="1"/>
  <c r="G474" i="7"/>
  <c r="K474" i="7" s="1"/>
  <c r="AO473" i="7"/>
  <c r="AH473" i="7"/>
  <c r="AS473" i="7" s="1"/>
  <c r="Y473" i="7"/>
  <c r="P473" i="7"/>
  <c r="H473" i="7"/>
  <c r="L473" i="7" s="1"/>
  <c r="G473" i="7"/>
  <c r="K473" i="7" s="1"/>
  <c r="AO472" i="7"/>
  <c r="AH472" i="7"/>
  <c r="AS472" i="7" s="1"/>
  <c r="Y472" i="7"/>
  <c r="P472" i="7"/>
  <c r="H472" i="7"/>
  <c r="L472" i="7" s="1"/>
  <c r="G472" i="7"/>
  <c r="K472" i="7" s="1"/>
  <c r="AO471" i="7"/>
  <c r="AH471" i="7"/>
  <c r="AS471" i="7" s="1"/>
  <c r="Y471" i="7"/>
  <c r="Z471" i="7" s="1"/>
  <c r="P471" i="7"/>
  <c r="H471" i="7"/>
  <c r="L471" i="7" s="1"/>
  <c r="G471" i="7"/>
  <c r="K471" i="7" s="1"/>
  <c r="AH470" i="7"/>
  <c r="AS470" i="7" s="1"/>
  <c r="Y470" i="7"/>
  <c r="P470" i="7"/>
  <c r="H470" i="7"/>
  <c r="L470" i="7" s="1"/>
  <c r="G470" i="7"/>
  <c r="K470" i="7" s="1"/>
  <c r="AH469" i="7"/>
  <c r="AS469" i="7" s="1"/>
  <c r="Y469" i="7"/>
  <c r="P469" i="7"/>
  <c r="H469" i="7"/>
  <c r="L469" i="7" s="1"/>
  <c r="G469" i="7"/>
  <c r="K469" i="7" s="1"/>
  <c r="AM468" i="7"/>
  <c r="AH468" i="7"/>
  <c r="AS468" i="7" s="1"/>
  <c r="Y468" i="7"/>
  <c r="P468" i="7"/>
  <c r="H468" i="7"/>
  <c r="L468" i="7" s="1"/>
  <c r="G468" i="7"/>
  <c r="K468" i="7" s="1"/>
  <c r="AO467" i="7"/>
  <c r="AM467" i="7"/>
  <c r="AH467" i="7"/>
  <c r="AS467" i="7" s="1"/>
  <c r="Y467" i="7"/>
  <c r="P467" i="7"/>
  <c r="H467" i="7"/>
  <c r="L467" i="7" s="1"/>
  <c r="G467" i="7"/>
  <c r="K467" i="7" s="1"/>
  <c r="AM466" i="7"/>
  <c r="AH466" i="7"/>
  <c r="AS466" i="7" s="1"/>
  <c r="Y466" i="7"/>
  <c r="Z466" i="7" s="1"/>
  <c r="P466" i="7"/>
  <c r="H466" i="7"/>
  <c r="L466" i="7" s="1"/>
  <c r="G466" i="7"/>
  <c r="K466" i="7" s="1"/>
  <c r="AM465" i="7"/>
  <c r="AH465" i="7"/>
  <c r="AS465" i="7" s="1"/>
  <c r="Y465" i="7"/>
  <c r="P465" i="7"/>
  <c r="H465" i="7"/>
  <c r="L465" i="7" s="1"/>
  <c r="G465" i="7"/>
  <c r="K465" i="7" s="1"/>
  <c r="AH464" i="7"/>
  <c r="AS464" i="7" s="1"/>
  <c r="Y464" i="7"/>
  <c r="Z464" i="7" s="1"/>
  <c r="P464" i="7"/>
  <c r="H464" i="7"/>
  <c r="L464" i="7" s="1"/>
  <c r="G464" i="7"/>
  <c r="K464" i="7" s="1"/>
  <c r="AH463" i="7"/>
  <c r="AS463" i="7" s="1"/>
  <c r="Y463" i="7"/>
  <c r="AA463" i="7" s="1"/>
  <c r="P463" i="7"/>
  <c r="H463" i="7"/>
  <c r="L463" i="7" s="1"/>
  <c r="G463" i="7"/>
  <c r="K463" i="7" s="1"/>
  <c r="AH462" i="7"/>
  <c r="AS462" i="7" s="1"/>
  <c r="Y462" i="7"/>
  <c r="Z462" i="7" s="1"/>
  <c r="P462" i="7"/>
  <c r="H462" i="7"/>
  <c r="L462" i="7" s="1"/>
  <c r="G462" i="7"/>
  <c r="K462" i="7" s="1"/>
  <c r="AH461" i="7"/>
  <c r="AS461" i="7" s="1"/>
  <c r="Y461" i="7"/>
  <c r="P461" i="7"/>
  <c r="H461" i="7"/>
  <c r="L461" i="7" s="1"/>
  <c r="G461" i="7"/>
  <c r="K461" i="7" s="1"/>
  <c r="AH460" i="7"/>
  <c r="AS460" i="7" s="1"/>
  <c r="Y460" i="7"/>
  <c r="P460" i="7"/>
  <c r="H460" i="7"/>
  <c r="L460" i="7" s="1"/>
  <c r="G460" i="7"/>
  <c r="K460" i="7" s="1"/>
  <c r="AH459" i="7"/>
  <c r="AS459" i="7" s="1"/>
  <c r="Y459" i="7"/>
  <c r="Z459" i="7" s="1"/>
  <c r="P459" i="7"/>
  <c r="H459" i="7"/>
  <c r="L459" i="7" s="1"/>
  <c r="G459" i="7"/>
  <c r="K459" i="7" s="1"/>
  <c r="AH458" i="7"/>
  <c r="AS458" i="7" s="1"/>
  <c r="Y458" i="7"/>
  <c r="AA458" i="7" s="1"/>
  <c r="P458" i="7"/>
  <c r="H458" i="7"/>
  <c r="L458" i="7" s="1"/>
  <c r="G458" i="7"/>
  <c r="K458" i="7" s="1"/>
  <c r="AO457" i="7"/>
  <c r="AM457" i="7"/>
  <c r="AH457" i="7"/>
  <c r="AS457" i="7" s="1"/>
  <c r="Y457" i="7"/>
  <c r="P457" i="7"/>
  <c r="H457" i="7"/>
  <c r="L457" i="7" s="1"/>
  <c r="G457" i="7"/>
  <c r="K457" i="7" s="1"/>
  <c r="AM456" i="7"/>
  <c r="AH456" i="7"/>
  <c r="AS456" i="7" s="1"/>
  <c r="Y456" i="7"/>
  <c r="AA456" i="7" s="1"/>
  <c r="P456" i="7"/>
  <c r="H456" i="7"/>
  <c r="L456" i="7" s="1"/>
  <c r="G456" i="7"/>
  <c r="K456" i="7" s="1"/>
  <c r="AM455" i="7"/>
  <c r="AH455" i="7"/>
  <c r="AS455" i="7" s="1"/>
  <c r="Y455" i="7"/>
  <c r="X455" i="7" s="1"/>
  <c r="P455" i="7"/>
  <c r="H455" i="7"/>
  <c r="L455" i="7" s="1"/>
  <c r="G455" i="7"/>
  <c r="K455" i="7" s="1"/>
  <c r="AM454" i="7"/>
  <c r="AH454" i="7"/>
  <c r="AS454" i="7" s="1"/>
  <c r="Y454" i="7"/>
  <c r="AA454" i="7" s="1"/>
  <c r="P454" i="7"/>
  <c r="H454" i="7"/>
  <c r="L454" i="7" s="1"/>
  <c r="G454" i="7"/>
  <c r="K454" i="7" s="1"/>
  <c r="AM453" i="7"/>
  <c r="AH453" i="7"/>
  <c r="AS453" i="7" s="1"/>
  <c r="Y453" i="7"/>
  <c r="AA453" i="7" s="1"/>
  <c r="P453" i="7"/>
  <c r="H453" i="7"/>
  <c r="L453" i="7" s="1"/>
  <c r="G453" i="7"/>
  <c r="K453" i="7" s="1"/>
  <c r="AM452" i="7"/>
  <c r="AH452" i="7"/>
  <c r="AS452" i="7" s="1"/>
  <c r="Y452" i="7"/>
  <c r="X452" i="7" s="1"/>
  <c r="P452" i="7"/>
  <c r="H452" i="7"/>
  <c r="L452" i="7" s="1"/>
  <c r="G452" i="7"/>
  <c r="K452" i="7" s="1"/>
  <c r="AO451" i="7"/>
  <c r="AM451" i="7"/>
  <c r="AH451" i="7"/>
  <c r="AS451" i="7" s="1"/>
  <c r="Y451" i="7"/>
  <c r="Z451" i="7" s="1"/>
  <c r="P451" i="7"/>
  <c r="H451" i="7"/>
  <c r="L451" i="7" s="1"/>
  <c r="G451" i="7"/>
  <c r="K451" i="7" s="1"/>
  <c r="AM450" i="7"/>
  <c r="AH450" i="7"/>
  <c r="AS450" i="7" s="1"/>
  <c r="Y450" i="7"/>
  <c r="P450" i="7"/>
  <c r="H450" i="7"/>
  <c r="L450" i="7" s="1"/>
  <c r="G450" i="7"/>
  <c r="K450" i="7" s="1"/>
  <c r="AO449" i="7"/>
  <c r="AM449" i="7"/>
  <c r="AH449" i="7"/>
  <c r="AS449" i="7" s="1"/>
  <c r="Y449" i="7"/>
  <c r="Z449" i="7" s="1"/>
  <c r="P449" i="7"/>
  <c r="H449" i="7"/>
  <c r="L449" i="7" s="1"/>
  <c r="G449" i="7"/>
  <c r="K449" i="7" s="1"/>
  <c r="AO448" i="7"/>
  <c r="AH448" i="7"/>
  <c r="AS448" i="7" s="1"/>
  <c r="Y448" i="7"/>
  <c r="P448" i="7"/>
  <c r="H448" i="7"/>
  <c r="L448" i="7" s="1"/>
  <c r="G448" i="7"/>
  <c r="K448" i="7" s="1"/>
  <c r="AO447" i="7"/>
  <c r="AH447" i="7"/>
  <c r="AS447" i="7" s="1"/>
  <c r="Y447" i="7"/>
  <c r="P447" i="7"/>
  <c r="H447" i="7"/>
  <c r="L447" i="7" s="1"/>
  <c r="G447" i="7"/>
  <c r="K447" i="7" s="1"/>
  <c r="AO446" i="7"/>
  <c r="AM446" i="7"/>
  <c r="AH446" i="7"/>
  <c r="AS446" i="7" s="1"/>
  <c r="Y446" i="7"/>
  <c r="X446" i="7" s="1"/>
  <c r="P446" i="7"/>
  <c r="H446" i="7"/>
  <c r="L446" i="7" s="1"/>
  <c r="G446" i="7"/>
  <c r="K446" i="7" s="1"/>
  <c r="AO445" i="7"/>
  <c r="AH445" i="7"/>
  <c r="AS445" i="7" s="1"/>
  <c r="Y445" i="7"/>
  <c r="P445" i="7"/>
  <c r="H445" i="7"/>
  <c r="L445" i="7" s="1"/>
  <c r="G445" i="7"/>
  <c r="K445" i="7" s="1"/>
  <c r="AO444" i="7"/>
  <c r="AH444" i="7"/>
  <c r="AS444" i="7" s="1"/>
  <c r="Y444" i="7"/>
  <c r="X444" i="7" s="1"/>
  <c r="P444" i="7"/>
  <c r="H444" i="7"/>
  <c r="L444" i="7" s="1"/>
  <c r="G444" i="7"/>
  <c r="K444" i="7" s="1"/>
  <c r="AO443" i="7"/>
  <c r="AH443" i="7"/>
  <c r="AS443" i="7" s="1"/>
  <c r="Y443" i="7"/>
  <c r="AA443" i="7" s="1"/>
  <c r="P443" i="7"/>
  <c r="H443" i="7"/>
  <c r="L443" i="7" s="1"/>
  <c r="G443" i="7"/>
  <c r="K443" i="7" s="1"/>
  <c r="AO442" i="7"/>
  <c r="AM442" i="7"/>
  <c r="AH442" i="7"/>
  <c r="AS442" i="7" s="1"/>
  <c r="Y442" i="7"/>
  <c r="AA442" i="7" s="1"/>
  <c r="P442" i="7"/>
  <c r="H442" i="7"/>
  <c r="L442" i="7" s="1"/>
  <c r="G442" i="7"/>
  <c r="K442" i="7" s="1"/>
  <c r="AH441" i="7"/>
  <c r="Y441" i="7"/>
  <c r="P441" i="7"/>
  <c r="H441" i="7"/>
  <c r="G441" i="7"/>
  <c r="AO440" i="7"/>
  <c r="AM440" i="7"/>
  <c r="AH440" i="7"/>
  <c r="AS440" i="7" s="1"/>
  <c r="Y440" i="7"/>
  <c r="Z440" i="7" s="1"/>
  <c r="P440" i="7"/>
  <c r="H440" i="7"/>
  <c r="L440" i="7" s="1"/>
  <c r="G440" i="7"/>
  <c r="K440" i="7" s="1"/>
  <c r="AH439" i="7"/>
  <c r="AS439" i="7" s="1"/>
  <c r="Y439" i="7"/>
  <c r="Z439" i="7" s="1"/>
  <c r="P439" i="7"/>
  <c r="H439" i="7"/>
  <c r="L439" i="7" s="1"/>
  <c r="G439" i="7"/>
  <c r="K439" i="7" s="1"/>
  <c r="AO438" i="7"/>
  <c r="AM438" i="7"/>
  <c r="AH438" i="7"/>
  <c r="AS438" i="7" s="1"/>
  <c r="Y438" i="7"/>
  <c r="AA438" i="7" s="1"/>
  <c r="P438" i="7"/>
  <c r="H438" i="7"/>
  <c r="L438" i="7" s="1"/>
  <c r="G438" i="7"/>
  <c r="K438" i="7" s="1"/>
  <c r="AO437" i="7"/>
  <c r="AH437" i="7"/>
  <c r="AS437" i="7" s="1"/>
  <c r="Y437" i="7"/>
  <c r="X437" i="7" s="1"/>
  <c r="P437" i="7"/>
  <c r="H437" i="7"/>
  <c r="L437" i="7" s="1"/>
  <c r="G437" i="7"/>
  <c r="K437" i="7" s="1"/>
  <c r="AH436" i="7"/>
  <c r="AS436" i="7" s="1"/>
  <c r="Y436" i="7"/>
  <c r="P436" i="7"/>
  <c r="H436" i="7"/>
  <c r="L436" i="7" s="1"/>
  <c r="G436" i="7"/>
  <c r="K436" i="7" s="1"/>
  <c r="AH435" i="7"/>
  <c r="AS435" i="7" s="1"/>
  <c r="Y435" i="7"/>
  <c r="P435" i="7"/>
  <c r="H435" i="7"/>
  <c r="L435" i="7" s="1"/>
  <c r="G435" i="7"/>
  <c r="K435" i="7" s="1"/>
  <c r="AH434" i="7"/>
  <c r="AS434" i="7" s="1"/>
  <c r="Y434" i="7"/>
  <c r="P434" i="7"/>
  <c r="H434" i="7"/>
  <c r="L434" i="7" s="1"/>
  <c r="G434" i="7"/>
  <c r="K434" i="7" s="1"/>
  <c r="AH433" i="7"/>
  <c r="AS433" i="7" s="1"/>
  <c r="Y433" i="7"/>
  <c r="P433" i="7"/>
  <c r="H433" i="7"/>
  <c r="L433" i="7" s="1"/>
  <c r="G433" i="7"/>
  <c r="K433" i="7" s="1"/>
  <c r="AH432" i="7"/>
  <c r="AS432" i="7" s="1"/>
  <c r="Y432" i="7"/>
  <c r="Z432" i="7" s="1"/>
  <c r="P432" i="7"/>
  <c r="H432" i="7"/>
  <c r="L432" i="7" s="1"/>
  <c r="G432" i="7"/>
  <c r="K432" i="7" s="1"/>
  <c r="AH431" i="7"/>
  <c r="AS431" i="7" s="1"/>
  <c r="Y431" i="7"/>
  <c r="P431" i="7"/>
  <c r="H431" i="7"/>
  <c r="L431" i="7" s="1"/>
  <c r="G431" i="7"/>
  <c r="K431" i="7" s="1"/>
  <c r="AH430" i="7"/>
  <c r="AS430" i="7" s="1"/>
  <c r="Y430" i="7"/>
  <c r="X430" i="7" s="1"/>
  <c r="P430" i="7"/>
  <c r="H430" i="7"/>
  <c r="L430" i="7" s="1"/>
  <c r="G430" i="7"/>
  <c r="K430" i="7" s="1"/>
  <c r="AH429" i="7"/>
  <c r="AS429" i="7" s="1"/>
  <c r="Y429" i="7"/>
  <c r="AA429" i="7" s="1"/>
  <c r="P429" i="7"/>
  <c r="H429" i="7"/>
  <c r="L429" i="7" s="1"/>
  <c r="G429" i="7"/>
  <c r="K429" i="7" s="1"/>
  <c r="AO428" i="7"/>
  <c r="AM428" i="7"/>
  <c r="AH428" i="7"/>
  <c r="AS428" i="7" s="1"/>
  <c r="Y428" i="7"/>
  <c r="X428" i="7" s="1"/>
  <c r="P428" i="7"/>
  <c r="H428" i="7"/>
  <c r="L428" i="7" s="1"/>
  <c r="G428" i="7"/>
  <c r="K428" i="7" s="1"/>
  <c r="AM427" i="7"/>
  <c r="AH427" i="7"/>
  <c r="AS427" i="7" s="1"/>
  <c r="Y427" i="7"/>
  <c r="X427" i="7" s="1"/>
  <c r="P427" i="7"/>
  <c r="H427" i="7"/>
  <c r="L427" i="7" s="1"/>
  <c r="G427" i="7"/>
  <c r="K427" i="7" s="1"/>
  <c r="AO426" i="7"/>
  <c r="AM426" i="7"/>
  <c r="AH426" i="7"/>
  <c r="AS426" i="7" s="1"/>
  <c r="Y426" i="7"/>
  <c r="AA426" i="7" s="1"/>
  <c r="P426" i="7"/>
  <c r="H426" i="7"/>
  <c r="L426" i="7" s="1"/>
  <c r="G426" i="7"/>
  <c r="K426" i="7" s="1"/>
  <c r="AM425" i="7"/>
  <c r="AH425" i="7"/>
  <c r="AS425" i="7" s="1"/>
  <c r="Y425" i="7"/>
  <c r="AA425" i="7" s="1"/>
  <c r="P425" i="7"/>
  <c r="H425" i="7"/>
  <c r="L425" i="7" s="1"/>
  <c r="G425" i="7"/>
  <c r="K425" i="7" s="1"/>
  <c r="AO424" i="7"/>
  <c r="AM424" i="7"/>
  <c r="AH424" i="7"/>
  <c r="AS424" i="7" s="1"/>
  <c r="Y424" i="7"/>
  <c r="AA424" i="7" s="1"/>
  <c r="P424" i="7"/>
  <c r="H424" i="7"/>
  <c r="L424" i="7" s="1"/>
  <c r="G424" i="7"/>
  <c r="K424" i="7" s="1"/>
  <c r="AH423" i="7"/>
  <c r="AS423" i="7" s="1"/>
  <c r="Y423" i="7"/>
  <c r="Z423" i="7" s="1"/>
  <c r="P423" i="7"/>
  <c r="H423" i="7"/>
  <c r="L423" i="7" s="1"/>
  <c r="G423" i="7"/>
  <c r="K423" i="7" s="1"/>
  <c r="AH422" i="7"/>
  <c r="AS422" i="7" s="1"/>
  <c r="Y422" i="7"/>
  <c r="Z422" i="7" s="1"/>
  <c r="P422" i="7"/>
  <c r="H422" i="7"/>
  <c r="L422" i="7" s="1"/>
  <c r="G422" i="7"/>
  <c r="K422" i="7" s="1"/>
  <c r="AH421" i="7"/>
  <c r="AS421" i="7" s="1"/>
  <c r="Y421" i="7"/>
  <c r="AA421" i="7" s="1"/>
  <c r="P421" i="7"/>
  <c r="H421" i="7"/>
  <c r="L421" i="7" s="1"/>
  <c r="G421" i="7"/>
  <c r="K421" i="7" s="1"/>
  <c r="AO420" i="7"/>
  <c r="AM420" i="7"/>
  <c r="AH420" i="7"/>
  <c r="AS420" i="7" s="1"/>
  <c r="Y420" i="7"/>
  <c r="AA420" i="7" s="1"/>
  <c r="P420" i="7"/>
  <c r="H420" i="7"/>
  <c r="L420" i="7" s="1"/>
  <c r="G420" i="7"/>
  <c r="K420" i="7" s="1"/>
  <c r="AH419" i="7"/>
  <c r="Y419" i="7"/>
  <c r="P419" i="7"/>
  <c r="H419" i="7"/>
  <c r="G419" i="7"/>
  <c r="AH418" i="7"/>
  <c r="Y418" i="7"/>
  <c r="AA418" i="7" s="1"/>
  <c r="P418" i="7"/>
  <c r="H418" i="7"/>
  <c r="G418" i="7"/>
  <c r="AH417" i="7"/>
  <c r="Y417" i="7"/>
  <c r="X417" i="7" s="1"/>
  <c r="P417" i="7"/>
  <c r="H417" i="7"/>
  <c r="G417" i="7"/>
  <c r="AH416" i="7"/>
  <c r="Y416" i="7"/>
  <c r="AA416" i="7" s="1"/>
  <c r="P416" i="7"/>
  <c r="H416" i="7"/>
  <c r="G416" i="7"/>
  <c r="AO415" i="7"/>
  <c r="AM415" i="7"/>
  <c r="AH415" i="7"/>
  <c r="AS415" i="7" s="1"/>
  <c r="Y415" i="7"/>
  <c r="Z415" i="7" s="1"/>
  <c r="P415" i="7"/>
  <c r="H415" i="7"/>
  <c r="L415" i="7" s="1"/>
  <c r="G415" i="7"/>
  <c r="K415" i="7" s="1"/>
  <c r="AH414" i="7"/>
  <c r="AS414" i="7" s="1"/>
  <c r="Y414" i="7"/>
  <c r="P414" i="7"/>
  <c r="H414" i="7"/>
  <c r="L414" i="7" s="1"/>
  <c r="G414" i="7"/>
  <c r="K414" i="7" s="1"/>
  <c r="AH413" i="7"/>
  <c r="AS413" i="7" s="1"/>
  <c r="Y413" i="7"/>
  <c r="X413" i="7" s="1"/>
  <c r="P413" i="7"/>
  <c r="H413" i="7"/>
  <c r="L413" i="7" s="1"/>
  <c r="G413" i="7"/>
  <c r="K413" i="7" s="1"/>
  <c r="AH412" i="7"/>
  <c r="AS412" i="7" s="1"/>
  <c r="Y412" i="7"/>
  <c r="AA412" i="7" s="1"/>
  <c r="P412" i="7"/>
  <c r="H412" i="7"/>
  <c r="L412" i="7" s="1"/>
  <c r="G412" i="7"/>
  <c r="K412" i="7" s="1"/>
  <c r="AH411" i="7"/>
  <c r="AS411" i="7" s="1"/>
  <c r="Y411" i="7"/>
  <c r="Z411" i="7" s="1"/>
  <c r="P411" i="7"/>
  <c r="H411" i="7"/>
  <c r="L411" i="7" s="1"/>
  <c r="G411" i="7"/>
  <c r="K411" i="7" s="1"/>
  <c r="AH410" i="7"/>
  <c r="AS410" i="7" s="1"/>
  <c r="Y410" i="7"/>
  <c r="P410" i="7"/>
  <c r="H410" i="7"/>
  <c r="L410" i="7" s="1"/>
  <c r="G410" i="7"/>
  <c r="K410" i="7" s="1"/>
  <c r="AH409" i="7"/>
  <c r="AS409" i="7" s="1"/>
  <c r="Y409" i="7"/>
  <c r="AA409" i="7" s="1"/>
  <c r="P409" i="7"/>
  <c r="H409" i="7"/>
  <c r="L409" i="7" s="1"/>
  <c r="G409" i="7"/>
  <c r="K409" i="7" s="1"/>
  <c r="AO408" i="7"/>
  <c r="AM408" i="7"/>
  <c r="AH408" i="7"/>
  <c r="AS408" i="7" s="1"/>
  <c r="Y408" i="7"/>
  <c r="AA408" i="7" s="1"/>
  <c r="P408" i="7"/>
  <c r="H408" i="7"/>
  <c r="L408" i="7" s="1"/>
  <c r="G408" i="7"/>
  <c r="K408" i="7" s="1"/>
  <c r="AO407" i="7"/>
  <c r="AM407" i="7"/>
  <c r="AH407" i="7"/>
  <c r="AS407" i="7" s="1"/>
  <c r="Y407" i="7"/>
  <c r="X407" i="7" s="1"/>
  <c r="P407" i="7"/>
  <c r="H407" i="7"/>
  <c r="L407" i="7" s="1"/>
  <c r="G407" i="7"/>
  <c r="K407" i="7" s="1"/>
  <c r="AM406" i="7"/>
  <c r="AH406" i="7"/>
  <c r="AS406" i="7" s="1"/>
  <c r="Y406" i="7"/>
  <c r="Z406" i="7" s="1"/>
  <c r="P406" i="7"/>
  <c r="H406" i="7"/>
  <c r="L406" i="7" s="1"/>
  <c r="G406" i="7"/>
  <c r="K406" i="7" s="1"/>
  <c r="AM405" i="7"/>
  <c r="AH405" i="7"/>
  <c r="AS405" i="7" s="1"/>
  <c r="Y405" i="7"/>
  <c r="X405" i="7" s="1"/>
  <c r="P405" i="7"/>
  <c r="H405" i="7"/>
  <c r="L405" i="7" s="1"/>
  <c r="G405" i="7"/>
  <c r="K405" i="7" s="1"/>
  <c r="AM404" i="7"/>
  <c r="AH404" i="7"/>
  <c r="AS404" i="7" s="1"/>
  <c r="Y404" i="7"/>
  <c r="P404" i="7"/>
  <c r="H404" i="7"/>
  <c r="L404" i="7" s="1"/>
  <c r="G404" i="7"/>
  <c r="K404" i="7" s="1"/>
  <c r="AM403" i="7"/>
  <c r="AH403" i="7"/>
  <c r="AS403" i="7" s="1"/>
  <c r="Y403" i="7"/>
  <c r="Z403" i="7" s="1"/>
  <c r="P403" i="7"/>
  <c r="H403" i="7"/>
  <c r="L403" i="7" s="1"/>
  <c r="G403" i="7"/>
  <c r="K403" i="7" s="1"/>
  <c r="AM402" i="7"/>
  <c r="AH402" i="7"/>
  <c r="AS402" i="7" s="1"/>
  <c r="Y402" i="7"/>
  <c r="X402" i="7" s="1"/>
  <c r="P402" i="7"/>
  <c r="H402" i="7"/>
  <c r="L402" i="7" s="1"/>
  <c r="G402" i="7"/>
  <c r="K402" i="7" s="1"/>
  <c r="AM401" i="7"/>
  <c r="AH401" i="7"/>
  <c r="AS401" i="7" s="1"/>
  <c r="Y401" i="7"/>
  <c r="AA401" i="7" s="1"/>
  <c r="P401" i="7"/>
  <c r="H401" i="7"/>
  <c r="L401" i="7" s="1"/>
  <c r="G401" i="7"/>
  <c r="K401" i="7" s="1"/>
  <c r="AM400" i="7"/>
  <c r="AH400" i="7"/>
  <c r="AS400" i="7" s="1"/>
  <c r="Y400" i="7"/>
  <c r="Z400" i="7" s="1"/>
  <c r="P400" i="7"/>
  <c r="H400" i="7"/>
  <c r="L400" i="7" s="1"/>
  <c r="G400" i="7"/>
  <c r="K400" i="7" s="1"/>
  <c r="AM399" i="7"/>
  <c r="AH399" i="7"/>
  <c r="AS399" i="7" s="1"/>
  <c r="Y399" i="7"/>
  <c r="AA399" i="7" s="1"/>
  <c r="P399" i="7"/>
  <c r="H399" i="7"/>
  <c r="L399" i="7" s="1"/>
  <c r="G399" i="7"/>
  <c r="K399" i="7" s="1"/>
  <c r="AM398" i="7"/>
  <c r="AH398" i="7"/>
  <c r="AS398" i="7" s="1"/>
  <c r="Y398" i="7"/>
  <c r="P398" i="7"/>
  <c r="H398" i="7"/>
  <c r="L398" i="7" s="1"/>
  <c r="G398" i="7"/>
  <c r="K398" i="7" s="1"/>
  <c r="AM397" i="7"/>
  <c r="AH397" i="7"/>
  <c r="AS397" i="7" s="1"/>
  <c r="Y397" i="7"/>
  <c r="X397" i="7" s="1"/>
  <c r="P397" i="7"/>
  <c r="H397" i="7"/>
  <c r="L397" i="7" s="1"/>
  <c r="G397" i="7"/>
  <c r="K397" i="7" s="1"/>
  <c r="AM396" i="7"/>
  <c r="AH396" i="7"/>
  <c r="AS396" i="7" s="1"/>
  <c r="Y396" i="7"/>
  <c r="P396" i="7"/>
  <c r="H396" i="7"/>
  <c r="L396" i="7" s="1"/>
  <c r="G396" i="7"/>
  <c r="K396" i="7" s="1"/>
  <c r="AO395" i="7"/>
  <c r="AM395" i="7"/>
  <c r="AH395" i="7"/>
  <c r="AS395" i="7" s="1"/>
  <c r="Y395" i="7"/>
  <c r="P395" i="7"/>
  <c r="H395" i="7"/>
  <c r="L395" i="7" s="1"/>
  <c r="G395" i="7"/>
  <c r="K395" i="7" s="1"/>
  <c r="AM394" i="7"/>
  <c r="AH394" i="7"/>
  <c r="AS394" i="7" s="1"/>
  <c r="Y394" i="7"/>
  <c r="AA394" i="7" s="1"/>
  <c r="P394" i="7"/>
  <c r="H394" i="7"/>
  <c r="L394" i="7" s="1"/>
  <c r="G394" i="7"/>
  <c r="K394" i="7" s="1"/>
  <c r="AM393" i="7"/>
  <c r="AH393" i="7"/>
  <c r="AS393" i="7" s="1"/>
  <c r="Y393" i="7"/>
  <c r="P393" i="7"/>
  <c r="H393" i="7"/>
  <c r="L393" i="7" s="1"/>
  <c r="G393" i="7"/>
  <c r="K393" i="7" s="1"/>
  <c r="AM392" i="7"/>
  <c r="AH392" i="7"/>
  <c r="AS392" i="7" s="1"/>
  <c r="Y392" i="7"/>
  <c r="AA392" i="7" s="1"/>
  <c r="P392" i="7"/>
  <c r="H392" i="7"/>
  <c r="L392" i="7" s="1"/>
  <c r="G392" i="7"/>
  <c r="K392" i="7" s="1"/>
  <c r="AM391" i="7"/>
  <c r="AH391" i="7"/>
  <c r="AS391" i="7" s="1"/>
  <c r="Y391" i="7"/>
  <c r="Z391" i="7" s="1"/>
  <c r="P391" i="7"/>
  <c r="H391" i="7"/>
  <c r="L391" i="7" s="1"/>
  <c r="G391" i="7"/>
  <c r="K391" i="7" s="1"/>
  <c r="AM390" i="7"/>
  <c r="AH390" i="7"/>
  <c r="AS390" i="7" s="1"/>
  <c r="Y390" i="7"/>
  <c r="AA390" i="7" s="1"/>
  <c r="P390" i="7"/>
  <c r="H390" i="7"/>
  <c r="L390" i="7" s="1"/>
  <c r="G390" i="7"/>
  <c r="K390" i="7" s="1"/>
  <c r="AO389" i="7"/>
  <c r="AM389" i="7"/>
  <c r="AH389" i="7"/>
  <c r="AS389" i="7" s="1"/>
  <c r="Y389" i="7"/>
  <c r="P389" i="7"/>
  <c r="H389" i="7"/>
  <c r="L389" i="7" s="1"/>
  <c r="G389" i="7"/>
  <c r="K389" i="7" s="1"/>
  <c r="AM388" i="7"/>
  <c r="AH388" i="7"/>
  <c r="AS388" i="7" s="1"/>
  <c r="Y388" i="7"/>
  <c r="Z388" i="7" s="1"/>
  <c r="P388" i="7"/>
  <c r="H388" i="7"/>
  <c r="L388" i="7" s="1"/>
  <c r="G388" i="7"/>
  <c r="K388" i="7" s="1"/>
  <c r="AM387" i="7"/>
  <c r="AH387" i="7"/>
  <c r="AS387" i="7" s="1"/>
  <c r="Y387" i="7"/>
  <c r="P387" i="7"/>
  <c r="H387" i="7"/>
  <c r="L387" i="7" s="1"/>
  <c r="G387" i="7"/>
  <c r="K387" i="7" s="1"/>
  <c r="AM386" i="7"/>
  <c r="AH386" i="7"/>
  <c r="AS386" i="7" s="1"/>
  <c r="Y386" i="7"/>
  <c r="X386" i="7" s="1"/>
  <c r="P386" i="7"/>
  <c r="H386" i="7"/>
  <c r="L386" i="7" s="1"/>
  <c r="G386" i="7"/>
  <c r="K386" i="7" s="1"/>
  <c r="AO385" i="7"/>
  <c r="AM385" i="7"/>
  <c r="AH385" i="7"/>
  <c r="AS385" i="7" s="1"/>
  <c r="Y385" i="7"/>
  <c r="AA385" i="7" s="1"/>
  <c r="P385" i="7"/>
  <c r="H385" i="7"/>
  <c r="L385" i="7" s="1"/>
  <c r="G385" i="7"/>
  <c r="K385" i="7" s="1"/>
  <c r="AO384" i="7"/>
  <c r="AM384" i="7"/>
  <c r="AH384" i="7"/>
  <c r="AS384" i="7" s="1"/>
  <c r="Y384" i="7"/>
  <c r="AA384" i="7" s="1"/>
  <c r="P384" i="7"/>
  <c r="H384" i="7"/>
  <c r="L384" i="7" s="1"/>
  <c r="G384" i="7"/>
  <c r="K384" i="7" s="1"/>
  <c r="AH383" i="7"/>
  <c r="AS383" i="7" s="1"/>
  <c r="Y383" i="7"/>
  <c r="Z383" i="7" s="1"/>
  <c r="P383" i="7"/>
  <c r="H383" i="7"/>
  <c r="L383" i="7" s="1"/>
  <c r="G383" i="7"/>
  <c r="K383" i="7" s="1"/>
  <c r="AO382" i="7"/>
  <c r="AM382" i="7"/>
  <c r="AH382" i="7"/>
  <c r="AS382" i="7" s="1"/>
  <c r="Y382" i="7"/>
  <c r="AA382" i="7" s="1"/>
  <c r="P382" i="7"/>
  <c r="H382" i="7"/>
  <c r="L382" i="7" s="1"/>
  <c r="G382" i="7"/>
  <c r="K382" i="7" s="1"/>
  <c r="AH381" i="7"/>
  <c r="AS381" i="7" s="1"/>
  <c r="Y381" i="7"/>
  <c r="P381" i="7"/>
  <c r="H381" i="7"/>
  <c r="L381" i="7" s="1"/>
  <c r="G381" i="7"/>
  <c r="K381" i="7" s="1"/>
  <c r="AH380" i="7"/>
  <c r="AS380" i="7" s="1"/>
  <c r="Y380" i="7"/>
  <c r="P380" i="7"/>
  <c r="H380" i="7"/>
  <c r="L380" i="7" s="1"/>
  <c r="G380" i="7"/>
  <c r="K380" i="7" s="1"/>
  <c r="AH379" i="7"/>
  <c r="AS379" i="7" s="1"/>
  <c r="Y379" i="7"/>
  <c r="X379" i="7" s="1"/>
  <c r="P379" i="7"/>
  <c r="H379" i="7"/>
  <c r="L379" i="7" s="1"/>
  <c r="G379" i="7"/>
  <c r="K379" i="7" s="1"/>
  <c r="AH378" i="7"/>
  <c r="AS378" i="7" s="1"/>
  <c r="Y378" i="7"/>
  <c r="X378" i="7" s="1"/>
  <c r="P378" i="7"/>
  <c r="H378" i="7"/>
  <c r="L378" i="7" s="1"/>
  <c r="G378" i="7"/>
  <c r="K378" i="7" s="1"/>
  <c r="AH377" i="7"/>
  <c r="AS377" i="7" s="1"/>
  <c r="Y377" i="7"/>
  <c r="AA377" i="7" s="1"/>
  <c r="P377" i="7"/>
  <c r="H377" i="7"/>
  <c r="L377" i="7" s="1"/>
  <c r="G377" i="7"/>
  <c r="K377" i="7" s="1"/>
  <c r="AH376" i="7"/>
  <c r="AS376" i="7" s="1"/>
  <c r="Y376" i="7"/>
  <c r="AA376" i="7" s="1"/>
  <c r="P376" i="7"/>
  <c r="H376" i="7"/>
  <c r="L376" i="7" s="1"/>
  <c r="G376" i="7"/>
  <c r="K376" i="7" s="1"/>
  <c r="AH375" i="7"/>
  <c r="AS375" i="7" s="1"/>
  <c r="Y375" i="7"/>
  <c r="P375" i="7"/>
  <c r="H375" i="7"/>
  <c r="L375" i="7" s="1"/>
  <c r="G375" i="7"/>
  <c r="K375" i="7" s="1"/>
  <c r="AH374" i="7"/>
  <c r="AS374" i="7" s="1"/>
  <c r="Y374" i="7"/>
  <c r="Z374" i="7" s="1"/>
  <c r="P374" i="7"/>
  <c r="H374" i="7"/>
  <c r="L374" i="7" s="1"/>
  <c r="G374" i="7"/>
  <c r="K374" i="7" s="1"/>
  <c r="AH373" i="7"/>
  <c r="AS373" i="7" s="1"/>
  <c r="Y373" i="7"/>
  <c r="AA373" i="7" s="1"/>
  <c r="P373" i="7"/>
  <c r="H373" i="7"/>
  <c r="L373" i="7" s="1"/>
  <c r="G373" i="7"/>
  <c r="K373" i="7" s="1"/>
  <c r="AH372" i="7"/>
  <c r="AS372" i="7" s="1"/>
  <c r="Y372" i="7"/>
  <c r="AA372" i="7" s="1"/>
  <c r="P372" i="7"/>
  <c r="H372" i="7"/>
  <c r="L372" i="7" s="1"/>
  <c r="G372" i="7"/>
  <c r="K372" i="7" s="1"/>
  <c r="AH371" i="7"/>
  <c r="AS371" i="7" s="1"/>
  <c r="Y371" i="7"/>
  <c r="Z371" i="7" s="1"/>
  <c r="P371" i="7"/>
  <c r="H371" i="7"/>
  <c r="L371" i="7" s="1"/>
  <c r="G371" i="7"/>
  <c r="K371" i="7" s="1"/>
  <c r="AH370" i="7"/>
  <c r="AS370" i="7" s="1"/>
  <c r="Y370" i="7"/>
  <c r="P370" i="7"/>
  <c r="H370" i="7"/>
  <c r="L370" i="7" s="1"/>
  <c r="G370" i="7"/>
  <c r="K370" i="7" s="1"/>
  <c r="AH369" i="7"/>
  <c r="AS369" i="7" s="1"/>
  <c r="Y369" i="7"/>
  <c r="X369" i="7" s="1"/>
  <c r="P369" i="7"/>
  <c r="H369" i="7"/>
  <c r="L369" i="7" s="1"/>
  <c r="G369" i="7"/>
  <c r="K369" i="7" s="1"/>
  <c r="AH368" i="7"/>
  <c r="AS368" i="7" s="1"/>
  <c r="Y368" i="7"/>
  <c r="Z368" i="7" s="1"/>
  <c r="P368" i="7"/>
  <c r="H368" i="7"/>
  <c r="L368" i="7" s="1"/>
  <c r="G368" i="7"/>
  <c r="K368" i="7" s="1"/>
  <c r="AH367" i="7"/>
  <c r="AS367" i="7" s="1"/>
  <c r="Y367" i="7"/>
  <c r="Z367" i="7" s="1"/>
  <c r="P367" i="7"/>
  <c r="H367" i="7"/>
  <c r="L367" i="7" s="1"/>
  <c r="G367" i="7"/>
  <c r="K367" i="7" s="1"/>
  <c r="AH366" i="7"/>
  <c r="AS366" i="7" s="1"/>
  <c r="Y366" i="7"/>
  <c r="P366" i="7"/>
  <c r="H366" i="7"/>
  <c r="L366" i="7" s="1"/>
  <c r="G366" i="7"/>
  <c r="K366" i="7" s="1"/>
  <c r="AH365" i="7"/>
  <c r="AS365" i="7" s="1"/>
  <c r="Y365" i="7"/>
  <c r="AA365" i="7" s="1"/>
  <c r="P365" i="7"/>
  <c r="H365" i="7"/>
  <c r="L365" i="7" s="1"/>
  <c r="G365" i="7"/>
  <c r="K365" i="7" s="1"/>
  <c r="AH364" i="7"/>
  <c r="AS364" i="7" s="1"/>
  <c r="Y364" i="7"/>
  <c r="X364" i="7" s="1"/>
  <c r="P364" i="7"/>
  <c r="H364" i="7"/>
  <c r="L364" i="7" s="1"/>
  <c r="G364" i="7"/>
  <c r="K364" i="7" s="1"/>
  <c r="AO363" i="7"/>
  <c r="AM363" i="7"/>
  <c r="AH363" i="7"/>
  <c r="AS363" i="7" s="1"/>
  <c r="Y363" i="7"/>
  <c r="AA363" i="7" s="1"/>
  <c r="P363" i="7"/>
  <c r="H363" i="7"/>
  <c r="L363" i="7" s="1"/>
  <c r="G363" i="7"/>
  <c r="K363" i="7" s="1"/>
  <c r="AM362" i="7"/>
  <c r="AH362" i="7"/>
  <c r="AS362" i="7" s="1"/>
  <c r="Y362" i="7"/>
  <c r="AA362" i="7" s="1"/>
  <c r="P362" i="7"/>
  <c r="H362" i="7"/>
  <c r="L362" i="7" s="1"/>
  <c r="G362" i="7"/>
  <c r="K362" i="7" s="1"/>
  <c r="AM361" i="7"/>
  <c r="AH361" i="7"/>
  <c r="AS361" i="7" s="1"/>
  <c r="Y361" i="7"/>
  <c r="AA361" i="7" s="1"/>
  <c r="P361" i="7"/>
  <c r="H361" i="7"/>
  <c r="L361" i="7" s="1"/>
  <c r="G361" i="7"/>
  <c r="K361" i="7" s="1"/>
  <c r="AM360" i="7"/>
  <c r="AH360" i="7"/>
  <c r="AS360" i="7" s="1"/>
  <c r="Y360" i="7"/>
  <c r="P360" i="7"/>
  <c r="H360" i="7"/>
  <c r="L360" i="7" s="1"/>
  <c r="G360" i="7"/>
  <c r="K360" i="7" s="1"/>
  <c r="AM359" i="7"/>
  <c r="AH359" i="7"/>
  <c r="AS359" i="7" s="1"/>
  <c r="Y359" i="7"/>
  <c r="Z359" i="7" s="1"/>
  <c r="P359" i="7"/>
  <c r="H359" i="7"/>
  <c r="L359" i="7" s="1"/>
  <c r="G359" i="7"/>
  <c r="K359" i="7" s="1"/>
  <c r="AM358" i="7"/>
  <c r="AH358" i="7"/>
  <c r="AS358" i="7" s="1"/>
  <c r="Y358" i="7"/>
  <c r="X358" i="7" s="1"/>
  <c r="P358" i="7"/>
  <c r="H358" i="7"/>
  <c r="L358" i="7" s="1"/>
  <c r="G358" i="7"/>
  <c r="K358" i="7" s="1"/>
  <c r="AM357" i="7"/>
  <c r="AH357" i="7"/>
  <c r="AS357" i="7" s="1"/>
  <c r="Y357" i="7"/>
  <c r="Z357" i="7" s="1"/>
  <c r="P357" i="7"/>
  <c r="H357" i="7"/>
  <c r="L357" i="7" s="1"/>
  <c r="G357" i="7"/>
  <c r="K357" i="7" s="1"/>
  <c r="AM356" i="7"/>
  <c r="AH356" i="7"/>
  <c r="AS356" i="7" s="1"/>
  <c r="Y356" i="7"/>
  <c r="X356" i="7" s="1"/>
  <c r="P356" i="7"/>
  <c r="H356" i="7"/>
  <c r="L356" i="7" s="1"/>
  <c r="G356" i="7"/>
  <c r="K356" i="7" s="1"/>
  <c r="AM355" i="7"/>
  <c r="AH355" i="7"/>
  <c r="AS355" i="7" s="1"/>
  <c r="Y355" i="7"/>
  <c r="Z355" i="7" s="1"/>
  <c r="P355" i="7"/>
  <c r="H355" i="7"/>
  <c r="L355" i="7" s="1"/>
  <c r="G355" i="7"/>
  <c r="K355" i="7" s="1"/>
  <c r="AM354" i="7"/>
  <c r="AH354" i="7"/>
  <c r="AS354" i="7" s="1"/>
  <c r="Y354" i="7"/>
  <c r="AA354" i="7" s="1"/>
  <c r="P354" i="7"/>
  <c r="H354" i="7"/>
  <c r="L354" i="7" s="1"/>
  <c r="G354" i="7"/>
  <c r="K354" i="7" s="1"/>
  <c r="AM353" i="7"/>
  <c r="AH353" i="7"/>
  <c r="AS353" i="7" s="1"/>
  <c r="Y353" i="7"/>
  <c r="AA353" i="7" s="1"/>
  <c r="P353" i="7"/>
  <c r="H353" i="7"/>
  <c r="L353" i="7" s="1"/>
  <c r="G353" i="7"/>
  <c r="K353" i="7" s="1"/>
  <c r="AM352" i="7"/>
  <c r="AH352" i="7"/>
  <c r="AS352" i="7" s="1"/>
  <c r="Y352" i="7"/>
  <c r="P352" i="7"/>
  <c r="H352" i="7"/>
  <c r="L352" i="7" s="1"/>
  <c r="G352" i="7"/>
  <c r="K352" i="7" s="1"/>
  <c r="AM351" i="7"/>
  <c r="AH351" i="7"/>
  <c r="AS351" i="7" s="1"/>
  <c r="Y351" i="7"/>
  <c r="Z351" i="7" s="1"/>
  <c r="P351" i="7"/>
  <c r="H351" i="7"/>
  <c r="L351" i="7" s="1"/>
  <c r="G351" i="7"/>
  <c r="K351" i="7" s="1"/>
  <c r="AM350" i="7"/>
  <c r="AH350" i="7"/>
  <c r="AS350" i="7" s="1"/>
  <c r="Y350" i="7"/>
  <c r="X350" i="7" s="1"/>
  <c r="P350" i="7"/>
  <c r="H350" i="7"/>
  <c r="L350" i="7" s="1"/>
  <c r="G350" i="7"/>
  <c r="K350" i="7" s="1"/>
  <c r="AM349" i="7"/>
  <c r="AH349" i="7"/>
  <c r="AS349" i="7" s="1"/>
  <c r="Y349" i="7"/>
  <c r="AA349" i="7" s="1"/>
  <c r="P349" i="7"/>
  <c r="H349" i="7"/>
  <c r="L349" i="7" s="1"/>
  <c r="G349" i="7"/>
  <c r="K349" i="7" s="1"/>
  <c r="AM348" i="7"/>
  <c r="AH348" i="7"/>
  <c r="AS348" i="7" s="1"/>
  <c r="Y348" i="7"/>
  <c r="Z348" i="7" s="1"/>
  <c r="P348" i="7"/>
  <c r="H348" i="7"/>
  <c r="L348" i="7" s="1"/>
  <c r="G348" i="7"/>
  <c r="K348" i="7" s="1"/>
  <c r="AO347" i="7"/>
  <c r="AM347" i="7"/>
  <c r="AH347" i="7"/>
  <c r="AS347" i="7" s="1"/>
  <c r="Y347" i="7"/>
  <c r="AA347" i="7" s="1"/>
  <c r="P347" i="7"/>
  <c r="H347" i="7"/>
  <c r="L347" i="7" s="1"/>
  <c r="G347" i="7"/>
  <c r="K347" i="7" s="1"/>
  <c r="AM346" i="7"/>
  <c r="AH346" i="7"/>
  <c r="AS346" i="7" s="1"/>
  <c r="Y346" i="7"/>
  <c r="AA346" i="7" s="1"/>
  <c r="P346" i="7"/>
  <c r="H346" i="7"/>
  <c r="L346" i="7" s="1"/>
  <c r="G346" i="7"/>
  <c r="K346" i="7" s="1"/>
  <c r="AM345" i="7"/>
  <c r="AH345" i="7"/>
  <c r="AS345" i="7" s="1"/>
  <c r="Y345" i="7"/>
  <c r="Z345" i="7" s="1"/>
  <c r="P345" i="7"/>
  <c r="H345" i="7"/>
  <c r="L345" i="7" s="1"/>
  <c r="G345" i="7"/>
  <c r="K345" i="7" s="1"/>
  <c r="AO344" i="7"/>
  <c r="AM344" i="7"/>
  <c r="AH344" i="7"/>
  <c r="AS344" i="7" s="1"/>
  <c r="Y344" i="7"/>
  <c r="AA344" i="7" s="1"/>
  <c r="P344" i="7"/>
  <c r="H344" i="7"/>
  <c r="L344" i="7" s="1"/>
  <c r="G344" i="7"/>
  <c r="K344" i="7" s="1"/>
  <c r="AM343" i="7"/>
  <c r="AH343" i="7"/>
  <c r="AS343" i="7" s="1"/>
  <c r="Y343" i="7"/>
  <c r="P343" i="7"/>
  <c r="H343" i="7"/>
  <c r="L343" i="7" s="1"/>
  <c r="G343" i="7"/>
  <c r="K343" i="7" s="1"/>
  <c r="AM342" i="7"/>
  <c r="AH342" i="7"/>
  <c r="AS342" i="7" s="1"/>
  <c r="Y342" i="7"/>
  <c r="X342" i="7" s="1"/>
  <c r="P342" i="7"/>
  <c r="H342" i="7"/>
  <c r="L342" i="7" s="1"/>
  <c r="G342" i="7"/>
  <c r="K342" i="7" s="1"/>
  <c r="AO341" i="7"/>
  <c r="AM341" i="7"/>
  <c r="AH341" i="7"/>
  <c r="AS341" i="7" s="1"/>
  <c r="Y341" i="7"/>
  <c r="Z341" i="7" s="1"/>
  <c r="P341" i="7"/>
  <c r="H341" i="7"/>
  <c r="L341" i="7" s="1"/>
  <c r="G341" i="7"/>
  <c r="K341" i="7" s="1"/>
  <c r="AO340" i="7"/>
  <c r="AM340" i="7"/>
  <c r="AH340" i="7"/>
  <c r="AS340" i="7" s="1"/>
  <c r="Y340" i="7"/>
  <c r="AA340" i="7" s="1"/>
  <c r="P340" i="7"/>
  <c r="H340" i="7"/>
  <c r="L340" i="7" s="1"/>
  <c r="G340" i="7"/>
  <c r="K340" i="7" s="1"/>
  <c r="AO339" i="7"/>
  <c r="AM339" i="7"/>
  <c r="AH339" i="7"/>
  <c r="AS339" i="7" s="1"/>
  <c r="Y339" i="7"/>
  <c r="Z339" i="7" s="1"/>
  <c r="P339" i="7"/>
  <c r="H339" i="7"/>
  <c r="L339" i="7" s="1"/>
  <c r="G339" i="7"/>
  <c r="K339" i="7" s="1"/>
  <c r="AO338" i="7"/>
  <c r="AM338" i="7"/>
  <c r="AH338" i="7"/>
  <c r="AS338" i="7" s="1"/>
  <c r="Y338" i="7"/>
  <c r="AA338" i="7" s="1"/>
  <c r="P338" i="7"/>
  <c r="H338" i="7"/>
  <c r="L338" i="7" s="1"/>
  <c r="G338" i="7"/>
  <c r="K338" i="7" s="1"/>
  <c r="AO337" i="7"/>
  <c r="AM337" i="7"/>
  <c r="AH337" i="7"/>
  <c r="AS337" i="7" s="1"/>
  <c r="Y337" i="7"/>
  <c r="X337" i="7" s="1"/>
  <c r="P337" i="7"/>
  <c r="H337" i="7"/>
  <c r="L337" i="7" s="1"/>
  <c r="G337" i="7"/>
  <c r="K337" i="7" s="1"/>
  <c r="AO336" i="7"/>
  <c r="AM336" i="7"/>
  <c r="AH336" i="7"/>
  <c r="AS336" i="7" s="1"/>
  <c r="Y336" i="7"/>
  <c r="Z336" i="7" s="1"/>
  <c r="P336" i="7"/>
  <c r="H336" i="7"/>
  <c r="L336" i="7" s="1"/>
  <c r="G336" i="7"/>
  <c r="K336" i="7" s="1"/>
  <c r="AO335" i="7"/>
  <c r="AM335" i="7"/>
  <c r="AH335" i="7"/>
  <c r="AS335" i="7" s="1"/>
  <c r="Y335" i="7"/>
  <c r="Z335" i="7" s="1"/>
  <c r="P335" i="7"/>
  <c r="H335" i="7"/>
  <c r="L335" i="7" s="1"/>
  <c r="G335" i="7"/>
  <c r="K335" i="7" s="1"/>
  <c r="AO334" i="7"/>
  <c r="AM334" i="7"/>
  <c r="AH334" i="7"/>
  <c r="AS334" i="7" s="1"/>
  <c r="Y334" i="7"/>
  <c r="AA334" i="7" s="1"/>
  <c r="P334" i="7"/>
  <c r="H334" i="7"/>
  <c r="L334" i="7" s="1"/>
  <c r="G334" i="7"/>
  <c r="K334" i="7" s="1"/>
  <c r="AO333" i="7"/>
  <c r="AM333" i="7"/>
  <c r="AH333" i="7"/>
  <c r="AS333" i="7" s="1"/>
  <c r="Y333" i="7"/>
  <c r="AA333" i="7" s="1"/>
  <c r="P333" i="7"/>
  <c r="H333" i="7"/>
  <c r="L333" i="7" s="1"/>
  <c r="G333" i="7"/>
  <c r="K333" i="7" s="1"/>
  <c r="AO332" i="7"/>
  <c r="AM332" i="7"/>
  <c r="AH332" i="7"/>
  <c r="AS332" i="7" s="1"/>
  <c r="Y332" i="7"/>
  <c r="AA332" i="7" s="1"/>
  <c r="P332" i="7"/>
  <c r="H332" i="7"/>
  <c r="L332" i="7" s="1"/>
  <c r="G332" i="7"/>
  <c r="K332" i="7" s="1"/>
  <c r="AO331" i="7"/>
  <c r="AM331" i="7"/>
  <c r="AH331" i="7"/>
  <c r="AS331" i="7" s="1"/>
  <c r="Y331" i="7"/>
  <c r="P331" i="7"/>
  <c r="H331" i="7"/>
  <c r="L331" i="7" s="1"/>
  <c r="G331" i="7"/>
  <c r="K331" i="7" s="1"/>
  <c r="AO330" i="7"/>
  <c r="AM330" i="7"/>
  <c r="AH330" i="7"/>
  <c r="AS330" i="7" s="1"/>
  <c r="Y330" i="7"/>
  <c r="P330" i="7"/>
  <c r="H330" i="7"/>
  <c r="L330" i="7" s="1"/>
  <c r="G330" i="7"/>
  <c r="K330" i="7" s="1"/>
  <c r="AO329" i="7"/>
  <c r="AM329" i="7"/>
  <c r="AH329" i="7"/>
  <c r="AS329" i="7" s="1"/>
  <c r="Y329" i="7"/>
  <c r="Z329" i="7" s="1"/>
  <c r="P329" i="7"/>
  <c r="H329" i="7"/>
  <c r="L329" i="7" s="1"/>
  <c r="G329" i="7"/>
  <c r="K329" i="7" s="1"/>
  <c r="AO328" i="7"/>
  <c r="AM328" i="7"/>
  <c r="AH328" i="7"/>
  <c r="AS328" i="7" s="1"/>
  <c r="Y328" i="7"/>
  <c r="AA328" i="7" s="1"/>
  <c r="P328" i="7"/>
  <c r="H328" i="7"/>
  <c r="L328" i="7" s="1"/>
  <c r="G328" i="7"/>
  <c r="K328" i="7" s="1"/>
  <c r="AO327" i="7"/>
  <c r="AM327" i="7"/>
  <c r="AH327" i="7"/>
  <c r="AS327" i="7" s="1"/>
  <c r="Y327" i="7"/>
  <c r="P327" i="7"/>
  <c r="H327" i="7"/>
  <c r="L327" i="7" s="1"/>
  <c r="G327" i="7"/>
  <c r="K327" i="7" s="1"/>
  <c r="AO326" i="7"/>
  <c r="AM326" i="7"/>
  <c r="AH326" i="7"/>
  <c r="AS326" i="7" s="1"/>
  <c r="Y326" i="7"/>
  <c r="X326" i="7" s="1"/>
  <c r="P326" i="7"/>
  <c r="H326" i="7"/>
  <c r="L326" i="7" s="1"/>
  <c r="G326" i="7"/>
  <c r="K326" i="7" s="1"/>
  <c r="AO325" i="7"/>
  <c r="AM325" i="7"/>
  <c r="AH325" i="7"/>
  <c r="AS325" i="7" s="1"/>
  <c r="Y325" i="7"/>
  <c r="Z325" i="7" s="1"/>
  <c r="P325" i="7"/>
  <c r="H325" i="7"/>
  <c r="L325" i="7" s="1"/>
  <c r="G325" i="7"/>
  <c r="K325" i="7" s="1"/>
  <c r="AO324" i="7"/>
  <c r="AM324" i="7"/>
  <c r="AH324" i="7"/>
  <c r="AS324" i="7" s="1"/>
  <c r="Y324" i="7"/>
  <c r="X324" i="7" s="1"/>
  <c r="P324" i="7"/>
  <c r="H324" i="7"/>
  <c r="L324" i="7" s="1"/>
  <c r="G324" i="7"/>
  <c r="K324" i="7" s="1"/>
  <c r="AO323" i="7"/>
  <c r="AM323" i="7"/>
  <c r="AH323" i="7"/>
  <c r="AS323" i="7" s="1"/>
  <c r="Y323" i="7"/>
  <c r="AA323" i="7" s="1"/>
  <c r="P323" i="7"/>
  <c r="H323" i="7"/>
  <c r="L323" i="7" s="1"/>
  <c r="G323" i="7"/>
  <c r="K323" i="7" s="1"/>
  <c r="AO322" i="7"/>
  <c r="AM322" i="7"/>
  <c r="AH322" i="7"/>
  <c r="AS322" i="7" s="1"/>
  <c r="Y322" i="7"/>
  <c r="P322" i="7"/>
  <c r="H322" i="7"/>
  <c r="L322" i="7" s="1"/>
  <c r="G322" i="7"/>
  <c r="K322" i="7" s="1"/>
  <c r="AO321" i="7"/>
  <c r="AM321" i="7"/>
  <c r="AH321" i="7"/>
  <c r="AS321" i="7" s="1"/>
  <c r="Y321" i="7"/>
  <c r="AA321" i="7" s="1"/>
  <c r="P321" i="7"/>
  <c r="H321" i="7"/>
  <c r="L321" i="7" s="1"/>
  <c r="G321" i="7"/>
  <c r="K321" i="7" s="1"/>
  <c r="AO320" i="7"/>
  <c r="AM320" i="7"/>
  <c r="AH320" i="7"/>
  <c r="AS320" i="7" s="1"/>
  <c r="Y320" i="7"/>
  <c r="AA320" i="7" s="1"/>
  <c r="P320" i="7"/>
  <c r="H320" i="7"/>
  <c r="L320" i="7" s="1"/>
  <c r="G320" i="7"/>
  <c r="K320" i="7" s="1"/>
  <c r="AO319" i="7"/>
  <c r="AM319" i="7"/>
  <c r="AH319" i="7"/>
  <c r="AS319" i="7" s="1"/>
  <c r="Y319" i="7"/>
  <c r="Z319" i="7" s="1"/>
  <c r="P319" i="7"/>
  <c r="H319" i="7"/>
  <c r="L319" i="7" s="1"/>
  <c r="G319" i="7"/>
  <c r="K319" i="7" s="1"/>
  <c r="AO318" i="7"/>
  <c r="AM318" i="7"/>
  <c r="AH318" i="7"/>
  <c r="AS318" i="7" s="1"/>
  <c r="Y318" i="7"/>
  <c r="AA318" i="7" s="1"/>
  <c r="P318" i="7"/>
  <c r="H318" i="7"/>
  <c r="L318" i="7" s="1"/>
  <c r="G318" i="7"/>
  <c r="K318" i="7" s="1"/>
  <c r="AO317" i="7"/>
  <c r="AM317" i="7"/>
  <c r="AH317" i="7"/>
  <c r="AS317" i="7" s="1"/>
  <c r="Y317" i="7"/>
  <c r="AA317" i="7" s="1"/>
  <c r="P317" i="7"/>
  <c r="H317" i="7"/>
  <c r="L317" i="7" s="1"/>
  <c r="G317" i="7"/>
  <c r="K317" i="7" s="1"/>
  <c r="AO316" i="7"/>
  <c r="AM316" i="7"/>
  <c r="AH316" i="7"/>
  <c r="AS316" i="7" s="1"/>
  <c r="Y316" i="7"/>
  <c r="Z316" i="7" s="1"/>
  <c r="P316" i="7"/>
  <c r="H316" i="7"/>
  <c r="L316" i="7" s="1"/>
  <c r="G316" i="7"/>
  <c r="K316" i="7" s="1"/>
  <c r="AO315" i="7"/>
  <c r="AM315" i="7"/>
  <c r="AH315" i="7"/>
  <c r="AS315" i="7" s="1"/>
  <c r="Y315" i="7"/>
  <c r="P315" i="7"/>
  <c r="H315" i="7"/>
  <c r="L315" i="7" s="1"/>
  <c r="G315" i="7"/>
  <c r="K315" i="7" s="1"/>
  <c r="AO314" i="7"/>
  <c r="AM314" i="7"/>
  <c r="AH314" i="7"/>
  <c r="AS314" i="7" s="1"/>
  <c r="Y314" i="7"/>
  <c r="AA314" i="7" s="1"/>
  <c r="P314" i="7"/>
  <c r="H314" i="7"/>
  <c r="L314" i="7" s="1"/>
  <c r="G314" i="7"/>
  <c r="K314" i="7" s="1"/>
  <c r="AO313" i="7"/>
  <c r="AM313" i="7"/>
  <c r="AH313" i="7"/>
  <c r="AS313" i="7" s="1"/>
  <c r="Y313" i="7"/>
  <c r="AA313" i="7" s="1"/>
  <c r="P313" i="7"/>
  <c r="H313" i="7"/>
  <c r="L313" i="7" s="1"/>
  <c r="G313" i="7"/>
  <c r="K313" i="7" s="1"/>
  <c r="AO312" i="7"/>
  <c r="AM312" i="7"/>
  <c r="AH312" i="7"/>
  <c r="AS312" i="7" s="1"/>
  <c r="Y312" i="7"/>
  <c r="AA312" i="7" s="1"/>
  <c r="P312" i="7"/>
  <c r="H312" i="7"/>
  <c r="L312" i="7" s="1"/>
  <c r="G312" i="7"/>
  <c r="K312" i="7" s="1"/>
  <c r="AO311" i="7"/>
  <c r="AM311" i="7"/>
  <c r="AH311" i="7"/>
  <c r="AS311" i="7" s="1"/>
  <c r="Y311" i="7"/>
  <c r="Z311" i="7" s="1"/>
  <c r="P311" i="7"/>
  <c r="H311" i="7"/>
  <c r="L311" i="7" s="1"/>
  <c r="G311" i="7"/>
  <c r="K311" i="7" s="1"/>
  <c r="AO310" i="7"/>
  <c r="AM310" i="7"/>
  <c r="AH310" i="7"/>
  <c r="AS310" i="7" s="1"/>
  <c r="Y310" i="7"/>
  <c r="P310" i="7"/>
  <c r="H310" i="7"/>
  <c r="L310" i="7" s="1"/>
  <c r="G310" i="7"/>
  <c r="K310" i="7" s="1"/>
  <c r="AO309" i="7"/>
  <c r="AM309" i="7"/>
  <c r="AH309" i="7"/>
  <c r="AS309" i="7" s="1"/>
  <c r="Y309" i="7"/>
  <c r="Z309" i="7" s="1"/>
  <c r="P309" i="7"/>
  <c r="H309" i="7"/>
  <c r="L309" i="7" s="1"/>
  <c r="G309" i="7"/>
  <c r="K309" i="7" s="1"/>
  <c r="AO308" i="7"/>
  <c r="AM308" i="7"/>
  <c r="AH308" i="7"/>
  <c r="AS308" i="7" s="1"/>
  <c r="Y308" i="7"/>
  <c r="Z308" i="7" s="1"/>
  <c r="P308" i="7"/>
  <c r="H308" i="7"/>
  <c r="L308" i="7" s="1"/>
  <c r="G308" i="7"/>
  <c r="K308" i="7" s="1"/>
  <c r="AO307" i="7"/>
  <c r="AM307" i="7"/>
  <c r="AH307" i="7"/>
  <c r="AS307" i="7" s="1"/>
  <c r="Y307" i="7"/>
  <c r="Z307" i="7" s="1"/>
  <c r="P307" i="7"/>
  <c r="H307" i="7"/>
  <c r="L307" i="7" s="1"/>
  <c r="G307" i="7"/>
  <c r="K307" i="7" s="1"/>
  <c r="AO306" i="7"/>
  <c r="AM306" i="7"/>
  <c r="AH306" i="7"/>
  <c r="AS306" i="7" s="1"/>
  <c r="Y306" i="7"/>
  <c r="P306" i="7"/>
  <c r="H306" i="7"/>
  <c r="L306" i="7" s="1"/>
  <c r="G306" i="7"/>
  <c r="K306" i="7" s="1"/>
  <c r="AO305" i="7"/>
  <c r="AM305" i="7"/>
  <c r="AH305" i="7"/>
  <c r="AS305" i="7" s="1"/>
  <c r="Y305" i="7"/>
  <c r="AA305" i="7" s="1"/>
  <c r="P305" i="7"/>
  <c r="H305" i="7"/>
  <c r="L305" i="7" s="1"/>
  <c r="G305" i="7"/>
  <c r="K305" i="7" s="1"/>
  <c r="AO304" i="7"/>
  <c r="AM304" i="7"/>
  <c r="AH304" i="7"/>
  <c r="AS304" i="7" s="1"/>
  <c r="Y304" i="7"/>
  <c r="Z304" i="7" s="1"/>
  <c r="P304" i="7"/>
  <c r="H304" i="7"/>
  <c r="L304" i="7" s="1"/>
  <c r="G304" i="7"/>
  <c r="K304" i="7" s="1"/>
  <c r="AO303" i="7"/>
  <c r="AM303" i="7"/>
  <c r="AH303" i="7"/>
  <c r="AS303" i="7" s="1"/>
  <c r="Y303" i="7"/>
  <c r="Z303" i="7" s="1"/>
  <c r="P303" i="7"/>
  <c r="H303" i="7"/>
  <c r="L303" i="7" s="1"/>
  <c r="G303" i="7"/>
  <c r="K303" i="7" s="1"/>
  <c r="AO302" i="7"/>
  <c r="AM302" i="7"/>
  <c r="AH302" i="7"/>
  <c r="AS302" i="7" s="1"/>
  <c r="Y302" i="7"/>
  <c r="AA302" i="7" s="1"/>
  <c r="P302" i="7"/>
  <c r="H302" i="7"/>
  <c r="L302" i="7" s="1"/>
  <c r="G302" i="7"/>
  <c r="K302" i="7" s="1"/>
  <c r="AO301" i="7"/>
  <c r="AM301" i="7"/>
  <c r="AH301" i="7"/>
  <c r="AS301" i="7" s="1"/>
  <c r="Y301" i="7"/>
  <c r="P301" i="7"/>
  <c r="H301" i="7"/>
  <c r="L301" i="7" s="1"/>
  <c r="G301" i="7"/>
  <c r="K301" i="7" s="1"/>
  <c r="AO300" i="7"/>
  <c r="AM300" i="7"/>
  <c r="AH300" i="7"/>
  <c r="AS300" i="7" s="1"/>
  <c r="Y300" i="7"/>
  <c r="AA300" i="7" s="1"/>
  <c r="P300" i="7"/>
  <c r="H300" i="7"/>
  <c r="L300" i="7" s="1"/>
  <c r="G300" i="7"/>
  <c r="K300" i="7" s="1"/>
  <c r="AO299" i="7"/>
  <c r="AM299" i="7"/>
  <c r="AH299" i="7"/>
  <c r="AS299" i="7" s="1"/>
  <c r="Y299" i="7"/>
  <c r="P299" i="7"/>
  <c r="H299" i="7"/>
  <c r="L299" i="7" s="1"/>
  <c r="G299" i="7"/>
  <c r="K299" i="7" s="1"/>
  <c r="AO298" i="7"/>
  <c r="AM298" i="7"/>
  <c r="AH298" i="7"/>
  <c r="AS298" i="7" s="1"/>
  <c r="Y298" i="7"/>
  <c r="AA298" i="7" s="1"/>
  <c r="P298" i="7"/>
  <c r="H298" i="7"/>
  <c r="L298" i="7" s="1"/>
  <c r="G298" i="7"/>
  <c r="K298" i="7" s="1"/>
  <c r="AO297" i="7"/>
  <c r="AM297" i="7"/>
  <c r="AH297" i="7"/>
  <c r="AS297" i="7" s="1"/>
  <c r="Y297" i="7"/>
  <c r="AA297" i="7" s="1"/>
  <c r="P297" i="7"/>
  <c r="H297" i="7"/>
  <c r="L297" i="7" s="1"/>
  <c r="G297" i="7"/>
  <c r="K297" i="7" s="1"/>
  <c r="AO296" i="7"/>
  <c r="AM296" i="7"/>
  <c r="AH296" i="7"/>
  <c r="AS296" i="7" s="1"/>
  <c r="Y296" i="7"/>
  <c r="Z296" i="7" s="1"/>
  <c r="P296" i="7"/>
  <c r="H296" i="7"/>
  <c r="L296" i="7" s="1"/>
  <c r="G296" i="7"/>
  <c r="K296" i="7" s="1"/>
  <c r="AO295" i="7"/>
  <c r="AM295" i="7"/>
  <c r="AH295" i="7"/>
  <c r="AS295" i="7" s="1"/>
  <c r="Y295" i="7"/>
  <c r="Z295" i="7" s="1"/>
  <c r="P295" i="7"/>
  <c r="H295" i="7"/>
  <c r="L295" i="7" s="1"/>
  <c r="G295" i="7"/>
  <c r="K295" i="7" s="1"/>
  <c r="AO294" i="7"/>
  <c r="AM294" i="7"/>
  <c r="AH294" i="7"/>
  <c r="AS294" i="7" s="1"/>
  <c r="Y294" i="7"/>
  <c r="X294" i="7" s="1"/>
  <c r="P294" i="7"/>
  <c r="H294" i="7"/>
  <c r="L294" i="7" s="1"/>
  <c r="G294" i="7"/>
  <c r="K294" i="7" s="1"/>
  <c r="AO293" i="7"/>
  <c r="AM293" i="7"/>
  <c r="AH293" i="7"/>
  <c r="AS293" i="7" s="1"/>
  <c r="Y293" i="7"/>
  <c r="Z293" i="7" s="1"/>
  <c r="P293" i="7"/>
  <c r="H293" i="7"/>
  <c r="L293" i="7" s="1"/>
  <c r="G293" i="7"/>
  <c r="K293" i="7" s="1"/>
  <c r="AO292" i="7"/>
  <c r="AM292" i="7"/>
  <c r="AH292" i="7"/>
  <c r="AS292" i="7" s="1"/>
  <c r="Y292" i="7"/>
  <c r="AA292" i="7" s="1"/>
  <c r="P292" i="7"/>
  <c r="H292" i="7"/>
  <c r="L292" i="7" s="1"/>
  <c r="G292" i="7"/>
  <c r="K292" i="7" s="1"/>
  <c r="AO291" i="7"/>
  <c r="AM291" i="7"/>
  <c r="AH291" i="7"/>
  <c r="AS291" i="7" s="1"/>
  <c r="Y291" i="7"/>
  <c r="Z291" i="7" s="1"/>
  <c r="P291" i="7"/>
  <c r="H291" i="7"/>
  <c r="L291" i="7" s="1"/>
  <c r="G291" i="7"/>
  <c r="K291" i="7" s="1"/>
  <c r="AO290" i="7"/>
  <c r="AM290" i="7"/>
  <c r="AH290" i="7"/>
  <c r="AS290" i="7" s="1"/>
  <c r="Y290" i="7"/>
  <c r="Z290" i="7" s="1"/>
  <c r="P290" i="7"/>
  <c r="H290" i="7"/>
  <c r="L290" i="7" s="1"/>
  <c r="G290" i="7"/>
  <c r="K290" i="7" s="1"/>
  <c r="AO289" i="7"/>
  <c r="AM289" i="7"/>
  <c r="AH289" i="7"/>
  <c r="AS289" i="7" s="1"/>
  <c r="Y289" i="7"/>
  <c r="Z289" i="7" s="1"/>
  <c r="P289" i="7"/>
  <c r="H289" i="7"/>
  <c r="L289" i="7" s="1"/>
  <c r="G289" i="7"/>
  <c r="K289" i="7" s="1"/>
  <c r="AO288" i="7"/>
  <c r="AM288" i="7"/>
  <c r="AH288" i="7"/>
  <c r="AS288" i="7" s="1"/>
  <c r="Y288" i="7"/>
  <c r="AA288" i="7" s="1"/>
  <c r="P288" i="7"/>
  <c r="H288" i="7"/>
  <c r="L288" i="7" s="1"/>
  <c r="G288" i="7"/>
  <c r="K288" i="7" s="1"/>
  <c r="AO287" i="7"/>
  <c r="AM287" i="7"/>
  <c r="AH287" i="7"/>
  <c r="AS287" i="7" s="1"/>
  <c r="Y287" i="7"/>
  <c r="Z287" i="7" s="1"/>
  <c r="P287" i="7"/>
  <c r="H287" i="7"/>
  <c r="L287" i="7" s="1"/>
  <c r="G287" i="7"/>
  <c r="K287" i="7" s="1"/>
  <c r="AO286" i="7"/>
  <c r="AM286" i="7"/>
  <c r="AH286" i="7"/>
  <c r="AS286" i="7" s="1"/>
  <c r="Y286" i="7"/>
  <c r="P286" i="7"/>
  <c r="H286" i="7"/>
  <c r="L286" i="7" s="1"/>
  <c r="G286" i="7"/>
  <c r="K286" i="7" s="1"/>
  <c r="AO285" i="7"/>
  <c r="AM285" i="7"/>
  <c r="AH285" i="7"/>
  <c r="AS285" i="7" s="1"/>
  <c r="Y285" i="7"/>
  <c r="X285" i="7" s="1"/>
  <c r="P285" i="7"/>
  <c r="H285" i="7"/>
  <c r="L285" i="7" s="1"/>
  <c r="G285" i="7"/>
  <c r="K285" i="7" s="1"/>
  <c r="AO284" i="7"/>
  <c r="AM284" i="7"/>
  <c r="AH284" i="7"/>
  <c r="AS284" i="7" s="1"/>
  <c r="Y284" i="7"/>
  <c r="Z284" i="7" s="1"/>
  <c r="P284" i="7"/>
  <c r="H284" i="7"/>
  <c r="L284" i="7" s="1"/>
  <c r="G284" i="7"/>
  <c r="K284" i="7" s="1"/>
  <c r="AO283" i="7"/>
  <c r="AM283" i="7"/>
  <c r="AH283" i="7"/>
  <c r="AS283" i="7" s="1"/>
  <c r="Y283" i="7"/>
  <c r="AA283" i="7" s="1"/>
  <c r="P283" i="7"/>
  <c r="H283" i="7"/>
  <c r="L283" i="7" s="1"/>
  <c r="G283" i="7"/>
  <c r="K283" i="7" s="1"/>
  <c r="AO282" i="7"/>
  <c r="AM282" i="7"/>
  <c r="AH282" i="7"/>
  <c r="AS282" i="7" s="1"/>
  <c r="Y282" i="7"/>
  <c r="Z282" i="7" s="1"/>
  <c r="P282" i="7"/>
  <c r="H282" i="7"/>
  <c r="L282" i="7" s="1"/>
  <c r="G282" i="7"/>
  <c r="K282" i="7" s="1"/>
  <c r="AO281" i="7"/>
  <c r="AM281" i="7"/>
  <c r="AH281" i="7"/>
  <c r="AS281" i="7" s="1"/>
  <c r="Y281" i="7"/>
  <c r="Z281" i="7" s="1"/>
  <c r="P281" i="7"/>
  <c r="H281" i="7"/>
  <c r="L281" i="7" s="1"/>
  <c r="G281" i="7"/>
  <c r="K281" i="7" s="1"/>
  <c r="AO280" i="7"/>
  <c r="AM280" i="7"/>
  <c r="AH280" i="7"/>
  <c r="AS280" i="7" s="1"/>
  <c r="Y280" i="7"/>
  <c r="P280" i="7"/>
  <c r="H280" i="7"/>
  <c r="L280" i="7" s="1"/>
  <c r="G280" i="7"/>
  <c r="K280" i="7" s="1"/>
  <c r="AO279" i="7"/>
  <c r="AM279" i="7"/>
  <c r="AH279" i="7"/>
  <c r="AS279" i="7" s="1"/>
  <c r="Y279" i="7"/>
  <c r="X279" i="7" s="1"/>
  <c r="P279" i="7"/>
  <c r="H279" i="7"/>
  <c r="L279" i="7" s="1"/>
  <c r="G279" i="7"/>
  <c r="K279" i="7" s="1"/>
  <c r="AO278" i="7"/>
  <c r="AM278" i="7"/>
  <c r="AH278" i="7"/>
  <c r="AS278" i="7" s="1"/>
  <c r="Y278" i="7"/>
  <c r="X278" i="7" s="1"/>
  <c r="P278" i="7"/>
  <c r="H278" i="7"/>
  <c r="L278" i="7" s="1"/>
  <c r="G278" i="7"/>
  <c r="K278" i="7" s="1"/>
  <c r="AO277" i="7"/>
  <c r="AM277" i="7"/>
  <c r="AH277" i="7"/>
  <c r="AS277" i="7" s="1"/>
  <c r="Y277" i="7"/>
  <c r="X277" i="7" s="1"/>
  <c r="P277" i="7"/>
  <c r="H277" i="7"/>
  <c r="L277" i="7" s="1"/>
  <c r="G277" i="7"/>
  <c r="K277" i="7" s="1"/>
  <c r="AO276" i="7"/>
  <c r="AM276" i="7"/>
  <c r="AH276" i="7"/>
  <c r="AS276" i="7" s="1"/>
  <c r="Y276" i="7"/>
  <c r="AA276" i="7" s="1"/>
  <c r="P276" i="7"/>
  <c r="H276" i="7"/>
  <c r="L276" i="7" s="1"/>
  <c r="G276" i="7"/>
  <c r="K276" i="7" s="1"/>
  <c r="AO275" i="7"/>
  <c r="AM275" i="7"/>
  <c r="AH275" i="7"/>
  <c r="AS275" i="7" s="1"/>
  <c r="Y275" i="7"/>
  <c r="Z275" i="7" s="1"/>
  <c r="P275" i="7"/>
  <c r="H275" i="7"/>
  <c r="L275" i="7" s="1"/>
  <c r="G275" i="7"/>
  <c r="K275" i="7" s="1"/>
  <c r="AO274" i="7"/>
  <c r="AM274" i="7"/>
  <c r="AH274" i="7"/>
  <c r="AS274" i="7" s="1"/>
  <c r="Y274" i="7"/>
  <c r="P274" i="7"/>
  <c r="H274" i="7"/>
  <c r="L274" i="7" s="1"/>
  <c r="G274" i="7"/>
  <c r="K274" i="7" s="1"/>
  <c r="AO273" i="7"/>
  <c r="AM273" i="7"/>
  <c r="AH273" i="7"/>
  <c r="AS273" i="7" s="1"/>
  <c r="Y273" i="7"/>
  <c r="X273" i="7" s="1"/>
  <c r="P273" i="7"/>
  <c r="H273" i="7"/>
  <c r="L273" i="7" s="1"/>
  <c r="G273" i="7"/>
  <c r="K273" i="7" s="1"/>
  <c r="AO272" i="7"/>
  <c r="AM272" i="7"/>
  <c r="AH272" i="7"/>
  <c r="AS272" i="7" s="1"/>
  <c r="Y272" i="7"/>
  <c r="X272" i="7" s="1"/>
  <c r="P272" i="7"/>
  <c r="H272" i="7"/>
  <c r="L272" i="7" s="1"/>
  <c r="G272" i="7"/>
  <c r="K272" i="7" s="1"/>
  <c r="AO271" i="7"/>
  <c r="AM271" i="7"/>
  <c r="AH271" i="7"/>
  <c r="AS271" i="7" s="1"/>
  <c r="Y271" i="7"/>
  <c r="X271" i="7" s="1"/>
  <c r="P271" i="7"/>
  <c r="H271" i="7"/>
  <c r="L271" i="7" s="1"/>
  <c r="G271" i="7"/>
  <c r="K271" i="7" s="1"/>
  <c r="AO270" i="7"/>
  <c r="AM270" i="7"/>
  <c r="AH270" i="7"/>
  <c r="AS270" i="7" s="1"/>
  <c r="Y270" i="7"/>
  <c r="P270" i="7"/>
  <c r="H270" i="7"/>
  <c r="L270" i="7" s="1"/>
  <c r="G270" i="7"/>
  <c r="K270" i="7" s="1"/>
  <c r="AO269" i="7"/>
  <c r="AM269" i="7"/>
  <c r="AH269" i="7"/>
  <c r="AS269" i="7" s="1"/>
  <c r="Y269" i="7"/>
  <c r="P269" i="7"/>
  <c r="H269" i="7"/>
  <c r="L269" i="7" s="1"/>
  <c r="G269" i="7"/>
  <c r="K269" i="7" s="1"/>
  <c r="AO268" i="7"/>
  <c r="AM268" i="7"/>
  <c r="AH268" i="7"/>
  <c r="AS268" i="7" s="1"/>
  <c r="Y268" i="7"/>
  <c r="AA268" i="7" s="1"/>
  <c r="P268" i="7"/>
  <c r="H268" i="7"/>
  <c r="L268" i="7" s="1"/>
  <c r="G268" i="7"/>
  <c r="K268" i="7" s="1"/>
  <c r="AO267" i="7"/>
  <c r="AM267" i="7"/>
  <c r="AH267" i="7"/>
  <c r="AS267" i="7" s="1"/>
  <c r="Y267" i="7"/>
  <c r="Z267" i="7" s="1"/>
  <c r="P267" i="7"/>
  <c r="H267" i="7"/>
  <c r="L267" i="7" s="1"/>
  <c r="G267" i="7"/>
  <c r="K267" i="7" s="1"/>
  <c r="AO266" i="7"/>
  <c r="AM266" i="7"/>
  <c r="AH266" i="7"/>
  <c r="AS266" i="7" s="1"/>
  <c r="Y266" i="7"/>
  <c r="Z266" i="7" s="1"/>
  <c r="P266" i="7"/>
  <c r="H266" i="7"/>
  <c r="L266" i="7" s="1"/>
  <c r="G266" i="7"/>
  <c r="K266" i="7" s="1"/>
  <c r="AO265" i="7"/>
  <c r="AM265" i="7"/>
  <c r="AH265" i="7"/>
  <c r="AS265" i="7" s="1"/>
  <c r="Y265" i="7"/>
  <c r="X265" i="7" s="1"/>
  <c r="P265" i="7"/>
  <c r="H265" i="7"/>
  <c r="L265" i="7" s="1"/>
  <c r="G265" i="7"/>
  <c r="K265" i="7" s="1"/>
  <c r="AO264" i="7"/>
  <c r="AM264" i="7"/>
  <c r="AH264" i="7"/>
  <c r="AS264" i="7" s="1"/>
  <c r="Y264" i="7"/>
  <c r="P264" i="7"/>
  <c r="H264" i="7"/>
  <c r="L264" i="7" s="1"/>
  <c r="G264" i="7"/>
  <c r="K264" i="7" s="1"/>
  <c r="AO263" i="7"/>
  <c r="AM263" i="7"/>
  <c r="AH263" i="7"/>
  <c r="AS263" i="7" s="1"/>
  <c r="Y263" i="7"/>
  <c r="X263" i="7" s="1"/>
  <c r="P263" i="7"/>
  <c r="H263" i="7"/>
  <c r="L263" i="7" s="1"/>
  <c r="G263" i="7"/>
  <c r="K263" i="7" s="1"/>
  <c r="AO262" i="7"/>
  <c r="AM262" i="7"/>
  <c r="AH262" i="7"/>
  <c r="AS262" i="7" s="1"/>
  <c r="Y262" i="7"/>
  <c r="AA262" i="7" s="1"/>
  <c r="P262" i="7"/>
  <c r="H262" i="7"/>
  <c r="L262" i="7" s="1"/>
  <c r="G262" i="7"/>
  <c r="K262" i="7" s="1"/>
  <c r="AO261" i="7"/>
  <c r="AM261" i="7"/>
  <c r="AH261" i="7"/>
  <c r="AS261" i="7" s="1"/>
  <c r="Y261" i="7"/>
  <c r="P261" i="7"/>
  <c r="H261" i="7"/>
  <c r="L261" i="7" s="1"/>
  <c r="G261" i="7"/>
  <c r="K261" i="7" s="1"/>
  <c r="AO260" i="7"/>
  <c r="AM260" i="7"/>
  <c r="AH260" i="7"/>
  <c r="AS260" i="7" s="1"/>
  <c r="Y260" i="7"/>
  <c r="AA260" i="7" s="1"/>
  <c r="P260" i="7"/>
  <c r="H260" i="7"/>
  <c r="L260" i="7" s="1"/>
  <c r="G260" i="7"/>
  <c r="K260" i="7" s="1"/>
  <c r="AO259" i="7"/>
  <c r="AM259" i="7"/>
  <c r="AH259" i="7"/>
  <c r="AS259" i="7" s="1"/>
  <c r="Y259" i="7"/>
  <c r="Z259" i="7" s="1"/>
  <c r="P259" i="7"/>
  <c r="H259" i="7"/>
  <c r="L259" i="7" s="1"/>
  <c r="G259" i="7"/>
  <c r="K259" i="7" s="1"/>
  <c r="AO258" i="7"/>
  <c r="AM258" i="7"/>
  <c r="AH258" i="7"/>
  <c r="AS258" i="7" s="1"/>
  <c r="Y258" i="7"/>
  <c r="Z258" i="7" s="1"/>
  <c r="P258" i="7"/>
  <c r="H258" i="7"/>
  <c r="L258" i="7" s="1"/>
  <c r="G258" i="7"/>
  <c r="K258" i="7" s="1"/>
  <c r="AO257" i="7"/>
  <c r="AM257" i="7"/>
  <c r="AH257" i="7"/>
  <c r="AS257" i="7" s="1"/>
  <c r="Y257" i="7"/>
  <c r="P257" i="7"/>
  <c r="H257" i="7"/>
  <c r="L257" i="7" s="1"/>
  <c r="G257" i="7"/>
  <c r="K257" i="7" s="1"/>
  <c r="AO256" i="7"/>
  <c r="AM256" i="7"/>
  <c r="AH256" i="7"/>
  <c r="AS256" i="7" s="1"/>
  <c r="Y256" i="7"/>
  <c r="X256" i="7" s="1"/>
  <c r="P256" i="7"/>
  <c r="H256" i="7"/>
  <c r="L256" i="7" s="1"/>
  <c r="G256" i="7"/>
  <c r="K256" i="7" s="1"/>
  <c r="AO255" i="7"/>
  <c r="AM255" i="7"/>
  <c r="AH255" i="7"/>
  <c r="AS255" i="7" s="1"/>
  <c r="Y255" i="7"/>
  <c r="P255" i="7"/>
  <c r="H255" i="7"/>
  <c r="L255" i="7" s="1"/>
  <c r="G255" i="7"/>
  <c r="K255" i="7" s="1"/>
  <c r="AO254" i="7"/>
  <c r="AM254" i="7"/>
  <c r="AH254" i="7"/>
  <c r="AS254" i="7" s="1"/>
  <c r="Y254" i="7"/>
  <c r="Z254" i="7" s="1"/>
  <c r="P254" i="7"/>
  <c r="H254" i="7"/>
  <c r="L254" i="7" s="1"/>
  <c r="G254" i="7"/>
  <c r="K254" i="7" s="1"/>
  <c r="AO253" i="7"/>
  <c r="AM253" i="7"/>
  <c r="AH253" i="7"/>
  <c r="AS253" i="7" s="1"/>
  <c r="Y253" i="7"/>
  <c r="AA253" i="7" s="1"/>
  <c r="P253" i="7"/>
  <c r="H253" i="7"/>
  <c r="L253" i="7" s="1"/>
  <c r="G253" i="7"/>
  <c r="K253" i="7" s="1"/>
  <c r="AO252" i="7"/>
  <c r="AM252" i="7"/>
  <c r="AH252" i="7"/>
  <c r="AS252" i="7" s="1"/>
  <c r="Y252" i="7"/>
  <c r="AA252" i="7" s="1"/>
  <c r="P252" i="7"/>
  <c r="H252" i="7"/>
  <c r="L252" i="7" s="1"/>
  <c r="G252" i="7"/>
  <c r="K252" i="7" s="1"/>
  <c r="AO251" i="7"/>
  <c r="AM251" i="7"/>
  <c r="AH251" i="7"/>
  <c r="AS251" i="7" s="1"/>
  <c r="Y251" i="7"/>
  <c r="Z251" i="7" s="1"/>
  <c r="P251" i="7"/>
  <c r="H251" i="7"/>
  <c r="L251" i="7" s="1"/>
  <c r="G251" i="7"/>
  <c r="K251" i="7" s="1"/>
  <c r="AO250" i="7"/>
  <c r="AM250" i="7"/>
  <c r="AH250" i="7"/>
  <c r="AS250" i="7" s="1"/>
  <c r="Y250" i="7"/>
  <c r="P250" i="7"/>
  <c r="H250" i="7"/>
  <c r="L250" i="7" s="1"/>
  <c r="G250" i="7"/>
  <c r="K250" i="7" s="1"/>
  <c r="AO249" i="7"/>
  <c r="AM249" i="7"/>
  <c r="AH249" i="7"/>
  <c r="AS249" i="7" s="1"/>
  <c r="Y249" i="7"/>
  <c r="P249" i="7"/>
  <c r="H249" i="7"/>
  <c r="L249" i="7" s="1"/>
  <c r="G249" i="7"/>
  <c r="K249" i="7" s="1"/>
  <c r="AO248" i="7"/>
  <c r="AM248" i="7"/>
  <c r="AH248" i="7"/>
  <c r="AS248" i="7" s="1"/>
  <c r="Y248" i="7"/>
  <c r="P248" i="7"/>
  <c r="H248" i="7"/>
  <c r="L248" i="7" s="1"/>
  <c r="G248" i="7"/>
  <c r="K248" i="7" s="1"/>
  <c r="AO247" i="7"/>
  <c r="AM247" i="7"/>
  <c r="AH247" i="7"/>
  <c r="AS247" i="7" s="1"/>
  <c r="Y247" i="7"/>
  <c r="Z247" i="7" s="1"/>
  <c r="P247" i="7"/>
  <c r="H247" i="7"/>
  <c r="L247" i="7" s="1"/>
  <c r="G247" i="7"/>
  <c r="K247" i="7" s="1"/>
  <c r="AO246" i="7"/>
  <c r="AM246" i="7"/>
  <c r="AH246" i="7"/>
  <c r="AS246" i="7" s="1"/>
  <c r="Y246" i="7"/>
  <c r="AA246" i="7" s="1"/>
  <c r="P246" i="7"/>
  <c r="H246" i="7"/>
  <c r="L246" i="7" s="1"/>
  <c r="G246" i="7"/>
  <c r="K246" i="7" s="1"/>
  <c r="AO245" i="7"/>
  <c r="AM245" i="7"/>
  <c r="AH245" i="7"/>
  <c r="AS245" i="7" s="1"/>
  <c r="Y245" i="7"/>
  <c r="P245" i="7"/>
  <c r="H245" i="7"/>
  <c r="L245" i="7" s="1"/>
  <c r="G245" i="7"/>
  <c r="K245" i="7" s="1"/>
  <c r="AO244" i="7"/>
  <c r="AM244" i="7"/>
  <c r="AH244" i="7"/>
  <c r="AS244" i="7" s="1"/>
  <c r="Y244" i="7"/>
  <c r="AA244" i="7" s="1"/>
  <c r="P244" i="7"/>
  <c r="H244" i="7"/>
  <c r="L244" i="7" s="1"/>
  <c r="G244" i="7"/>
  <c r="K244" i="7" s="1"/>
  <c r="AO243" i="7"/>
  <c r="AM243" i="7"/>
  <c r="AH243" i="7"/>
  <c r="AS243" i="7" s="1"/>
  <c r="Y243" i="7"/>
  <c r="Z243" i="7" s="1"/>
  <c r="P243" i="7"/>
  <c r="H243" i="7"/>
  <c r="L243" i="7" s="1"/>
  <c r="G243" i="7"/>
  <c r="K243" i="7" s="1"/>
  <c r="AO242" i="7"/>
  <c r="AM242" i="7"/>
  <c r="AH242" i="7"/>
  <c r="AS242" i="7" s="1"/>
  <c r="Y242" i="7"/>
  <c r="P242" i="7"/>
  <c r="H242" i="7"/>
  <c r="L242" i="7" s="1"/>
  <c r="G242" i="7"/>
  <c r="K242" i="7" s="1"/>
  <c r="AO241" i="7"/>
  <c r="AM241" i="7"/>
  <c r="AH241" i="7"/>
  <c r="AS241" i="7" s="1"/>
  <c r="Y241" i="7"/>
  <c r="P241" i="7"/>
  <c r="H241" i="7"/>
  <c r="L241" i="7" s="1"/>
  <c r="G241" i="7"/>
  <c r="K241" i="7" s="1"/>
  <c r="AO240" i="7"/>
  <c r="AM240" i="7"/>
  <c r="AH240" i="7"/>
  <c r="AS240" i="7" s="1"/>
  <c r="Y240" i="7"/>
  <c r="X240" i="7" s="1"/>
  <c r="P240" i="7"/>
  <c r="H240" i="7"/>
  <c r="L240" i="7" s="1"/>
  <c r="G240" i="7"/>
  <c r="K240" i="7" s="1"/>
  <c r="AO239" i="7"/>
  <c r="AM239" i="7"/>
  <c r="AH239" i="7"/>
  <c r="AS239" i="7" s="1"/>
  <c r="Y239" i="7"/>
  <c r="X239" i="7" s="1"/>
  <c r="P239" i="7"/>
  <c r="H239" i="7"/>
  <c r="L239" i="7" s="1"/>
  <c r="G239" i="7"/>
  <c r="K239" i="7" s="1"/>
  <c r="AO238" i="7"/>
  <c r="AM238" i="7"/>
  <c r="AH238" i="7"/>
  <c r="AS238" i="7" s="1"/>
  <c r="Y238" i="7"/>
  <c r="P238" i="7"/>
  <c r="H238" i="7"/>
  <c r="L238" i="7" s="1"/>
  <c r="G238" i="7"/>
  <c r="K238" i="7" s="1"/>
  <c r="AO237" i="7"/>
  <c r="AM237" i="7"/>
  <c r="AH237" i="7"/>
  <c r="AS237" i="7" s="1"/>
  <c r="Y237" i="7"/>
  <c r="P237" i="7"/>
  <c r="H237" i="7"/>
  <c r="L237" i="7" s="1"/>
  <c r="G237" i="7"/>
  <c r="K237" i="7" s="1"/>
  <c r="AO236" i="7"/>
  <c r="AM236" i="7"/>
  <c r="AH236" i="7"/>
  <c r="AS236" i="7" s="1"/>
  <c r="Y236" i="7"/>
  <c r="AA236" i="7" s="1"/>
  <c r="P236" i="7"/>
  <c r="H236" i="7"/>
  <c r="L236" i="7" s="1"/>
  <c r="G236" i="7"/>
  <c r="K236" i="7" s="1"/>
  <c r="AO235" i="7"/>
  <c r="AM235" i="7"/>
  <c r="AH235" i="7"/>
  <c r="AS235" i="7" s="1"/>
  <c r="Y235" i="7"/>
  <c r="Z235" i="7" s="1"/>
  <c r="P235" i="7"/>
  <c r="H235" i="7"/>
  <c r="L235" i="7" s="1"/>
  <c r="G235" i="7"/>
  <c r="K235" i="7" s="1"/>
  <c r="AO234" i="7"/>
  <c r="AM234" i="7"/>
  <c r="AH234" i="7"/>
  <c r="AS234" i="7" s="1"/>
  <c r="Y234" i="7"/>
  <c r="Z234" i="7" s="1"/>
  <c r="P234" i="7"/>
  <c r="H234" i="7"/>
  <c r="L234" i="7" s="1"/>
  <c r="G234" i="7"/>
  <c r="K234" i="7" s="1"/>
  <c r="AO233" i="7"/>
  <c r="AM233" i="7"/>
  <c r="AH233" i="7"/>
  <c r="AS233" i="7" s="1"/>
  <c r="Y233" i="7"/>
  <c r="AA233" i="7" s="1"/>
  <c r="P233" i="7"/>
  <c r="H233" i="7"/>
  <c r="L233" i="7" s="1"/>
  <c r="G233" i="7"/>
  <c r="K233" i="7" s="1"/>
  <c r="AO232" i="7"/>
  <c r="AM232" i="7"/>
  <c r="AH232" i="7"/>
  <c r="AS232" i="7" s="1"/>
  <c r="Y232" i="7"/>
  <c r="P232" i="7"/>
  <c r="H232" i="7"/>
  <c r="L232" i="7" s="1"/>
  <c r="G232" i="7"/>
  <c r="K232" i="7" s="1"/>
  <c r="AO231" i="7"/>
  <c r="AM231" i="7"/>
  <c r="AH231" i="7"/>
  <c r="AS231" i="7" s="1"/>
  <c r="Y231" i="7"/>
  <c r="P231" i="7"/>
  <c r="H231" i="7"/>
  <c r="L231" i="7" s="1"/>
  <c r="G231" i="7"/>
  <c r="K231" i="7" s="1"/>
  <c r="AO230" i="7"/>
  <c r="AM230" i="7"/>
  <c r="AH230" i="7"/>
  <c r="AS230" i="7" s="1"/>
  <c r="Y230" i="7"/>
  <c r="X230" i="7" s="1"/>
  <c r="P230" i="7"/>
  <c r="H230" i="7"/>
  <c r="L230" i="7" s="1"/>
  <c r="G230" i="7"/>
  <c r="K230" i="7" s="1"/>
  <c r="AO229" i="7"/>
  <c r="AM229" i="7"/>
  <c r="AH229" i="7"/>
  <c r="AS229" i="7" s="1"/>
  <c r="Y229" i="7"/>
  <c r="AA229" i="7" s="1"/>
  <c r="P229" i="7"/>
  <c r="H229" i="7"/>
  <c r="L229" i="7" s="1"/>
  <c r="G229" i="7"/>
  <c r="K229" i="7" s="1"/>
  <c r="AO228" i="7"/>
  <c r="AM228" i="7"/>
  <c r="AH228" i="7"/>
  <c r="AS228" i="7" s="1"/>
  <c r="Y228" i="7"/>
  <c r="Z228" i="7" s="1"/>
  <c r="P228" i="7"/>
  <c r="H228" i="7"/>
  <c r="L228" i="7" s="1"/>
  <c r="G228" i="7"/>
  <c r="K228" i="7" s="1"/>
  <c r="AO227" i="7"/>
  <c r="AM227" i="7"/>
  <c r="AH227" i="7"/>
  <c r="AS227" i="7" s="1"/>
  <c r="Y227" i="7"/>
  <c r="Z227" i="7" s="1"/>
  <c r="P227" i="7"/>
  <c r="H227" i="7"/>
  <c r="L227" i="7" s="1"/>
  <c r="G227" i="7"/>
  <c r="K227" i="7" s="1"/>
  <c r="AO226" i="7"/>
  <c r="AM226" i="7"/>
  <c r="AH226" i="7"/>
  <c r="AS226" i="7" s="1"/>
  <c r="Y226" i="7"/>
  <c r="AA226" i="7" s="1"/>
  <c r="P226" i="7"/>
  <c r="H226" i="7"/>
  <c r="L226" i="7" s="1"/>
  <c r="G226" i="7"/>
  <c r="K226" i="7" s="1"/>
  <c r="AO225" i="7"/>
  <c r="AM225" i="7"/>
  <c r="AH225" i="7"/>
  <c r="AS225" i="7" s="1"/>
  <c r="Y225" i="7"/>
  <c r="P225" i="7"/>
  <c r="H225" i="7"/>
  <c r="L225" i="7" s="1"/>
  <c r="G225" i="7"/>
  <c r="K225" i="7" s="1"/>
  <c r="AO224" i="7"/>
  <c r="AM224" i="7"/>
  <c r="AH224" i="7"/>
  <c r="AS224" i="7" s="1"/>
  <c r="Y224" i="7"/>
  <c r="P224" i="7"/>
  <c r="H224" i="7"/>
  <c r="L224" i="7" s="1"/>
  <c r="G224" i="7"/>
  <c r="K224" i="7" s="1"/>
  <c r="AO223" i="7"/>
  <c r="AM223" i="7"/>
  <c r="AH223" i="7"/>
  <c r="AS223" i="7" s="1"/>
  <c r="Y223" i="7"/>
  <c r="Z223" i="7" s="1"/>
  <c r="P223" i="7"/>
  <c r="H223" i="7"/>
  <c r="L223" i="7" s="1"/>
  <c r="G223" i="7"/>
  <c r="K223" i="7" s="1"/>
  <c r="AO222" i="7"/>
  <c r="AM222" i="7"/>
  <c r="AH222" i="7"/>
  <c r="AS222" i="7" s="1"/>
  <c r="Y222" i="7"/>
  <c r="Z222" i="7" s="1"/>
  <c r="P222" i="7"/>
  <c r="H222" i="7"/>
  <c r="L222" i="7" s="1"/>
  <c r="G222" i="7"/>
  <c r="K222" i="7" s="1"/>
  <c r="AO221" i="7"/>
  <c r="AM221" i="7"/>
  <c r="AH221" i="7"/>
  <c r="AS221" i="7" s="1"/>
  <c r="Y221" i="7"/>
  <c r="Z221" i="7" s="1"/>
  <c r="P221" i="7"/>
  <c r="H221" i="7"/>
  <c r="L221" i="7" s="1"/>
  <c r="G221" i="7"/>
  <c r="K221" i="7" s="1"/>
  <c r="AO220" i="7"/>
  <c r="AM220" i="7"/>
  <c r="AH220" i="7"/>
  <c r="AS220" i="7" s="1"/>
  <c r="Y220" i="7"/>
  <c r="AA220" i="7" s="1"/>
  <c r="P220" i="7"/>
  <c r="H220" i="7"/>
  <c r="L220" i="7" s="1"/>
  <c r="G220" i="7"/>
  <c r="K220" i="7" s="1"/>
  <c r="AO219" i="7"/>
  <c r="AM219" i="7"/>
  <c r="AH219" i="7"/>
  <c r="AS219" i="7" s="1"/>
  <c r="Y219" i="7"/>
  <c r="AA219" i="7" s="1"/>
  <c r="P219" i="7"/>
  <c r="H219" i="7"/>
  <c r="L219" i="7" s="1"/>
  <c r="G219" i="7"/>
  <c r="K219" i="7" s="1"/>
  <c r="AO218" i="7"/>
  <c r="AM218" i="7"/>
  <c r="AH218" i="7"/>
  <c r="AS218" i="7" s="1"/>
  <c r="Y218" i="7"/>
  <c r="P218" i="7"/>
  <c r="H218" i="7"/>
  <c r="L218" i="7" s="1"/>
  <c r="G218" i="7"/>
  <c r="K218" i="7" s="1"/>
  <c r="AO217" i="7"/>
  <c r="AM217" i="7"/>
  <c r="AH217" i="7"/>
  <c r="AS217" i="7" s="1"/>
  <c r="Y217" i="7"/>
  <c r="Z217" i="7" s="1"/>
  <c r="P217" i="7"/>
  <c r="H217" i="7"/>
  <c r="L217" i="7" s="1"/>
  <c r="G217" i="7"/>
  <c r="K217" i="7" s="1"/>
  <c r="AO216" i="7"/>
  <c r="AM216" i="7"/>
  <c r="AH216" i="7"/>
  <c r="AS216" i="7" s="1"/>
  <c r="Y216" i="7"/>
  <c r="P216" i="7"/>
  <c r="H216" i="7"/>
  <c r="L216" i="7" s="1"/>
  <c r="G216" i="7"/>
  <c r="K216" i="7" s="1"/>
  <c r="AO215" i="7"/>
  <c r="AM215" i="7"/>
  <c r="AH215" i="7"/>
  <c r="AS215" i="7" s="1"/>
  <c r="Y215" i="7"/>
  <c r="P215" i="7"/>
  <c r="H215" i="7"/>
  <c r="L215" i="7" s="1"/>
  <c r="G215" i="7"/>
  <c r="K215" i="7" s="1"/>
  <c r="AO214" i="7"/>
  <c r="AM214" i="7"/>
  <c r="AH214" i="7"/>
  <c r="AS214" i="7" s="1"/>
  <c r="Y214" i="7"/>
  <c r="AA214" i="7" s="1"/>
  <c r="P214" i="7"/>
  <c r="H214" i="7"/>
  <c r="L214" i="7" s="1"/>
  <c r="G214" i="7"/>
  <c r="K214" i="7" s="1"/>
  <c r="AO213" i="7"/>
  <c r="AM213" i="7"/>
  <c r="AH213" i="7"/>
  <c r="AS213" i="7" s="1"/>
  <c r="Y213" i="7"/>
  <c r="X213" i="7" s="1"/>
  <c r="P213" i="7"/>
  <c r="H213" i="7"/>
  <c r="L213" i="7" s="1"/>
  <c r="G213" i="7"/>
  <c r="K213" i="7" s="1"/>
  <c r="AO212" i="7"/>
  <c r="AM212" i="7"/>
  <c r="AH212" i="7"/>
  <c r="AS212" i="7" s="1"/>
  <c r="Y212" i="7"/>
  <c r="Z212" i="7" s="1"/>
  <c r="P212" i="7"/>
  <c r="H212" i="7"/>
  <c r="L212" i="7" s="1"/>
  <c r="G212" i="7"/>
  <c r="K212" i="7" s="1"/>
  <c r="AO211" i="7"/>
  <c r="AM211" i="7"/>
  <c r="AH211" i="7"/>
  <c r="AS211" i="7" s="1"/>
  <c r="Y211" i="7"/>
  <c r="Z211" i="7" s="1"/>
  <c r="P211" i="7"/>
  <c r="H211" i="7"/>
  <c r="L211" i="7" s="1"/>
  <c r="G211" i="7"/>
  <c r="K211" i="7" s="1"/>
  <c r="AO210" i="7"/>
  <c r="AM210" i="7"/>
  <c r="AH210" i="7"/>
  <c r="AS210" i="7" s="1"/>
  <c r="Y210" i="7"/>
  <c r="P210" i="7"/>
  <c r="H210" i="7"/>
  <c r="L210" i="7" s="1"/>
  <c r="G210" i="7"/>
  <c r="K210" i="7" s="1"/>
  <c r="AO209" i="7"/>
  <c r="AM209" i="7"/>
  <c r="AH209" i="7"/>
  <c r="AS209" i="7" s="1"/>
  <c r="Y209" i="7"/>
  <c r="X209" i="7" s="1"/>
  <c r="P209" i="7"/>
  <c r="H209" i="7"/>
  <c r="L209" i="7" s="1"/>
  <c r="G209" i="7"/>
  <c r="K209" i="7" s="1"/>
  <c r="AO208" i="7"/>
  <c r="AM208" i="7"/>
  <c r="AH208" i="7"/>
  <c r="AS208" i="7" s="1"/>
  <c r="Y208" i="7"/>
  <c r="P208" i="7"/>
  <c r="H208" i="7"/>
  <c r="L208" i="7" s="1"/>
  <c r="G208" i="7"/>
  <c r="K208" i="7" s="1"/>
  <c r="AO207" i="7"/>
  <c r="AM207" i="7"/>
  <c r="AH207" i="7"/>
  <c r="AS207" i="7" s="1"/>
  <c r="Y207" i="7"/>
  <c r="Z207" i="7" s="1"/>
  <c r="P207" i="7"/>
  <c r="H207" i="7"/>
  <c r="L207" i="7" s="1"/>
  <c r="G207" i="7"/>
  <c r="K207" i="7" s="1"/>
  <c r="AO206" i="7"/>
  <c r="AM206" i="7"/>
  <c r="AH206" i="7"/>
  <c r="AS206" i="7" s="1"/>
  <c r="Y206" i="7"/>
  <c r="Z206" i="7" s="1"/>
  <c r="P206" i="7"/>
  <c r="H206" i="7"/>
  <c r="L206" i="7" s="1"/>
  <c r="G206" i="7"/>
  <c r="K206" i="7" s="1"/>
  <c r="AO205" i="7"/>
  <c r="AM205" i="7"/>
  <c r="AH205" i="7"/>
  <c r="AS205" i="7" s="1"/>
  <c r="Y205" i="7"/>
  <c r="X205" i="7" s="1"/>
  <c r="P205" i="7"/>
  <c r="H205" i="7"/>
  <c r="L205" i="7" s="1"/>
  <c r="G205" i="7"/>
  <c r="K205" i="7" s="1"/>
  <c r="AO204" i="7"/>
  <c r="AM204" i="7"/>
  <c r="AH204" i="7"/>
  <c r="AS204" i="7" s="1"/>
  <c r="Y204" i="7"/>
  <c r="AA204" i="7" s="1"/>
  <c r="P204" i="7"/>
  <c r="H204" i="7"/>
  <c r="L204" i="7" s="1"/>
  <c r="G204" i="7"/>
  <c r="K204" i="7" s="1"/>
  <c r="AO203" i="7"/>
  <c r="AM203" i="7"/>
  <c r="AH203" i="7"/>
  <c r="AS203" i="7" s="1"/>
  <c r="Y203" i="7"/>
  <c r="Z203" i="7" s="1"/>
  <c r="P203" i="7"/>
  <c r="H203" i="7"/>
  <c r="L203" i="7" s="1"/>
  <c r="G203" i="7"/>
  <c r="K203" i="7" s="1"/>
  <c r="AO202" i="7"/>
  <c r="AM202" i="7"/>
  <c r="AH202" i="7"/>
  <c r="AS202" i="7" s="1"/>
  <c r="Y202" i="7"/>
  <c r="X202" i="7" s="1"/>
  <c r="P202" i="7"/>
  <c r="H202" i="7"/>
  <c r="L202" i="7" s="1"/>
  <c r="G202" i="7"/>
  <c r="K202" i="7" s="1"/>
  <c r="AO201" i="7"/>
  <c r="AM201" i="7"/>
  <c r="AH201" i="7"/>
  <c r="AS201" i="7" s="1"/>
  <c r="Y201" i="7"/>
  <c r="AA201" i="7" s="1"/>
  <c r="P201" i="7"/>
  <c r="H201" i="7"/>
  <c r="L201" i="7" s="1"/>
  <c r="G201" i="7"/>
  <c r="K201" i="7" s="1"/>
  <c r="AO200" i="7"/>
  <c r="AM200" i="7"/>
  <c r="AH200" i="7"/>
  <c r="AS200" i="7" s="1"/>
  <c r="Y200" i="7"/>
  <c r="P200" i="7"/>
  <c r="H200" i="7"/>
  <c r="L200" i="7" s="1"/>
  <c r="G200" i="7"/>
  <c r="K200" i="7" s="1"/>
  <c r="AO199" i="7"/>
  <c r="AM199" i="7"/>
  <c r="AH199" i="7"/>
  <c r="AS199" i="7" s="1"/>
  <c r="Y199" i="7"/>
  <c r="X199" i="7" s="1"/>
  <c r="P199" i="7"/>
  <c r="H199" i="7"/>
  <c r="L199" i="7" s="1"/>
  <c r="G199" i="7"/>
  <c r="K199" i="7" s="1"/>
  <c r="AO198" i="7"/>
  <c r="AM198" i="7"/>
  <c r="AH198" i="7"/>
  <c r="AS198" i="7" s="1"/>
  <c r="Y198" i="7"/>
  <c r="Z198" i="7" s="1"/>
  <c r="P198" i="7"/>
  <c r="H198" i="7"/>
  <c r="L198" i="7" s="1"/>
  <c r="G198" i="7"/>
  <c r="K198" i="7" s="1"/>
  <c r="AO197" i="7"/>
  <c r="AM197" i="7"/>
  <c r="AH197" i="7"/>
  <c r="AS197" i="7" s="1"/>
  <c r="Y197" i="7"/>
  <c r="P197" i="7"/>
  <c r="H197" i="7"/>
  <c r="L197" i="7" s="1"/>
  <c r="G197" i="7"/>
  <c r="K197" i="7" s="1"/>
  <c r="AO196" i="7"/>
  <c r="AM196" i="7"/>
  <c r="AH196" i="7"/>
  <c r="AS196" i="7" s="1"/>
  <c r="Y196" i="7"/>
  <c r="P196" i="7"/>
  <c r="H196" i="7"/>
  <c r="L196" i="7" s="1"/>
  <c r="G196" i="7"/>
  <c r="K196" i="7" s="1"/>
  <c r="AO195" i="7"/>
  <c r="AM195" i="7"/>
  <c r="AH195" i="7"/>
  <c r="AS195" i="7" s="1"/>
  <c r="Y195" i="7"/>
  <c r="Z195" i="7" s="1"/>
  <c r="P195" i="7"/>
  <c r="H195" i="7"/>
  <c r="L195" i="7" s="1"/>
  <c r="G195" i="7"/>
  <c r="K195" i="7" s="1"/>
  <c r="AO194" i="7"/>
  <c r="AM194" i="7"/>
  <c r="AH194" i="7"/>
  <c r="AS194" i="7" s="1"/>
  <c r="Y194" i="7"/>
  <c r="Z194" i="7" s="1"/>
  <c r="P194" i="7"/>
  <c r="H194" i="7"/>
  <c r="L194" i="7" s="1"/>
  <c r="G194" i="7"/>
  <c r="K194" i="7" s="1"/>
  <c r="AO193" i="7"/>
  <c r="AM193" i="7"/>
  <c r="AH193" i="7"/>
  <c r="AS193" i="7" s="1"/>
  <c r="Y193" i="7"/>
  <c r="X193" i="7" s="1"/>
  <c r="P193" i="7"/>
  <c r="H193" i="7"/>
  <c r="L193" i="7" s="1"/>
  <c r="G193" i="7"/>
  <c r="K193" i="7" s="1"/>
  <c r="AO192" i="7"/>
  <c r="AM192" i="7"/>
  <c r="AH192" i="7"/>
  <c r="AS192" i="7" s="1"/>
  <c r="Y192" i="7"/>
  <c r="P192" i="7"/>
  <c r="H192" i="7"/>
  <c r="L192" i="7" s="1"/>
  <c r="G192" i="7"/>
  <c r="K192" i="7" s="1"/>
  <c r="AO191" i="7"/>
  <c r="AM191" i="7"/>
  <c r="AH191" i="7"/>
  <c r="AS191" i="7" s="1"/>
  <c r="Y191" i="7"/>
  <c r="P191" i="7"/>
  <c r="H191" i="7"/>
  <c r="L191" i="7" s="1"/>
  <c r="G191" i="7"/>
  <c r="K191" i="7" s="1"/>
  <c r="AO190" i="7"/>
  <c r="AM190" i="7"/>
  <c r="AH190" i="7"/>
  <c r="AS190" i="7" s="1"/>
  <c r="Y190" i="7"/>
  <c r="AA190" i="7" s="1"/>
  <c r="P190" i="7"/>
  <c r="H190" i="7"/>
  <c r="L190" i="7" s="1"/>
  <c r="G190" i="7"/>
  <c r="K190" i="7" s="1"/>
  <c r="AO189" i="7"/>
  <c r="AM189" i="7"/>
  <c r="AH189" i="7"/>
  <c r="AS189" i="7" s="1"/>
  <c r="Y189" i="7"/>
  <c r="X189" i="7" s="1"/>
  <c r="P189" i="7"/>
  <c r="H189" i="7"/>
  <c r="L189" i="7" s="1"/>
  <c r="G189" i="7"/>
  <c r="K189" i="7" s="1"/>
  <c r="AO188" i="7"/>
  <c r="AM188" i="7"/>
  <c r="AH188" i="7"/>
  <c r="AS188" i="7" s="1"/>
  <c r="Y188" i="7"/>
  <c r="Z188" i="7" s="1"/>
  <c r="P188" i="7"/>
  <c r="H188" i="7"/>
  <c r="L188" i="7" s="1"/>
  <c r="G188" i="7"/>
  <c r="K188" i="7" s="1"/>
  <c r="AO187" i="7"/>
  <c r="AM187" i="7"/>
  <c r="AH187" i="7"/>
  <c r="AS187" i="7" s="1"/>
  <c r="Y187" i="7"/>
  <c r="P187" i="7"/>
  <c r="H187" i="7"/>
  <c r="L187" i="7" s="1"/>
  <c r="G187" i="7"/>
  <c r="K187" i="7" s="1"/>
  <c r="AO186" i="7"/>
  <c r="AM186" i="7"/>
  <c r="AH186" i="7"/>
  <c r="AS186" i="7" s="1"/>
  <c r="Y186" i="7"/>
  <c r="AA186" i="7" s="1"/>
  <c r="P186" i="7"/>
  <c r="H186" i="7"/>
  <c r="L186" i="7" s="1"/>
  <c r="G186" i="7"/>
  <c r="K186" i="7" s="1"/>
  <c r="AO185" i="7"/>
  <c r="AM185" i="7"/>
  <c r="AH185" i="7"/>
  <c r="AS185" i="7" s="1"/>
  <c r="Y185" i="7"/>
  <c r="AA185" i="7" s="1"/>
  <c r="P185" i="7"/>
  <c r="H185" i="7"/>
  <c r="L185" i="7" s="1"/>
  <c r="G185" i="7"/>
  <c r="K185" i="7" s="1"/>
  <c r="AO184" i="7"/>
  <c r="AM184" i="7"/>
  <c r="AH184" i="7"/>
  <c r="AS184" i="7" s="1"/>
  <c r="Y184" i="7"/>
  <c r="P184" i="7"/>
  <c r="H184" i="7"/>
  <c r="L184" i="7" s="1"/>
  <c r="G184" i="7"/>
  <c r="K184" i="7" s="1"/>
  <c r="AH183" i="7"/>
  <c r="AS183" i="7" s="1"/>
  <c r="Y183" i="7"/>
  <c r="X183" i="7" s="1"/>
  <c r="P183" i="7"/>
  <c r="H183" i="7"/>
  <c r="L183" i="7" s="1"/>
  <c r="G183" i="7"/>
  <c r="K183" i="7" s="1"/>
  <c r="AH182" i="7"/>
  <c r="AS182" i="7" s="1"/>
  <c r="Y182" i="7"/>
  <c r="X182" i="7" s="1"/>
  <c r="P182" i="7"/>
  <c r="H182" i="7"/>
  <c r="L182" i="7" s="1"/>
  <c r="G182" i="7"/>
  <c r="K182" i="7" s="1"/>
  <c r="AH181" i="7"/>
  <c r="AS181" i="7" s="1"/>
  <c r="Y181" i="7"/>
  <c r="P181" i="7"/>
  <c r="H181" i="7"/>
  <c r="L181" i="7" s="1"/>
  <c r="G181" i="7"/>
  <c r="K181" i="7" s="1"/>
  <c r="AH180" i="7"/>
  <c r="AS180" i="7" s="1"/>
  <c r="Y180" i="7"/>
  <c r="Z180" i="7" s="1"/>
  <c r="P180" i="7"/>
  <c r="H180" i="7"/>
  <c r="L180" i="7" s="1"/>
  <c r="G180" i="7"/>
  <c r="K180" i="7" s="1"/>
  <c r="AH179" i="7"/>
  <c r="AS179" i="7" s="1"/>
  <c r="Y179" i="7"/>
  <c r="Z179" i="7" s="1"/>
  <c r="P179" i="7"/>
  <c r="H179" i="7"/>
  <c r="L179" i="7" s="1"/>
  <c r="G179" i="7"/>
  <c r="K179" i="7" s="1"/>
  <c r="AH178" i="7"/>
  <c r="AS178" i="7" s="1"/>
  <c r="Y178" i="7"/>
  <c r="P178" i="7"/>
  <c r="H178" i="7"/>
  <c r="L178" i="7" s="1"/>
  <c r="G178" i="7"/>
  <c r="K178" i="7" s="1"/>
  <c r="AH177" i="7"/>
  <c r="AS177" i="7" s="1"/>
  <c r="Y177" i="7"/>
  <c r="Z177" i="7" s="1"/>
  <c r="P177" i="7"/>
  <c r="H177" i="7"/>
  <c r="L177" i="7" s="1"/>
  <c r="G177" i="7"/>
  <c r="K177" i="7" s="1"/>
  <c r="AH176" i="7"/>
  <c r="AS176" i="7" s="1"/>
  <c r="Y176" i="7"/>
  <c r="AA176" i="7" s="1"/>
  <c r="P176" i="7"/>
  <c r="H176" i="7"/>
  <c r="L176" i="7" s="1"/>
  <c r="G176" i="7"/>
  <c r="K176" i="7" s="1"/>
  <c r="AH175" i="7"/>
  <c r="AS175" i="7" s="1"/>
  <c r="Y175" i="7"/>
  <c r="P175" i="7"/>
  <c r="H175" i="7"/>
  <c r="L175" i="7" s="1"/>
  <c r="G175" i="7"/>
  <c r="K175" i="7" s="1"/>
  <c r="AH174" i="7"/>
  <c r="AS174" i="7" s="1"/>
  <c r="Y174" i="7"/>
  <c r="AA174" i="7" s="1"/>
  <c r="P174" i="7"/>
  <c r="H174" i="7"/>
  <c r="L174" i="7" s="1"/>
  <c r="G174" i="7"/>
  <c r="K174" i="7" s="1"/>
  <c r="AH173" i="7"/>
  <c r="AS173" i="7" s="1"/>
  <c r="Y173" i="7"/>
  <c r="P173" i="7"/>
  <c r="H173" i="7"/>
  <c r="L173" i="7" s="1"/>
  <c r="G173" i="7"/>
  <c r="K173" i="7" s="1"/>
  <c r="AH172" i="7"/>
  <c r="AS172" i="7" s="1"/>
  <c r="Y172" i="7"/>
  <c r="P172" i="7"/>
  <c r="H172" i="7"/>
  <c r="L172" i="7" s="1"/>
  <c r="G172" i="7"/>
  <c r="K172" i="7" s="1"/>
  <c r="AO171" i="7"/>
  <c r="AM171" i="7"/>
  <c r="AH171" i="7"/>
  <c r="AS171" i="7" s="1"/>
  <c r="Y171" i="7"/>
  <c r="X171" i="7" s="1"/>
  <c r="P171" i="7"/>
  <c r="H171" i="7"/>
  <c r="L171" i="7" s="1"/>
  <c r="G171" i="7"/>
  <c r="K171" i="7" s="1"/>
  <c r="AO170" i="7"/>
  <c r="AH170" i="7"/>
  <c r="AS170" i="7" s="1"/>
  <c r="Y170" i="7"/>
  <c r="Z170" i="7" s="1"/>
  <c r="P170" i="7"/>
  <c r="H170" i="7"/>
  <c r="L170" i="7" s="1"/>
  <c r="G170" i="7"/>
  <c r="K170" i="7" s="1"/>
  <c r="AO169" i="7"/>
  <c r="AM169" i="7"/>
  <c r="AH169" i="7"/>
  <c r="AS169" i="7" s="1"/>
  <c r="Y169" i="7"/>
  <c r="P169" i="7"/>
  <c r="H169" i="7"/>
  <c r="L169" i="7" s="1"/>
  <c r="G169" i="7"/>
  <c r="K169" i="7" s="1"/>
  <c r="AM168" i="7"/>
  <c r="AH168" i="7"/>
  <c r="AS168" i="7" s="1"/>
  <c r="Y168" i="7"/>
  <c r="Z168" i="7" s="1"/>
  <c r="P168" i="7"/>
  <c r="H168" i="7"/>
  <c r="L168" i="7" s="1"/>
  <c r="G168" i="7"/>
  <c r="K168" i="7" s="1"/>
  <c r="AM167" i="7"/>
  <c r="AH167" i="7"/>
  <c r="AS167" i="7" s="1"/>
  <c r="Y167" i="7"/>
  <c r="Z167" i="7" s="1"/>
  <c r="P167" i="7"/>
  <c r="H167" i="7"/>
  <c r="L167" i="7" s="1"/>
  <c r="G167" i="7"/>
  <c r="K167" i="7" s="1"/>
  <c r="AO166" i="7"/>
  <c r="AM166" i="7"/>
  <c r="AH166" i="7"/>
  <c r="AS166" i="7" s="1"/>
  <c r="Y166" i="7"/>
  <c r="Z166" i="7" s="1"/>
  <c r="P166" i="7"/>
  <c r="H166" i="7"/>
  <c r="L166" i="7" s="1"/>
  <c r="G166" i="7"/>
  <c r="K166" i="7" s="1"/>
  <c r="AO165" i="7"/>
  <c r="AM165" i="7"/>
  <c r="AH165" i="7"/>
  <c r="AS165" i="7" s="1"/>
  <c r="Y165" i="7"/>
  <c r="X165" i="7" s="1"/>
  <c r="P165" i="7"/>
  <c r="H165" i="7"/>
  <c r="L165" i="7" s="1"/>
  <c r="G165" i="7"/>
  <c r="K165" i="7" s="1"/>
  <c r="AO164" i="7"/>
  <c r="AM164" i="7"/>
  <c r="AH164" i="7"/>
  <c r="AS164" i="7" s="1"/>
  <c r="Y164" i="7"/>
  <c r="AA164" i="7" s="1"/>
  <c r="P164" i="7"/>
  <c r="H164" i="7"/>
  <c r="L164" i="7" s="1"/>
  <c r="G164" i="7"/>
  <c r="K164" i="7" s="1"/>
  <c r="AH163" i="7"/>
  <c r="AS163" i="7" s="1"/>
  <c r="Y163" i="7"/>
  <c r="P163" i="7"/>
  <c r="H163" i="7"/>
  <c r="L163" i="7" s="1"/>
  <c r="G163" i="7"/>
  <c r="K163" i="7" s="1"/>
  <c r="AH162" i="7"/>
  <c r="AS162" i="7" s="1"/>
  <c r="Y162" i="7"/>
  <c r="Z162" i="7" s="1"/>
  <c r="P162" i="7"/>
  <c r="H162" i="7"/>
  <c r="L162" i="7" s="1"/>
  <c r="G162" i="7"/>
  <c r="K162" i="7" s="1"/>
  <c r="AO161" i="7"/>
  <c r="AM161" i="7"/>
  <c r="AH161" i="7"/>
  <c r="AS161" i="7" s="1"/>
  <c r="Y161" i="7"/>
  <c r="Z161" i="7" s="1"/>
  <c r="P161" i="7"/>
  <c r="H161" i="7"/>
  <c r="L161" i="7" s="1"/>
  <c r="G161" i="7"/>
  <c r="K161" i="7" s="1"/>
  <c r="AH160" i="7"/>
  <c r="AS160" i="7" s="1"/>
  <c r="Y160" i="7"/>
  <c r="Z160" i="7" s="1"/>
  <c r="P160" i="7"/>
  <c r="H160" i="7"/>
  <c r="L160" i="7" s="1"/>
  <c r="G160" i="7"/>
  <c r="K160" i="7" s="1"/>
  <c r="AH159" i="7"/>
  <c r="AS159" i="7" s="1"/>
  <c r="Y159" i="7"/>
  <c r="Z159" i="7" s="1"/>
  <c r="P159" i="7"/>
  <c r="H159" i="7"/>
  <c r="L159" i="7" s="1"/>
  <c r="G159" i="7"/>
  <c r="K159" i="7" s="1"/>
  <c r="AH158" i="7"/>
  <c r="AS158" i="7" s="1"/>
  <c r="Y158" i="7"/>
  <c r="Z158" i="7" s="1"/>
  <c r="P158" i="7"/>
  <c r="H158" i="7"/>
  <c r="L158" i="7" s="1"/>
  <c r="G158" i="7"/>
  <c r="K158" i="7" s="1"/>
  <c r="AO157" i="7"/>
  <c r="AM157" i="7"/>
  <c r="AH157" i="7"/>
  <c r="AS157" i="7" s="1"/>
  <c r="Y157" i="7"/>
  <c r="Z157" i="7" s="1"/>
  <c r="P157" i="7"/>
  <c r="H157" i="7"/>
  <c r="L157" i="7" s="1"/>
  <c r="G157" i="7"/>
  <c r="K157" i="7" s="1"/>
  <c r="AH156" i="7"/>
  <c r="AS156" i="7" s="1"/>
  <c r="Y156" i="7"/>
  <c r="Z156" i="7" s="1"/>
  <c r="P156" i="7"/>
  <c r="H156" i="7"/>
  <c r="L156" i="7" s="1"/>
  <c r="G156" i="7"/>
  <c r="K156" i="7" s="1"/>
  <c r="AH155" i="7"/>
  <c r="AS155" i="7" s="1"/>
  <c r="Y155" i="7"/>
  <c r="Z155" i="7" s="1"/>
  <c r="P155" i="7"/>
  <c r="H155" i="7"/>
  <c r="L155" i="7" s="1"/>
  <c r="G155" i="7"/>
  <c r="K155" i="7" s="1"/>
  <c r="AH154" i="7"/>
  <c r="AS154" i="7" s="1"/>
  <c r="Y154" i="7"/>
  <c r="Z154" i="7" s="1"/>
  <c r="P154" i="7"/>
  <c r="H154" i="7"/>
  <c r="L154" i="7" s="1"/>
  <c r="G154" i="7"/>
  <c r="K154" i="7" s="1"/>
  <c r="AH153" i="7"/>
  <c r="AS153" i="7" s="1"/>
  <c r="Y153" i="7"/>
  <c r="Z153" i="7" s="1"/>
  <c r="P153" i="7"/>
  <c r="H153" i="7"/>
  <c r="L153" i="7" s="1"/>
  <c r="G153" i="7"/>
  <c r="K153" i="7" s="1"/>
  <c r="AH152" i="7"/>
  <c r="AS152" i="7" s="1"/>
  <c r="Y152" i="7"/>
  <c r="Z152" i="7" s="1"/>
  <c r="P152" i="7"/>
  <c r="H152" i="7"/>
  <c r="L152" i="7" s="1"/>
  <c r="G152" i="7"/>
  <c r="K152" i="7" s="1"/>
  <c r="AH151" i="7"/>
  <c r="AS151" i="7" s="1"/>
  <c r="Y151" i="7"/>
  <c r="X151" i="7" s="1"/>
  <c r="P151" i="7"/>
  <c r="H151" i="7"/>
  <c r="L151" i="7" s="1"/>
  <c r="G151" i="7"/>
  <c r="K151" i="7" s="1"/>
  <c r="AO150" i="7"/>
  <c r="AM150" i="7"/>
  <c r="AH150" i="7"/>
  <c r="AS150" i="7" s="1"/>
  <c r="Y150" i="7"/>
  <c r="P150" i="7"/>
  <c r="H150" i="7"/>
  <c r="L150" i="7" s="1"/>
  <c r="G150" i="7"/>
  <c r="K150" i="7" s="1"/>
  <c r="AH149" i="7"/>
  <c r="AS149" i="7" s="1"/>
  <c r="Y149" i="7"/>
  <c r="Z149" i="7" s="1"/>
  <c r="P149" i="7"/>
  <c r="H149" i="7"/>
  <c r="L149" i="7" s="1"/>
  <c r="G149" i="7"/>
  <c r="K149" i="7" s="1"/>
  <c r="AH148" i="7"/>
  <c r="AS148" i="7" s="1"/>
  <c r="Y148" i="7"/>
  <c r="Z148" i="7" s="1"/>
  <c r="P148" i="7"/>
  <c r="H148" i="7"/>
  <c r="L148" i="7" s="1"/>
  <c r="G148" i="7"/>
  <c r="K148" i="7" s="1"/>
  <c r="AH147" i="7"/>
  <c r="AS147" i="7" s="1"/>
  <c r="Y147" i="7"/>
  <c r="Z147" i="7" s="1"/>
  <c r="P147" i="7"/>
  <c r="H147" i="7"/>
  <c r="L147" i="7" s="1"/>
  <c r="G147" i="7"/>
  <c r="K147" i="7" s="1"/>
  <c r="AH146" i="7"/>
  <c r="AS146" i="7" s="1"/>
  <c r="Y146" i="7"/>
  <c r="Z146" i="7" s="1"/>
  <c r="P146" i="7"/>
  <c r="H146" i="7"/>
  <c r="L146" i="7" s="1"/>
  <c r="G146" i="7"/>
  <c r="K146" i="7" s="1"/>
  <c r="AH145" i="7"/>
  <c r="AS145" i="7" s="1"/>
  <c r="Y145" i="7"/>
  <c r="Z145" i="7" s="1"/>
  <c r="P145" i="7"/>
  <c r="H145" i="7"/>
  <c r="L145" i="7" s="1"/>
  <c r="G145" i="7"/>
  <c r="K145" i="7" s="1"/>
  <c r="AO144" i="7"/>
  <c r="AM144" i="7"/>
  <c r="AH144" i="7"/>
  <c r="AS144" i="7" s="1"/>
  <c r="Y144" i="7"/>
  <c r="Z144" i="7" s="1"/>
  <c r="P144" i="7"/>
  <c r="H144" i="7"/>
  <c r="L144" i="7" s="1"/>
  <c r="G144" i="7"/>
  <c r="K144" i="7" s="1"/>
  <c r="AH143" i="7"/>
  <c r="AS143" i="7" s="1"/>
  <c r="Y143" i="7"/>
  <c r="Z143" i="7" s="1"/>
  <c r="P143" i="7"/>
  <c r="H143" i="7"/>
  <c r="L143" i="7" s="1"/>
  <c r="G143" i="7"/>
  <c r="K143" i="7" s="1"/>
  <c r="AO142" i="7"/>
  <c r="AM142" i="7"/>
  <c r="AH142" i="7"/>
  <c r="AS142" i="7" s="1"/>
  <c r="Y142" i="7"/>
  <c r="Z142" i="7" s="1"/>
  <c r="P142" i="7"/>
  <c r="H142" i="7"/>
  <c r="L142" i="7" s="1"/>
  <c r="G142" i="7"/>
  <c r="K142" i="7" s="1"/>
  <c r="AH141" i="7"/>
  <c r="AS141" i="7" s="1"/>
  <c r="Y141" i="7"/>
  <c r="Z141" i="7" s="1"/>
  <c r="P141" i="7"/>
  <c r="H141" i="7"/>
  <c r="L141" i="7" s="1"/>
  <c r="G141" i="7"/>
  <c r="K141" i="7" s="1"/>
  <c r="AH140" i="7"/>
  <c r="AS140" i="7" s="1"/>
  <c r="Y140" i="7"/>
  <c r="Z140" i="7" s="1"/>
  <c r="P140" i="7"/>
  <c r="H140" i="7"/>
  <c r="L140" i="7" s="1"/>
  <c r="G140" i="7"/>
  <c r="K140" i="7" s="1"/>
  <c r="AO139" i="7"/>
  <c r="AM139" i="7"/>
  <c r="AH139" i="7"/>
  <c r="AS139" i="7" s="1"/>
  <c r="Y139" i="7"/>
  <c r="Z139" i="7" s="1"/>
  <c r="P139" i="7"/>
  <c r="H139" i="7"/>
  <c r="L139" i="7" s="1"/>
  <c r="G139" i="7"/>
  <c r="K139" i="7" s="1"/>
  <c r="AO138" i="7"/>
  <c r="AM138" i="7"/>
  <c r="AH138" i="7"/>
  <c r="AS138" i="7" s="1"/>
  <c r="Y138" i="7"/>
  <c r="Z138" i="7" s="1"/>
  <c r="P138" i="7"/>
  <c r="H138" i="7"/>
  <c r="L138" i="7" s="1"/>
  <c r="G138" i="7"/>
  <c r="K138" i="7" s="1"/>
  <c r="AH137" i="7"/>
  <c r="AS137" i="7" s="1"/>
  <c r="Y137" i="7"/>
  <c r="Z137" i="7" s="1"/>
  <c r="P137" i="7"/>
  <c r="H137" i="7"/>
  <c r="L137" i="7" s="1"/>
  <c r="G137" i="7"/>
  <c r="K137" i="7" s="1"/>
  <c r="AH136" i="7"/>
  <c r="AS136" i="7" s="1"/>
  <c r="Y136" i="7"/>
  <c r="Z136" i="7" s="1"/>
  <c r="P136" i="7"/>
  <c r="H136" i="7"/>
  <c r="L136" i="7" s="1"/>
  <c r="G136" i="7"/>
  <c r="K136" i="7" s="1"/>
  <c r="AH135" i="7"/>
  <c r="AS135" i="7" s="1"/>
  <c r="Y135" i="7"/>
  <c r="Z135" i="7" s="1"/>
  <c r="P135" i="7"/>
  <c r="H135" i="7"/>
  <c r="L135" i="7" s="1"/>
  <c r="G135" i="7"/>
  <c r="K135" i="7" s="1"/>
  <c r="AH134" i="7"/>
  <c r="AS134" i="7" s="1"/>
  <c r="Y134" i="7"/>
  <c r="Z134" i="7" s="1"/>
  <c r="P134" i="7"/>
  <c r="H134" i="7"/>
  <c r="L134" i="7" s="1"/>
  <c r="G134" i="7"/>
  <c r="K134" i="7" s="1"/>
  <c r="AO133" i="7"/>
  <c r="AM133" i="7"/>
  <c r="AH133" i="7"/>
  <c r="AS133" i="7" s="1"/>
  <c r="Y133" i="7"/>
  <c r="Z133" i="7" s="1"/>
  <c r="P133" i="7"/>
  <c r="H133" i="7"/>
  <c r="L133" i="7" s="1"/>
  <c r="G133" i="7"/>
  <c r="K133" i="7" s="1"/>
  <c r="AH132" i="7"/>
  <c r="AS132" i="7" s="1"/>
  <c r="Y132" i="7"/>
  <c r="Z132" i="7" s="1"/>
  <c r="P132" i="7"/>
  <c r="H132" i="7"/>
  <c r="L132" i="7" s="1"/>
  <c r="G132" i="7"/>
  <c r="K132" i="7" s="1"/>
  <c r="AH131" i="7"/>
  <c r="AS131" i="7" s="1"/>
  <c r="Y131" i="7"/>
  <c r="P131" i="7"/>
  <c r="H131" i="7"/>
  <c r="L131" i="7" s="1"/>
  <c r="G131" i="7"/>
  <c r="K131" i="7" s="1"/>
  <c r="AH130" i="7"/>
  <c r="AS130" i="7" s="1"/>
  <c r="Y130" i="7"/>
  <c r="Z130" i="7" s="1"/>
  <c r="P130" i="7"/>
  <c r="H130" i="7"/>
  <c r="L130" i="7" s="1"/>
  <c r="G130" i="7"/>
  <c r="K130" i="7" s="1"/>
  <c r="AH129" i="7"/>
  <c r="AS129" i="7" s="1"/>
  <c r="Y129" i="7"/>
  <c r="Z129" i="7" s="1"/>
  <c r="P129" i="7"/>
  <c r="H129" i="7"/>
  <c r="L129" i="7" s="1"/>
  <c r="G129" i="7"/>
  <c r="K129" i="7" s="1"/>
  <c r="AH128" i="7"/>
  <c r="AS128" i="7" s="1"/>
  <c r="Y128" i="7"/>
  <c r="Z128" i="7" s="1"/>
  <c r="P128" i="7"/>
  <c r="H128" i="7"/>
  <c r="L128" i="7" s="1"/>
  <c r="G128" i="7"/>
  <c r="K128" i="7" s="1"/>
  <c r="AH127" i="7"/>
  <c r="AS127" i="7" s="1"/>
  <c r="Y127" i="7"/>
  <c r="Z127" i="7" s="1"/>
  <c r="P127" i="7"/>
  <c r="H127" i="7"/>
  <c r="L127" i="7" s="1"/>
  <c r="G127" i="7"/>
  <c r="K127" i="7" s="1"/>
  <c r="AH126" i="7"/>
  <c r="AS126" i="7" s="1"/>
  <c r="Y126" i="7"/>
  <c r="Z126" i="7" s="1"/>
  <c r="P126" i="7"/>
  <c r="H126" i="7"/>
  <c r="L126" i="7" s="1"/>
  <c r="G126" i="7"/>
  <c r="K126" i="7" s="1"/>
  <c r="AH125" i="7"/>
  <c r="AS125" i="7" s="1"/>
  <c r="Y125" i="7"/>
  <c r="Z125" i="7" s="1"/>
  <c r="P125" i="7"/>
  <c r="H125" i="7"/>
  <c r="L125" i="7" s="1"/>
  <c r="G125" i="7"/>
  <c r="K125" i="7" s="1"/>
  <c r="AH124" i="7"/>
  <c r="AS124" i="7" s="1"/>
  <c r="Y124" i="7"/>
  <c r="Z124" i="7" s="1"/>
  <c r="P124" i="7"/>
  <c r="H124" i="7"/>
  <c r="L124" i="7" s="1"/>
  <c r="G124" i="7"/>
  <c r="K124" i="7" s="1"/>
  <c r="AH123" i="7"/>
  <c r="AS123" i="7" s="1"/>
  <c r="Y123" i="7"/>
  <c r="P123" i="7"/>
  <c r="H123" i="7"/>
  <c r="L123" i="7" s="1"/>
  <c r="G123" i="7"/>
  <c r="K123" i="7" s="1"/>
  <c r="AM122" i="7"/>
  <c r="AH122" i="7"/>
  <c r="AS122" i="7" s="1"/>
  <c r="Y122" i="7"/>
  <c r="X122" i="7" s="1"/>
  <c r="P122" i="7"/>
  <c r="H122" i="7"/>
  <c r="L122" i="7" s="1"/>
  <c r="G122" i="7"/>
  <c r="K122" i="7" s="1"/>
  <c r="AH121" i="7"/>
  <c r="AS121" i="7" s="1"/>
  <c r="Y121" i="7"/>
  <c r="Z121" i="7" s="1"/>
  <c r="P121" i="7"/>
  <c r="H121" i="7"/>
  <c r="L121" i="7" s="1"/>
  <c r="G121" i="7"/>
  <c r="K121" i="7" s="1"/>
  <c r="AH120" i="7"/>
  <c r="AS120" i="7" s="1"/>
  <c r="Y120" i="7"/>
  <c r="Z120" i="7" s="1"/>
  <c r="P120" i="7"/>
  <c r="H120" i="7"/>
  <c r="L120" i="7" s="1"/>
  <c r="G120" i="7"/>
  <c r="K120" i="7" s="1"/>
  <c r="AH119" i="7"/>
  <c r="AS119" i="7" s="1"/>
  <c r="Y119" i="7"/>
  <c r="Z119" i="7" s="1"/>
  <c r="P119" i="7"/>
  <c r="H119" i="7"/>
  <c r="L119" i="7" s="1"/>
  <c r="G119" i="7"/>
  <c r="K119" i="7" s="1"/>
  <c r="AM118" i="7"/>
  <c r="AH118" i="7"/>
  <c r="AS118" i="7" s="1"/>
  <c r="Y118" i="7"/>
  <c r="Z118" i="7" s="1"/>
  <c r="P118" i="7"/>
  <c r="H118" i="7"/>
  <c r="L118" i="7" s="1"/>
  <c r="G118" i="7"/>
  <c r="K118" i="7" s="1"/>
  <c r="AM117" i="7"/>
  <c r="AH117" i="7"/>
  <c r="AS117" i="7" s="1"/>
  <c r="Y117" i="7"/>
  <c r="Z117" i="7" s="1"/>
  <c r="P117" i="7"/>
  <c r="H117" i="7"/>
  <c r="L117" i="7" s="1"/>
  <c r="G117" i="7"/>
  <c r="K117" i="7" s="1"/>
  <c r="AO116" i="7"/>
  <c r="AM116" i="7"/>
  <c r="AH116" i="7"/>
  <c r="AS116" i="7" s="1"/>
  <c r="Y116" i="7"/>
  <c r="X116" i="7" s="1"/>
  <c r="P116" i="7"/>
  <c r="H116" i="7"/>
  <c r="L116" i="7" s="1"/>
  <c r="G116" i="7"/>
  <c r="K116" i="7" s="1"/>
  <c r="AH115" i="7"/>
  <c r="AS115" i="7" s="1"/>
  <c r="Y115" i="7"/>
  <c r="Z115" i="7" s="1"/>
  <c r="P115" i="7"/>
  <c r="H115" i="7"/>
  <c r="L115" i="7" s="1"/>
  <c r="G115" i="7"/>
  <c r="K115" i="7" s="1"/>
  <c r="AH114" i="7"/>
  <c r="AS114" i="7" s="1"/>
  <c r="Y114" i="7"/>
  <c r="AA114" i="7" s="1"/>
  <c r="P114" i="7"/>
  <c r="H114" i="7"/>
  <c r="L114" i="7" s="1"/>
  <c r="G114" i="7"/>
  <c r="K114" i="7" s="1"/>
  <c r="AH113" i="7"/>
  <c r="AS113" i="7" s="1"/>
  <c r="Y113" i="7"/>
  <c r="Z113" i="7" s="1"/>
  <c r="P113" i="7"/>
  <c r="H113" i="7"/>
  <c r="L113" i="7" s="1"/>
  <c r="G113" i="7"/>
  <c r="K113" i="7" s="1"/>
  <c r="AH112" i="7"/>
  <c r="AS112" i="7" s="1"/>
  <c r="Y112" i="7"/>
  <c r="Z112" i="7" s="1"/>
  <c r="P112" i="7"/>
  <c r="H112" i="7"/>
  <c r="L112" i="7" s="1"/>
  <c r="G112" i="7"/>
  <c r="K112" i="7" s="1"/>
  <c r="AH111" i="7"/>
  <c r="AS111" i="7" s="1"/>
  <c r="Y111" i="7"/>
  <c r="Z111" i="7" s="1"/>
  <c r="P111" i="7"/>
  <c r="H111" i="7"/>
  <c r="L111" i="7" s="1"/>
  <c r="G111" i="7"/>
  <c r="K111" i="7" s="1"/>
  <c r="AH110" i="7"/>
  <c r="AS110" i="7" s="1"/>
  <c r="Y110" i="7"/>
  <c r="AA110" i="7" s="1"/>
  <c r="P110" i="7"/>
  <c r="H110" i="7"/>
  <c r="L110" i="7" s="1"/>
  <c r="G110" i="7"/>
  <c r="K110" i="7" s="1"/>
  <c r="AH109" i="7"/>
  <c r="AS109" i="7" s="1"/>
  <c r="Y109" i="7"/>
  <c r="X109" i="7" s="1"/>
  <c r="P109" i="7"/>
  <c r="H109" i="7"/>
  <c r="L109" i="7" s="1"/>
  <c r="G109" i="7"/>
  <c r="K109" i="7" s="1"/>
  <c r="AH108" i="7"/>
  <c r="AS108" i="7" s="1"/>
  <c r="Y108" i="7"/>
  <c r="Z108" i="7" s="1"/>
  <c r="P108" i="7"/>
  <c r="H108" i="7"/>
  <c r="L108" i="7" s="1"/>
  <c r="G108" i="7"/>
  <c r="K108" i="7" s="1"/>
  <c r="AH107" i="7"/>
  <c r="AS107" i="7" s="1"/>
  <c r="Y107" i="7"/>
  <c r="AA107" i="7" s="1"/>
  <c r="P107" i="7"/>
  <c r="H107" i="7"/>
  <c r="L107" i="7" s="1"/>
  <c r="G107" i="7"/>
  <c r="K107" i="7" s="1"/>
  <c r="AH106" i="7"/>
  <c r="AS106" i="7" s="1"/>
  <c r="Y106" i="7"/>
  <c r="AA106" i="7" s="1"/>
  <c r="P106" i="7"/>
  <c r="H106" i="7"/>
  <c r="L106" i="7" s="1"/>
  <c r="G106" i="7"/>
  <c r="K106" i="7" s="1"/>
  <c r="AH105" i="7"/>
  <c r="AS105" i="7" s="1"/>
  <c r="Y105" i="7"/>
  <c r="Z105" i="7" s="1"/>
  <c r="P105" i="7"/>
  <c r="H105" i="7"/>
  <c r="L105" i="7" s="1"/>
  <c r="G105" i="7"/>
  <c r="K105" i="7" s="1"/>
  <c r="AH104" i="7"/>
  <c r="AS104" i="7" s="1"/>
  <c r="Y104" i="7"/>
  <c r="P104" i="7"/>
  <c r="H104" i="7"/>
  <c r="L104" i="7" s="1"/>
  <c r="G104" i="7"/>
  <c r="K104" i="7" s="1"/>
  <c r="AH103" i="7"/>
  <c r="AS103" i="7" s="1"/>
  <c r="Y103" i="7"/>
  <c r="AA103" i="7" s="1"/>
  <c r="P103" i="7"/>
  <c r="H103" i="7"/>
  <c r="L103" i="7" s="1"/>
  <c r="G103" i="7"/>
  <c r="K103" i="7" s="1"/>
  <c r="AH102" i="7"/>
  <c r="AS102" i="7" s="1"/>
  <c r="Y102" i="7"/>
  <c r="Z102" i="7" s="1"/>
  <c r="P102" i="7"/>
  <c r="H102" i="7"/>
  <c r="L102" i="7" s="1"/>
  <c r="G102" i="7"/>
  <c r="K102" i="7" s="1"/>
  <c r="AH101" i="7"/>
  <c r="AS101" i="7" s="1"/>
  <c r="Y101" i="7"/>
  <c r="Z101" i="7" s="1"/>
  <c r="P101" i="7"/>
  <c r="H101" i="7"/>
  <c r="L101" i="7" s="1"/>
  <c r="G101" i="7"/>
  <c r="K101" i="7" s="1"/>
  <c r="AH100" i="7"/>
  <c r="AS100" i="7" s="1"/>
  <c r="Y100" i="7"/>
  <c r="AA100" i="7" s="1"/>
  <c r="P100" i="7"/>
  <c r="H100" i="7"/>
  <c r="L100" i="7" s="1"/>
  <c r="G100" i="7"/>
  <c r="K100" i="7" s="1"/>
  <c r="AH99" i="7"/>
  <c r="AS99" i="7" s="1"/>
  <c r="Y99" i="7"/>
  <c r="Z99" i="7" s="1"/>
  <c r="P99" i="7"/>
  <c r="H99" i="7"/>
  <c r="L99" i="7" s="1"/>
  <c r="G99" i="7"/>
  <c r="K99" i="7" s="1"/>
  <c r="AH98" i="7"/>
  <c r="AS98" i="7" s="1"/>
  <c r="Y98" i="7"/>
  <c r="Z98" i="7" s="1"/>
  <c r="P98" i="7"/>
  <c r="H98" i="7"/>
  <c r="L98" i="7" s="1"/>
  <c r="G98" i="7"/>
  <c r="K98" i="7" s="1"/>
  <c r="AH97" i="7"/>
  <c r="AS97" i="7" s="1"/>
  <c r="Y97" i="7"/>
  <c r="X97" i="7" s="1"/>
  <c r="P97" i="7"/>
  <c r="H97" i="7"/>
  <c r="L97" i="7" s="1"/>
  <c r="G97" i="7"/>
  <c r="K97" i="7" s="1"/>
  <c r="AH96" i="7"/>
  <c r="AS96" i="7" s="1"/>
  <c r="Y96" i="7"/>
  <c r="Z96" i="7" s="1"/>
  <c r="P96" i="7"/>
  <c r="H96" i="7"/>
  <c r="L96" i="7" s="1"/>
  <c r="G96" i="7"/>
  <c r="K96" i="7" s="1"/>
  <c r="AH95" i="7"/>
  <c r="AS95" i="7" s="1"/>
  <c r="Y95" i="7"/>
  <c r="Z95" i="7" s="1"/>
  <c r="P95" i="7"/>
  <c r="H95" i="7"/>
  <c r="L95" i="7" s="1"/>
  <c r="G95" i="7"/>
  <c r="K95" i="7" s="1"/>
  <c r="AH94" i="7"/>
  <c r="AS94" i="7" s="1"/>
  <c r="Y94" i="7"/>
  <c r="Z94" i="7" s="1"/>
  <c r="P94" i="7"/>
  <c r="H94" i="7"/>
  <c r="L94" i="7" s="1"/>
  <c r="G94" i="7"/>
  <c r="K94" i="7" s="1"/>
  <c r="AO93" i="7"/>
  <c r="AM93" i="7"/>
  <c r="AH93" i="7"/>
  <c r="AS93" i="7" s="1"/>
  <c r="Y93" i="7"/>
  <c r="Z93" i="7" s="1"/>
  <c r="P93" i="7"/>
  <c r="H93" i="7"/>
  <c r="L93" i="7" s="1"/>
  <c r="G93" i="7"/>
  <c r="K93" i="7" s="1"/>
  <c r="AH92" i="7"/>
  <c r="AS92" i="7" s="1"/>
  <c r="Y92" i="7"/>
  <c r="AA92" i="7" s="1"/>
  <c r="P92" i="7"/>
  <c r="H92" i="7"/>
  <c r="L92" i="7" s="1"/>
  <c r="G92" i="7"/>
  <c r="K92" i="7" s="1"/>
  <c r="AO91" i="7"/>
  <c r="AM91" i="7"/>
  <c r="AH91" i="7"/>
  <c r="AS91" i="7" s="1"/>
  <c r="Y91" i="7"/>
  <c r="Z91" i="7" s="1"/>
  <c r="P91" i="7"/>
  <c r="H91" i="7"/>
  <c r="L91" i="7" s="1"/>
  <c r="G91" i="7"/>
  <c r="K91" i="7" s="1"/>
  <c r="AO90" i="7"/>
  <c r="AM90" i="7"/>
  <c r="AH90" i="7"/>
  <c r="AS90" i="7" s="1"/>
  <c r="Y90" i="7"/>
  <c r="Z90" i="7" s="1"/>
  <c r="P90" i="7"/>
  <c r="H90" i="7"/>
  <c r="L90" i="7" s="1"/>
  <c r="G90" i="7"/>
  <c r="K90" i="7" s="1"/>
  <c r="AH89" i="7"/>
  <c r="AS89" i="7" s="1"/>
  <c r="Y89" i="7"/>
  <c r="Z89" i="7" s="1"/>
  <c r="P89" i="7"/>
  <c r="H89" i="7"/>
  <c r="L89" i="7" s="1"/>
  <c r="G89" i="7"/>
  <c r="K89" i="7" s="1"/>
  <c r="AH88" i="7"/>
  <c r="AS88" i="7" s="1"/>
  <c r="Y88" i="7"/>
  <c r="X88" i="7" s="1"/>
  <c r="P88" i="7"/>
  <c r="H88" i="7"/>
  <c r="L88" i="7" s="1"/>
  <c r="G88" i="7"/>
  <c r="K88" i="7" s="1"/>
  <c r="AH87" i="7"/>
  <c r="AS87" i="7" s="1"/>
  <c r="Y87" i="7"/>
  <c r="Z87" i="7" s="1"/>
  <c r="P87" i="7"/>
  <c r="H87" i="7"/>
  <c r="L87" i="7" s="1"/>
  <c r="G87" i="7"/>
  <c r="K87" i="7" s="1"/>
  <c r="AH86" i="7"/>
  <c r="AS86" i="7" s="1"/>
  <c r="Y86" i="7"/>
  <c r="X86" i="7" s="1"/>
  <c r="P86" i="7"/>
  <c r="H86" i="7"/>
  <c r="L86" i="7" s="1"/>
  <c r="G86" i="7"/>
  <c r="K86" i="7" s="1"/>
  <c r="AH85" i="7"/>
  <c r="AS85" i="7" s="1"/>
  <c r="Y85" i="7"/>
  <c r="Z85" i="7" s="1"/>
  <c r="P85" i="7"/>
  <c r="H85" i="7"/>
  <c r="L85" i="7" s="1"/>
  <c r="G85" i="7"/>
  <c r="K85" i="7" s="1"/>
  <c r="AH84" i="7"/>
  <c r="AS84" i="7" s="1"/>
  <c r="Y84" i="7"/>
  <c r="Z84" i="7" s="1"/>
  <c r="P84" i="7"/>
  <c r="H84" i="7"/>
  <c r="L84" i="7" s="1"/>
  <c r="G84" i="7"/>
  <c r="K84" i="7" s="1"/>
  <c r="AH83" i="7"/>
  <c r="AS83" i="7" s="1"/>
  <c r="Y83" i="7"/>
  <c r="Z83" i="7" s="1"/>
  <c r="P83" i="7"/>
  <c r="H83" i="7"/>
  <c r="L83" i="7" s="1"/>
  <c r="G83" i="7"/>
  <c r="K83" i="7" s="1"/>
  <c r="AH82" i="7"/>
  <c r="AS82" i="7" s="1"/>
  <c r="Y82" i="7"/>
  <c r="Z82" i="7" s="1"/>
  <c r="P82" i="7"/>
  <c r="H82" i="7"/>
  <c r="L82" i="7" s="1"/>
  <c r="G82" i="7"/>
  <c r="K82" i="7" s="1"/>
  <c r="AO81" i="7"/>
  <c r="AM81" i="7"/>
  <c r="AH81" i="7"/>
  <c r="AS81" i="7" s="1"/>
  <c r="Y81" i="7"/>
  <c r="Z81" i="7" s="1"/>
  <c r="P81" i="7"/>
  <c r="H81" i="7"/>
  <c r="L81" i="7" s="1"/>
  <c r="G81" i="7"/>
  <c r="K81" i="7" s="1"/>
  <c r="AO80" i="7"/>
  <c r="AM80" i="7"/>
  <c r="AH80" i="7"/>
  <c r="AS80" i="7" s="1"/>
  <c r="Y80" i="7"/>
  <c r="Z80" i="7" s="1"/>
  <c r="P80" i="7"/>
  <c r="H80" i="7"/>
  <c r="L80" i="7" s="1"/>
  <c r="G80" i="7"/>
  <c r="K80" i="7" s="1"/>
  <c r="AO79" i="7"/>
  <c r="AM79" i="7"/>
  <c r="AH79" i="7"/>
  <c r="AS79" i="7" s="1"/>
  <c r="Y79" i="7"/>
  <c r="AA79" i="7" s="1"/>
  <c r="P79" i="7"/>
  <c r="H79" i="7"/>
  <c r="L79" i="7" s="1"/>
  <c r="G79" i="7"/>
  <c r="K79" i="7" s="1"/>
  <c r="AO78" i="7"/>
  <c r="AM78" i="7"/>
  <c r="AH78" i="7"/>
  <c r="AS78" i="7" s="1"/>
  <c r="Y78" i="7"/>
  <c r="Z78" i="7" s="1"/>
  <c r="P78" i="7"/>
  <c r="H78" i="7"/>
  <c r="L78" i="7" s="1"/>
  <c r="G78" i="7"/>
  <c r="K78" i="7" s="1"/>
  <c r="AO77" i="7"/>
  <c r="AM77" i="7"/>
  <c r="AH77" i="7"/>
  <c r="AS77" i="7" s="1"/>
  <c r="Y77" i="7"/>
  <c r="AA77" i="7" s="1"/>
  <c r="P77" i="7"/>
  <c r="H77" i="7"/>
  <c r="L77" i="7" s="1"/>
  <c r="G77" i="7"/>
  <c r="K77" i="7" s="1"/>
  <c r="AO76" i="7"/>
  <c r="AM76" i="7"/>
  <c r="AH76" i="7"/>
  <c r="AS76" i="7" s="1"/>
  <c r="Y76" i="7"/>
  <c r="Z76" i="7" s="1"/>
  <c r="P76" i="7"/>
  <c r="H76" i="7"/>
  <c r="L76" i="7" s="1"/>
  <c r="G76" i="7"/>
  <c r="K76" i="7" s="1"/>
  <c r="AO75" i="7"/>
  <c r="AM75" i="7"/>
  <c r="AH75" i="7"/>
  <c r="AS75" i="7" s="1"/>
  <c r="Y75" i="7"/>
  <c r="AA75" i="7" s="1"/>
  <c r="P75" i="7"/>
  <c r="H75" i="7"/>
  <c r="L75" i="7" s="1"/>
  <c r="G75" i="7"/>
  <c r="K75" i="7" s="1"/>
  <c r="AO74" i="7"/>
  <c r="AM74" i="7"/>
  <c r="AH74" i="7"/>
  <c r="AS74" i="7" s="1"/>
  <c r="Y74" i="7"/>
  <c r="Z74" i="7" s="1"/>
  <c r="P74" i="7"/>
  <c r="H74" i="7"/>
  <c r="L74" i="7" s="1"/>
  <c r="G74" i="7"/>
  <c r="K74" i="7" s="1"/>
  <c r="AO73" i="7"/>
  <c r="AM73" i="7"/>
  <c r="AH73" i="7"/>
  <c r="AS73" i="7" s="1"/>
  <c r="Y73" i="7"/>
  <c r="Z73" i="7" s="1"/>
  <c r="P73" i="7"/>
  <c r="H73" i="7"/>
  <c r="L73" i="7" s="1"/>
  <c r="G73" i="7"/>
  <c r="K73" i="7" s="1"/>
  <c r="AO72" i="7"/>
  <c r="AM72" i="7"/>
  <c r="AH72" i="7"/>
  <c r="AS72" i="7" s="1"/>
  <c r="Y72" i="7"/>
  <c r="Z72" i="7" s="1"/>
  <c r="P72" i="7"/>
  <c r="H72" i="7"/>
  <c r="L72" i="7" s="1"/>
  <c r="G72" i="7"/>
  <c r="K72" i="7" s="1"/>
  <c r="AO71" i="7"/>
  <c r="AM71" i="7"/>
  <c r="AH71" i="7"/>
  <c r="AS71" i="7" s="1"/>
  <c r="Y71" i="7"/>
  <c r="AA71" i="7" s="1"/>
  <c r="P71" i="7"/>
  <c r="H71" i="7"/>
  <c r="L71" i="7" s="1"/>
  <c r="G71" i="7"/>
  <c r="K71" i="7" s="1"/>
  <c r="AO70" i="7"/>
  <c r="AM70" i="7"/>
  <c r="AH70" i="7"/>
  <c r="AS70" i="7" s="1"/>
  <c r="Y70" i="7"/>
  <c r="Z70" i="7" s="1"/>
  <c r="P70" i="7"/>
  <c r="H70" i="7"/>
  <c r="L70" i="7" s="1"/>
  <c r="G70" i="7"/>
  <c r="K70" i="7" s="1"/>
  <c r="AO69" i="7"/>
  <c r="AM69" i="7"/>
  <c r="AH69" i="7"/>
  <c r="AS69" i="7" s="1"/>
  <c r="Y69" i="7"/>
  <c r="AA69" i="7" s="1"/>
  <c r="P69" i="7"/>
  <c r="H69" i="7"/>
  <c r="L69" i="7" s="1"/>
  <c r="G69" i="7"/>
  <c r="K69" i="7" s="1"/>
  <c r="AO68" i="7"/>
  <c r="AM68" i="7"/>
  <c r="AH68" i="7"/>
  <c r="AS68" i="7" s="1"/>
  <c r="Y68" i="7"/>
  <c r="Z68" i="7" s="1"/>
  <c r="P68" i="7"/>
  <c r="H68" i="7"/>
  <c r="L68" i="7" s="1"/>
  <c r="G68" i="7"/>
  <c r="K68" i="7" s="1"/>
  <c r="AO67" i="7"/>
  <c r="AM67" i="7"/>
  <c r="AH67" i="7"/>
  <c r="AS67" i="7" s="1"/>
  <c r="Y67" i="7"/>
  <c r="AA67" i="7" s="1"/>
  <c r="P67" i="7"/>
  <c r="H67" i="7"/>
  <c r="L67" i="7" s="1"/>
  <c r="G67" i="7"/>
  <c r="K67" i="7" s="1"/>
  <c r="AO66" i="7"/>
  <c r="AM66" i="7"/>
  <c r="AH66" i="7"/>
  <c r="AS66" i="7" s="1"/>
  <c r="Y66" i="7"/>
  <c r="Z66" i="7" s="1"/>
  <c r="P66" i="7"/>
  <c r="H66" i="7"/>
  <c r="L66" i="7" s="1"/>
  <c r="G66" i="7"/>
  <c r="K66" i="7" s="1"/>
  <c r="AO65" i="7"/>
  <c r="AM65" i="7"/>
  <c r="AH65" i="7"/>
  <c r="AS65" i="7" s="1"/>
  <c r="Y65" i="7"/>
  <c r="AA65" i="7" s="1"/>
  <c r="P65" i="7"/>
  <c r="H65" i="7"/>
  <c r="L65" i="7" s="1"/>
  <c r="G65" i="7"/>
  <c r="K65" i="7" s="1"/>
  <c r="AO64" i="7"/>
  <c r="AM64" i="7"/>
  <c r="AH64" i="7"/>
  <c r="AS64" i="7" s="1"/>
  <c r="Y64" i="7"/>
  <c r="Z64" i="7" s="1"/>
  <c r="P64" i="7"/>
  <c r="H64" i="7"/>
  <c r="L64" i="7" s="1"/>
  <c r="G64" i="7"/>
  <c r="K64" i="7" s="1"/>
  <c r="AO63" i="7"/>
  <c r="AM63" i="7"/>
  <c r="AH63" i="7"/>
  <c r="AS63" i="7" s="1"/>
  <c r="Y63" i="7"/>
  <c r="AA63" i="7" s="1"/>
  <c r="P63" i="7"/>
  <c r="H63" i="7"/>
  <c r="L63" i="7" s="1"/>
  <c r="G63" i="7"/>
  <c r="K63" i="7" s="1"/>
  <c r="AO62" i="7"/>
  <c r="AM62" i="7"/>
  <c r="AH62" i="7"/>
  <c r="AS62" i="7" s="1"/>
  <c r="Y62" i="7"/>
  <c r="Z62" i="7" s="1"/>
  <c r="P62" i="7"/>
  <c r="H62" i="7"/>
  <c r="L62" i="7" s="1"/>
  <c r="G62" i="7"/>
  <c r="K62" i="7" s="1"/>
  <c r="AO61" i="7"/>
  <c r="AM61" i="7"/>
  <c r="AH61" i="7"/>
  <c r="AS61" i="7" s="1"/>
  <c r="Y61" i="7"/>
  <c r="X61" i="7" s="1"/>
  <c r="P61" i="7"/>
  <c r="H61" i="7"/>
  <c r="L61" i="7" s="1"/>
  <c r="G61" i="7"/>
  <c r="K61" i="7" s="1"/>
  <c r="AO60" i="7"/>
  <c r="AM60" i="7"/>
  <c r="AH60" i="7"/>
  <c r="AS60" i="7" s="1"/>
  <c r="Y60" i="7"/>
  <c r="Z60" i="7" s="1"/>
  <c r="P60" i="7"/>
  <c r="H60" i="7"/>
  <c r="L60" i="7" s="1"/>
  <c r="G60" i="7"/>
  <c r="K60" i="7" s="1"/>
  <c r="AO59" i="7"/>
  <c r="AM59" i="7"/>
  <c r="AH59" i="7"/>
  <c r="AS59" i="7" s="1"/>
  <c r="Y59" i="7"/>
  <c r="AA59" i="7" s="1"/>
  <c r="P59" i="7"/>
  <c r="H59" i="7"/>
  <c r="L59" i="7" s="1"/>
  <c r="G59" i="7"/>
  <c r="K59" i="7" s="1"/>
  <c r="CE24" i="1"/>
  <c r="V24" i="1"/>
  <c r="CG24" i="1"/>
  <c r="U24" i="1" a="1"/>
  <c r="CF24" i="1"/>
  <c r="Z24" i="1" l="1"/>
  <c r="AA24" i="1" s="1"/>
  <c r="DW24" i="1" s="1"/>
  <c r="U24" i="1"/>
  <c r="X24" i="1"/>
  <c r="BN24" i="1" s="1"/>
  <c r="BP24" i="1"/>
  <c r="P24" i="1"/>
  <c r="CV24" i="1"/>
  <c r="CX24" i="1" s="1"/>
  <c r="DQ24" i="1"/>
  <c r="DR24" i="1"/>
  <c r="DS24" i="1"/>
  <c r="DT24" i="1"/>
  <c r="CR24" i="1"/>
  <c r="Z50" i="7"/>
  <c r="X82" i="7"/>
  <c r="X49" i="7"/>
  <c r="Z49" i="7"/>
  <c r="X68" i="7"/>
  <c r="X48" i="7"/>
  <c r="Z48" i="7"/>
  <c r="AA744" i="7"/>
  <c r="X121" i="7"/>
  <c r="X814" i="7"/>
  <c r="X367" i="7"/>
  <c r="X579" i="7"/>
  <c r="Z244" i="7"/>
  <c r="X108" i="7"/>
  <c r="X167" i="7"/>
  <c r="X335" i="7"/>
  <c r="AA659" i="7"/>
  <c r="X53" i="7"/>
  <c r="Z53" i="7"/>
  <c r="X201" i="7"/>
  <c r="X910" i="7"/>
  <c r="X481" i="7"/>
  <c r="X214" i="7"/>
  <c r="X320" i="7"/>
  <c r="X962" i="7"/>
  <c r="AA624" i="7"/>
  <c r="Z201" i="7"/>
  <c r="X731" i="7"/>
  <c r="AA597" i="7"/>
  <c r="Z917" i="7"/>
  <c r="Z657" i="7"/>
  <c r="AA205" i="7"/>
  <c r="AA661" i="7"/>
  <c r="Z912" i="7"/>
  <c r="X77" i="7"/>
  <c r="X588" i="7"/>
  <c r="X688" i="7"/>
  <c r="AA170" i="7"/>
  <c r="AA652" i="7"/>
  <c r="AA161" i="7"/>
  <c r="X944" i="7"/>
  <c r="X275" i="7"/>
  <c r="AA716" i="7"/>
  <c r="X383" i="7"/>
  <c r="X490" i="7"/>
  <c r="X563" i="7"/>
  <c r="X628" i="7"/>
  <c r="Z902" i="7"/>
  <c r="Z394" i="7"/>
  <c r="Z677" i="7"/>
  <c r="AA979" i="7"/>
  <c r="AA383" i="7"/>
  <c r="X60" i="7"/>
  <c r="X110" i="7"/>
  <c r="Z951" i="7"/>
  <c r="X719" i="7"/>
  <c r="AA130" i="7"/>
  <c r="AA267" i="7"/>
  <c r="X421" i="7"/>
  <c r="X616" i="7"/>
  <c r="Z640" i="7"/>
  <c r="Z719" i="7"/>
  <c r="X756" i="7"/>
  <c r="Z973" i="7"/>
  <c r="Z86" i="7"/>
  <c r="AA640" i="7"/>
  <c r="AA141" i="7"/>
  <c r="X308" i="7"/>
  <c r="AA595" i="7"/>
  <c r="X716" i="7"/>
  <c r="AA756" i="7"/>
  <c r="X917" i="7"/>
  <c r="X661" i="7"/>
  <c r="X102" i="7"/>
  <c r="X305" i="7"/>
  <c r="X420" i="7"/>
  <c r="X584" i="7"/>
  <c r="Z844" i="7"/>
  <c r="Z261" i="7"/>
  <c r="X261" i="7"/>
  <c r="AA261" i="7"/>
  <c r="Z242" i="7"/>
  <c r="AA242" i="7"/>
  <c r="AA98" i="7"/>
  <c r="AA544" i="7"/>
  <c r="AA817" i="7"/>
  <c r="X817" i="7"/>
  <c r="Z69" i="7"/>
  <c r="Z191" i="7"/>
  <c r="X191" i="7"/>
  <c r="Z539" i="7"/>
  <c r="X539" i="7"/>
  <c r="Z988" i="7"/>
  <c r="X988" i="7"/>
  <c r="Z190" i="7"/>
  <c r="X190" i="7"/>
  <c r="X197" i="7"/>
  <c r="AA197" i="7"/>
  <c r="Z197" i="7"/>
  <c r="X207" i="7"/>
  <c r="Z493" i="7"/>
  <c r="X493" i="7"/>
  <c r="Z752" i="7"/>
  <c r="AA752" i="7"/>
  <c r="X222" i="7"/>
  <c r="AA352" i="7"/>
  <c r="X352" i="7"/>
  <c r="X875" i="7"/>
  <c r="Z875" i="7"/>
  <c r="AA921" i="7"/>
  <c r="Z447" i="7"/>
  <c r="X447" i="7"/>
  <c r="AA173" i="7"/>
  <c r="X173" i="7"/>
  <c r="X225" i="7"/>
  <c r="Z225" i="7"/>
  <c r="X538" i="7"/>
  <c r="Z538" i="7"/>
  <c r="AA982" i="7"/>
  <c r="Z982" i="7"/>
  <c r="Z370" i="7"/>
  <c r="X370" i="7"/>
  <c r="X130" i="7"/>
  <c r="AA225" i="7"/>
  <c r="AA538" i="7"/>
  <c r="X902" i="7"/>
  <c r="X581" i="7"/>
  <c r="AA581" i="7"/>
  <c r="X333" i="7"/>
  <c r="Z333" i="7"/>
  <c r="AA360" i="7"/>
  <c r="X360" i="7"/>
  <c r="X288" i="7"/>
  <c r="AA686" i="7"/>
  <c r="X686" i="7"/>
  <c r="X700" i="7"/>
  <c r="AA393" i="7"/>
  <c r="X393" i="7"/>
  <c r="X676" i="7"/>
  <c r="AA676" i="7"/>
  <c r="X158" i="7"/>
  <c r="Z288" i="7"/>
  <c r="X314" i="7"/>
  <c r="X411" i="7"/>
  <c r="X823" i="7"/>
  <c r="Z823" i="7"/>
  <c r="AA797" i="7"/>
  <c r="Z797" i="7"/>
  <c r="AA823" i="7"/>
  <c r="X645" i="7"/>
  <c r="Z645" i="7"/>
  <c r="AA702" i="7"/>
  <c r="X702" i="7"/>
  <c r="Z741" i="7"/>
  <c r="X741" i="7"/>
  <c r="X831" i="7"/>
  <c r="AA831" i="7"/>
  <c r="Z572" i="7"/>
  <c r="AA572" i="7"/>
  <c r="X632" i="7"/>
  <c r="X708" i="7"/>
  <c r="X766" i="7"/>
  <c r="AA766" i="7"/>
  <c r="AA428" i="7"/>
  <c r="X439" i="7"/>
  <c r="Z456" i="7"/>
  <c r="Z402" i="7"/>
  <c r="AA743" i="7"/>
  <c r="Z731" i="7"/>
  <c r="AA759" i="7"/>
  <c r="AA983" i="7"/>
  <c r="X52" i="7"/>
  <c r="AA600" i="7"/>
  <c r="X612" i="7"/>
  <c r="Z52" i="7"/>
  <c r="AA992" i="7"/>
  <c r="X607" i="7"/>
  <c r="X690" i="7"/>
  <c r="Z702" i="7"/>
  <c r="X870" i="7"/>
  <c r="X894" i="7"/>
  <c r="Z921" i="7"/>
  <c r="AA126" i="7"/>
  <c r="Z236" i="7"/>
  <c r="AA534" i="7"/>
  <c r="Z565" i="7"/>
  <c r="Z114" i="7"/>
  <c r="X91" i="7"/>
  <c r="X105" i="7"/>
  <c r="AA259" i="7"/>
  <c r="AA285" i="7"/>
  <c r="AA413" i="7"/>
  <c r="Z416" i="7"/>
  <c r="AA451" i="7"/>
  <c r="X458" i="7"/>
  <c r="Z490" i="7"/>
  <c r="X526" i="7"/>
  <c r="AA607" i="7"/>
  <c r="Z690" i="7"/>
  <c r="X749" i="7"/>
  <c r="AA801" i="7"/>
  <c r="X812" i="7"/>
  <c r="AA844" i="7"/>
  <c r="Z870" i="7"/>
  <c r="X888" i="7"/>
  <c r="AA897" i="7"/>
  <c r="Z927" i="7"/>
  <c r="Z185" i="7"/>
  <c r="AA189" i="7"/>
  <c r="Z205" i="7"/>
  <c r="AA295" i="7"/>
  <c r="AA304" i="7"/>
  <c r="X349" i="7"/>
  <c r="X401" i="7"/>
  <c r="AA402" i="7"/>
  <c r="X438" i="7"/>
  <c r="Z458" i="7"/>
  <c r="X704" i="7"/>
  <c r="AA903" i="7"/>
  <c r="AA909" i="7"/>
  <c r="Z989" i="7"/>
  <c r="X852" i="7"/>
  <c r="X974" i="7"/>
  <c r="Z273" i="7"/>
  <c r="Z278" i="7"/>
  <c r="Z358" i="7"/>
  <c r="Z401" i="7"/>
  <c r="Z574" i="7"/>
  <c r="Z687" i="7"/>
  <c r="Z714" i="7"/>
  <c r="X728" i="7"/>
  <c r="Z914" i="7"/>
  <c r="X47" i="7"/>
  <c r="X69" i="7"/>
  <c r="X74" i="7"/>
  <c r="X101" i="7"/>
  <c r="X170" i="7"/>
  <c r="Z268" i="7"/>
  <c r="AA273" i="7"/>
  <c r="AA278" i="7"/>
  <c r="Z397" i="7"/>
  <c r="AA493" i="7"/>
  <c r="Z759" i="7"/>
  <c r="AA773" i="7"/>
  <c r="Z834" i="7"/>
  <c r="Z974" i="7"/>
  <c r="X115" i="7"/>
  <c r="X166" i="7"/>
  <c r="X176" i="7"/>
  <c r="X203" i="7"/>
  <c r="AA272" i="7"/>
  <c r="X313" i="7"/>
  <c r="AA367" i="7"/>
  <c r="X385" i="7"/>
  <c r="AA563" i="7"/>
  <c r="Z674" i="7"/>
  <c r="X740" i="7"/>
  <c r="Z763" i="7"/>
  <c r="Z856" i="7"/>
  <c r="AA247" i="7"/>
  <c r="AA432" i="7"/>
  <c r="AA115" i="7"/>
  <c r="X59" i="7"/>
  <c r="X67" i="7"/>
  <c r="X114" i="7"/>
  <c r="X126" i="7"/>
  <c r="Z173" i="7"/>
  <c r="X388" i="7"/>
  <c r="X422" i="7"/>
  <c r="Z428" i="7"/>
  <c r="X478" i="7"/>
  <c r="AA506" i="7"/>
  <c r="AA554" i="7"/>
  <c r="AA611" i="7"/>
  <c r="AA635" i="7"/>
  <c r="X677" i="7"/>
  <c r="Z735" i="7"/>
  <c r="Z780" i="7"/>
  <c r="X981" i="7"/>
  <c r="AA120" i="7"/>
  <c r="Z246" i="7"/>
  <c r="Z551" i="7"/>
  <c r="AA551" i="7"/>
  <c r="AA952" i="7"/>
  <c r="Z952" i="7"/>
  <c r="Z541" i="7"/>
  <c r="AA541" i="7"/>
  <c r="AA650" i="7"/>
  <c r="X75" i="7"/>
  <c r="Z77" i="7"/>
  <c r="X93" i="7"/>
  <c r="X147" i="7"/>
  <c r="AA166" i="7"/>
  <c r="AA193" i="7"/>
  <c r="Z204" i="7"/>
  <c r="AA256" i="7"/>
  <c r="AA366" i="7"/>
  <c r="X366" i="7"/>
  <c r="X391" i="7"/>
  <c r="Z409" i="7"/>
  <c r="Z431" i="7"/>
  <c r="AA431" i="7"/>
  <c r="X464" i="7"/>
  <c r="Z509" i="7"/>
  <c r="X509" i="7"/>
  <c r="AA514" i="7"/>
  <c r="Z599" i="7"/>
  <c r="X599" i="7"/>
  <c r="X611" i="7"/>
  <c r="X669" i="7"/>
  <c r="Z693" i="7"/>
  <c r="AA741" i="7"/>
  <c r="AA765" i="7"/>
  <c r="Z873" i="7"/>
  <c r="Z939" i="7"/>
  <c r="Z193" i="7"/>
  <c r="AA811" i="7"/>
  <c r="X262" i="7"/>
  <c r="X287" i="7"/>
  <c r="X309" i="7"/>
  <c r="X329" i="7"/>
  <c r="X359" i="7"/>
  <c r="X390" i="7"/>
  <c r="Z399" i="7"/>
  <c r="X399" i="7"/>
  <c r="Z536" i="7"/>
  <c r="X536" i="7"/>
  <c r="Z603" i="7"/>
  <c r="AA603" i="7"/>
  <c r="Z692" i="7"/>
  <c r="X692" i="7"/>
  <c r="AA693" i="7"/>
  <c r="AA726" i="7"/>
  <c r="Z726" i="7"/>
  <c r="X795" i="7"/>
  <c r="AA795" i="7"/>
  <c r="AA798" i="7"/>
  <c r="X798" i="7"/>
  <c r="AA873" i="7"/>
  <c r="Z297" i="7"/>
  <c r="Z75" i="7"/>
  <c r="AA81" i="7"/>
  <c r="AA86" i="7"/>
  <c r="Z209" i="7"/>
  <c r="Z395" i="7"/>
  <c r="X395" i="7"/>
  <c r="AA464" i="7"/>
  <c r="X468" i="7"/>
  <c r="Z468" i="7"/>
  <c r="Z477" i="7"/>
  <c r="AA496" i="7"/>
  <c r="AA536" i="7"/>
  <c r="AA545" i="7"/>
  <c r="AA575" i="7"/>
  <c r="AA582" i="7"/>
  <c r="Z598" i="7"/>
  <c r="AA619" i="7"/>
  <c r="Z669" i="7"/>
  <c r="AA681" i="7"/>
  <c r="AA692" i="7"/>
  <c r="AA764" i="7"/>
  <c r="Z795" i="7"/>
  <c r="AA966" i="7"/>
  <c r="X966" i="7"/>
  <c r="AA156" i="7"/>
  <c r="AA291" i="7"/>
  <c r="Z461" i="7"/>
  <c r="AA461" i="7"/>
  <c r="Z514" i="7"/>
  <c r="Z122" i="7"/>
  <c r="AA147" i="7"/>
  <c r="AA108" i="7"/>
  <c r="X111" i="7"/>
  <c r="AA122" i="7"/>
  <c r="X127" i="7"/>
  <c r="AA136" i="7"/>
  <c r="X143" i="7"/>
  <c r="X242" i="7"/>
  <c r="Z262" i="7"/>
  <c r="AA287" i="7"/>
  <c r="Z294" i="7"/>
  <c r="X307" i="7"/>
  <c r="Z318" i="7"/>
  <c r="Z334" i="7"/>
  <c r="X365" i="7"/>
  <c r="X373" i="7"/>
  <c r="Z386" i="7"/>
  <c r="AA386" i="7"/>
  <c r="X394" i="7"/>
  <c r="AA395" i="7"/>
  <c r="X456" i="7"/>
  <c r="AA468" i="7"/>
  <c r="Z472" i="7"/>
  <c r="X472" i="7"/>
  <c r="AA477" i="7"/>
  <c r="Z549" i="7"/>
  <c r="AA562" i="7"/>
  <c r="X562" i="7"/>
  <c r="X574" i="7"/>
  <c r="Z590" i="7"/>
  <c r="AA598" i="7"/>
  <c r="Z602" i="7"/>
  <c r="AA602" i="7"/>
  <c r="AA632" i="7"/>
  <c r="Z696" i="7"/>
  <c r="X696" i="7"/>
  <c r="X786" i="7"/>
  <c r="AA840" i="7"/>
  <c r="Z840" i="7"/>
  <c r="AA848" i="7"/>
  <c r="Z848" i="7"/>
  <c r="X73" i="7"/>
  <c r="X92" i="7"/>
  <c r="X161" i="7"/>
  <c r="X260" i="7"/>
  <c r="AA414" i="7"/>
  <c r="Z414" i="7"/>
  <c r="X414" i="7"/>
  <c r="AA512" i="7"/>
  <c r="X512" i="7"/>
  <c r="X534" i="7"/>
  <c r="AA549" i="7"/>
  <c r="AA614" i="7"/>
  <c r="X614" i="7"/>
  <c r="X664" i="7"/>
  <c r="Z836" i="7"/>
  <c r="X836" i="7"/>
  <c r="X65" i="7"/>
  <c r="AA146" i="7"/>
  <c r="Z272" i="7"/>
  <c r="X406" i="7"/>
  <c r="X471" i="7"/>
  <c r="X475" i="7"/>
  <c r="X488" i="7"/>
  <c r="X511" i="7"/>
  <c r="X543" i="7"/>
  <c r="AA618" i="7"/>
  <c r="Z618" i="7"/>
  <c r="X622" i="7"/>
  <c r="X644" i="7"/>
  <c r="Z648" i="7"/>
  <c r="AA648" i="7"/>
  <c r="Z695" i="7"/>
  <c r="X695" i="7"/>
  <c r="AA786" i="7"/>
  <c r="X800" i="7"/>
  <c r="Z455" i="7"/>
  <c r="AA455" i="7"/>
  <c r="Z494" i="7"/>
  <c r="X494" i="7"/>
  <c r="Z547" i="7"/>
  <c r="AA547" i="7"/>
  <c r="X157" i="7"/>
  <c r="Z332" i="7"/>
  <c r="AA406" i="7"/>
  <c r="AA471" i="7"/>
  <c r="AA488" i="7"/>
  <c r="AA494" i="7"/>
  <c r="X498" i="7"/>
  <c r="AA543" i="7"/>
  <c r="Z622" i="7"/>
  <c r="X679" i="7"/>
  <c r="Z679" i="7"/>
  <c r="AA713" i="7"/>
  <c r="X713" i="7"/>
  <c r="AA733" i="7"/>
  <c r="AA856" i="7"/>
  <c r="Z877" i="7"/>
  <c r="X880" i="7"/>
  <c r="AA880" i="7"/>
  <c r="Z904" i="7"/>
  <c r="Z65" i="7"/>
  <c r="X71" i="7"/>
  <c r="Z110" i="7"/>
  <c r="AA129" i="7"/>
  <c r="X141" i="7"/>
  <c r="X180" i="7"/>
  <c r="X223" i="7"/>
  <c r="X229" i="7"/>
  <c r="AA240" i="7"/>
  <c r="AA266" i="7"/>
  <c r="AA284" i="7"/>
  <c r="X303" i="7"/>
  <c r="X304" i="7"/>
  <c r="X312" i="7"/>
  <c r="AA326" i="7"/>
  <c r="X353" i="7"/>
  <c r="AA357" i="7"/>
  <c r="X372" i="7"/>
  <c r="X382" i="7"/>
  <c r="Z410" i="7"/>
  <c r="AA410" i="7"/>
  <c r="X410" i="7"/>
  <c r="Z413" i="7"/>
  <c r="Z438" i="7"/>
  <c r="AA470" i="7"/>
  <c r="Z470" i="7"/>
  <c r="Z542" i="7"/>
  <c r="AA588" i="7"/>
  <c r="Z630" i="7"/>
  <c r="X674" i="7"/>
  <c r="AA679" i="7"/>
  <c r="AA749" i="7"/>
  <c r="AA877" i="7"/>
  <c r="Z880" i="7"/>
  <c r="X120" i="7"/>
  <c r="X156" i="7"/>
  <c r="X291" i="7"/>
  <c r="X311" i="7"/>
  <c r="X344" i="7"/>
  <c r="X348" i="7"/>
  <c r="X450" i="7"/>
  <c r="AA450" i="7"/>
  <c r="Z479" i="7"/>
  <c r="AA479" i="7"/>
  <c r="AA498" i="7"/>
  <c r="Z506" i="7"/>
  <c r="X510" i="7"/>
  <c r="Z510" i="7"/>
  <c r="X629" i="7"/>
  <c r="AA629" i="7"/>
  <c r="X650" i="7"/>
  <c r="Z732" i="7"/>
  <c r="AA732" i="7"/>
  <c r="X799" i="7"/>
  <c r="Z799" i="7"/>
  <c r="AA826" i="7"/>
  <c r="X826" i="7"/>
  <c r="X848" i="7"/>
  <c r="X834" i="7"/>
  <c r="X914" i="7"/>
  <c r="Z944" i="7"/>
  <c r="Z962" i="7"/>
  <c r="AA981" i="7"/>
  <c r="X711" i="7"/>
  <c r="AA875" i="7"/>
  <c r="Z814" i="7"/>
  <c r="Z845" i="7"/>
  <c r="Z894" i="7"/>
  <c r="Z934" i="7"/>
  <c r="X973" i="7"/>
  <c r="X554" i="7"/>
  <c r="X596" i="7"/>
  <c r="X606" i="7"/>
  <c r="X643" i="7"/>
  <c r="Z688" i="7"/>
  <c r="AA689" i="7"/>
  <c r="Z711" i="7"/>
  <c r="X725" i="7"/>
  <c r="X737" i="7"/>
  <c r="X743" i="7"/>
  <c r="X813" i="7"/>
  <c r="Z817" i="7"/>
  <c r="AA820" i="7"/>
  <c r="Z837" i="7"/>
  <c r="AA885" i="7"/>
  <c r="X897" i="7"/>
  <c r="X909" i="7"/>
  <c r="Z910" i="7"/>
  <c r="X937" i="7"/>
  <c r="X956" i="7"/>
  <c r="X993" i="7"/>
  <c r="X998" i="7"/>
  <c r="Z47" i="7"/>
  <c r="AA606" i="7"/>
  <c r="Z652" i="7"/>
  <c r="AA657" i="7"/>
  <c r="Z676" i="7"/>
  <c r="AA737" i="7"/>
  <c r="Z766" i="7"/>
  <c r="Z773" i="7"/>
  <c r="Z813" i="7"/>
  <c r="X912" i="7"/>
  <c r="AA937" i="7"/>
  <c r="Z956" i="7"/>
  <c r="X989" i="7"/>
  <c r="X992" i="7"/>
  <c r="X997" i="7"/>
  <c r="Z998" i="7"/>
  <c r="X1005" i="7"/>
  <c r="AA104" i="7"/>
  <c r="Z104" i="7"/>
  <c r="Z150" i="7"/>
  <c r="AA150" i="7"/>
  <c r="Z218" i="7"/>
  <c r="X218" i="7"/>
  <c r="Z61" i="7"/>
  <c r="X76" i="7"/>
  <c r="AA84" i="7"/>
  <c r="X106" i="7"/>
  <c r="X112" i="7"/>
  <c r="AA113" i="7"/>
  <c r="X119" i="7"/>
  <c r="X124" i="7"/>
  <c r="AA137" i="7"/>
  <c r="AA154" i="7"/>
  <c r="Z165" i="7"/>
  <c r="AA165" i="7"/>
  <c r="AA179" i="7"/>
  <c r="Z189" i="7"/>
  <c r="AA206" i="7"/>
  <c r="AA217" i="7"/>
  <c r="X217" i="7"/>
  <c r="AA218" i="7"/>
  <c r="AA249" i="7"/>
  <c r="Z249" i="7"/>
  <c r="X249" i="7"/>
  <c r="AA254" i="7"/>
  <c r="X254" i="7"/>
  <c r="AA282" i="7"/>
  <c r="X282" i="7"/>
  <c r="X310" i="7"/>
  <c r="AA310" i="7"/>
  <c r="Z310" i="7"/>
  <c r="Z106" i="7"/>
  <c r="AA112" i="7"/>
  <c r="AA119" i="7"/>
  <c r="AA124" i="7"/>
  <c r="AA230" i="7"/>
  <c r="Z230" i="7"/>
  <c r="AA118" i="7"/>
  <c r="Z123" i="7"/>
  <c r="AA123" i="7"/>
  <c r="Z131" i="7"/>
  <c r="X131" i="7"/>
  <c r="AA149" i="7"/>
  <c r="Z169" i="7"/>
  <c r="X169" i="7"/>
  <c r="Z182" i="7"/>
  <c r="Z253" i="7"/>
  <c r="Z164" i="7"/>
  <c r="X164" i="7"/>
  <c r="AA281" i="7"/>
  <c r="X281" i="7"/>
  <c r="AA73" i="7"/>
  <c r="AA102" i="7"/>
  <c r="AA105" i="7"/>
  <c r="AA169" i="7"/>
  <c r="AA182" i="7"/>
  <c r="Z229" i="7"/>
  <c r="Z322" i="7"/>
  <c r="X322" i="7"/>
  <c r="Z97" i="7"/>
  <c r="AA97" i="7"/>
  <c r="AA96" i="7"/>
  <c r="X96" i="7"/>
  <c r="AA111" i="7"/>
  <c r="X63" i="7"/>
  <c r="X66" i="7"/>
  <c r="Z67" i="7"/>
  <c r="X95" i="7"/>
  <c r="X100" i="7"/>
  <c r="AA101" i="7"/>
  <c r="X152" i="7"/>
  <c r="Z187" i="7"/>
  <c r="X187" i="7"/>
  <c r="X195" i="7"/>
  <c r="AA202" i="7"/>
  <c r="Z202" i="7"/>
  <c r="AA238" i="7"/>
  <c r="Z238" i="7"/>
  <c r="X238" i="7"/>
  <c r="AA280" i="7"/>
  <c r="Z280" i="7"/>
  <c r="AA198" i="7"/>
  <c r="X198" i="7"/>
  <c r="Z174" i="7"/>
  <c r="X174" i="7"/>
  <c r="Z116" i="7"/>
  <c r="AA116" i="7"/>
  <c r="AA270" i="7"/>
  <c r="Z270" i="7"/>
  <c r="X270" i="7"/>
  <c r="X81" i="7"/>
  <c r="X85" i="7"/>
  <c r="X94" i="7"/>
  <c r="AA95" i="7"/>
  <c r="X99" i="7"/>
  <c r="Z100" i="7"/>
  <c r="X133" i="7"/>
  <c r="X134" i="7"/>
  <c r="AA160" i="7"/>
  <c r="Z163" i="7"/>
  <c r="AA163" i="7"/>
  <c r="X168" i="7"/>
  <c r="X185" i="7"/>
  <c r="Z279" i="7"/>
  <c r="AA279" i="7"/>
  <c r="Z109" i="7"/>
  <c r="AA109" i="7"/>
  <c r="AA213" i="7"/>
  <c r="Z213" i="7"/>
  <c r="AA237" i="7"/>
  <c r="Z237" i="7"/>
  <c r="X237" i="7"/>
  <c r="AA245" i="7"/>
  <c r="Z245" i="7"/>
  <c r="X245" i="7"/>
  <c r="Z277" i="7"/>
  <c r="AA277" i="7"/>
  <c r="AA61" i="7"/>
  <c r="Z103" i="7"/>
  <c r="X103" i="7"/>
  <c r="Z186" i="7"/>
  <c r="X186" i="7"/>
  <c r="X79" i="7"/>
  <c r="AA85" i="7"/>
  <c r="AA94" i="7"/>
  <c r="X98" i="7"/>
  <c r="AA99" i="7"/>
  <c r="AA133" i="7"/>
  <c r="AA134" i="7"/>
  <c r="Z151" i="7"/>
  <c r="AA151" i="7"/>
  <c r="AA269" i="7"/>
  <c r="Z269" i="7"/>
  <c r="X269" i="7"/>
  <c r="X84" i="7"/>
  <c r="X104" i="7"/>
  <c r="Z107" i="7"/>
  <c r="X107" i="7"/>
  <c r="X113" i="7"/>
  <c r="AA121" i="7"/>
  <c r="X137" i="7"/>
  <c r="X142" i="7"/>
  <c r="X150" i="7"/>
  <c r="X154" i="7"/>
  <c r="Z176" i="7"/>
  <c r="X179" i="7"/>
  <c r="AA180" i="7"/>
  <c r="X206" i="7"/>
  <c r="Z219" i="7"/>
  <c r="X219" i="7"/>
  <c r="Z220" i="7"/>
  <c r="AA221" i="7"/>
  <c r="AA222" i="7"/>
  <c r="Z233" i="7"/>
  <c r="Z256" i="7"/>
  <c r="Z260" i="7"/>
  <c r="AA336" i="7"/>
  <c r="X351" i="7"/>
  <c r="X355" i="7"/>
  <c r="X371" i="7"/>
  <c r="AA378" i="7"/>
  <c r="AA391" i="7"/>
  <c r="X409" i="7"/>
  <c r="AA411" i="7"/>
  <c r="X416" i="7"/>
  <c r="AA422" i="7"/>
  <c r="X425" i="7"/>
  <c r="X474" i="7"/>
  <c r="AA474" i="7"/>
  <c r="Z476" i="7"/>
  <c r="Z497" i="7"/>
  <c r="X497" i="7"/>
  <c r="Z499" i="7"/>
  <c r="X499" i="7"/>
  <c r="AA505" i="7"/>
  <c r="Z505" i="7"/>
  <c r="Z520" i="7"/>
  <c r="X520" i="7"/>
  <c r="Z615" i="7"/>
  <c r="AA615" i="7"/>
  <c r="X615" i="7"/>
  <c r="X408" i="7"/>
  <c r="X415" i="7"/>
  <c r="AA530" i="7"/>
  <c r="X530" i="7"/>
  <c r="Z535" i="7"/>
  <c r="X535" i="7"/>
  <c r="Z620" i="7"/>
  <c r="X620" i="7"/>
  <c r="AA620" i="7"/>
  <c r="AA351" i="7"/>
  <c r="AA355" i="7"/>
  <c r="AA371" i="7"/>
  <c r="Z425" i="7"/>
  <c r="Z446" i="7"/>
  <c r="Z465" i="7"/>
  <c r="AA465" i="7"/>
  <c r="Z515" i="7"/>
  <c r="AA515" i="7"/>
  <c r="Z524" i="7"/>
  <c r="AA540" i="7"/>
  <c r="X540" i="7"/>
  <c r="X613" i="7"/>
  <c r="Z613" i="7"/>
  <c r="Z312" i="7"/>
  <c r="Z313" i="7"/>
  <c r="Z314" i="7"/>
  <c r="AA342" i="7"/>
  <c r="Z352" i="7"/>
  <c r="Z353" i="7"/>
  <c r="Z366" i="7"/>
  <c r="AA397" i="7"/>
  <c r="AA415" i="7"/>
  <c r="AA440" i="7"/>
  <c r="AA446" i="7"/>
  <c r="AA447" i="7"/>
  <c r="X454" i="7"/>
  <c r="X482" i="7"/>
  <c r="Z482" i="7"/>
  <c r="Z495" i="7"/>
  <c r="X495" i="7"/>
  <c r="AA524" i="7"/>
  <c r="AA613" i="7"/>
  <c r="AA307" i="7"/>
  <c r="AA309" i="7"/>
  <c r="Z360" i="7"/>
  <c r="Z407" i="7"/>
  <c r="AA407" i="7"/>
  <c r="Z419" i="7"/>
  <c r="X419" i="7"/>
  <c r="AA495" i="7"/>
  <c r="X502" i="7"/>
  <c r="AA511" i="7"/>
  <c r="X533" i="7"/>
  <c r="AA533" i="7"/>
  <c r="Z533" i="7"/>
  <c r="AA203" i="7"/>
  <c r="X211" i="7"/>
  <c r="Z214" i="7"/>
  <c r="X227" i="7"/>
  <c r="AA243" i="7"/>
  <c r="X244" i="7"/>
  <c r="AA275" i="7"/>
  <c r="AA303" i="7"/>
  <c r="Z320" i="7"/>
  <c r="Z349" i="7"/>
  <c r="Z365" i="7"/>
  <c r="AA370" i="7"/>
  <c r="AA419" i="7"/>
  <c r="Z437" i="7"/>
  <c r="Z453" i="7"/>
  <c r="Z454" i="7"/>
  <c r="Z503" i="7"/>
  <c r="AA503" i="7"/>
  <c r="X503" i="7"/>
  <c r="AA553" i="7"/>
  <c r="Z553" i="7"/>
  <c r="X553" i="7"/>
  <c r="Z583" i="7"/>
  <c r="X583" i="7"/>
  <c r="Z305" i="7"/>
  <c r="X317" i="7"/>
  <c r="AA329" i="7"/>
  <c r="X338" i="7"/>
  <c r="AA359" i="7"/>
  <c r="Z404" i="7"/>
  <c r="X404" i="7"/>
  <c r="X432" i="7"/>
  <c r="AA437" i="7"/>
  <c r="AA439" i="7"/>
  <c r="X461" i="7"/>
  <c r="X462" i="7"/>
  <c r="Z502" i="7"/>
  <c r="AA510" i="7"/>
  <c r="Z559" i="7"/>
  <c r="AA559" i="7"/>
  <c r="X578" i="7"/>
  <c r="AA583" i="7"/>
  <c r="X479" i="7"/>
  <c r="Z491" i="7"/>
  <c r="AA491" i="7"/>
  <c r="AA522" i="7"/>
  <c r="Z522" i="7"/>
  <c r="X247" i="7"/>
  <c r="X259" i="7"/>
  <c r="X266" i="7"/>
  <c r="X295" i="7"/>
  <c r="X297" i="7"/>
  <c r="Z317" i="7"/>
  <c r="Z338" i="7"/>
  <c r="X357" i="7"/>
  <c r="X362" i="7"/>
  <c r="X412" i="7"/>
  <c r="Z418" i="7"/>
  <c r="X429" i="7"/>
  <c r="X442" i="7"/>
  <c r="Z444" i="7"/>
  <c r="AA444" i="7"/>
  <c r="Z450" i="7"/>
  <c r="AA462" i="7"/>
  <c r="Z487" i="7"/>
  <c r="X487" i="7"/>
  <c r="X508" i="7"/>
  <c r="Z558" i="7"/>
  <c r="X558" i="7"/>
  <c r="Z578" i="7"/>
  <c r="Z623" i="7"/>
  <c r="X623" i="7"/>
  <c r="AA623" i="7"/>
  <c r="X221" i="7"/>
  <c r="X234" i="7"/>
  <c r="X235" i="7"/>
  <c r="X258" i="7"/>
  <c r="Z285" i="7"/>
  <c r="X290" i="7"/>
  <c r="X292" i="7"/>
  <c r="X293" i="7"/>
  <c r="X296" i="7"/>
  <c r="X298" i="7"/>
  <c r="X316" i="7"/>
  <c r="X336" i="7"/>
  <c r="Z379" i="7"/>
  <c r="AA379" i="7"/>
  <c r="X485" i="7"/>
  <c r="Z485" i="7"/>
  <c r="Z486" i="7"/>
  <c r="X486" i="7"/>
  <c r="AA610" i="7"/>
  <c r="Z610" i="7"/>
  <c r="X610" i="7"/>
  <c r="Z412" i="7"/>
  <c r="Z417" i="7"/>
  <c r="Z429" i="7"/>
  <c r="Z442" i="7"/>
  <c r="Z443" i="7"/>
  <c r="X443" i="7"/>
  <c r="AA485" i="7"/>
  <c r="AA486" i="7"/>
  <c r="Z557" i="7"/>
  <c r="AA209" i="7"/>
  <c r="AA234" i="7"/>
  <c r="AA235" i="7"/>
  <c r="AA258" i="7"/>
  <c r="AA290" i="7"/>
  <c r="Z292" i="7"/>
  <c r="AA293" i="7"/>
  <c r="Z298" i="7"/>
  <c r="X332" i="7"/>
  <c r="X334" i="7"/>
  <c r="AA345" i="7"/>
  <c r="AA400" i="7"/>
  <c r="AA417" i="7"/>
  <c r="Z484" i="7"/>
  <c r="X484" i="7"/>
  <c r="Z531" i="7"/>
  <c r="AA531" i="7"/>
  <c r="Z550" i="7"/>
  <c r="AA550" i="7"/>
  <c r="X550" i="7"/>
  <c r="AA557" i="7"/>
  <c r="Z833" i="7"/>
  <c r="X833" i="7"/>
  <c r="AA878" i="7"/>
  <c r="Z878" i="7"/>
  <c r="AA882" i="7"/>
  <c r="Z882" i="7"/>
  <c r="Z646" i="7"/>
  <c r="AA647" i="7"/>
  <c r="AA651" i="7"/>
  <c r="Z659" i="7"/>
  <c r="X698" i="7"/>
  <c r="Z699" i="7"/>
  <c r="X701" i="7"/>
  <c r="X703" i="7"/>
  <c r="Z717" i="7"/>
  <c r="AA727" i="7"/>
  <c r="X739" i="7"/>
  <c r="Z745" i="7"/>
  <c r="Z793" i="7"/>
  <c r="AA809" i="7"/>
  <c r="X809" i="7"/>
  <c r="Z815" i="7"/>
  <c r="Z900" i="7"/>
  <c r="X900" i="7"/>
  <c r="X901" i="7"/>
  <c r="AA907" i="7"/>
  <c r="Z929" i="7"/>
  <c r="AA971" i="7"/>
  <c r="AA699" i="7"/>
  <c r="AA717" i="7"/>
  <c r="Z720" i="7"/>
  <c r="AA720" i="7"/>
  <c r="AA745" i="7"/>
  <c r="AA815" i="7"/>
  <c r="X828" i="7"/>
  <c r="Z828" i="7"/>
  <c r="AA829" i="7"/>
  <c r="X829" i="7"/>
  <c r="AA946" i="7"/>
  <c r="Z946" i="7"/>
  <c r="Z1000" i="7"/>
  <c r="X1000" i="7"/>
  <c r="Z642" i="7"/>
  <c r="AA645" i="7"/>
  <c r="Z668" i="7"/>
  <c r="AA668" i="7"/>
  <c r="AA687" i="7"/>
  <c r="AA701" i="7"/>
  <c r="AA703" i="7"/>
  <c r="AA714" i="7"/>
  <c r="Z739" i="7"/>
  <c r="Z771" i="7"/>
  <c r="Z772" i="7"/>
  <c r="AA799" i="7"/>
  <c r="AA828" i="7"/>
  <c r="Z853" i="7"/>
  <c r="AA853" i="7"/>
  <c r="AA876" i="7"/>
  <c r="AA881" i="7"/>
  <c r="Z881" i="7"/>
  <c r="Z901" i="7"/>
  <c r="AA928" i="7"/>
  <c r="Z928" i="7"/>
  <c r="Z959" i="7"/>
  <c r="AA1000" i="7"/>
  <c r="Z1001" i="7"/>
  <c r="AA1001" i="7"/>
  <c r="X570" i="7"/>
  <c r="AA579" i="7"/>
  <c r="X594" i="7"/>
  <c r="Z597" i="7"/>
  <c r="X604" i="7"/>
  <c r="AA616" i="7"/>
  <c r="X638" i="7"/>
  <c r="X639" i="7"/>
  <c r="AA642" i="7"/>
  <c r="AA643" i="7"/>
  <c r="X667" i="7"/>
  <c r="Z667" i="7"/>
  <c r="Z686" i="7"/>
  <c r="Z689" i="7"/>
  <c r="X694" i="7"/>
  <c r="AA700" i="7"/>
  <c r="Z713" i="7"/>
  <c r="Z765" i="7"/>
  <c r="X767" i="7"/>
  <c r="X778" i="7"/>
  <c r="X787" i="7"/>
  <c r="Z798" i="7"/>
  <c r="X807" i="7"/>
  <c r="AA807" i="7"/>
  <c r="AA940" i="7"/>
  <c r="X940" i="7"/>
  <c r="AA959" i="7"/>
  <c r="AA993" i="7"/>
  <c r="Z999" i="7"/>
  <c r="AA890" i="7"/>
  <c r="Z890" i="7"/>
  <c r="AA906" i="7"/>
  <c r="Z906" i="7"/>
  <c r="X547" i="7"/>
  <c r="X552" i="7"/>
  <c r="Z570" i="7"/>
  <c r="X572" i="7"/>
  <c r="X575" i="7"/>
  <c r="AA576" i="7"/>
  <c r="X590" i="7"/>
  <c r="Z594" i="7"/>
  <c r="X595" i="7"/>
  <c r="X600" i="7"/>
  <c r="AA604" i="7"/>
  <c r="AA608" i="7"/>
  <c r="Z638" i="7"/>
  <c r="AA639" i="7"/>
  <c r="AA710" i="7"/>
  <c r="Z710" i="7"/>
  <c r="X733" i="7"/>
  <c r="Z767" i="7"/>
  <c r="Z768" i="7"/>
  <c r="Z778" i="7"/>
  <c r="Z782" i="7"/>
  <c r="AA787" i="7"/>
  <c r="Z791" i="7"/>
  <c r="AA796" i="7"/>
  <c r="X796" i="7"/>
  <c r="Z803" i="7"/>
  <c r="X855" i="7"/>
  <c r="Z855" i="7"/>
  <c r="X899" i="7"/>
  <c r="Z899" i="7"/>
  <c r="X545" i="7"/>
  <c r="X566" i="7"/>
  <c r="X571" i="7"/>
  <c r="X586" i="7"/>
  <c r="X626" i="7"/>
  <c r="X631" i="7"/>
  <c r="X634" i="7"/>
  <c r="X636" i="7"/>
  <c r="X757" i="7"/>
  <c r="Z790" i="7"/>
  <c r="AA791" i="7"/>
  <c r="Z796" i="7"/>
  <c r="AA806" i="7"/>
  <c r="X806" i="7"/>
  <c r="Z811" i="7"/>
  <c r="AA818" i="7"/>
  <c r="Z818" i="7"/>
  <c r="AA836" i="7"/>
  <c r="Z860" i="7"/>
  <c r="AA913" i="7"/>
  <c r="X913" i="7"/>
  <c r="AA751" i="7"/>
  <c r="X751" i="7"/>
  <c r="AA860" i="7"/>
  <c r="AA866" i="7"/>
  <c r="X866" i="7"/>
  <c r="AA889" i="7"/>
  <c r="Z889" i="7"/>
  <c r="X889" i="7"/>
  <c r="X919" i="7"/>
  <c r="AA919" i="7"/>
  <c r="AA936" i="7"/>
  <c r="Z936" i="7"/>
  <c r="AA969" i="7"/>
  <c r="Z969" i="7"/>
  <c r="AA1006" i="7"/>
  <c r="Z1006" i="7"/>
  <c r="AA526" i="7"/>
  <c r="X527" i="7"/>
  <c r="Z528" i="7"/>
  <c r="X541" i="7"/>
  <c r="AA565" i="7"/>
  <c r="Z566" i="7"/>
  <c r="X567" i="7"/>
  <c r="AA571" i="7"/>
  <c r="X582" i="7"/>
  <c r="Z586" i="7"/>
  <c r="X587" i="7"/>
  <c r="X591" i="7"/>
  <c r="AA592" i="7"/>
  <c r="Z626" i="7"/>
  <c r="X627" i="7"/>
  <c r="AA631" i="7"/>
  <c r="Z634" i="7"/>
  <c r="Z636" i="7"/>
  <c r="Z663" i="7"/>
  <c r="AA683" i="7"/>
  <c r="Z707" i="7"/>
  <c r="AA722" i="7"/>
  <c r="X729" i="7"/>
  <c r="X748" i="7"/>
  <c r="Z751" i="7"/>
  <c r="X753" i="7"/>
  <c r="Z755" i="7"/>
  <c r="Z757" i="7"/>
  <c r="AA760" i="7"/>
  <c r="X794" i="7"/>
  <c r="X821" i="7"/>
  <c r="Z849" i="7"/>
  <c r="AA849" i="7"/>
  <c r="X849" i="7"/>
  <c r="Z892" i="7"/>
  <c r="X935" i="7"/>
  <c r="Z935" i="7"/>
  <c r="Z965" i="7"/>
  <c r="AA528" i="7"/>
  <c r="AA663" i="7"/>
  <c r="Z664" i="7"/>
  <c r="AA665" i="7"/>
  <c r="AA707" i="7"/>
  <c r="AA755" i="7"/>
  <c r="X781" i="7"/>
  <c r="Z781" i="7"/>
  <c r="AA830" i="7"/>
  <c r="X830" i="7"/>
  <c r="AA886" i="7"/>
  <c r="X886" i="7"/>
  <c r="AA892" i="7"/>
  <c r="AA898" i="7"/>
  <c r="Z898" i="7"/>
  <c r="AA935" i="7"/>
  <c r="X976" i="7"/>
  <c r="AA976" i="7"/>
  <c r="Z1004" i="7"/>
  <c r="AA1004" i="7"/>
  <c r="AA517" i="7"/>
  <c r="AA527" i="7"/>
  <c r="AA567" i="7"/>
  <c r="Z581" i="7"/>
  <c r="AA587" i="7"/>
  <c r="AA591" i="7"/>
  <c r="AA627" i="7"/>
  <c r="AA708" i="7"/>
  <c r="X721" i="7"/>
  <c r="X727" i="7"/>
  <c r="Z729" i="7"/>
  <c r="AA748" i="7"/>
  <c r="AA753" i="7"/>
  <c r="Z789" i="7"/>
  <c r="X793" i="7"/>
  <c r="Z794" i="7"/>
  <c r="AA810" i="7"/>
  <c r="Z810" i="7"/>
  <c r="Z820" i="7"/>
  <c r="X878" i="7"/>
  <c r="X882" i="7"/>
  <c r="X964" i="7"/>
  <c r="AA964" i="7"/>
  <c r="Z976" i="7"/>
  <c r="Z983" i="7"/>
  <c r="X1003" i="7"/>
  <c r="Z1003" i="7"/>
  <c r="X953" i="7"/>
  <c r="X961" i="7"/>
  <c r="X869" i="7"/>
  <c r="X885" i="7"/>
  <c r="X925" i="7"/>
  <c r="AA927" i="7"/>
  <c r="X932" i="7"/>
  <c r="X933" i="7"/>
  <c r="AA949" i="7"/>
  <c r="Z961" i="7"/>
  <c r="X978" i="7"/>
  <c r="X985" i="7"/>
  <c r="Z995" i="7"/>
  <c r="AA996" i="7"/>
  <c r="AA995" i="7"/>
  <c r="AA932" i="7"/>
  <c r="Z933" i="7"/>
  <c r="Z955" i="7"/>
  <c r="AA967" i="7"/>
  <c r="Z985" i="7"/>
  <c r="AA62" i="7"/>
  <c r="AA78" i="7"/>
  <c r="AA248" i="7"/>
  <c r="Z248" i="7"/>
  <c r="X248" i="7"/>
  <c r="AA70" i="7"/>
  <c r="AA87" i="7"/>
  <c r="Z88" i="7"/>
  <c r="AA89" i="7"/>
  <c r="AA90" i="7"/>
  <c r="AA128" i="7"/>
  <c r="AA144" i="7"/>
  <c r="AA145" i="7"/>
  <c r="AA159" i="7"/>
  <c r="AA216" i="7"/>
  <c r="Z216" i="7"/>
  <c r="X216" i="7"/>
  <c r="Z63" i="7"/>
  <c r="X64" i="7"/>
  <c r="Z71" i="7"/>
  <c r="X72" i="7"/>
  <c r="Z79" i="7"/>
  <c r="X80" i="7"/>
  <c r="AA88" i="7"/>
  <c r="AA91" i="7"/>
  <c r="Z92" i="7"/>
  <c r="AA93" i="7"/>
  <c r="X117" i="7"/>
  <c r="X118" i="7"/>
  <c r="X125" i="7"/>
  <c r="AA127" i="7"/>
  <c r="X138" i="7"/>
  <c r="X139" i="7"/>
  <c r="X140" i="7"/>
  <c r="AA142" i="7"/>
  <c r="AA143" i="7"/>
  <c r="X155" i="7"/>
  <c r="AA157" i="7"/>
  <c r="AA158" i="7"/>
  <c r="AA200" i="7"/>
  <c r="Z200" i="7"/>
  <c r="X200" i="7"/>
  <c r="AA286" i="7"/>
  <c r="Z286" i="7"/>
  <c r="X286" i="7"/>
  <c r="AA172" i="7"/>
  <c r="X172" i="7"/>
  <c r="Z183" i="7"/>
  <c r="AA183" i="7"/>
  <c r="Z196" i="7"/>
  <c r="X196" i="7"/>
  <c r="AA196" i="7"/>
  <c r="Z215" i="7"/>
  <c r="AA215" i="7"/>
  <c r="X215" i="7"/>
  <c r="AA232" i="7"/>
  <c r="Z232" i="7"/>
  <c r="X232" i="7"/>
  <c r="AA257" i="7"/>
  <c r="Z257" i="7"/>
  <c r="X257" i="7"/>
  <c r="Z433" i="7"/>
  <c r="AA433" i="7"/>
  <c r="X433" i="7"/>
  <c r="AA177" i="7"/>
  <c r="X460" i="7"/>
  <c r="AA460" i="7"/>
  <c r="Z460" i="7"/>
  <c r="AA64" i="7"/>
  <c r="AA72" i="7"/>
  <c r="AA80" i="7"/>
  <c r="AA117" i="7"/>
  <c r="X123" i="7"/>
  <c r="AA125" i="7"/>
  <c r="X136" i="7"/>
  <c r="AA138" i="7"/>
  <c r="AA139" i="7"/>
  <c r="AA140" i="7"/>
  <c r="X153" i="7"/>
  <c r="AA155" i="7"/>
  <c r="Z172" i="7"/>
  <c r="X194" i="7"/>
  <c r="Z199" i="7"/>
  <c r="AA199" i="7"/>
  <c r="Z255" i="7"/>
  <c r="AA255" i="7"/>
  <c r="X255" i="7"/>
  <c r="X135" i="7"/>
  <c r="Z171" i="7"/>
  <c r="AA171" i="7"/>
  <c r="AA181" i="7"/>
  <c r="Z181" i="7"/>
  <c r="X181" i="7"/>
  <c r="Z231" i="7"/>
  <c r="AA231" i="7"/>
  <c r="X231" i="7"/>
  <c r="AA153" i="7"/>
  <c r="AA194" i="7"/>
  <c r="Z210" i="7"/>
  <c r="X210" i="7"/>
  <c r="AA66" i="7"/>
  <c r="AA74" i="7"/>
  <c r="AA82" i="7"/>
  <c r="X83" i="7"/>
  <c r="X132" i="7"/>
  <c r="AA135" i="7"/>
  <c r="X149" i="7"/>
  <c r="AA152" i="7"/>
  <c r="X163" i="7"/>
  <c r="AA167" i="7"/>
  <c r="AA168" i="7"/>
  <c r="AA188" i="7"/>
  <c r="X188" i="7"/>
  <c r="AA192" i="7"/>
  <c r="Z192" i="7"/>
  <c r="X192" i="7"/>
  <c r="AA210" i="7"/>
  <c r="Z226" i="7"/>
  <c r="X226" i="7"/>
  <c r="Z59" i="7"/>
  <c r="X148" i="7"/>
  <c r="X162" i="7"/>
  <c r="AA83" i="7"/>
  <c r="AA132" i="7"/>
  <c r="AA241" i="7"/>
  <c r="Z241" i="7"/>
  <c r="X241" i="7"/>
  <c r="Z274" i="7"/>
  <c r="AA274" i="7"/>
  <c r="X274" i="7"/>
  <c r="AA60" i="7"/>
  <c r="AA68" i="7"/>
  <c r="AA76" i="7"/>
  <c r="X129" i="7"/>
  <c r="AA131" i="7"/>
  <c r="X146" i="7"/>
  <c r="AA148" i="7"/>
  <c r="X160" i="7"/>
  <c r="AA162" i="7"/>
  <c r="AA178" i="7"/>
  <c r="Z178" i="7"/>
  <c r="X178" i="7"/>
  <c r="AA208" i="7"/>
  <c r="Z208" i="7"/>
  <c r="X208" i="7"/>
  <c r="AA224" i="7"/>
  <c r="Z224" i="7"/>
  <c r="X224" i="7"/>
  <c r="Z250" i="7"/>
  <c r="AA250" i="7"/>
  <c r="X250" i="7"/>
  <c r="X62" i="7"/>
  <c r="X70" i="7"/>
  <c r="X78" i="7"/>
  <c r="X87" i="7"/>
  <c r="X89" i="7"/>
  <c r="X90" i="7"/>
  <c r="X128" i="7"/>
  <c r="X144" i="7"/>
  <c r="X145" i="7"/>
  <c r="X159" i="7"/>
  <c r="Z175" i="7"/>
  <c r="AA175" i="7"/>
  <c r="X175" i="7"/>
  <c r="X177" i="7"/>
  <c r="AA184" i="7"/>
  <c r="Z184" i="7"/>
  <c r="X184" i="7"/>
  <c r="AA191" i="7"/>
  <c r="AA207" i="7"/>
  <c r="AA212" i="7"/>
  <c r="AA223" i="7"/>
  <c r="AA228" i="7"/>
  <c r="Z240" i="7"/>
  <c r="AA265" i="7"/>
  <c r="Z327" i="7"/>
  <c r="AA327" i="7"/>
  <c r="X327" i="7"/>
  <c r="X381" i="7"/>
  <c r="AA381" i="7"/>
  <c r="Z381" i="7"/>
  <c r="AA398" i="7"/>
  <c r="Z398" i="7"/>
  <c r="X398" i="7"/>
  <c r="Z306" i="7"/>
  <c r="X306" i="7"/>
  <c r="AA187" i="7"/>
  <c r="X204" i="7"/>
  <c r="X220" i="7"/>
  <c r="X236" i="7"/>
  <c r="X243" i="7"/>
  <c r="AA301" i="7"/>
  <c r="Z301" i="7"/>
  <c r="X301" i="7"/>
  <c r="AA306" i="7"/>
  <c r="AA311" i="7"/>
  <c r="Z380" i="7"/>
  <c r="AA380" i="7"/>
  <c r="X380" i="7"/>
  <c r="X525" i="7"/>
  <c r="AA525" i="7"/>
  <c r="Z525" i="7"/>
  <c r="Z271" i="7"/>
  <c r="AA271" i="7"/>
  <c r="Z300" i="7"/>
  <c r="X300" i="7"/>
  <c r="Z323" i="7"/>
  <c r="X323" i="7"/>
  <c r="AA324" i="7"/>
  <c r="Z324" i="7"/>
  <c r="AA350" i="7"/>
  <c r="Z350" i="7"/>
  <c r="Z387" i="7"/>
  <c r="AA387" i="7"/>
  <c r="X387" i="7"/>
  <c r="Z396" i="7"/>
  <c r="AA396" i="7"/>
  <c r="X396" i="7"/>
  <c r="X251" i="7"/>
  <c r="X252" i="7"/>
  <c r="X276" i="7"/>
  <c r="Z299" i="7"/>
  <c r="X299" i="7"/>
  <c r="AA299" i="7"/>
  <c r="Z435" i="7"/>
  <c r="AA435" i="7"/>
  <c r="X435" i="7"/>
  <c r="AA337" i="7"/>
  <c r="Z337" i="7"/>
  <c r="X233" i="7"/>
  <c r="X246" i="7"/>
  <c r="AA251" i="7"/>
  <c r="Z252" i="7"/>
  <c r="X253" i="7"/>
  <c r="Z276" i="7"/>
  <c r="X280" i="7"/>
  <c r="X318" i="7"/>
  <c r="AA195" i="7"/>
  <c r="AA211" i="7"/>
  <c r="X212" i="7"/>
  <c r="AA227" i="7"/>
  <c r="X228" i="7"/>
  <c r="AA364" i="7"/>
  <c r="Z364" i="7"/>
  <c r="Z263" i="7"/>
  <c r="AA263" i="7"/>
  <c r="Z264" i="7"/>
  <c r="X264" i="7"/>
  <c r="AA330" i="7"/>
  <c r="X330" i="7"/>
  <c r="Z331" i="7"/>
  <c r="X331" i="7"/>
  <c r="Z343" i="7"/>
  <c r="X343" i="7"/>
  <c r="X434" i="7"/>
  <c r="AA434" i="7"/>
  <c r="Z434" i="7"/>
  <c r="Z239" i="7"/>
  <c r="AA239" i="7"/>
  <c r="AA264" i="7"/>
  <c r="Z265" i="7"/>
  <c r="X267" i="7"/>
  <c r="X268" i="7"/>
  <c r="Z283" i="7"/>
  <c r="X283" i="7"/>
  <c r="X284" i="7"/>
  <c r="Z330" i="7"/>
  <c r="AA331" i="7"/>
  <c r="AA343" i="7"/>
  <c r="AA356" i="7"/>
  <c r="Z356" i="7"/>
  <c r="X389" i="7"/>
  <c r="AA389" i="7"/>
  <c r="Z389" i="7"/>
  <c r="AA289" i="7"/>
  <c r="AA296" i="7"/>
  <c r="AA308" i="7"/>
  <c r="AA316" i="7"/>
  <c r="AA322" i="7"/>
  <c r="AA335" i="7"/>
  <c r="AA341" i="7"/>
  <c r="Z342" i="7"/>
  <c r="AA348" i="7"/>
  <c r="Z362" i="7"/>
  <c r="Z363" i="7"/>
  <c r="X363" i="7"/>
  <c r="Z378" i="7"/>
  <c r="AA404" i="7"/>
  <c r="AA405" i="7"/>
  <c r="AA436" i="7"/>
  <c r="Z436" i="7"/>
  <c r="AA469" i="7"/>
  <c r="Z469" i="7"/>
  <c r="AA480" i="7"/>
  <c r="Z480" i="7"/>
  <c r="X480" i="7"/>
  <c r="Z568" i="7"/>
  <c r="AA568" i="7"/>
  <c r="X568" i="7"/>
  <c r="X625" i="7"/>
  <c r="AA625" i="7"/>
  <c r="Z625" i="7"/>
  <c r="AA637" i="7"/>
  <c r="Z637" i="7"/>
  <c r="X637" i="7"/>
  <c r="Z372" i="7"/>
  <c r="AA388" i="7"/>
  <c r="Z420" i="7"/>
  <c r="AA478" i="7"/>
  <c r="AA513" i="7"/>
  <c r="Z513" i="7"/>
  <c r="X513" i="7"/>
  <c r="Z560" i="7"/>
  <c r="X560" i="7"/>
  <c r="AA560" i="7"/>
  <c r="AA617" i="7"/>
  <c r="Z617" i="7"/>
  <c r="X617" i="7"/>
  <c r="X319" i="7"/>
  <c r="X325" i="7"/>
  <c r="Z344" i="7"/>
  <c r="X345" i="7"/>
  <c r="Z373" i="7"/>
  <c r="X374" i="7"/>
  <c r="Z382" i="7"/>
  <c r="Z390" i="7"/>
  <c r="X400" i="7"/>
  <c r="Z408" i="7"/>
  <c r="Z421" i="7"/>
  <c r="X423" i="7"/>
  <c r="X424" i="7"/>
  <c r="AA457" i="7"/>
  <c r="X457" i="7"/>
  <c r="AA537" i="7"/>
  <c r="Z537" i="7"/>
  <c r="X537" i="7"/>
  <c r="AA580" i="7"/>
  <c r="Z580" i="7"/>
  <c r="X580" i="7"/>
  <c r="Z375" i="7"/>
  <c r="X375" i="7"/>
  <c r="X449" i="7"/>
  <c r="AA449" i="7"/>
  <c r="Z457" i="7"/>
  <c r="AA473" i="7"/>
  <c r="Z473" i="7"/>
  <c r="X473" i="7"/>
  <c r="X501" i="7"/>
  <c r="AA501" i="7"/>
  <c r="Z501" i="7"/>
  <c r="Z507" i="7"/>
  <c r="AA507" i="7"/>
  <c r="X507" i="7"/>
  <c r="Z556" i="7"/>
  <c r="X556" i="7"/>
  <c r="AA556" i="7"/>
  <c r="X577" i="7"/>
  <c r="AA577" i="7"/>
  <c r="Z577" i="7"/>
  <c r="AA319" i="7"/>
  <c r="AA325" i="7"/>
  <c r="Z326" i="7"/>
  <c r="X339" i="7"/>
  <c r="X346" i="7"/>
  <c r="AA358" i="7"/>
  <c r="AA374" i="7"/>
  <c r="AA375" i="7"/>
  <c r="X376" i="7"/>
  <c r="X384" i="7"/>
  <c r="X392" i="7"/>
  <c r="AA423" i="7"/>
  <c r="Z424" i="7"/>
  <c r="X426" i="7"/>
  <c r="AA452" i="7"/>
  <c r="Z452" i="7"/>
  <c r="Z500" i="7"/>
  <c r="AA500" i="7"/>
  <c r="X500" i="7"/>
  <c r="X504" i="7"/>
  <c r="AA504" i="7"/>
  <c r="Z504" i="7"/>
  <c r="AA521" i="7"/>
  <c r="Z521" i="7"/>
  <c r="X521" i="7"/>
  <c r="X609" i="7"/>
  <c r="AA609" i="7"/>
  <c r="Z609" i="7"/>
  <c r="AA654" i="7"/>
  <c r="Z654" i="7"/>
  <c r="X654" i="7"/>
  <c r="Z555" i="7"/>
  <c r="X555" i="7"/>
  <c r="AA555" i="7"/>
  <c r="AA573" i="7"/>
  <c r="X573" i="7"/>
  <c r="Z573" i="7"/>
  <c r="AA294" i="7"/>
  <c r="X302" i="7"/>
  <c r="X321" i="7"/>
  <c r="X328" i="7"/>
  <c r="AA339" i="7"/>
  <c r="X340" i="7"/>
  <c r="Z346" i="7"/>
  <c r="Z347" i="7"/>
  <c r="X347" i="7"/>
  <c r="X354" i="7"/>
  <c r="X361" i="7"/>
  <c r="X368" i="7"/>
  <c r="Z376" i="7"/>
  <c r="X377" i="7"/>
  <c r="Z384" i="7"/>
  <c r="Z392" i="7"/>
  <c r="Z426" i="7"/>
  <c r="AA445" i="7"/>
  <c r="Z445" i="7"/>
  <c r="X445" i="7"/>
  <c r="Z448" i="7"/>
  <c r="X448" i="7"/>
  <c r="AA492" i="7"/>
  <c r="Z492" i="7"/>
  <c r="X492" i="7"/>
  <c r="AA569" i="7"/>
  <c r="X569" i="7"/>
  <c r="Z569" i="7"/>
  <c r="X289" i="7"/>
  <c r="Z315" i="7"/>
  <c r="X315" i="7"/>
  <c r="Z393" i="7"/>
  <c r="X403" i="7"/>
  <c r="Z427" i="7"/>
  <c r="AA427" i="7"/>
  <c r="AA448" i="7"/>
  <c r="AA472" i="7"/>
  <c r="Z483" i="7"/>
  <c r="X483" i="7"/>
  <c r="AA483" i="7"/>
  <c r="Z302" i="7"/>
  <c r="AA315" i="7"/>
  <c r="Z321" i="7"/>
  <c r="Z328" i="7"/>
  <c r="Z340" i="7"/>
  <c r="X341" i="7"/>
  <c r="Z354" i="7"/>
  <c r="Z361" i="7"/>
  <c r="AA368" i="7"/>
  <c r="Z369" i="7"/>
  <c r="Z377" i="7"/>
  <c r="Z385" i="7"/>
  <c r="AA441" i="7"/>
  <c r="X441" i="7"/>
  <c r="Z519" i="7"/>
  <c r="AA519" i="7"/>
  <c r="X519" i="7"/>
  <c r="AA529" i="7"/>
  <c r="Z529" i="7"/>
  <c r="X529" i="7"/>
  <c r="AA546" i="7"/>
  <c r="Z546" i="7"/>
  <c r="X546" i="7"/>
  <c r="AA369" i="7"/>
  <c r="AA403" i="7"/>
  <c r="Z405" i="7"/>
  <c r="X418" i="7"/>
  <c r="AA430" i="7"/>
  <c r="Z430" i="7"/>
  <c r="X436" i="7"/>
  <c r="X440" i="7"/>
  <c r="Z441" i="7"/>
  <c r="Z463" i="7"/>
  <c r="X463" i="7"/>
  <c r="X466" i="7"/>
  <c r="AA466" i="7"/>
  <c r="Z467" i="7"/>
  <c r="AA467" i="7"/>
  <c r="X467" i="7"/>
  <c r="X469" i="7"/>
  <c r="X518" i="7"/>
  <c r="AA518" i="7"/>
  <c r="Z518" i="7"/>
  <c r="X561" i="7"/>
  <c r="AA561" i="7"/>
  <c r="AA672" i="7"/>
  <c r="X672" i="7"/>
  <c r="Z672" i="7"/>
  <c r="AA535" i="7"/>
  <c r="Z544" i="7"/>
  <c r="Z561" i="7"/>
  <c r="AA564" i="7"/>
  <c r="Z564" i="7"/>
  <c r="AA584" i="7"/>
  <c r="AA621" i="7"/>
  <c r="Z621" i="7"/>
  <c r="X621" i="7"/>
  <c r="X451" i="7"/>
  <c r="AA718" i="7"/>
  <c r="Z718" i="7"/>
  <c r="X718" i="7"/>
  <c r="Z775" i="7"/>
  <c r="AA775" i="7"/>
  <c r="X775" i="7"/>
  <c r="AA499" i="7"/>
  <c r="AA548" i="7"/>
  <c r="Z548" i="7"/>
  <c r="AA670" i="7"/>
  <c r="Z670" i="7"/>
  <c r="X670" i="7"/>
  <c r="AA601" i="7"/>
  <c r="Z601" i="7"/>
  <c r="X601" i="7"/>
  <c r="AA605" i="7"/>
  <c r="Z605" i="7"/>
  <c r="X605" i="7"/>
  <c r="AA649" i="7"/>
  <c r="Z649" i="7"/>
  <c r="X649" i="7"/>
  <c r="X653" i="7"/>
  <c r="AA653" i="7"/>
  <c r="Z653" i="7"/>
  <c r="X431" i="7"/>
  <c r="X453" i="7"/>
  <c r="X470" i="7"/>
  <c r="AA475" i="7"/>
  <c r="X476" i="7"/>
  <c r="Z481" i="7"/>
  <c r="AA487" i="7"/>
  <c r="Z508" i="7"/>
  <c r="Z530" i="7"/>
  <c r="X531" i="7"/>
  <c r="AA539" i="7"/>
  <c r="Z540" i="7"/>
  <c r="X542" i="7"/>
  <c r="Z552" i="7"/>
  <c r="X459" i="7"/>
  <c r="X465" i="7"/>
  <c r="X489" i="7"/>
  <c r="X496" i="7"/>
  <c r="X516" i="7"/>
  <c r="X523" i="7"/>
  <c r="AA589" i="7"/>
  <c r="X589" i="7"/>
  <c r="X593" i="7"/>
  <c r="AA593" i="7"/>
  <c r="Z593" i="7"/>
  <c r="AA660" i="7"/>
  <c r="Z660" i="7"/>
  <c r="X660" i="7"/>
  <c r="AA666" i="7"/>
  <c r="Z666" i="7"/>
  <c r="X666" i="7"/>
  <c r="AA532" i="7"/>
  <c r="Z532" i="7"/>
  <c r="AA585" i="7"/>
  <c r="Z585" i="7"/>
  <c r="X585" i="7"/>
  <c r="X641" i="7"/>
  <c r="AA641" i="7"/>
  <c r="Z641" i="7"/>
  <c r="AA678" i="7"/>
  <c r="Z678" i="7"/>
  <c r="X678" i="7"/>
  <c r="AA742" i="7"/>
  <c r="Z742" i="7"/>
  <c r="X742" i="7"/>
  <c r="Z761" i="7"/>
  <c r="AA761" i="7"/>
  <c r="X761" i="7"/>
  <c r="AA459" i="7"/>
  <c r="Z489" i="7"/>
  <c r="AA516" i="7"/>
  <c r="Z517" i="7"/>
  <c r="AA523" i="7"/>
  <c r="AA633" i="7"/>
  <c r="Z633" i="7"/>
  <c r="X633" i="7"/>
  <c r="AA658" i="7"/>
  <c r="Z658" i="7"/>
  <c r="X658" i="7"/>
  <c r="AA630" i="7"/>
  <c r="AA646" i="7"/>
  <c r="X647" i="7"/>
  <c r="X665" i="7"/>
  <c r="AA673" i="7"/>
  <c r="X673" i="7"/>
  <c r="X675" i="7"/>
  <c r="AA675" i="7"/>
  <c r="Z675" i="7"/>
  <c r="AA680" i="7"/>
  <c r="Z680" i="7"/>
  <c r="AA805" i="7"/>
  <c r="Z805" i="7"/>
  <c r="X805" i="7"/>
  <c r="X655" i="7"/>
  <c r="Z655" i="7"/>
  <c r="AA656" i="7"/>
  <c r="X656" i="7"/>
  <c r="X671" i="7"/>
  <c r="Z671" i="7"/>
  <c r="AA671" i="7"/>
  <c r="AA709" i="7"/>
  <c r="Z709" i="7"/>
  <c r="X709" i="7"/>
  <c r="AA685" i="7"/>
  <c r="Z685" i="7"/>
  <c r="X685" i="7"/>
  <c r="Z724" i="7"/>
  <c r="AA724" i="7"/>
  <c r="X724" i="7"/>
  <c r="AA758" i="7"/>
  <c r="Z758" i="7"/>
  <c r="X758" i="7"/>
  <c r="X824" i="7"/>
  <c r="AA824" i="7"/>
  <c r="Z824" i="7"/>
  <c r="Z596" i="7"/>
  <c r="Z612" i="7"/>
  <c r="Z628" i="7"/>
  <c r="Z644" i="7"/>
  <c r="AA684" i="7"/>
  <c r="X684" i="7"/>
  <c r="AA723" i="7"/>
  <c r="Z723" i="7"/>
  <c r="X723" i="7"/>
  <c r="Z736" i="7"/>
  <c r="X736" i="7"/>
  <c r="AA736" i="7"/>
  <c r="X576" i="7"/>
  <c r="X592" i="7"/>
  <c r="X608" i="7"/>
  <c r="X624" i="7"/>
  <c r="Z684" i="7"/>
  <c r="X619" i="7"/>
  <c r="X635" i="7"/>
  <c r="X651" i="7"/>
  <c r="X691" i="7"/>
  <c r="AA691" i="7"/>
  <c r="Z691" i="7"/>
  <c r="AA697" i="7"/>
  <c r="Z697" i="7"/>
  <c r="X697" i="7"/>
  <c r="AA662" i="7"/>
  <c r="Z662" i="7"/>
  <c r="AA682" i="7"/>
  <c r="X682" i="7"/>
  <c r="Z682" i="7"/>
  <c r="X715" i="7"/>
  <c r="AA715" i="7"/>
  <c r="Z715" i="7"/>
  <c r="AA730" i="7"/>
  <c r="Z730" i="7"/>
  <c r="X730" i="7"/>
  <c r="X774" i="7"/>
  <c r="AA774" i="7"/>
  <c r="Z683" i="7"/>
  <c r="Z694" i="7"/>
  <c r="AA721" i="7"/>
  <c r="Z722" i="7"/>
  <c r="AA728" i="7"/>
  <c r="AA738" i="7"/>
  <c r="Z738" i="7"/>
  <c r="X738" i="7"/>
  <c r="AA754" i="7"/>
  <c r="Z754" i="7"/>
  <c r="X754" i="7"/>
  <c r="AA762" i="7"/>
  <c r="Z762" i="7"/>
  <c r="X762" i="7"/>
  <c r="Z774" i="7"/>
  <c r="Z804" i="7"/>
  <c r="AA804" i="7"/>
  <c r="X804" i="7"/>
  <c r="X770" i="7"/>
  <c r="AA770" i="7"/>
  <c r="Z770" i="7"/>
  <c r="AA740" i="7"/>
  <c r="X769" i="7"/>
  <c r="Z769" i="7"/>
  <c r="AA769" i="7"/>
  <c r="Z698" i="7"/>
  <c r="AA704" i="7"/>
  <c r="X705" i="7"/>
  <c r="X712" i="7"/>
  <c r="Z725" i="7"/>
  <c r="X726" i="7"/>
  <c r="Z734" i="7"/>
  <c r="X735" i="7"/>
  <c r="X746" i="7"/>
  <c r="Z779" i="7"/>
  <c r="AA779" i="7"/>
  <c r="X779" i="7"/>
  <c r="X681" i="7"/>
  <c r="AA734" i="7"/>
  <c r="AA747" i="7"/>
  <c r="X747" i="7"/>
  <c r="X777" i="7"/>
  <c r="AA777" i="7"/>
  <c r="Z777" i="7"/>
  <c r="Z865" i="7"/>
  <c r="X865" i="7"/>
  <c r="AA865" i="7"/>
  <c r="AA705" i="7"/>
  <c r="Z706" i="7"/>
  <c r="AA712" i="7"/>
  <c r="AA746" i="7"/>
  <c r="Z747" i="7"/>
  <c r="Z750" i="7"/>
  <c r="AA776" i="7"/>
  <c r="X776" i="7"/>
  <c r="Z776" i="7"/>
  <c r="Z816" i="7"/>
  <c r="X816" i="7"/>
  <c r="AA816" i="7"/>
  <c r="X835" i="7"/>
  <c r="Z835" i="7"/>
  <c r="AA835" i="7"/>
  <c r="AA706" i="7"/>
  <c r="AA750" i="7"/>
  <c r="AA802" i="7"/>
  <c r="X802" i="7"/>
  <c r="Z802" i="7"/>
  <c r="Z832" i="7"/>
  <c r="X832" i="7"/>
  <c r="AA833" i="7"/>
  <c r="X752" i="7"/>
  <c r="X763" i="7"/>
  <c r="X768" i="7"/>
  <c r="AA803" i="7"/>
  <c r="X819" i="7"/>
  <c r="Z819" i="7"/>
  <c r="AA941" i="7"/>
  <c r="Z941" i="7"/>
  <c r="X941" i="7"/>
  <c r="Z801" i="7"/>
  <c r="AA819" i="7"/>
  <c r="X764" i="7"/>
  <c r="X771" i="7"/>
  <c r="X780" i="7"/>
  <c r="X782" i="7"/>
  <c r="X790" i="7"/>
  <c r="X783" i="7"/>
  <c r="X785" i="7"/>
  <c r="Z785" i="7"/>
  <c r="X788" i="7"/>
  <c r="X847" i="7"/>
  <c r="AA847" i="7"/>
  <c r="Z847" i="7"/>
  <c r="Z792" i="7"/>
  <c r="AA792" i="7"/>
  <c r="AA838" i="7"/>
  <c r="X838" i="7"/>
  <c r="Z838" i="7"/>
  <c r="X846" i="7"/>
  <c r="AA888" i="7"/>
  <c r="X744" i="7"/>
  <c r="X760" i="7"/>
  <c r="X772" i="7"/>
  <c r="AA781" i="7"/>
  <c r="AA783" i="7"/>
  <c r="AA784" i="7"/>
  <c r="Z784" i="7"/>
  <c r="Z788" i="7"/>
  <c r="AA789" i="7"/>
  <c r="AA808" i="7"/>
  <c r="X808" i="7"/>
  <c r="AA857" i="7"/>
  <c r="Z857" i="7"/>
  <c r="X857" i="7"/>
  <c r="Z846" i="7"/>
  <c r="X859" i="7"/>
  <c r="AA859" i="7"/>
  <c r="Z859" i="7"/>
  <c r="AA864" i="7"/>
  <c r="Z864" i="7"/>
  <c r="X864" i="7"/>
  <c r="AA893" i="7"/>
  <c r="X893" i="7"/>
  <c r="AA977" i="7"/>
  <c r="Z977" i="7"/>
  <c r="X977" i="7"/>
  <c r="X887" i="7"/>
  <c r="AA887" i="7"/>
  <c r="X911" i="7"/>
  <c r="AA911" i="7"/>
  <c r="AA822" i="7"/>
  <c r="Z822" i="7"/>
  <c r="X827" i="7"/>
  <c r="Z827" i="7"/>
  <c r="AA845" i="7"/>
  <c r="Z887" i="7"/>
  <c r="AA825" i="7"/>
  <c r="Z825" i="7"/>
  <c r="AA827" i="7"/>
  <c r="AA842" i="7"/>
  <c r="Z842" i="7"/>
  <c r="X868" i="7"/>
  <c r="AA868" i="7"/>
  <c r="Z868" i="7"/>
  <c r="AA970" i="7"/>
  <c r="X970" i="7"/>
  <c r="Z821" i="7"/>
  <c r="AA858" i="7"/>
  <c r="Z858" i="7"/>
  <c r="X858" i="7"/>
  <c r="X863" i="7"/>
  <c r="AA863" i="7"/>
  <c r="Z863" i="7"/>
  <c r="X891" i="7"/>
  <c r="Z891" i="7"/>
  <c r="Z970" i="7"/>
  <c r="AA841" i="7"/>
  <c r="X841" i="7"/>
  <c r="AA862" i="7"/>
  <c r="X862" i="7"/>
  <c r="Z862" i="7"/>
  <c r="AA874" i="7"/>
  <c r="Z874" i="7"/>
  <c r="X874" i="7"/>
  <c r="X920" i="7"/>
  <c r="AA920" i="7"/>
  <c r="Z920" i="7"/>
  <c r="AA986" i="7"/>
  <c r="Z986" i="7"/>
  <c r="X986" i="7"/>
  <c r="AA800" i="7"/>
  <c r="AA812" i="7"/>
  <c r="X837" i="7"/>
  <c r="Z884" i="7"/>
  <c r="X884" i="7"/>
  <c r="AA884" i="7"/>
  <c r="X923" i="7"/>
  <c r="Z923" i="7"/>
  <c r="AA923" i="7"/>
  <c r="AA948" i="7"/>
  <c r="Z948" i="7"/>
  <c r="AA850" i="7"/>
  <c r="X850" i="7"/>
  <c r="X883" i="7"/>
  <c r="Z883" i="7"/>
  <c r="X924" i="7"/>
  <c r="AA924" i="7"/>
  <c r="Z924" i="7"/>
  <c r="Z829" i="7"/>
  <c r="Z839" i="7"/>
  <c r="Z850" i="7"/>
  <c r="Z851" i="7"/>
  <c r="Z852" i="7"/>
  <c r="X876" i="7"/>
  <c r="X881" i="7"/>
  <c r="AA883" i="7"/>
  <c r="Z886" i="7"/>
  <c r="AA908" i="7"/>
  <c r="Z908" i="7"/>
  <c r="X908" i="7"/>
  <c r="AA918" i="7"/>
  <c r="X918" i="7"/>
  <c r="Z830" i="7"/>
  <c r="Z831" i="7"/>
  <c r="AA839" i="7"/>
  <c r="AA851" i="7"/>
  <c r="X853" i="7"/>
  <c r="AA854" i="7"/>
  <c r="X854" i="7"/>
  <c r="Z872" i="7"/>
  <c r="X872" i="7"/>
  <c r="X879" i="7"/>
  <c r="Z879" i="7"/>
  <c r="X947" i="7"/>
  <c r="AA947" i="7"/>
  <c r="Z947" i="7"/>
  <c r="X871" i="7"/>
  <c r="Z871" i="7"/>
  <c r="X916" i="7"/>
  <c r="AA916" i="7"/>
  <c r="Z916" i="7"/>
  <c r="AA950" i="7"/>
  <c r="Z950" i="7"/>
  <c r="X950" i="7"/>
  <c r="Z861" i="7"/>
  <c r="X861" i="7"/>
  <c r="X867" i="7"/>
  <c r="Z867" i="7"/>
  <c r="X843" i="7"/>
  <c r="AA843" i="7"/>
  <c r="AA861" i="7"/>
  <c r="AA867" i="7"/>
  <c r="Z869" i="7"/>
  <c r="Z896" i="7"/>
  <c r="X896" i="7"/>
  <c r="X895" i="7"/>
  <c r="Z895" i="7"/>
  <c r="AA905" i="7"/>
  <c r="Z905" i="7"/>
  <c r="AA942" i="7"/>
  <c r="Z942" i="7"/>
  <c r="AA958" i="7"/>
  <c r="X958" i="7"/>
  <c r="AA895" i="7"/>
  <c r="AA899" i="7"/>
  <c r="AA904" i="7"/>
  <c r="AA922" i="7"/>
  <c r="Z922" i="7"/>
  <c r="Z925" i="7"/>
  <c r="X965" i="7"/>
  <c r="Z984" i="7"/>
  <c r="X984" i="7"/>
  <c r="AA926" i="7"/>
  <c r="Z926" i="7"/>
  <c r="X936" i="7"/>
  <c r="AA938" i="7"/>
  <c r="Z938" i="7"/>
  <c r="X938" i="7"/>
  <c r="X996" i="7"/>
  <c r="AA1002" i="7"/>
  <c r="X1002" i="7"/>
  <c r="Z907" i="7"/>
  <c r="X930" i="7"/>
  <c r="X931" i="7"/>
  <c r="AA931" i="7"/>
  <c r="AA954" i="7"/>
  <c r="Z954" i="7"/>
  <c r="AA972" i="7"/>
  <c r="Z972" i="7"/>
  <c r="AA994" i="7"/>
  <c r="X994" i="7"/>
  <c r="X915" i="7"/>
  <c r="Z915" i="7"/>
  <c r="AA929" i="7"/>
  <c r="Z930" i="7"/>
  <c r="Z953" i="7"/>
  <c r="Z994" i="7"/>
  <c r="AA855" i="7"/>
  <c r="Z903" i="7"/>
  <c r="AA960" i="7"/>
  <c r="Z960" i="7"/>
  <c r="Z971" i="7"/>
  <c r="X987" i="7"/>
  <c r="AA987" i="7"/>
  <c r="Z987" i="7"/>
  <c r="X949" i="7"/>
  <c r="Z943" i="7"/>
  <c r="Z966" i="7"/>
  <c r="Z978" i="7"/>
  <c r="AA988" i="7"/>
  <c r="Z997" i="7"/>
  <c r="Z1005" i="7"/>
  <c r="AA943" i="7"/>
  <c r="AA955" i="7"/>
  <c r="Z967" i="7"/>
  <c r="X968" i="7"/>
  <c r="Z979" i="7"/>
  <c r="X980" i="7"/>
  <c r="X990" i="7"/>
  <c r="X945" i="7"/>
  <c r="X957" i="7"/>
  <c r="Z968" i="7"/>
  <c r="Z980" i="7"/>
  <c r="Z990" i="7"/>
  <c r="Z991" i="7"/>
  <c r="AA999" i="7"/>
  <c r="AA991" i="7"/>
  <c r="X934" i="7"/>
  <c r="AA939" i="7"/>
  <c r="Z945" i="7"/>
  <c r="X946" i="7"/>
  <c r="AA951" i="7"/>
  <c r="Z957" i="7"/>
  <c r="Z963" i="7"/>
  <c r="Z975" i="7"/>
  <c r="X982" i="7"/>
  <c r="AA963" i="7"/>
  <c r="AA975" i="7"/>
  <c r="DN24" i="1" l="1"/>
  <c r="DM24" i="1"/>
  <c r="DO24" i="1"/>
  <c r="DL24" i="1"/>
  <c r="DK24" i="1"/>
  <c r="DD24" i="1"/>
  <c r="DH24" i="1" s="1"/>
  <c r="DB24" i="1"/>
  <c r="CZ24" i="1"/>
  <c r="CW24" i="1"/>
  <c r="BJ24" i="1"/>
  <c r="W24" i="1"/>
  <c r="BH24" i="1" s="1"/>
  <c r="AH51" i="7"/>
  <c r="AS51" i="7" s="1"/>
  <c r="Y51" i="7"/>
  <c r="AA51" i="7" s="1"/>
  <c r="P51" i="7"/>
  <c r="H51" i="7"/>
  <c r="L51" i="7" s="1"/>
  <c r="G51" i="7"/>
  <c r="K51" i="7" s="1"/>
  <c r="DF24" i="1" l="1"/>
  <c r="DI24" i="1" s="1"/>
  <c r="X51" i="7"/>
  <c r="Z51" i="7"/>
  <c r="AO55" i="7"/>
  <c r="AM55" i="7"/>
  <c r="AH55" i="7"/>
  <c r="AS55" i="7" s="1"/>
  <c r="Y55" i="7"/>
  <c r="AA55" i="7" s="1"/>
  <c r="P55" i="7"/>
  <c r="H55" i="7"/>
  <c r="L55" i="7" s="1"/>
  <c r="G55" i="7"/>
  <c r="K55" i="7" s="1"/>
  <c r="X55" i="7" l="1"/>
  <c r="Z55" i="7"/>
  <c r="J349" i="15"/>
  <c r="K349" i="15"/>
  <c r="J339" i="15"/>
  <c r="K339" i="15"/>
  <c r="I339" i="15"/>
  <c r="I349" i="15"/>
  <c r="E349" i="15"/>
  <c r="D349" i="15"/>
  <c r="C351" i="15"/>
  <c r="C354" i="15"/>
  <c r="C355" i="15"/>
  <c r="C350" i="15"/>
  <c r="N59" i="1"/>
  <c r="DG54" i="1"/>
  <c r="DE54" i="1"/>
  <c r="DC54" i="1"/>
  <c r="DA54" i="1"/>
  <c r="CY54" i="1"/>
  <c r="CU54" i="1"/>
  <c r="CV54" i="1" s="1"/>
  <c r="CQ54" i="1"/>
  <c r="O54" i="1" s="1"/>
  <c r="CL54" i="1"/>
  <c r="CK54" i="1"/>
  <c r="CJ54" i="1"/>
  <c r="CI54" i="1"/>
  <c r="CG54" i="1"/>
  <c r="CF54" i="1"/>
  <c r="AK54" i="1"/>
  <c r="V54" i="1"/>
  <c r="BP54" i="1" s="1"/>
  <c r="U54" i="1" a="1"/>
  <c r="U54" i="1" s="1"/>
  <c r="T54" i="1"/>
  <c r="S54" i="1"/>
  <c r="Q54" i="1"/>
  <c r="CX54" i="1" l="1"/>
  <c r="CW54" i="1" s="1"/>
  <c r="X54" i="1"/>
  <c r="BN54" i="1" s="1"/>
  <c r="BJ54" i="1"/>
  <c r="W54" i="1"/>
  <c r="BH54" i="1" s="1"/>
  <c r="DQ54" i="1"/>
  <c r="DR54" i="1"/>
  <c r="CR54" i="1"/>
  <c r="DS54" i="1"/>
  <c r="CS54" i="1"/>
  <c r="DT54" i="1"/>
  <c r="DU54" i="1"/>
  <c r="DB54" i="1" l="1"/>
  <c r="CZ54" i="1"/>
  <c r="DD54" i="1"/>
  <c r="DH54" i="1" s="1"/>
  <c r="DF54" i="1" l="1"/>
  <c r="DI54" i="1" s="1"/>
  <c r="AB11" i="11" l="1"/>
  <c r="N11" i="11"/>
  <c r="M11" i="11"/>
  <c r="J11" i="11"/>
  <c r="CN54" i="1" s="1"/>
  <c r="F11" i="11"/>
  <c r="AC56" i="7"/>
  <c r="G56" i="7" s="1"/>
  <c r="K56" i="7" s="1"/>
  <c r="AM56" i="7"/>
  <c r="P56" i="7"/>
  <c r="N35" i="1"/>
  <c r="H56" i="7" l="1"/>
  <c r="L56" i="7" s="1"/>
  <c r="AH56" i="7"/>
  <c r="AS56" i="7" s="1"/>
  <c r="Y56" i="7"/>
  <c r="AA56" i="7" s="1"/>
  <c r="K11" i="11"/>
  <c r="AO54" i="7"/>
  <c r="AM54" i="7"/>
  <c r="AH54" i="7"/>
  <c r="AS54" i="7" s="1"/>
  <c r="Y54" i="7"/>
  <c r="Z54" i="7" s="1"/>
  <c r="H54" i="7"/>
  <c r="L54" i="7" s="1"/>
  <c r="G54" i="7"/>
  <c r="K54" i="7" s="1"/>
  <c r="Z56" i="7" l="1"/>
  <c r="X56" i="7"/>
  <c r="X54" i="7"/>
  <c r="AA54" i="7"/>
  <c r="DC44" i="1" l="1"/>
  <c r="DA44" i="1"/>
  <c r="CY44" i="1"/>
  <c r="CU44" i="1"/>
  <c r="DS44" i="1" s="1"/>
  <c r="CQ44" i="1"/>
  <c r="CR44" i="1" s="1"/>
  <c r="CO44" i="1"/>
  <c r="CN44" i="1"/>
  <c r="CD44" i="1"/>
  <c r="CB44" i="1"/>
  <c r="AK44" i="1"/>
  <c r="T44" i="1"/>
  <c r="S44" i="1"/>
  <c r="R44" i="1"/>
  <c r="M44" i="1"/>
  <c r="DC43" i="1"/>
  <c r="DA43" i="1"/>
  <c r="CY43" i="1"/>
  <c r="CU43" i="1"/>
  <c r="CV43" i="1" s="1"/>
  <c r="CQ43" i="1"/>
  <c r="CO43" i="1"/>
  <c r="CN43" i="1"/>
  <c r="CD43" i="1"/>
  <c r="CB43" i="1"/>
  <c r="AK43" i="1"/>
  <c r="T43" i="1"/>
  <c r="S43" i="1"/>
  <c r="R43" i="1"/>
  <c r="M43" i="1"/>
  <c r="DC41" i="1"/>
  <c r="DA41" i="1"/>
  <c r="CY41" i="1"/>
  <c r="CU41" i="1"/>
  <c r="CO41" i="1"/>
  <c r="CN41" i="1"/>
  <c r="CD41" i="1"/>
  <c r="CB41" i="1"/>
  <c r="AK41" i="1"/>
  <c r="T41" i="1"/>
  <c r="S41" i="1"/>
  <c r="R41" i="1"/>
  <c r="N41" i="1"/>
  <c r="M41" i="1"/>
  <c r="DC40" i="1"/>
  <c r="DA40" i="1"/>
  <c r="CY40" i="1"/>
  <c r="CU40" i="1"/>
  <c r="CV40" i="1" s="1"/>
  <c r="CQ40" i="1"/>
  <c r="CR40" i="1" s="1"/>
  <c r="CO40" i="1"/>
  <c r="CN40" i="1"/>
  <c r="CD40" i="1"/>
  <c r="CB40" i="1"/>
  <c r="AK40" i="1"/>
  <c r="T40" i="1"/>
  <c r="S40" i="1"/>
  <c r="R40" i="1"/>
  <c r="M40" i="1"/>
  <c r="DC37" i="1"/>
  <c r="DA37" i="1"/>
  <c r="CY37" i="1"/>
  <c r="CU37" i="1"/>
  <c r="CV37" i="1" s="1"/>
  <c r="CQ37" i="1"/>
  <c r="O37" i="1" s="1"/>
  <c r="Q37" i="1" s="1"/>
  <c r="CO37" i="1"/>
  <c r="CN37" i="1"/>
  <c r="AK37" i="1"/>
  <c r="T37" i="1"/>
  <c r="S37" i="1"/>
  <c r="R37" i="1"/>
  <c r="DC32" i="1"/>
  <c r="DA32" i="1"/>
  <c r="CY32" i="1"/>
  <c r="CU32" i="1"/>
  <c r="DS32" i="1" s="1"/>
  <c r="CQ32" i="1"/>
  <c r="CO32" i="1"/>
  <c r="CN32" i="1"/>
  <c r="AK32" i="1"/>
  <c r="T32" i="1"/>
  <c r="S32" i="1"/>
  <c r="R32" i="1"/>
  <c r="CK44" i="1"/>
  <c r="CX43" i="1" l="1"/>
  <c r="DD43" i="1" s="1"/>
  <c r="DH43" i="1" s="1"/>
  <c r="CI44" i="1"/>
  <c r="CX37" i="1"/>
  <c r="CZ37" i="1" s="1"/>
  <c r="O40" i="1"/>
  <c r="Q40" i="1" s="1"/>
  <c r="Z40" i="1"/>
  <c r="DN40" i="1" s="1"/>
  <c r="CL41" i="1"/>
  <c r="CX40" i="1"/>
  <c r="DB40" i="1" s="1"/>
  <c r="CV41" i="1"/>
  <c r="CX41" i="1" s="1"/>
  <c r="CZ41" i="1" s="1"/>
  <c r="CS44" i="1"/>
  <c r="O44" i="1"/>
  <c r="Z44" i="1"/>
  <c r="AA44" i="1" s="1"/>
  <c r="DQ40" i="1"/>
  <c r="DU44" i="1"/>
  <c r="DT43" i="1"/>
  <c r="CI40" i="1"/>
  <c r="CJ40" i="1"/>
  <c r="CL44" i="1"/>
  <c r="CJ44" i="1"/>
  <c r="CI41" i="1"/>
  <c r="DR40" i="1"/>
  <c r="CK41" i="1"/>
  <c r="CV44" i="1"/>
  <c r="CX44" i="1" s="1"/>
  <c r="CW44" i="1" s="1"/>
  <c r="DR41" i="1"/>
  <c r="DT41" i="1"/>
  <c r="DU41" i="1"/>
  <c r="DQ41" i="1"/>
  <c r="DT44" i="1"/>
  <c r="DS41" i="1"/>
  <c r="DQ43" i="1"/>
  <c r="CQ41" i="1"/>
  <c r="DR43" i="1"/>
  <c r="O43" i="1"/>
  <c r="DS43" i="1"/>
  <c r="DS40" i="1"/>
  <c r="CR43" i="1"/>
  <c r="DU43" i="1"/>
  <c r="DT40" i="1"/>
  <c r="CS43" i="1"/>
  <c r="DU40" i="1"/>
  <c r="CS40" i="1"/>
  <c r="DQ44" i="1"/>
  <c r="CJ41" i="1"/>
  <c r="DR44" i="1"/>
  <c r="DQ37" i="1"/>
  <c r="DR37" i="1"/>
  <c r="DS37" i="1"/>
  <c r="DT37" i="1"/>
  <c r="CR37" i="1"/>
  <c r="DU37" i="1"/>
  <c r="CS37" i="1"/>
  <c r="DQ32" i="1"/>
  <c r="DT32" i="1"/>
  <c r="CV32" i="1"/>
  <c r="CX32" i="1" s="1"/>
  <c r="O32" i="1"/>
  <c r="CS32" i="1"/>
  <c r="CR32" i="1"/>
  <c r="DU32" i="1"/>
  <c r="DR32" i="1"/>
  <c r="CK40" i="1"/>
  <c r="CL40" i="1"/>
  <c r="DB43" i="1" l="1"/>
  <c r="CW43" i="1"/>
  <c r="CZ43" i="1"/>
  <c r="DD37" i="1"/>
  <c r="DH37" i="1" s="1"/>
  <c r="DB37" i="1"/>
  <c r="CW37" i="1"/>
  <c r="DW44" i="1"/>
  <c r="DM40" i="1"/>
  <c r="AA40" i="1"/>
  <c r="DW40" i="1" s="1"/>
  <c r="DL40" i="1"/>
  <c r="DO40" i="1"/>
  <c r="DO44" i="1"/>
  <c r="DB44" i="1"/>
  <c r="DB41" i="1"/>
  <c r="DD41" i="1"/>
  <c r="DH41" i="1" s="1"/>
  <c r="CW41" i="1"/>
  <c r="DD40" i="1"/>
  <c r="DF40" i="1" s="1"/>
  <c r="DN44" i="1"/>
  <c r="DD44" i="1"/>
  <c r="DF44" i="1" s="1"/>
  <c r="CZ44" i="1"/>
  <c r="DL44" i="1"/>
  <c r="CW40" i="1"/>
  <c r="CZ40" i="1"/>
  <c r="Q44" i="1"/>
  <c r="DM44" i="1" s="1"/>
  <c r="Q43" i="1"/>
  <c r="DF43" i="1"/>
  <c r="CS41" i="1"/>
  <c r="Z41" i="1"/>
  <c r="CR41" i="1"/>
  <c r="O41" i="1"/>
  <c r="DD32" i="1"/>
  <c r="DF32" i="1" s="1"/>
  <c r="CW32" i="1"/>
  <c r="DB32" i="1"/>
  <c r="CZ32" i="1"/>
  <c r="Q32" i="1"/>
  <c r="DG58" i="1"/>
  <c r="DE58" i="1"/>
  <c r="DC58" i="1"/>
  <c r="DA58" i="1"/>
  <c r="CY58" i="1"/>
  <c r="CU58" i="1"/>
  <c r="DT58" i="1" s="1"/>
  <c r="CQ58" i="1"/>
  <c r="O58" i="1" s="1"/>
  <c r="Q58" i="1" s="1"/>
  <c r="AK58" i="1"/>
  <c r="T58" i="1"/>
  <c r="S58" i="1"/>
  <c r="AH46" i="7"/>
  <c r="AS46" i="7" s="1"/>
  <c r="Y46" i="7"/>
  <c r="P46" i="7"/>
  <c r="H46" i="7"/>
  <c r="L46" i="7" s="1"/>
  <c r="Z43" i="1" s="1"/>
  <c r="DL43" i="1" s="1"/>
  <c r="G46" i="7"/>
  <c r="K46" i="7" s="1"/>
  <c r="CQ59" i="1"/>
  <c r="S59" i="1"/>
  <c r="T59" i="1"/>
  <c r="DG59" i="1"/>
  <c r="DE59" i="1"/>
  <c r="DC59" i="1"/>
  <c r="DA59" i="1"/>
  <c r="CY59" i="1"/>
  <c r="CU59" i="1"/>
  <c r="DU59" i="1" s="1"/>
  <c r="CO59" i="1"/>
  <c r="CN59" i="1"/>
  <c r="CD59" i="1"/>
  <c r="CB59" i="1"/>
  <c r="AK59" i="1"/>
  <c r="M59" i="1"/>
  <c r="CG58" i="1"/>
  <c r="U58" i="1" a="1"/>
  <c r="CF58" i="1"/>
  <c r="DI43" i="1" l="1"/>
  <c r="DF37" i="1"/>
  <c r="DI37" i="1" s="1"/>
  <c r="DF41" i="1"/>
  <c r="DI41" i="1" s="1"/>
  <c r="DH40" i="1"/>
  <c r="DI40" i="1" s="1"/>
  <c r="DH44" i="1"/>
  <c r="DI44" i="1" s="1"/>
  <c r="DN43" i="1"/>
  <c r="DO43" i="1"/>
  <c r="DM43" i="1"/>
  <c r="X46" i="7"/>
  <c r="CI43" i="1" s="1"/>
  <c r="CJ43" i="1"/>
  <c r="AA43" i="1"/>
  <c r="Q41" i="1"/>
  <c r="DM41" i="1" s="1"/>
  <c r="DO41" i="1"/>
  <c r="DN41" i="1"/>
  <c r="DL41" i="1"/>
  <c r="AA41" i="1"/>
  <c r="DH32" i="1"/>
  <c r="DI32" i="1" s="1"/>
  <c r="U58" i="1"/>
  <c r="DQ58" i="1"/>
  <c r="DU58" i="1"/>
  <c r="CV58" i="1"/>
  <c r="CX58" i="1" s="1"/>
  <c r="DR58" i="1"/>
  <c r="CR58" i="1"/>
  <c r="DS58" i="1"/>
  <c r="CS58" i="1"/>
  <c r="Z46" i="7"/>
  <c r="CK43" i="1" s="1"/>
  <c r="AA46" i="7"/>
  <c r="CL43" i="1" s="1"/>
  <c r="Z59" i="1"/>
  <c r="DO59" i="1" s="1"/>
  <c r="CV59" i="1"/>
  <c r="CX59" i="1" s="1"/>
  <c r="DB59" i="1" s="1"/>
  <c r="DR59" i="1"/>
  <c r="CS59" i="1"/>
  <c r="O59" i="1"/>
  <c r="CR59" i="1"/>
  <c r="CL59" i="1"/>
  <c r="DS59" i="1"/>
  <c r="CI59" i="1"/>
  <c r="DT59" i="1"/>
  <c r="CJ59" i="1"/>
  <c r="DQ59" i="1"/>
  <c r="CK59" i="1"/>
  <c r="AB6" i="11"/>
  <c r="N6" i="11"/>
  <c r="M6" i="11"/>
  <c r="F6" i="11"/>
  <c r="DW43" i="1" l="1"/>
  <c r="DW41" i="1"/>
  <c r="DB58" i="1"/>
  <c r="CW58" i="1"/>
  <c r="DD58" i="1"/>
  <c r="DF58" i="1" s="1"/>
  <c r="CZ58" i="1"/>
  <c r="BJ58" i="1"/>
  <c r="AA59" i="1"/>
  <c r="DN59" i="1"/>
  <c r="CW59" i="1"/>
  <c r="CZ59" i="1"/>
  <c r="DD59" i="1"/>
  <c r="DF59" i="1" s="1"/>
  <c r="Q59" i="1"/>
  <c r="DM59" i="1" s="1"/>
  <c r="DC31" i="1"/>
  <c r="DA31" i="1"/>
  <c r="CY31" i="1"/>
  <c r="CU31" i="1"/>
  <c r="DT31" i="1" s="1"/>
  <c r="CQ31" i="1"/>
  <c r="CS31" i="1" s="1"/>
  <c r="CO31" i="1"/>
  <c r="CN31" i="1"/>
  <c r="CD31" i="1"/>
  <c r="CB31" i="1"/>
  <c r="AK31" i="1"/>
  <c r="T31" i="1"/>
  <c r="S31" i="1"/>
  <c r="R31" i="1"/>
  <c r="M31" i="1"/>
  <c r="R65" i="2"/>
  <c r="AD54" i="1" s="1"/>
  <c r="CK31" i="1"/>
  <c r="AD40" i="1" l="1"/>
  <c r="AD44" i="1"/>
  <c r="AD37" i="1"/>
  <c r="AD32" i="1"/>
  <c r="AD43" i="1"/>
  <c r="AD41" i="1"/>
  <c r="AD31" i="1"/>
  <c r="DW59" i="1"/>
  <c r="AD58" i="1"/>
  <c r="AD59" i="1"/>
  <c r="DH58" i="1"/>
  <c r="DI58" i="1" s="1"/>
  <c r="Z31" i="1"/>
  <c r="DO31" i="1" s="1"/>
  <c r="O31" i="1"/>
  <c r="Q31" i="1" s="1"/>
  <c r="DH59" i="1"/>
  <c r="DI59" i="1" s="1"/>
  <c r="CJ31" i="1"/>
  <c r="CR31" i="1"/>
  <c r="DQ31" i="1"/>
  <c r="DR31" i="1"/>
  <c r="DU31" i="1"/>
  <c r="DS31" i="1"/>
  <c r="CV31" i="1"/>
  <c r="CX31" i="1" s="1"/>
  <c r="CI31" i="1"/>
  <c r="CL31" i="1"/>
  <c r="AA31" i="1" l="1"/>
  <c r="DL31" i="1"/>
  <c r="DN31" i="1"/>
  <c r="DM31" i="1"/>
  <c r="DD31" i="1"/>
  <c r="DH31" i="1" s="1"/>
  <c r="CZ31" i="1"/>
  <c r="DB31" i="1"/>
  <c r="CW31" i="1"/>
  <c r="DW31" i="1" l="1"/>
  <c r="DF31" i="1"/>
  <c r="DI31" i="1" s="1"/>
  <c r="E7" i="27" l="1"/>
  <c r="T7" i="27" s="1"/>
  <c r="E6" i="27"/>
  <c r="T6" i="27" s="1"/>
  <c r="K6" i="27" l="1"/>
  <c r="N6" i="27"/>
  <c r="H7" i="27"/>
  <c r="Q6" i="27"/>
  <c r="H6" i="27"/>
  <c r="E5" i="27" l="1"/>
  <c r="Q5" i="27" s="1"/>
  <c r="DC18" i="1"/>
  <c r="DA18" i="1"/>
  <c r="CY18" i="1"/>
  <c r="CU18" i="1"/>
  <c r="DT18" i="1" s="1"/>
  <c r="CO18" i="1"/>
  <c r="CN18" i="1"/>
  <c r="CD18" i="1"/>
  <c r="CB18" i="1"/>
  <c r="AK18" i="1"/>
  <c r="AD18" i="1"/>
  <c r="T18" i="1"/>
  <c r="S18" i="1"/>
  <c r="R18" i="1"/>
  <c r="N18" i="1"/>
  <c r="M18" i="1"/>
  <c r="CQ18" i="1" l="1"/>
  <c r="O18" i="1" s="1"/>
  <c r="T5" i="27"/>
  <c r="H5" i="27"/>
  <c r="K5" i="27"/>
  <c r="N5" i="27"/>
  <c r="DQ18" i="1"/>
  <c r="DU18" i="1"/>
  <c r="DR18" i="1"/>
  <c r="DS18" i="1"/>
  <c r="CV18" i="1"/>
  <c r="CX18" i="1" s="1"/>
  <c r="CS18" i="1" l="1"/>
  <c r="CR18" i="1"/>
  <c r="K7" i="27"/>
  <c r="Q7" i="27"/>
  <c r="N7" i="27"/>
  <c r="Q18" i="1"/>
  <c r="DD18" i="1"/>
  <c r="DF18" i="1" s="1"/>
  <c r="CZ18" i="1"/>
  <c r="CW18" i="1"/>
  <c r="DB18" i="1"/>
  <c r="Z18" i="1"/>
  <c r="DO18" i="1" s="1"/>
  <c r="DN18" i="1" l="1"/>
  <c r="DL18" i="1"/>
  <c r="CI18" i="1"/>
  <c r="CJ18" i="1"/>
  <c r="AA18" i="1"/>
  <c r="DM18" i="1"/>
  <c r="DH18" i="1"/>
  <c r="DI18" i="1" s="1"/>
  <c r="DW18" i="1" l="1"/>
  <c r="CL18" i="1"/>
  <c r="CK18" i="1"/>
  <c r="DC35" i="1" l="1"/>
  <c r="DA35" i="1"/>
  <c r="CY35" i="1"/>
  <c r="CU35" i="1"/>
  <c r="DT35" i="1" s="1"/>
  <c r="CQ35" i="1"/>
  <c r="CR35" i="1" s="1"/>
  <c r="CO35" i="1"/>
  <c r="CN35" i="1"/>
  <c r="AK35" i="1"/>
  <c r="AD35" i="1"/>
  <c r="T35" i="1"/>
  <c r="S35" i="1"/>
  <c r="R35" i="1"/>
  <c r="O35" i="1" l="1"/>
  <c r="DQ35" i="1"/>
  <c r="DU35" i="1"/>
  <c r="CS35" i="1"/>
  <c r="DR35" i="1"/>
  <c r="DS35" i="1"/>
  <c r="CV35" i="1"/>
  <c r="CX35" i="1" s="1"/>
  <c r="Q35" i="1" l="1"/>
  <c r="DD35" i="1"/>
  <c r="DH35" i="1" s="1"/>
  <c r="CZ35" i="1"/>
  <c r="DB35" i="1"/>
  <c r="CW35" i="1"/>
  <c r="DF35" i="1" l="1"/>
  <c r="DI35" i="1" s="1"/>
  <c r="E8" i="27" l="1"/>
  <c r="N8" i="27" s="1"/>
  <c r="DC34" i="1"/>
  <c r="DA34" i="1"/>
  <c r="CY34" i="1"/>
  <c r="CU34" i="1"/>
  <c r="CQ34" i="1"/>
  <c r="CO34" i="1"/>
  <c r="CN34" i="1"/>
  <c r="AK34" i="1"/>
  <c r="AD34" i="1"/>
  <c r="T34" i="1"/>
  <c r="S34" i="1"/>
  <c r="R34" i="1"/>
  <c r="DS34" i="1" l="1"/>
  <c r="H8" i="27"/>
  <c r="T8" i="27"/>
  <c r="Q8" i="27"/>
  <c r="K8" i="27"/>
  <c r="CV34" i="1"/>
  <c r="CX34" i="1" s="1"/>
  <c r="DD34" i="1" s="1"/>
  <c r="DH34" i="1" s="1"/>
  <c r="DR34" i="1"/>
  <c r="DT34" i="1"/>
  <c r="CR34" i="1"/>
  <c r="DQ34" i="1"/>
  <c r="DU34" i="1"/>
  <c r="CS34" i="1"/>
  <c r="O34" i="1"/>
  <c r="CW34" i="1" l="1"/>
  <c r="CZ34" i="1"/>
  <c r="DB34" i="1"/>
  <c r="Q34" i="1"/>
  <c r="DF34" i="1"/>
  <c r="DI34" i="1" l="1"/>
  <c r="V53" i="2" l="1"/>
  <c r="B43" i="30" l="1"/>
  <c r="B42" i="30"/>
  <c r="B41" i="30"/>
  <c r="B40" i="30"/>
  <c r="B38" i="30"/>
  <c r="I4" i="30" l="1"/>
  <c r="DC22" i="1"/>
  <c r="DA22" i="1"/>
  <c r="CY22" i="1"/>
  <c r="CU22" i="1"/>
  <c r="DR22" i="1" s="1"/>
  <c r="CQ22" i="1"/>
  <c r="CS22" i="1" s="1"/>
  <c r="CO22" i="1"/>
  <c r="CN22" i="1"/>
  <c r="CD22" i="1"/>
  <c r="CB22" i="1"/>
  <c r="AK22" i="1"/>
  <c r="AD22" i="1"/>
  <c r="T22" i="1"/>
  <c r="S22" i="1"/>
  <c r="R22" i="1"/>
  <c r="M22" i="1"/>
  <c r="DC28" i="1"/>
  <c r="DA28" i="1"/>
  <c r="CY28" i="1"/>
  <c r="CQ28" i="1"/>
  <c r="CR28" i="1" s="1"/>
  <c r="CO28" i="1"/>
  <c r="CN28" i="1"/>
  <c r="CD28" i="1"/>
  <c r="CB28" i="1"/>
  <c r="AK28" i="1"/>
  <c r="AD28" i="1"/>
  <c r="T28" i="1"/>
  <c r="S28" i="1"/>
  <c r="M28" i="1"/>
  <c r="DC27" i="1"/>
  <c r="DA27" i="1"/>
  <c r="CY27" i="1"/>
  <c r="CQ27" i="1"/>
  <c r="CO27" i="1"/>
  <c r="CN27" i="1"/>
  <c r="CD27" i="1"/>
  <c r="CB27" i="1"/>
  <c r="AK27" i="1"/>
  <c r="AD27" i="1"/>
  <c r="T27" i="1"/>
  <c r="S27" i="1"/>
  <c r="M27" i="1"/>
  <c r="DC26" i="1"/>
  <c r="DA26" i="1"/>
  <c r="CY26" i="1"/>
  <c r="CQ26" i="1"/>
  <c r="CS26" i="1" s="1"/>
  <c r="CO26" i="1"/>
  <c r="CN26" i="1"/>
  <c r="CD26" i="1"/>
  <c r="CB26" i="1"/>
  <c r="AK26" i="1"/>
  <c r="AD26" i="1"/>
  <c r="T26" i="1"/>
  <c r="S26" i="1"/>
  <c r="M26" i="1"/>
  <c r="DC23" i="1"/>
  <c r="DA23" i="1"/>
  <c r="CY23" i="1"/>
  <c r="CU23" i="1"/>
  <c r="DR23" i="1" s="1"/>
  <c r="CQ23" i="1"/>
  <c r="O23" i="1" s="1"/>
  <c r="Q23" i="1" s="1"/>
  <c r="CO23" i="1"/>
  <c r="CN23" i="1"/>
  <c r="AK23" i="1"/>
  <c r="AD23" i="1"/>
  <c r="T23" i="1"/>
  <c r="S23" i="1"/>
  <c r="R23" i="1"/>
  <c r="DC21" i="1"/>
  <c r="DA21" i="1"/>
  <c r="CY21" i="1"/>
  <c r="CU21" i="1"/>
  <c r="DU21" i="1" s="1"/>
  <c r="CQ21" i="1"/>
  <c r="CS21" i="1" s="1"/>
  <c r="CO21" i="1"/>
  <c r="CN21" i="1"/>
  <c r="AK21" i="1"/>
  <c r="AD21" i="1"/>
  <c r="T21" i="1"/>
  <c r="S21" i="1"/>
  <c r="R21" i="1"/>
  <c r="DC30" i="1"/>
  <c r="DA30" i="1"/>
  <c r="CY30" i="1"/>
  <c r="CU30" i="1"/>
  <c r="DU30" i="1" s="1"/>
  <c r="CQ30" i="1"/>
  <c r="O30" i="1" s="1"/>
  <c r="Q30" i="1" s="1"/>
  <c r="CO30" i="1"/>
  <c r="CN30" i="1"/>
  <c r="AK30" i="1"/>
  <c r="AD30" i="1"/>
  <c r="T30" i="1"/>
  <c r="S30" i="1"/>
  <c r="R30" i="1"/>
  <c r="DC20" i="1"/>
  <c r="DA20" i="1"/>
  <c r="CY20" i="1"/>
  <c r="CU20" i="1"/>
  <c r="DU20" i="1" s="1"/>
  <c r="CQ20" i="1"/>
  <c r="O20" i="1" s="1"/>
  <c r="Q20" i="1" s="1"/>
  <c r="CO20" i="1"/>
  <c r="CN20" i="1"/>
  <c r="AK20" i="1"/>
  <c r="AD20" i="1"/>
  <c r="T20" i="1"/>
  <c r="S20" i="1"/>
  <c r="R20" i="1"/>
  <c r="DC17" i="1"/>
  <c r="DA17" i="1"/>
  <c r="CY17" i="1"/>
  <c r="CU17" i="1"/>
  <c r="CQ17" i="1"/>
  <c r="CS17" i="1" s="1"/>
  <c r="CO17" i="1"/>
  <c r="CN17" i="1"/>
  <c r="CD17" i="1"/>
  <c r="CB17" i="1"/>
  <c r="AK17" i="1"/>
  <c r="AD17" i="1"/>
  <c r="T17" i="1"/>
  <c r="S17" i="1"/>
  <c r="R17" i="1"/>
  <c r="M17" i="1"/>
  <c r="O28" i="1" l="1"/>
  <c r="Q28" i="1" s="1"/>
  <c r="CS28" i="1"/>
  <c r="CR22" i="1"/>
  <c r="O22" i="1"/>
  <c r="Z22" i="1"/>
  <c r="DO22" i="1" s="1"/>
  <c r="DS22" i="1"/>
  <c r="DT22" i="1"/>
  <c r="O26" i="1"/>
  <c r="Q26" i="1" s="1"/>
  <c r="O21" i="1"/>
  <c r="CR27" i="1"/>
  <c r="CR17" i="1"/>
  <c r="CR26" i="1"/>
  <c r="O27" i="1"/>
  <c r="Q27" i="1" s="1"/>
  <c r="CS27" i="1"/>
  <c r="CJ22" i="1"/>
  <c r="DQ22" i="1"/>
  <c r="DU22" i="1"/>
  <c r="O17" i="1"/>
  <c r="CV22" i="1"/>
  <c r="CX22" i="1" s="1"/>
  <c r="CV20" i="1"/>
  <c r="CX20" i="1" s="1"/>
  <c r="DU23" i="1"/>
  <c r="DR20" i="1"/>
  <c r="DQ23" i="1"/>
  <c r="DS23" i="1"/>
  <c r="CV23" i="1"/>
  <c r="CX23" i="1" s="1"/>
  <c r="DB23" i="1" s="1"/>
  <c r="DT23" i="1"/>
  <c r="DR30" i="1"/>
  <c r="CV30" i="1"/>
  <c r="CX30" i="1" s="1"/>
  <c r="CZ30" i="1" s="1"/>
  <c r="DS30" i="1"/>
  <c r="DT21" i="1"/>
  <c r="DR17" i="1"/>
  <c r="CV17" i="1"/>
  <c r="CX17" i="1" s="1"/>
  <c r="DQ17" i="1"/>
  <c r="DU17" i="1"/>
  <c r="DT17" i="1"/>
  <c r="DS17" i="1"/>
  <c r="CS20" i="1"/>
  <c r="CR20" i="1"/>
  <c r="DT20" i="1"/>
  <c r="DS20" i="1"/>
  <c r="DQ20" i="1"/>
  <c r="CS30" i="1"/>
  <c r="CR30" i="1"/>
  <c r="DS21" i="1"/>
  <c r="DR21" i="1"/>
  <c r="CV21" i="1"/>
  <c r="CX21" i="1" s="1"/>
  <c r="DQ21" i="1"/>
  <c r="DT30" i="1"/>
  <c r="DQ30" i="1"/>
  <c r="CR21" i="1"/>
  <c r="CR23" i="1"/>
  <c r="CS23" i="1"/>
  <c r="CL22" i="1" l="1"/>
  <c r="CK22" i="1"/>
  <c r="CI22" i="1"/>
  <c r="DL22" i="1"/>
  <c r="DN22" i="1"/>
  <c r="AA22" i="1"/>
  <c r="Q22" i="1"/>
  <c r="DM22" i="1" s="1"/>
  <c r="CZ23" i="1"/>
  <c r="DD23" i="1"/>
  <c r="DF23" i="1" s="1"/>
  <c r="CW23" i="1"/>
  <c r="Q17" i="1"/>
  <c r="Q21" i="1"/>
  <c r="DD22" i="1"/>
  <c r="DH22" i="1" s="1"/>
  <c r="CZ22" i="1"/>
  <c r="DB22" i="1"/>
  <c r="CW22" i="1"/>
  <c r="DD30" i="1"/>
  <c r="DF30" i="1" s="1"/>
  <c r="DB30" i="1"/>
  <c r="CW30" i="1"/>
  <c r="DD17" i="1"/>
  <c r="DH17" i="1" s="1"/>
  <c r="CZ17" i="1"/>
  <c r="DB17" i="1"/>
  <c r="CW17" i="1"/>
  <c r="CW21" i="1"/>
  <c r="DD21" i="1"/>
  <c r="DH21" i="1" s="1"/>
  <c r="CZ21" i="1"/>
  <c r="DB21" i="1"/>
  <c r="DB20" i="1"/>
  <c r="CW20" i="1"/>
  <c r="CZ20" i="1"/>
  <c r="DD20" i="1"/>
  <c r="DH20" i="1" s="1"/>
  <c r="DW22" i="1" l="1"/>
  <c r="DF22" i="1"/>
  <c r="DI22" i="1" s="1"/>
  <c r="DH23" i="1"/>
  <c r="DI23" i="1" s="1"/>
  <c r="DF17" i="1"/>
  <c r="DI17" i="1" s="1"/>
  <c r="DH30" i="1"/>
  <c r="DI30" i="1" s="1"/>
  <c r="DF20" i="1"/>
  <c r="DI20" i="1" s="1"/>
  <c r="DF21" i="1"/>
  <c r="DI21" i="1" s="1"/>
  <c r="CU28" i="1" l="1"/>
  <c r="Z28" i="1"/>
  <c r="CU27" i="1"/>
  <c r="Z27" i="1"/>
  <c r="CU26" i="1"/>
  <c r="Z26" i="1"/>
  <c r="CL26" i="1" l="1"/>
  <c r="CJ26" i="1"/>
  <c r="AA27" i="1"/>
  <c r="DO27" i="1"/>
  <c r="DN27" i="1"/>
  <c r="DM27" i="1"/>
  <c r="CK28" i="1"/>
  <c r="CJ28" i="1"/>
  <c r="DO26" i="1"/>
  <c r="DM26" i="1"/>
  <c r="DN26" i="1"/>
  <c r="AA26" i="1"/>
  <c r="CI27" i="1"/>
  <c r="CJ27" i="1"/>
  <c r="DM28" i="1"/>
  <c r="DO28" i="1"/>
  <c r="AA28" i="1"/>
  <c r="DN28" i="1"/>
  <c r="Z17" i="1"/>
  <c r="DM17" i="1" s="1"/>
  <c r="CJ17" i="1"/>
  <c r="DR28" i="1"/>
  <c r="DS28" i="1"/>
  <c r="DT28" i="1"/>
  <c r="DU28" i="1"/>
  <c r="DQ28" i="1"/>
  <c r="CV28" i="1"/>
  <c r="CX28" i="1" s="1"/>
  <c r="DS27" i="1"/>
  <c r="CV27" i="1"/>
  <c r="CX27" i="1" s="1"/>
  <c r="DQ27" i="1"/>
  <c r="DU27" i="1"/>
  <c r="DT27" i="1"/>
  <c r="DR27" i="1"/>
  <c r="DT26" i="1"/>
  <c r="DQ26" i="1"/>
  <c r="DU26" i="1"/>
  <c r="CV26" i="1"/>
  <c r="CX26" i="1" s="1"/>
  <c r="DS26" i="1"/>
  <c r="DR26" i="1"/>
  <c r="CI26" i="1"/>
  <c r="CL28" i="1"/>
  <c r="CI28" i="1"/>
  <c r="CK27" i="1"/>
  <c r="CK26" i="1"/>
  <c r="CL27" i="1"/>
  <c r="DW27" i="1" l="1"/>
  <c r="DW26" i="1"/>
  <c r="DW28" i="1"/>
  <c r="DN17" i="1"/>
  <c r="DL17" i="1"/>
  <c r="DO17" i="1"/>
  <c r="AA17" i="1"/>
  <c r="CL17" i="1"/>
  <c r="CI17" i="1"/>
  <c r="CK17" i="1"/>
  <c r="DB28" i="1"/>
  <c r="DD28" i="1"/>
  <c r="DF28" i="1" s="1"/>
  <c r="CW28" i="1"/>
  <c r="CZ28" i="1"/>
  <c r="CW27" i="1"/>
  <c r="CZ27" i="1"/>
  <c r="DD27" i="1"/>
  <c r="DH27" i="1" s="1"/>
  <c r="DB27" i="1"/>
  <c r="DD26" i="1"/>
  <c r="DH26" i="1" s="1"/>
  <c r="CZ26" i="1"/>
  <c r="DB26" i="1"/>
  <c r="CW26" i="1"/>
  <c r="DW17" i="1" l="1"/>
  <c r="DH28" i="1"/>
  <c r="DI28" i="1" s="1"/>
  <c r="DF26" i="1"/>
  <c r="DI26" i="1" s="1"/>
  <c r="DF27" i="1"/>
  <c r="DI27" i="1" s="1"/>
  <c r="DG60" i="1"/>
  <c r="DE60" i="1"/>
  <c r="DC60" i="1"/>
  <c r="DA60" i="1"/>
  <c r="CY60" i="1"/>
  <c r="CU60" i="1"/>
  <c r="DR60" i="1" s="1"/>
  <c r="CO60" i="1"/>
  <c r="CN60" i="1"/>
  <c r="CD60" i="1"/>
  <c r="CB60" i="1"/>
  <c r="AK60" i="1"/>
  <c r="AD60" i="1"/>
  <c r="T60" i="1"/>
  <c r="S60" i="1"/>
  <c r="M60" i="1"/>
  <c r="DG47" i="1"/>
  <c r="DE47" i="1"/>
  <c r="DC47" i="1"/>
  <c r="DA47" i="1"/>
  <c r="CY47" i="1"/>
  <c r="CU47" i="1"/>
  <c r="DT47" i="1" s="1"/>
  <c r="CQ47" i="1"/>
  <c r="AK47" i="1"/>
  <c r="AD47" i="1"/>
  <c r="T47" i="1"/>
  <c r="S47" i="1"/>
  <c r="AB3" i="11"/>
  <c r="N3" i="11"/>
  <c r="M3" i="11"/>
  <c r="F3" i="11"/>
  <c r="DS60" i="1" l="1"/>
  <c r="DT60" i="1"/>
  <c r="DQ60" i="1"/>
  <c r="DU60" i="1"/>
  <c r="DR47" i="1"/>
  <c r="O47" i="1"/>
  <c r="CV47" i="1"/>
  <c r="CX47" i="1" s="1"/>
  <c r="DD47" i="1" s="1"/>
  <c r="DF47" i="1" s="1"/>
  <c r="DQ47" i="1"/>
  <c r="DU47" i="1"/>
  <c r="CR47" i="1"/>
  <c r="DS47" i="1"/>
  <c r="CS47" i="1"/>
  <c r="CW47" i="1" l="1"/>
  <c r="DB47" i="1"/>
  <c r="CZ47" i="1"/>
  <c r="Q47" i="1"/>
  <c r="DH47" i="1"/>
  <c r="DI47" i="1" l="1"/>
  <c r="AO45" i="7" l="1"/>
  <c r="AM45" i="7"/>
  <c r="AH45" i="7"/>
  <c r="AS45" i="7" s="1"/>
  <c r="Y45" i="7"/>
  <c r="Z45" i="7" s="1"/>
  <c r="P45" i="7"/>
  <c r="H45" i="7"/>
  <c r="L45" i="7" s="1"/>
  <c r="G45" i="7"/>
  <c r="K45" i="7" s="1"/>
  <c r="AA45" i="7" l="1"/>
  <c r="X45" i="7"/>
  <c r="DG49" i="1" l="1"/>
  <c r="DE49" i="1"/>
  <c r="DC49" i="1"/>
  <c r="DA49" i="1"/>
  <c r="CY49" i="1"/>
  <c r="CU49" i="1"/>
  <c r="DS49" i="1" s="1"/>
  <c r="CQ49" i="1"/>
  <c r="O49" i="1" s="1"/>
  <c r="Q49" i="1" s="1"/>
  <c r="AK49" i="1"/>
  <c r="AD49" i="1"/>
  <c r="T49" i="1"/>
  <c r="S49" i="1"/>
  <c r="CR49" i="1" l="1"/>
  <c r="CS49" i="1"/>
  <c r="CV49" i="1"/>
  <c r="CX49" i="1" s="1"/>
  <c r="DD49" i="1" s="1"/>
  <c r="DF49" i="1" s="1"/>
  <c r="DQ49" i="1"/>
  <c r="DR49" i="1"/>
  <c r="DU49" i="1"/>
  <c r="DT49" i="1"/>
  <c r="DB49" i="1" l="1"/>
  <c r="CZ49" i="1"/>
  <c r="CW49" i="1"/>
  <c r="DH49" i="1"/>
  <c r="DI49" i="1" l="1"/>
  <c r="DG48" i="1" l="1"/>
  <c r="DE48" i="1"/>
  <c r="DC48" i="1"/>
  <c r="DA48" i="1"/>
  <c r="CY48" i="1"/>
  <c r="CU48" i="1"/>
  <c r="DU48" i="1" s="1"/>
  <c r="CQ48" i="1"/>
  <c r="CS48" i="1" s="1"/>
  <c r="AK48" i="1"/>
  <c r="AD48" i="1"/>
  <c r="T48" i="1"/>
  <c r="S48" i="1"/>
  <c r="O48" i="1" l="1"/>
  <c r="CV48" i="1"/>
  <c r="CX48" i="1" s="1"/>
  <c r="DB48" i="1" s="1"/>
  <c r="DS48" i="1"/>
  <c r="DR48" i="1"/>
  <c r="CR48" i="1"/>
  <c r="DT48" i="1"/>
  <c r="DQ48" i="1"/>
  <c r="Q48" i="1" l="1"/>
  <c r="CW48" i="1"/>
  <c r="CZ48" i="1"/>
  <c r="DD48" i="1"/>
  <c r="DF48" i="1" s="1"/>
  <c r="DH48" i="1" l="1"/>
  <c r="DI48" i="1" s="1"/>
  <c r="AB12" i="11" l="1"/>
  <c r="N12" i="11"/>
  <c r="M12" i="11"/>
  <c r="J12" i="11"/>
  <c r="F12" i="11"/>
  <c r="AB10" i="11"/>
  <c r="M10" i="11"/>
  <c r="F10" i="11"/>
  <c r="AB9" i="11"/>
  <c r="N9" i="11"/>
  <c r="M9" i="11"/>
  <c r="F9" i="11"/>
  <c r="AB8" i="11"/>
  <c r="N8" i="11"/>
  <c r="M8" i="11"/>
  <c r="F8" i="11"/>
  <c r="AB7" i="11"/>
  <c r="N7" i="11"/>
  <c r="M7" i="11"/>
  <c r="F7" i="11"/>
  <c r="AB5" i="11"/>
  <c r="N5" i="11"/>
  <c r="M5" i="11"/>
  <c r="F5" i="11"/>
  <c r="AB4" i="11"/>
  <c r="N4" i="11"/>
  <c r="M4" i="11"/>
  <c r="F4" i="11"/>
  <c r="W41" i="15" l="1"/>
  <c r="V41" i="15"/>
  <c r="U41" i="15"/>
  <c r="T41" i="15"/>
  <c r="S41" i="15"/>
  <c r="R41" i="15"/>
  <c r="Q41" i="15"/>
  <c r="P41" i="15"/>
  <c r="O41" i="15"/>
  <c r="N41" i="15"/>
  <c r="M41" i="15"/>
  <c r="L41" i="15"/>
  <c r="K41" i="15"/>
  <c r="J41" i="15"/>
  <c r="I41" i="15"/>
  <c r="H41" i="15"/>
  <c r="G41" i="15"/>
  <c r="F41" i="15"/>
  <c r="E41" i="15"/>
  <c r="D41"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W35" i="15" l="1"/>
  <c r="V35" i="15"/>
  <c r="U35" i="15"/>
  <c r="T35" i="15"/>
  <c r="S35" i="15"/>
  <c r="R35" i="15"/>
  <c r="Q35" i="15"/>
  <c r="P35" i="15"/>
  <c r="O35" i="15"/>
  <c r="N35" i="15"/>
  <c r="M35" i="15"/>
  <c r="L35" i="15"/>
  <c r="K35" i="15"/>
  <c r="J35" i="15"/>
  <c r="W34" i="15"/>
  <c r="V34" i="15"/>
  <c r="U34" i="15"/>
  <c r="T34" i="15"/>
  <c r="S34" i="15"/>
  <c r="R34" i="15"/>
  <c r="Q34" i="15"/>
  <c r="P34" i="15"/>
  <c r="O34" i="15"/>
  <c r="N34" i="15"/>
  <c r="M34" i="15"/>
  <c r="L34" i="15"/>
  <c r="K34" i="15"/>
  <c r="J34" i="15"/>
  <c r="I34" i="15"/>
  <c r="H34" i="15"/>
  <c r="G34" i="15"/>
  <c r="F34" i="15"/>
  <c r="E34" i="15"/>
  <c r="D34" i="15"/>
  <c r="W33" i="15"/>
  <c r="V33" i="15"/>
  <c r="U33" i="15"/>
  <c r="T33" i="15"/>
  <c r="S33" i="15"/>
  <c r="R33" i="15"/>
  <c r="Q33" i="15"/>
  <c r="P33" i="15"/>
  <c r="O33" i="15"/>
  <c r="N33" i="15"/>
  <c r="M33" i="15"/>
  <c r="L33" i="15"/>
  <c r="K33" i="15"/>
  <c r="J33" i="15"/>
  <c r="I33" i="15"/>
  <c r="H33" i="15"/>
  <c r="G33" i="15"/>
  <c r="F33" i="15"/>
  <c r="E33" i="15"/>
  <c r="D33" i="15"/>
  <c r="W32" i="15"/>
  <c r="V32" i="15"/>
  <c r="U32" i="15"/>
  <c r="T32" i="15"/>
  <c r="S32" i="15"/>
  <c r="R32" i="15"/>
  <c r="Q32" i="15"/>
  <c r="P32" i="15"/>
  <c r="O32" i="15"/>
  <c r="N32" i="15"/>
  <c r="M32" i="15"/>
  <c r="L32" i="15"/>
  <c r="K32" i="15"/>
  <c r="J32" i="15"/>
  <c r="I32" i="15"/>
  <c r="H32" i="15"/>
  <c r="G32" i="15"/>
  <c r="F32" i="15"/>
  <c r="E32" i="15"/>
  <c r="D32" i="15"/>
  <c r="W31" i="15"/>
  <c r="V31" i="15"/>
  <c r="U31" i="15"/>
  <c r="T31" i="15"/>
  <c r="S31" i="15"/>
  <c r="R31" i="15"/>
  <c r="Q31" i="15"/>
  <c r="P31" i="15"/>
  <c r="O31" i="15"/>
  <c r="N31" i="15"/>
  <c r="M31" i="15"/>
  <c r="L31" i="15"/>
  <c r="K31" i="15"/>
  <c r="J31" i="15"/>
  <c r="I31" i="15"/>
  <c r="H31" i="15"/>
  <c r="G31" i="15"/>
  <c r="F31" i="15"/>
  <c r="E31" i="15"/>
  <c r="D31" i="15"/>
  <c r="W30" i="15"/>
  <c r="V30" i="15"/>
  <c r="U30" i="15"/>
  <c r="T30" i="15"/>
  <c r="S30" i="15"/>
  <c r="R30" i="15"/>
  <c r="Q30" i="15"/>
  <c r="P30" i="15"/>
  <c r="O30" i="15"/>
  <c r="N30" i="15"/>
  <c r="M30" i="15"/>
  <c r="L30" i="15"/>
  <c r="K30" i="15"/>
  <c r="J30" i="15"/>
  <c r="I30" i="15"/>
  <c r="H30" i="15"/>
  <c r="G30" i="15"/>
  <c r="F30" i="15"/>
  <c r="E30" i="15"/>
  <c r="D30" i="15"/>
  <c r="W29" i="15"/>
  <c r="V29" i="15"/>
  <c r="U29" i="15"/>
  <c r="T29" i="15"/>
  <c r="S29" i="15"/>
  <c r="R29" i="15"/>
  <c r="Q29" i="15"/>
  <c r="P29" i="15"/>
  <c r="O29" i="15"/>
  <c r="N29" i="15"/>
  <c r="M29" i="15"/>
  <c r="L29" i="15"/>
  <c r="K29" i="15"/>
  <c r="J29" i="15"/>
  <c r="I29" i="15"/>
  <c r="H29" i="15"/>
  <c r="G29" i="15"/>
  <c r="F29" i="15"/>
  <c r="E29" i="15"/>
  <c r="W28" i="15"/>
  <c r="V28" i="15"/>
  <c r="U28" i="15"/>
  <c r="T28" i="15"/>
  <c r="S28" i="15"/>
  <c r="R28" i="15"/>
  <c r="Q28" i="15"/>
  <c r="P28" i="15"/>
  <c r="O28" i="15"/>
  <c r="N28" i="15"/>
  <c r="M28" i="15"/>
  <c r="L28" i="15"/>
  <c r="K28" i="15"/>
  <c r="J28" i="15"/>
  <c r="I28" i="15"/>
  <c r="H28" i="15"/>
  <c r="G28" i="15"/>
  <c r="F28" i="15"/>
  <c r="E28" i="15"/>
  <c r="W27" i="15"/>
  <c r="V27" i="15"/>
  <c r="U27" i="15"/>
  <c r="T27" i="15"/>
  <c r="S27" i="15"/>
  <c r="R27" i="15"/>
  <c r="Q27" i="15"/>
  <c r="P27" i="15"/>
  <c r="O27" i="15"/>
  <c r="N27" i="15"/>
  <c r="M27" i="15"/>
  <c r="L27" i="15"/>
  <c r="K27" i="15"/>
  <c r="J27" i="15"/>
  <c r="I27" i="15"/>
  <c r="H27" i="15"/>
  <c r="G27" i="15"/>
  <c r="F27" i="15"/>
  <c r="D27" i="15"/>
  <c r="W26" i="15"/>
  <c r="V26" i="15"/>
  <c r="U26" i="15"/>
  <c r="T26" i="15"/>
  <c r="S26" i="15"/>
  <c r="R26" i="15"/>
  <c r="Q26" i="15"/>
  <c r="P26" i="15"/>
  <c r="O26" i="15"/>
  <c r="N26" i="15"/>
  <c r="M26" i="15"/>
  <c r="L26" i="15"/>
  <c r="K26" i="15"/>
  <c r="J26" i="15"/>
  <c r="I26" i="15"/>
  <c r="H26" i="15"/>
  <c r="G26" i="15"/>
  <c r="F26" i="15"/>
  <c r="D26" i="15"/>
  <c r="W25" i="15"/>
  <c r="V25" i="15"/>
  <c r="U25" i="15"/>
  <c r="T25" i="15"/>
  <c r="S25" i="15"/>
  <c r="R25" i="15"/>
  <c r="Q25" i="15"/>
  <c r="P25" i="15"/>
  <c r="O25" i="15"/>
  <c r="N25" i="15"/>
  <c r="M25" i="15"/>
  <c r="L25" i="15"/>
  <c r="K25" i="15"/>
  <c r="J25" i="15"/>
  <c r="I25" i="15"/>
  <c r="H25" i="15"/>
  <c r="G25" i="15"/>
  <c r="F25" i="15"/>
  <c r="D25" i="15"/>
  <c r="W24" i="15"/>
  <c r="V24" i="15"/>
  <c r="U24" i="15"/>
  <c r="T24" i="15"/>
  <c r="S24" i="15"/>
  <c r="R24" i="15"/>
  <c r="Q24" i="15"/>
  <c r="P24" i="15"/>
  <c r="O24" i="15"/>
  <c r="N24" i="15"/>
  <c r="M24" i="15"/>
  <c r="L24" i="15"/>
  <c r="K24" i="15"/>
  <c r="J24" i="15"/>
  <c r="I24" i="15"/>
  <c r="H24" i="15"/>
  <c r="G24" i="15"/>
  <c r="F24" i="15"/>
  <c r="W23" i="15"/>
  <c r="V23" i="15"/>
  <c r="U23" i="15"/>
  <c r="T23" i="15"/>
  <c r="S23" i="15"/>
  <c r="R23" i="15"/>
  <c r="Q23" i="15"/>
  <c r="P23" i="15"/>
  <c r="O23" i="15"/>
  <c r="N23" i="15"/>
  <c r="M23" i="15"/>
  <c r="L23" i="15"/>
  <c r="K23" i="15"/>
  <c r="J23" i="15"/>
  <c r="I23" i="15"/>
  <c r="H23" i="15"/>
  <c r="G23" i="15"/>
  <c r="E23" i="15"/>
  <c r="W22" i="15"/>
  <c r="V22" i="15"/>
  <c r="U22" i="15"/>
  <c r="T22" i="15"/>
  <c r="S22" i="15"/>
  <c r="R22" i="15"/>
  <c r="Q22" i="15"/>
  <c r="P22" i="15"/>
  <c r="O22" i="15"/>
  <c r="N22" i="15"/>
  <c r="M22" i="15"/>
  <c r="L22" i="15"/>
  <c r="K22" i="15"/>
  <c r="J22" i="15"/>
  <c r="I22" i="15"/>
  <c r="H22" i="15"/>
  <c r="G22" i="15"/>
  <c r="W21" i="15"/>
  <c r="V21" i="15"/>
  <c r="U21" i="15"/>
  <c r="T21" i="15"/>
  <c r="S21" i="15"/>
  <c r="R21" i="15"/>
  <c r="Q21" i="15"/>
  <c r="P21" i="15"/>
  <c r="O21" i="15"/>
  <c r="N21" i="15"/>
  <c r="M21" i="15"/>
  <c r="L21" i="15"/>
  <c r="K21" i="15"/>
  <c r="J21" i="15"/>
  <c r="I21" i="15"/>
  <c r="H21" i="15"/>
  <c r="G21" i="15"/>
  <c r="F21" i="15"/>
  <c r="D21" i="15"/>
  <c r="W20" i="15"/>
  <c r="V20" i="15"/>
  <c r="U20" i="15"/>
  <c r="T20" i="15"/>
  <c r="S20" i="15"/>
  <c r="R20" i="15"/>
  <c r="Q20" i="15"/>
  <c r="P20" i="15"/>
  <c r="O20" i="15"/>
  <c r="N20" i="15"/>
  <c r="M20" i="15"/>
  <c r="L20" i="15"/>
  <c r="K20" i="15"/>
  <c r="J20" i="15"/>
  <c r="I20" i="15"/>
  <c r="H20" i="15"/>
  <c r="G20" i="15"/>
  <c r="D20" i="15"/>
  <c r="W19" i="15"/>
  <c r="V19" i="15"/>
  <c r="U19" i="15"/>
  <c r="T19" i="15"/>
  <c r="S19" i="15"/>
  <c r="R19" i="15"/>
  <c r="Q19" i="15"/>
  <c r="P19" i="15"/>
  <c r="O19" i="15"/>
  <c r="N19" i="15"/>
  <c r="M19" i="15"/>
  <c r="L19" i="15"/>
  <c r="K19" i="15"/>
  <c r="J19" i="15"/>
  <c r="I19" i="15"/>
  <c r="H19" i="15"/>
  <c r="G19" i="15"/>
  <c r="F19" i="15"/>
  <c r="W18" i="15"/>
  <c r="V18" i="15"/>
  <c r="U18" i="15"/>
  <c r="T18" i="15"/>
  <c r="S18" i="15"/>
  <c r="R18" i="15"/>
  <c r="Q18" i="15"/>
  <c r="P18" i="15"/>
  <c r="O18" i="15"/>
  <c r="N18" i="15"/>
  <c r="M18" i="15"/>
  <c r="L18" i="15"/>
  <c r="K18" i="15"/>
  <c r="J18" i="15"/>
  <c r="I18" i="15"/>
  <c r="H18" i="15"/>
  <c r="G18" i="15"/>
  <c r="F18" i="15"/>
  <c r="W17" i="15"/>
  <c r="V17" i="15"/>
  <c r="U17" i="15"/>
  <c r="T17" i="15"/>
  <c r="S17" i="15"/>
  <c r="R17" i="15"/>
  <c r="Q17" i="15"/>
  <c r="P17" i="15"/>
  <c r="O17" i="15"/>
  <c r="N17" i="15"/>
  <c r="M17" i="15"/>
  <c r="L17" i="15"/>
  <c r="K17" i="15"/>
  <c r="J17" i="15"/>
  <c r="I17" i="15"/>
  <c r="H17" i="15"/>
  <c r="G17" i="15"/>
  <c r="F17" i="15"/>
  <c r="W16" i="15"/>
  <c r="V16" i="15"/>
  <c r="U16" i="15"/>
  <c r="T16" i="15"/>
  <c r="S16" i="15"/>
  <c r="R16" i="15"/>
  <c r="Q16" i="15"/>
  <c r="P16" i="15"/>
  <c r="O16" i="15"/>
  <c r="N16" i="15"/>
  <c r="M16" i="15"/>
  <c r="L16" i="15"/>
  <c r="K16" i="15"/>
  <c r="J16" i="15"/>
  <c r="I16" i="15"/>
  <c r="H16" i="15"/>
  <c r="G16" i="15"/>
  <c r="F16" i="15"/>
  <c r="W15" i="15"/>
  <c r="V15" i="15"/>
  <c r="U15" i="15"/>
  <c r="T15" i="15"/>
  <c r="S15" i="15"/>
  <c r="R15" i="15"/>
  <c r="Q15" i="15"/>
  <c r="P15" i="15"/>
  <c r="O15" i="15"/>
  <c r="N15" i="15"/>
  <c r="M15" i="15"/>
  <c r="L15" i="15"/>
  <c r="K15" i="15"/>
  <c r="J15" i="15"/>
  <c r="I15" i="15"/>
  <c r="H15" i="15"/>
  <c r="G15" i="15"/>
  <c r="F15" i="15"/>
  <c r="W14" i="15"/>
  <c r="V14" i="15"/>
  <c r="U14" i="15"/>
  <c r="T14" i="15"/>
  <c r="S14" i="15"/>
  <c r="R14" i="15"/>
  <c r="Q14" i="15"/>
  <c r="P14" i="15"/>
  <c r="O14" i="15"/>
  <c r="N14" i="15"/>
  <c r="M14" i="15"/>
  <c r="L14" i="15"/>
  <c r="K14" i="15"/>
  <c r="J14" i="15"/>
  <c r="I14" i="15"/>
  <c r="H14" i="15"/>
  <c r="G14" i="15"/>
  <c r="F14" i="15"/>
  <c r="E14" i="15"/>
  <c r="W13" i="15"/>
  <c r="V13" i="15"/>
  <c r="U13" i="15"/>
  <c r="T13" i="15"/>
  <c r="S13" i="15"/>
  <c r="R13" i="15"/>
  <c r="Q13" i="15"/>
  <c r="P13" i="15"/>
  <c r="O13" i="15"/>
  <c r="N13" i="15"/>
  <c r="M13" i="15"/>
  <c r="L13" i="15"/>
  <c r="K13" i="15"/>
  <c r="J13" i="15"/>
  <c r="I13" i="15"/>
  <c r="H13" i="15"/>
  <c r="G13" i="15"/>
  <c r="F13" i="15"/>
  <c r="E13" i="15"/>
  <c r="W12" i="15"/>
  <c r="V12" i="15"/>
  <c r="U12" i="15"/>
  <c r="T12" i="15"/>
  <c r="S12" i="15"/>
  <c r="R12" i="15"/>
  <c r="Q12" i="15"/>
  <c r="P12" i="15"/>
  <c r="O12" i="15"/>
  <c r="N12" i="15"/>
  <c r="M12" i="15"/>
  <c r="L12" i="15"/>
  <c r="K12" i="15"/>
  <c r="J12" i="15"/>
  <c r="I12" i="15"/>
  <c r="H12" i="15"/>
  <c r="G12" i="15"/>
  <c r="E12" i="15"/>
  <c r="W11" i="15"/>
  <c r="V11" i="15"/>
  <c r="U11" i="15"/>
  <c r="T11" i="15"/>
  <c r="S11" i="15"/>
  <c r="R11" i="15"/>
  <c r="Q11" i="15"/>
  <c r="P11" i="15"/>
  <c r="O11" i="15"/>
  <c r="N11" i="15"/>
  <c r="M11" i="15"/>
  <c r="L11" i="15"/>
  <c r="K11" i="15"/>
  <c r="J11" i="15"/>
  <c r="I11" i="15"/>
  <c r="H11" i="15"/>
  <c r="G11" i="15"/>
  <c r="F11" i="15"/>
  <c r="W10" i="15"/>
  <c r="V10" i="15"/>
  <c r="U10" i="15"/>
  <c r="T10" i="15"/>
  <c r="S10" i="15"/>
  <c r="R10" i="15"/>
  <c r="Q10" i="15"/>
  <c r="P10" i="15"/>
  <c r="O10" i="15"/>
  <c r="N10" i="15"/>
  <c r="M10" i="15"/>
  <c r="L10" i="15"/>
  <c r="K10" i="15"/>
  <c r="J10" i="15"/>
  <c r="I10" i="15"/>
  <c r="H10" i="15"/>
  <c r="G10" i="15"/>
  <c r="F10" i="15"/>
  <c r="W9" i="15"/>
  <c r="V9" i="15"/>
  <c r="U9" i="15"/>
  <c r="T9" i="15"/>
  <c r="S9" i="15"/>
  <c r="R9" i="15"/>
  <c r="Q9" i="15"/>
  <c r="P9" i="15"/>
  <c r="O9" i="15"/>
  <c r="N9" i="15"/>
  <c r="M9" i="15"/>
  <c r="L9" i="15"/>
  <c r="K9" i="15"/>
  <c r="J9" i="15"/>
  <c r="I9" i="15"/>
  <c r="G9" i="15"/>
  <c r="W8" i="15"/>
  <c r="V8" i="15"/>
  <c r="U8" i="15"/>
  <c r="T8" i="15"/>
  <c r="S8" i="15"/>
  <c r="R8" i="15"/>
  <c r="Q8" i="15"/>
  <c r="P8" i="15"/>
  <c r="O8" i="15"/>
  <c r="N8" i="15"/>
  <c r="M8" i="15"/>
  <c r="L8" i="15"/>
  <c r="K8" i="15"/>
  <c r="J8" i="15"/>
  <c r="I8" i="15"/>
  <c r="W7" i="15"/>
  <c r="V7" i="15"/>
  <c r="U7" i="15"/>
  <c r="T7" i="15"/>
  <c r="S7" i="15"/>
  <c r="R7" i="15"/>
  <c r="Q7" i="15"/>
  <c r="P7" i="15"/>
  <c r="O7" i="15"/>
  <c r="N7" i="15"/>
  <c r="M7" i="15"/>
  <c r="L7" i="15"/>
  <c r="K7" i="15"/>
  <c r="J7" i="15"/>
  <c r="I7" i="15"/>
  <c r="W6" i="15"/>
  <c r="V6" i="15"/>
  <c r="U6" i="15"/>
  <c r="T6" i="15"/>
  <c r="S6" i="15"/>
  <c r="R6" i="15"/>
  <c r="Q6" i="15"/>
  <c r="P6" i="15"/>
  <c r="O6" i="15"/>
  <c r="N6" i="15"/>
  <c r="M6" i="15"/>
  <c r="L6" i="15"/>
  <c r="K6" i="15"/>
  <c r="J6" i="15"/>
  <c r="AB13" i="11"/>
  <c r="A45" i="2" l="1"/>
  <c r="N9" i="27" l="1"/>
  <c r="T9" i="27"/>
  <c r="H9" i="27"/>
  <c r="AM1269" i="7"/>
  <c r="AM1267" i="7"/>
  <c r="AM1266" i="7"/>
  <c r="AM1265" i="7"/>
  <c r="AM1264" i="7"/>
  <c r="AM1263" i="7"/>
  <c r="AM1262" i="7"/>
  <c r="AM1261" i="7"/>
  <c r="AM1260" i="7"/>
  <c r="AM1259" i="7"/>
  <c r="AM1258" i="7"/>
  <c r="AM1257" i="7"/>
  <c r="AM1256" i="7"/>
  <c r="AM1255" i="7"/>
  <c r="AM1254" i="7"/>
  <c r="AM1253" i="7"/>
  <c r="AM1252" i="7"/>
  <c r="AM1251" i="7"/>
  <c r="AM1250" i="7"/>
  <c r="AM1249" i="7"/>
  <c r="AM1248" i="7"/>
  <c r="AM1247" i="7"/>
  <c r="AM1246" i="7"/>
  <c r="AM1245" i="7"/>
  <c r="AM1244" i="7"/>
  <c r="AM1243" i="7"/>
  <c r="AM1242" i="7"/>
  <c r="AM1241" i="7"/>
  <c r="AM1240" i="7"/>
  <c r="AM1239" i="7"/>
  <c r="AM1238" i="7"/>
  <c r="AM1237" i="7"/>
  <c r="AM1236" i="7"/>
  <c r="AM1235" i="7"/>
  <c r="AM1234" i="7"/>
  <c r="AM1233" i="7"/>
  <c r="AM1232" i="7"/>
  <c r="AM1231" i="7"/>
  <c r="AM1230" i="7"/>
  <c r="AM1229" i="7"/>
  <c r="AM1228" i="7"/>
  <c r="AM1227" i="7"/>
  <c r="AM1226" i="7"/>
  <c r="AM1225" i="7"/>
  <c r="AM1224" i="7"/>
  <c r="AM1223" i="7"/>
  <c r="AM1222" i="7"/>
  <c r="AM1221" i="7"/>
  <c r="AM1220" i="7"/>
  <c r="AM1219" i="7"/>
  <c r="AM1218" i="7"/>
  <c r="AM1217" i="7"/>
  <c r="AM1216" i="7"/>
  <c r="AM1215" i="7"/>
  <c r="AM1214" i="7"/>
  <c r="AM1213" i="7"/>
  <c r="AM1212" i="7"/>
  <c r="AM1211" i="7"/>
  <c r="AM1210" i="7"/>
  <c r="AM1209" i="7"/>
  <c r="AM1208" i="7"/>
  <c r="AM1207" i="7"/>
  <c r="AM1206" i="7"/>
  <c r="AM1205" i="7"/>
  <c r="AM1204" i="7"/>
  <c r="AM1203" i="7"/>
  <c r="AM1202" i="7"/>
  <c r="AM1201" i="7"/>
  <c r="AM1200" i="7"/>
  <c r="AM1199" i="7"/>
  <c r="AM1198" i="7"/>
  <c r="AM1197" i="7"/>
  <c r="AM1196" i="7"/>
  <c r="AM1195" i="7"/>
  <c r="AM1194" i="7"/>
  <c r="AM1193" i="7"/>
  <c r="AM1192" i="7"/>
  <c r="AM1191" i="7"/>
  <c r="AM1190" i="7"/>
  <c r="AM1189" i="7"/>
  <c r="AM1188" i="7"/>
  <c r="AM1187" i="7"/>
  <c r="AM1186" i="7"/>
  <c r="AM1185" i="7"/>
  <c r="AM1184" i="7"/>
  <c r="AM1183" i="7"/>
  <c r="AM1182" i="7"/>
  <c r="AM1181" i="7"/>
  <c r="AM1180" i="7"/>
  <c r="AM1179" i="7"/>
  <c r="AM1178" i="7"/>
  <c r="AM1177" i="7"/>
  <c r="AM1176" i="7"/>
  <c r="AM1175" i="7"/>
  <c r="AM1174" i="7"/>
  <c r="AM1173" i="7"/>
  <c r="AM1172" i="7"/>
  <c r="AM1171" i="7"/>
  <c r="AM1170" i="7"/>
  <c r="AM1169" i="7"/>
  <c r="AM1168" i="7"/>
  <c r="AM1167" i="7"/>
  <c r="AM1166" i="7"/>
  <c r="AM1165" i="7"/>
  <c r="AM1164" i="7"/>
  <c r="AM1163" i="7"/>
  <c r="AM1162" i="7"/>
  <c r="AM1161" i="7"/>
  <c r="AM1160" i="7"/>
  <c r="AM1159" i="7"/>
  <c r="AM1158" i="7"/>
  <c r="AM1157" i="7"/>
  <c r="AM1156" i="7"/>
  <c r="AM1155" i="7"/>
  <c r="AM1154" i="7"/>
  <c r="AM1153" i="7"/>
  <c r="AM1152" i="7"/>
  <c r="AM1151" i="7"/>
  <c r="AM1150" i="7"/>
  <c r="AM1149" i="7"/>
  <c r="AM1148" i="7"/>
  <c r="AM1147" i="7"/>
  <c r="AM1146" i="7"/>
  <c r="AM1145" i="7"/>
  <c r="AM1144" i="7"/>
  <c r="AM1143" i="7"/>
  <c r="AM1142" i="7"/>
  <c r="AM1141" i="7"/>
  <c r="AM1140" i="7"/>
  <c r="AM1139" i="7"/>
  <c r="AM1138" i="7"/>
  <c r="AM1137" i="7"/>
  <c r="AM1136" i="7"/>
  <c r="AM1135" i="7"/>
  <c r="AM1134" i="7"/>
  <c r="AM1133" i="7"/>
  <c r="AM1132" i="7"/>
  <c r="AM1131" i="7"/>
  <c r="AM1130" i="7"/>
  <c r="AM1129" i="7"/>
  <c r="AM1128" i="7"/>
  <c r="AM1127" i="7"/>
  <c r="AM1126" i="7"/>
  <c r="AM1125" i="7"/>
  <c r="AM1124" i="7"/>
  <c r="AM1123" i="7"/>
  <c r="AM1122" i="7"/>
  <c r="AM1121" i="7"/>
  <c r="AM1120" i="7"/>
  <c r="AM1119" i="7"/>
  <c r="AM1118" i="7"/>
  <c r="AM1117" i="7"/>
  <c r="AM1116" i="7"/>
  <c r="AM1115" i="7"/>
  <c r="AM1114" i="7"/>
  <c r="AM1113" i="7"/>
  <c r="AM1112" i="7"/>
  <c r="AM1111" i="7"/>
  <c r="AM1110" i="7"/>
  <c r="AM1109" i="7"/>
  <c r="AM1108" i="7"/>
  <c r="AM1107" i="7"/>
  <c r="AM1106" i="7"/>
  <c r="AM1105" i="7"/>
  <c r="AM1104" i="7"/>
  <c r="AM1103" i="7"/>
  <c r="AM1102" i="7"/>
  <c r="AM1101" i="7"/>
  <c r="AM1100" i="7"/>
  <c r="AM1099" i="7"/>
  <c r="AM1098" i="7"/>
  <c r="AM1097" i="7"/>
  <c r="AM1096" i="7"/>
  <c r="AM1095" i="7"/>
  <c r="AM1094" i="7"/>
  <c r="AM1093" i="7"/>
  <c r="AM1092" i="7"/>
  <c r="AM1091" i="7"/>
  <c r="AM1090" i="7"/>
  <c r="AM1089" i="7"/>
  <c r="AM1088" i="7"/>
  <c r="AM1087" i="7"/>
  <c r="AM1086" i="7"/>
  <c r="AM1085" i="7"/>
  <c r="AM1084" i="7"/>
  <c r="AM1083" i="7"/>
  <c r="AM1082" i="7"/>
  <c r="AM1081" i="7"/>
  <c r="AM1080" i="7"/>
  <c r="AM1079" i="7"/>
  <c r="AM1078" i="7"/>
  <c r="AM1077" i="7"/>
  <c r="AM1076" i="7"/>
  <c r="AM1075" i="7"/>
  <c r="AM1074" i="7"/>
  <c r="AM1073" i="7"/>
  <c r="AM1072" i="7"/>
  <c r="AM1071" i="7"/>
  <c r="AM1070" i="7"/>
  <c r="AM1069" i="7"/>
  <c r="AM1068" i="7"/>
  <c r="AM1067" i="7"/>
  <c r="AM1066" i="7"/>
  <c r="AM1065" i="7"/>
  <c r="AM1064" i="7"/>
  <c r="AM1063" i="7"/>
  <c r="AM1062" i="7"/>
  <c r="AM1061" i="7"/>
  <c r="AM1060" i="7"/>
  <c r="AM1059" i="7"/>
  <c r="AM1058" i="7"/>
  <c r="AM1057" i="7"/>
  <c r="AM1056" i="7"/>
  <c r="AM1055" i="7"/>
  <c r="AM1054" i="7"/>
  <c r="AM1053" i="7"/>
  <c r="AM1052" i="7"/>
  <c r="AM1051" i="7"/>
  <c r="AM1050" i="7"/>
  <c r="AM1049" i="7"/>
  <c r="AM1048" i="7"/>
  <c r="AM1047" i="7"/>
  <c r="AM1046" i="7"/>
  <c r="AM1045" i="7"/>
  <c r="AM1044" i="7"/>
  <c r="AM1043" i="7"/>
  <c r="AM1042" i="7"/>
  <c r="AM1041" i="7"/>
  <c r="AM1040" i="7"/>
  <c r="AM1039" i="7"/>
  <c r="AM1038" i="7"/>
  <c r="AM1037" i="7"/>
  <c r="AM1036" i="7"/>
  <c r="AM1035" i="7"/>
  <c r="AM1034" i="7"/>
  <c r="AM1033" i="7"/>
  <c r="AM1032" i="7"/>
  <c r="AM1031" i="7"/>
  <c r="AM1030" i="7"/>
  <c r="AM1029" i="7"/>
  <c r="AM1028" i="7"/>
  <c r="AM1027" i="7"/>
  <c r="AM1026" i="7"/>
  <c r="AM1025" i="7"/>
  <c r="AM1024" i="7"/>
  <c r="AM1023" i="7"/>
  <c r="AM1022" i="7"/>
  <c r="AM1021" i="7"/>
  <c r="AM1020" i="7"/>
  <c r="AM1019" i="7"/>
  <c r="AM1018" i="7"/>
  <c r="AM1017" i="7"/>
  <c r="AM1016" i="7"/>
  <c r="AM1015" i="7"/>
  <c r="AM1014" i="7"/>
  <c r="AM1013" i="7"/>
  <c r="AM1012" i="7"/>
  <c r="AM1011" i="7"/>
  <c r="AM1010" i="7"/>
  <c r="AM1009" i="7"/>
  <c r="AM1008" i="7"/>
  <c r="J4" i="11" l="1"/>
  <c r="CN48" i="1" s="1"/>
  <c r="K9" i="27"/>
  <c r="Q9" i="27"/>
  <c r="J7" i="11"/>
  <c r="AD272" i="1"/>
  <c r="AD271" i="1"/>
  <c r="AD270" i="1"/>
  <c r="AD269" i="1"/>
  <c r="AD268" i="1"/>
  <c r="AD267" i="1"/>
  <c r="AD266" i="1"/>
  <c r="AD265" i="1"/>
  <c r="AD264" i="1"/>
  <c r="AD263" i="1"/>
  <c r="AD262" i="1"/>
  <c r="AD261" i="1"/>
  <c r="AD260" i="1"/>
  <c r="AD259" i="1"/>
  <c r="AD258" i="1"/>
  <c r="AD257" i="1"/>
  <c r="AD256" i="1"/>
  <c r="AD255" i="1"/>
  <c r="AD254" i="1"/>
  <c r="AD253" i="1"/>
  <c r="AD252" i="1"/>
  <c r="AD251" i="1"/>
  <c r="AD250" i="1"/>
  <c r="AD249" i="1"/>
  <c r="AD248" i="1"/>
  <c r="AD247" i="1"/>
  <c r="AD246" i="1"/>
  <c r="AD245" i="1"/>
  <c r="AD244" i="1"/>
  <c r="AD243" i="1"/>
  <c r="AD242" i="1"/>
  <c r="AD241" i="1"/>
  <c r="AD240" i="1"/>
  <c r="AD239" i="1"/>
  <c r="AD238" i="1"/>
  <c r="AD237" i="1"/>
  <c r="AD236" i="1"/>
  <c r="AD235" i="1"/>
  <c r="AD234" i="1"/>
  <c r="AD233" i="1"/>
  <c r="AD232" i="1"/>
  <c r="AD231" i="1"/>
  <c r="AD230" i="1"/>
  <c r="AD229" i="1"/>
  <c r="AD228" i="1"/>
  <c r="AD227" i="1"/>
  <c r="AD226" i="1"/>
  <c r="AD225" i="1"/>
  <c r="AD224" i="1"/>
  <c r="AD223" i="1"/>
  <c r="AD222" i="1"/>
  <c r="AD221" i="1"/>
  <c r="AD220" i="1"/>
  <c r="AD219" i="1"/>
  <c r="AD218" i="1"/>
  <c r="AD217" i="1"/>
  <c r="AD216" i="1"/>
  <c r="AD215" i="1"/>
  <c r="AD214" i="1"/>
  <c r="AD213" i="1"/>
  <c r="AD212" i="1"/>
  <c r="AD211" i="1"/>
  <c r="AD210" i="1"/>
  <c r="AD209" i="1"/>
  <c r="AD208" i="1"/>
  <c r="AD207" i="1"/>
  <c r="AD206"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1" i="1"/>
  <c r="AD180" i="1"/>
  <c r="AD179" i="1"/>
  <c r="AD178" i="1"/>
  <c r="AD177" i="1"/>
  <c r="AD176" i="1"/>
  <c r="AD175" i="1"/>
  <c r="AD174" i="1"/>
  <c r="AD173" i="1"/>
  <c r="AD172" i="1"/>
  <c r="AD171" i="1"/>
  <c r="AD170" i="1"/>
  <c r="AD169" i="1"/>
  <c r="AD168" i="1"/>
  <c r="AD167" i="1"/>
  <c r="AD166" i="1"/>
  <c r="AD165" i="1"/>
  <c r="AD164" i="1"/>
  <c r="AD163" i="1"/>
  <c r="AD162" i="1"/>
  <c r="AD161" i="1"/>
  <c r="AD160" i="1"/>
  <c r="AD159" i="1"/>
  <c r="AD158" i="1"/>
  <c r="AD157" i="1"/>
  <c r="AD156" i="1"/>
  <c r="AD155" i="1"/>
  <c r="AD154" i="1"/>
  <c r="AD153" i="1"/>
  <c r="AD152" i="1"/>
  <c r="AD151" i="1"/>
  <c r="AD150" i="1"/>
  <c r="AD149" i="1"/>
  <c r="AD148" i="1"/>
  <c r="AD147" i="1"/>
  <c r="AD146" i="1"/>
  <c r="AD145" i="1"/>
  <c r="AD144" i="1"/>
  <c r="AD143" i="1"/>
  <c r="AD142" i="1"/>
  <c r="AD141" i="1"/>
  <c r="AD140" i="1"/>
  <c r="AD139" i="1"/>
  <c r="AD138" i="1"/>
  <c r="AD137" i="1"/>
  <c r="AD136" i="1"/>
  <c r="AD135" i="1"/>
  <c r="AD134" i="1"/>
  <c r="AD133" i="1"/>
  <c r="AD132" i="1"/>
  <c r="AD131" i="1"/>
  <c r="AD130" i="1"/>
  <c r="AD129" i="1"/>
  <c r="AD128" i="1"/>
  <c r="AD127" i="1"/>
  <c r="AD126" i="1"/>
  <c r="AD125" i="1"/>
  <c r="AD124" i="1"/>
  <c r="AD123" i="1"/>
  <c r="AD122" i="1"/>
  <c r="AD121" i="1"/>
  <c r="AD120" i="1"/>
  <c r="AD119" i="1"/>
  <c r="AD118" i="1"/>
  <c r="AD117" i="1"/>
  <c r="AD116" i="1"/>
  <c r="AD115" i="1"/>
  <c r="AD114" i="1"/>
  <c r="AD113" i="1"/>
  <c r="AD112" i="1"/>
  <c r="AD111" i="1"/>
  <c r="AD110" i="1"/>
  <c r="AD109" i="1"/>
  <c r="AD108" i="1"/>
  <c r="AD107" i="1"/>
  <c r="AD106" i="1"/>
  <c r="AD105" i="1"/>
  <c r="AD104" i="1"/>
  <c r="AD103" i="1"/>
  <c r="AD102" i="1"/>
  <c r="AD101" i="1"/>
  <c r="AD100" i="1"/>
  <c r="AD99" i="1"/>
  <c r="AD98" i="1"/>
  <c r="AD97" i="1"/>
  <c r="AD96" i="1"/>
  <c r="AD95" i="1"/>
  <c r="AD94" i="1"/>
  <c r="AD93" i="1"/>
  <c r="AD92" i="1"/>
  <c r="AD91" i="1"/>
  <c r="AD90" i="1"/>
  <c r="AD89" i="1"/>
  <c r="AD88" i="1"/>
  <c r="AD87" i="1"/>
  <c r="AD86" i="1"/>
  <c r="AD85" i="1"/>
  <c r="AD84" i="1"/>
  <c r="AD83" i="1"/>
  <c r="AD82" i="1"/>
  <c r="AD81" i="1"/>
  <c r="AD80" i="1"/>
  <c r="AD79" i="1"/>
  <c r="AD78" i="1"/>
  <c r="AD77" i="1"/>
  <c r="AD76" i="1"/>
  <c r="AD75" i="1"/>
  <c r="AD74" i="1"/>
  <c r="AD73" i="1"/>
  <c r="AD72" i="1"/>
  <c r="AD71" i="1"/>
  <c r="AD70" i="1"/>
  <c r="AD69" i="1"/>
  <c r="AD68" i="1"/>
  <c r="AD67" i="1"/>
  <c r="AD66" i="1"/>
  <c r="AD65" i="1"/>
  <c r="AD64" i="1"/>
  <c r="AD63" i="1"/>
  <c r="AD61" i="1"/>
  <c r="AD56" i="1"/>
  <c r="AD57" i="1"/>
  <c r="AD55" i="1"/>
  <c r="AD52" i="1"/>
  <c r="AD51" i="1"/>
  <c r="AD11" i="1"/>
  <c r="L4" i="30" l="1"/>
  <c r="J9" i="11"/>
  <c r="K9" i="11" s="1"/>
  <c r="U4" i="30" s="1"/>
  <c r="K4" i="11"/>
  <c r="J8" i="11"/>
  <c r="K7" i="11"/>
  <c r="S4" i="30" s="1"/>
  <c r="CN49" i="1"/>
  <c r="JH7" i="23"/>
  <c r="JH32" i="23"/>
  <c r="JH37" i="23"/>
  <c r="JH50" i="23"/>
  <c r="JH59" i="23"/>
  <c r="JH61" i="23"/>
  <c r="JH70" i="23"/>
  <c r="JH71" i="23"/>
  <c r="JH72" i="23"/>
  <c r="JH73" i="23"/>
  <c r="JH74" i="23"/>
  <c r="JH75" i="23"/>
  <c r="JH76" i="23"/>
  <c r="JH77" i="23"/>
  <c r="JH78" i="23"/>
  <c r="JH79" i="23"/>
  <c r="JH80" i="23"/>
  <c r="JH81" i="23"/>
  <c r="JH82" i="23"/>
  <c r="JH83" i="23"/>
  <c r="JH84" i="23"/>
  <c r="JH85" i="23"/>
  <c r="JH86" i="23"/>
  <c r="JH87" i="23"/>
  <c r="JH88" i="23"/>
  <c r="JH89" i="23"/>
  <c r="JH90" i="23"/>
  <c r="JH91" i="23"/>
  <c r="JH92" i="23"/>
  <c r="JH93" i="23"/>
  <c r="JH94" i="23"/>
  <c r="JH95" i="23"/>
  <c r="JH96" i="23"/>
  <c r="JH97" i="23"/>
  <c r="JH98" i="23"/>
  <c r="JH99" i="23"/>
  <c r="JH100" i="23"/>
  <c r="JH101" i="23"/>
  <c r="JH102" i="23"/>
  <c r="JH103" i="23"/>
  <c r="JH104" i="23"/>
  <c r="JH105" i="23"/>
  <c r="JH106" i="23"/>
  <c r="JH107" i="23"/>
  <c r="JH108" i="23"/>
  <c r="JH109" i="23"/>
  <c r="JH110" i="23"/>
  <c r="JH111" i="23"/>
  <c r="JH112" i="23"/>
  <c r="JH113" i="23"/>
  <c r="JH114" i="23"/>
  <c r="JH115" i="23"/>
  <c r="JH116" i="23"/>
  <c r="JH117" i="23"/>
  <c r="JH118" i="23"/>
  <c r="JH119" i="23"/>
  <c r="JH120" i="23"/>
  <c r="JH121" i="23"/>
  <c r="JH122" i="23"/>
  <c r="JH123" i="23"/>
  <c r="JH124" i="23"/>
  <c r="JH125" i="23"/>
  <c r="JH126" i="23"/>
  <c r="JH127" i="23"/>
  <c r="JH128" i="23"/>
  <c r="JH129" i="23"/>
  <c r="JH130" i="23"/>
  <c r="JH131" i="23"/>
  <c r="JH132" i="23"/>
  <c r="JH133" i="23"/>
  <c r="JH134" i="23"/>
  <c r="JH135" i="23"/>
  <c r="JH136" i="23"/>
  <c r="JH137" i="23"/>
  <c r="JH138" i="23"/>
  <c r="JH139" i="23"/>
  <c r="JH140" i="23"/>
  <c r="JH141" i="23"/>
  <c r="JH142" i="23"/>
  <c r="JH143" i="23"/>
  <c r="JH144" i="23"/>
  <c r="JH145" i="23"/>
  <c r="JH146" i="23"/>
  <c r="JH147" i="23"/>
  <c r="JH148" i="23"/>
  <c r="JH149" i="23"/>
  <c r="JH150" i="23"/>
  <c r="JH151" i="23"/>
  <c r="JH152" i="23"/>
  <c r="JH153" i="23"/>
  <c r="JH154" i="23"/>
  <c r="JH155" i="23"/>
  <c r="JH156" i="23"/>
  <c r="JH157" i="23"/>
  <c r="JH158" i="23"/>
  <c r="JH159" i="23"/>
  <c r="JH160" i="23"/>
  <c r="JH161" i="23"/>
  <c r="JH162" i="23"/>
  <c r="JH163" i="23"/>
  <c r="JH164" i="23"/>
  <c r="JH165" i="23"/>
  <c r="JH166" i="23"/>
  <c r="JH167" i="23"/>
  <c r="JH168" i="23"/>
  <c r="JH169" i="23"/>
  <c r="JH170" i="23"/>
  <c r="JH171" i="23"/>
  <c r="JH172" i="23"/>
  <c r="JH173" i="23"/>
  <c r="JH174" i="23"/>
  <c r="JH175" i="23"/>
  <c r="JH176" i="23"/>
  <c r="JH177" i="23"/>
  <c r="JH178" i="23"/>
  <c r="JH179" i="23"/>
  <c r="JH180" i="23"/>
  <c r="JH181" i="23"/>
  <c r="JH182" i="23"/>
  <c r="JH183" i="23"/>
  <c r="JH184" i="23"/>
  <c r="JH185" i="23"/>
  <c r="JH186" i="23"/>
  <c r="JH187" i="23"/>
  <c r="JH188" i="23"/>
  <c r="JH189" i="23"/>
  <c r="JH190" i="23"/>
  <c r="JH191" i="23"/>
  <c r="JH192" i="23"/>
  <c r="JH193" i="23"/>
  <c r="JH194" i="23"/>
  <c r="JH195" i="23"/>
  <c r="JH196" i="23"/>
  <c r="JH197" i="23"/>
  <c r="JH198" i="23"/>
  <c r="JH199" i="23"/>
  <c r="JH200" i="23"/>
  <c r="JH201" i="23"/>
  <c r="JH202" i="23"/>
  <c r="JH203" i="23"/>
  <c r="JH205" i="23"/>
  <c r="JH206" i="23"/>
  <c r="JH207" i="23"/>
  <c r="JH208" i="23"/>
  <c r="JH209" i="23"/>
  <c r="JH210" i="23"/>
  <c r="JH211" i="23"/>
  <c r="JH212" i="23"/>
  <c r="N4" i="30" l="1"/>
  <c r="N10" i="11"/>
  <c r="K8" i="11"/>
  <c r="T4" i="30" s="1"/>
  <c r="M4" i="30"/>
  <c r="Z49" i="1"/>
  <c r="DN49" i="1" s="1"/>
  <c r="J10" i="11"/>
  <c r="J19" i="11" s="1"/>
  <c r="JH36" i="23"/>
  <c r="JH35" i="23"/>
  <c r="JH30" i="23"/>
  <c r="JH204" i="23"/>
  <c r="JH69" i="23"/>
  <c r="JH68" i="23"/>
  <c r="JH67" i="23"/>
  <c r="JH66" i="23"/>
  <c r="JH63" i="23"/>
  <c r="JH64" i="23"/>
  <c r="JH65" i="23"/>
  <c r="JH56" i="23"/>
  <c r="JH51" i="23"/>
  <c r="JH58" i="23"/>
  <c r="JH5" i="23"/>
  <c r="JH4" i="23"/>
  <c r="K10" i="11" l="1"/>
  <c r="V4" i="30" s="1"/>
  <c r="O4" i="30"/>
  <c r="AA49" i="1"/>
  <c r="DW49" i="1" s="1"/>
  <c r="DO49" i="1"/>
  <c r="DM49" i="1"/>
  <c r="L63" i="1"/>
  <c r="C35" i="26"/>
  <c r="C71" i="26" s="1"/>
  <c r="C107" i="26" s="1"/>
  <c r="C34" i="26"/>
  <c r="C70" i="26" s="1"/>
  <c r="C106" i="26" s="1"/>
  <c r="C33" i="26"/>
  <c r="C69" i="26" s="1"/>
  <c r="C105" i="26" s="1"/>
  <c r="C32" i="26"/>
  <c r="C31" i="26"/>
  <c r="C67" i="26" s="1"/>
  <c r="C103" i="26" s="1"/>
  <c r="C30" i="26"/>
  <c r="C66" i="26" s="1"/>
  <c r="C102" i="26" s="1"/>
  <c r="C29" i="26"/>
  <c r="C65" i="26" s="1"/>
  <c r="C101" i="26" s="1"/>
  <c r="C28" i="26"/>
  <c r="C27" i="26"/>
  <c r="C63" i="26" s="1"/>
  <c r="C99" i="26" s="1"/>
  <c r="C26" i="26"/>
  <c r="C62" i="26" s="1"/>
  <c r="C98" i="26" s="1"/>
  <c r="C25" i="26"/>
  <c r="C61" i="26" s="1"/>
  <c r="C24" i="26"/>
  <c r="C23" i="26"/>
  <c r="C59" i="26" s="1"/>
  <c r="C22" i="26"/>
  <c r="C58" i="26" s="1"/>
  <c r="C21" i="26"/>
  <c r="C57" i="26" s="1"/>
  <c r="C93" i="26" s="1"/>
  <c r="C20" i="26"/>
  <c r="C19" i="26"/>
  <c r="C55" i="26" s="1"/>
  <c r="C18" i="26"/>
  <c r="C54" i="26" s="1"/>
  <c r="C17" i="26"/>
  <c r="C53" i="26" s="1"/>
  <c r="C16" i="26"/>
  <c r="C15" i="26"/>
  <c r="C51" i="26" s="1"/>
  <c r="C14" i="26"/>
  <c r="C50" i="26" s="1"/>
  <c r="C13" i="26"/>
  <c r="C49" i="26" s="1"/>
  <c r="C12" i="26"/>
  <c r="C11" i="26"/>
  <c r="C47" i="26" s="1"/>
  <c r="C83" i="26" s="1"/>
  <c r="C10" i="26"/>
  <c r="C46" i="26" s="1"/>
  <c r="C82" i="26" s="1"/>
  <c r="C9" i="26"/>
  <c r="C45" i="26" s="1"/>
  <c r="C81" i="26" s="1"/>
  <c r="C8" i="26"/>
  <c r="C7" i="26"/>
  <c r="C43" i="26" s="1"/>
  <c r="C79" i="26" s="1"/>
  <c r="C6" i="26"/>
  <c r="C42" i="26" s="1"/>
  <c r="C78" i="26" s="1"/>
  <c r="W5" i="26"/>
  <c r="W41" i="26" s="1"/>
  <c r="W77" i="26" s="1"/>
  <c r="V5" i="26"/>
  <c r="V41" i="26" s="1"/>
  <c r="V77" i="26" s="1"/>
  <c r="U5" i="26"/>
  <c r="U41" i="26" s="1"/>
  <c r="U77" i="26" s="1"/>
  <c r="T5" i="26"/>
  <c r="S5" i="26"/>
  <c r="S41" i="26" s="1"/>
  <c r="S77" i="26" s="1"/>
  <c r="R5" i="26"/>
  <c r="R41" i="26" s="1"/>
  <c r="R77" i="26" s="1"/>
  <c r="Q5" i="26"/>
  <c r="Q41" i="26" s="1"/>
  <c r="Q77" i="26" s="1"/>
  <c r="P5" i="26"/>
  <c r="P41" i="26" s="1"/>
  <c r="P77" i="26" s="1"/>
  <c r="O5" i="26"/>
  <c r="O41" i="26" s="1"/>
  <c r="O77" i="26" s="1"/>
  <c r="N5" i="26"/>
  <c r="N41" i="26" s="1"/>
  <c r="N77" i="26" s="1"/>
  <c r="M5" i="26"/>
  <c r="M41" i="26" s="1"/>
  <c r="M77" i="26" s="1"/>
  <c r="L5" i="26"/>
  <c r="K5" i="26"/>
  <c r="K41" i="26" s="1"/>
  <c r="K77" i="26" s="1"/>
  <c r="J5" i="26"/>
  <c r="J41" i="26" s="1"/>
  <c r="J77" i="26" s="1"/>
  <c r="I5" i="26"/>
  <c r="I41" i="26" s="1"/>
  <c r="I77" i="26" s="1"/>
  <c r="H5" i="26"/>
  <c r="G5" i="26"/>
  <c r="G41" i="26" s="1"/>
  <c r="G77" i="26" s="1"/>
  <c r="F5" i="26"/>
  <c r="F41" i="26" s="1"/>
  <c r="F77" i="26" s="1"/>
  <c r="E5" i="26"/>
  <c r="E41" i="26" s="1"/>
  <c r="E77" i="26" s="1"/>
  <c r="D5" i="26"/>
  <c r="D41" i="26" s="1"/>
  <c r="D77" i="26" s="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64" i="1"/>
  <c r="I63"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64" i="1"/>
  <c r="I35" i="15" l="1"/>
  <c r="L26" i="26"/>
  <c r="E35" i="15"/>
  <c r="O29" i="26"/>
  <c r="M15" i="26"/>
  <c r="W22" i="26"/>
  <c r="V9" i="26"/>
  <c r="H34" i="26"/>
  <c r="F13" i="26"/>
  <c r="V18" i="26"/>
  <c r="N13" i="26"/>
  <c r="N21" i="26"/>
  <c r="N9" i="26"/>
  <c r="V13" i="26"/>
  <c r="V21" i="26"/>
  <c r="O7" i="26"/>
  <c r="N10" i="26"/>
  <c r="G15" i="26"/>
  <c r="M19" i="26"/>
  <c r="N23" i="26"/>
  <c r="N30" i="26"/>
  <c r="O6" i="26"/>
  <c r="O10" i="26"/>
  <c r="G14" i="26"/>
  <c r="R6" i="26"/>
  <c r="T7" i="26"/>
  <c r="T11" i="26"/>
  <c r="R15" i="26"/>
  <c r="I7" i="26"/>
  <c r="V7" i="26"/>
  <c r="E13" i="26"/>
  <c r="T23" i="26"/>
  <c r="P7" i="26"/>
  <c r="M13" i="26"/>
  <c r="Q14" i="26"/>
  <c r="N15" i="26"/>
  <c r="P12" i="26"/>
  <c r="M22" i="26"/>
  <c r="T15" i="26"/>
  <c r="P14" i="26"/>
  <c r="L16" i="26"/>
  <c r="N6" i="26"/>
  <c r="W6" i="26"/>
  <c r="N7" i="26"/>
  <c r="R7" i="26"/>
  <c r="P8" i="26"/>
  <c r="P9" i="26"/>
  <c r="I10" i="26"/>
  <c r="T10" i="26"/>
  <c r="L12" i="26"/>
  <c r="I13" i="26"/>
  <c r="U13" i="26"/>
  <c r="L14" i="26"/>
  <c r="W14" i="26"/>
  <c r="L15" i="26"/>
  <c r="Q15" i="26"/>
  <c r="H16" i="26"/>
  <c r="P18" i="26"/>
  <c r="U19" i="26"/>
  <c r="K23" i="26"/>
  <c r="R27" i="26"/>
  <c r="N34" i="26"/>
  <c r="L17" i="26"/>
  <c r="P21" i="26"/>
  <c r="P24" i="26"/>
  <c r="J6" i="26"/>
  <c r="S6" i="26"/>
  <c r="J7" i="26"/>
  <c r="Q7" i="26"/>
  <c r="L8" i="26"/>
  <c r="H10" i="26"/>
  <c r="R10" i="26"/>
  <c r="V11" i="26"/>
  <c r="Q13" i="26"/>
  <c r="J14" i="26"/>
  <c r="V14" i="26"/>
  <c r="I15" i="26"/>
  <c r="P15" i="26"/>
  <c r="U15" i="26"/>
  <c r="I18" i="26"/>
  <c r="S19" i="26"/>
  <c r="T21" i="26"/>
  <c r="J26" i="26"/>
  <c r="R31" i="26"/>
  <c r="I23" i="26"/>
  <c r="R28" i="26"/>
  <c r="N32" i="26"/>
  <c r="F11" i="26"/>
  <c r="F14" i="26"/>
  <c r="J15" i="26"/>
  <c r="N18" i="26"/>
  <c r="N22" i="26"/>
  <c r="R23" i="26"/>
  <c r="N26" i="26"/>
  <c r="V30" i="26"/>
  <c r="V31" i="26"/>
  <c r="V34" i="26"/>
  <c r="N11" i="26"/>
  <c r="J13" i="26"/>
  <c r="R13" i="26"/>
  <c r="F15" i="26"/>
  <c r="V15" i="26"/>
  <c r="R17" i="26"/>
  <c r="R22" i="26"/>
  <c r="J23" i="26"/>
  <c r="V23" i="26"/>
  <c r="V26" i="26"/>
  <c r="J31" i="26"/>
  <c r="F18" i="26"/>
  <c r="N27" i="26"/>
  <c r="J30" i="26"/>
  <c r="N31" i="26"/>
  <c r="J34" i="26"/>
  <c r="W18" i="26"/>
  <c r="G21" i="26"/>
  <c r="S22" i="26"/>
  <c r="S29" i="26"/>
  <c r="K6" i="26"/>
  <c r="P6" i="26"/>
  <c r="T6" i="26"/>
  <c r="L7" i="26"/>
  <c r="W7" i="26"/>
  <c r="T8" i="26"/>
  <c r="J9" i="26"/>
  <c r="R9" i="26"/>
  <c r="F10" i="26"/>
  <c r="J10" i="26"/>
  <c r="P10" i="26"/>
  <c r="V10" i="26"/>
  <c r="L11" i="26"/>
  <c r="T12" i="26"/>
  <c r="G13" i="26"/>
  <c r="K13" i="26"/>
  <c r="O13" i="26"/>
  <c r="S13" i="26"/>
  <c r="W13" i="26"/>
  <c r="H14" i="26"/>
  <c r="N14" i="26"/>
  <c r="R14" i="26"/>
  <c r="P16" i="26"/>
  <c r="T17" i="26"/>
  <c r="J18" i="26"/>
  <c r="Q18" i="26"/>
  <c r="K19" i="26"/>
  <c r="L20" i="26"/>
  <c r="I21" i="26"/>
  <c r="Q21" i="26"/>
  <c r="O22" i="26"/>
  <c r="U22" i="26"/>
  <c r="P23" i="26"/>
  <c r="R25" i="26"/>
  <c r="Q26" i="26"/>
  <c r="V29" i="26"/>
  <c r="Q30" i="26"/>
  <c r="N33" i="26"/>
  <c r="R34" i="26"/>
  <c r="L6" i="26"/>
  <c r="Q6" i="26"/>
  <c r="V6" i="26"/>
  <c r="L9" i="26"/>
  <c r="T9" i="26"/>
  <c r="G10" i="26"/>
  <c r="L10" i="26"/>
  <c r="Q10" i="26"/>
  <c r="W10" i="26"/>
  <c r="H12" i="26"/>
  <c r="H13" i="26"/>
  <c r="L13" i="26"/>
  <c r="P13" i="26"/>
  <c r="T13" i="26"/>
  <c r="I14" i="26"/>
  <c r="O14" i="26"/>
  <c r="T14" i="26"/>
  <c r="K15" i="26"/>
  <c r="O15" i="26"/>
  <c r="S15" i="26"/>
  <c r="W15" i="26"/>
  <c r="J17" i="26"/>
  <c r="L18" i="26"/>
  <c r="R18" i="26"/>
  <c r="P20" i="26"/>
  <c r="J21" i="26"/>
  <c r="R21" i="26"/>
  <c r="J22" i="26"/>
  <c r="Q22" i="26"/>
  <c r="V22" i="26"/>
  <c r="F26" i="26"/>
  <c r="R26" i="26"/>
  <c r="F30" i="26"/>
  <c r="R30" i="26"/>
  <c r="R33" i="26"/>
  <c r="U34" i="26"/>
  <c r="H20" i="26"/>
  <c r="L21" i="26"/>
  <c r="P22" i="26"/>
  <c r="T22" i="26"/>
  <c r="T25" i="26"/>
  <c r="T24" i="26"/>
  <c r="H15" i="26"/>
  <c r="T16" i="26"/>
  <c r="H18" i="26"/>
  <c r="T18" i="26"/>
  <c r="D20" i="26"/>
  <c r="T20" i="26"/>
  <c r="E29" i="26"/>
  <c r="E35" i="26"/>
  <c r="F32" i="26"/>
  <c r="I29" i="26"/>
  <c r="G22" i="26"/>
  <c r="G25" i="26"/>
  <c r="I31" i="26"/>
  <c r="H11" i="26"/>
  <c r="P11" i="26"/>
  <c r="K14" i="26"/>
  <c r="S14" i="26"/>
  <c r="F17" i="26"/>
  <c r="N17" i="26"/>
  <c r="V17" i="26"/>
  <c r="F19" i="26"/>
  <c r="O19" i="26"/>
  <c r="W19" i="26"/>
  <c r="J25" i="26"/>
  <c r="V25" i="26"/>
  <c r="G27" i="26"/>
  <c r="U27" i="26"/>
  <c r="U30" i="26"/>
  <c r="V33" i="26"/>
  <c r="N35" i="26"/>
  <c r="I9" i="26"/>
  <c r="Q9" i="26"/>
  <c r="M10" i="26"/>
  <c r="U10" i="26"/>
  <c r="I11" i="26"/>
  <c r="Q11" i="26"/>
  <c r="G17" i="26"/>
  <c r="O17" i="26"/>
  <c r="W17" i="26"/>
  <c r="K18" i="26"/>
  <c r="S18" i="26"/>
  <c r="G19" i="26"/>
  <c r="P19" i="26"/>
  <c r="E23" i="26"/>
  <c r="O23" i="26"/>
  <c r="W23" i="26"/>
  <c r="M25" i="26"/>
  <c r="W25" i="26"/>
  <c r="J27" i="26"/>
  <c r="V27" i="26"/>
  <c r="J29" i="26"/>
  <c r="W29" i="26"/>
  <c r="E33" i="26"/>
  <c r="R35" i="26"/>
  <c r="M6" i="26"/>
  <c r="U6" i="26"/>
  <c r="J11" i="26"/>
  <c r="R11" i="26"/>
  <c r="E14" i="26"/>
  <c r="M14" i="26"/>
  <c r="U14" i="26"/>
  <c r="H17" i="26"/>
  <c r="P17" i="26"/>
  <c r="H19" i="26"/>
  <c r="Q19" i="26"/>
  <c r="N25" i="26"/>
  <c r="S26" i="26"/>
  <c r="K27" i="26"/>
  <c r="W27" i="26"/>
  <c r="K29" i="26"/>
  <c r="F33" i="26"/>
  <c r="U35" i="26"/>
  <c r="K7" i="26"/>
  <c r="S7" i="26"/>
  <c r="K9" i="26"/>
  <c r="S9" i="26"/>
  <c r="K11" i="26"/>
  <c r="S11" i="26"/>
  <c r="I17" i="26"/>
  <c r="Q17" i="26"/>
  <c r="M18" i="26"/>
  <c r="U18" i="26"/>
  <c r="J19" i="26"/>
  <c r="R19" i="26"/>
  <c r="K21" i="26"/>
  <c r="S21" i="26"/>
  <c r="I22" i="26"/>
  <c r="G23" i="26"/>
  <c r="Q23" i="26"/>
  <c r="O25" i="26"/>
  <c r="I26" i="26"/>
  <c r="U26" i="26"/>
  <c r="M27" i="26"/>
  <c r="M28" i="26"/>
  <c r="N29" i="26"/>
  <c r="I30" i="26"/>
  <c r="J33" i="26"/>
  <c r="V35" i="26"/>
  <c r="M7" i="26"/>
  <c r="U7" i="26"/>
  <c r="M9" i="26"/>
  <c r="U9" i="26"/>
  <c r="M11" i="26"/>
  <c r="U11" i="26"/>
  <c r="K17" i="26"/>
  <c r="S17" i="26"/>
  <c r="G18" i="26"/>
  <c r="O18" i="26"/>
  <c r="L19" i="26"/>
  <c r="T19" i="26"/>
  <c r="M21" i="26"/>
  <c r="U21" i="26"/>
  <c r="K22" i="26"/>
  <c r="S23" i="26"/>
  <c r="F25" i="26"/>
  <c r="S25" i="26"/>
  <c r="K26" i="26"/>
  <c r="W26" i="26"/>
  <c r="O27" i="26"/>
  <c r="W28" i="26"/>
  <c r="R29" i="26"/>
  <c r="Q33" i="26"/>
  <c r="T35" i="26"/>
  <c r="G9" i="26"/>
  <c r="O9" i="26"/>
  <c r="W9" i="26"/>
  <c r="K10" i="26"/>
  <c r="S10" i="26"/>
  <c r="G11" i="26"/>
  <c r="O11" i="26"/>
  <c r="W11" i="26"/>
  <c r="M17" i="26"/>
  <c r="U17" i="26"/>
  <c r="N19" i="26"/>
  <c r="V19" i="26"/>
  <c r="F21" i="26"/>
  <c r="O21" i="26"/>
  <c r="W21" i="26"/>
  <c r="M23" i="26"/>
  <c r="U23" i="26"/>
  <c r="I25" i="26"/>
  <c r="U25" i="26"/>
  <c r="O26" i="26"/>
  <c r="F27" i="26"/>
  <c r="S27" i="26"/>
  <c r="F29" i="26"/>
  <c r="U29" i="26"/>
  <c r="U33" i="26"/>
  <c r="I19" i="26"/>
  <c r="H21" i="26"/>
  <c r="L22" i="26"/>
  <c r="H23" i="26"/>
  <c r="K25" i="26"/>
  <c r="M26" i="26"/>
  <c r="Q29" i="26"/>
  <c r="T34" i="26"/>
  <c r="D21" i="26"/>
  <c r="H22" i="26"/>
  <c r="L23" i="26"/>
  <c r="Q25" i="26"/>
  <c r="G26" i="26"/>
  <c r="M34" i="26"/>
  <c r="M35" i="26"/>
  <c r="L24" i="26"/>
  <c r="I27" i="26"/>
  <c r="G29" i="26"/>
  <c r="M29" i="26"/>
  <c r="Q31" i="26"/>
  <c r="M33" i="26"/>
  <c r="W35" i="26"/>
  <c r="H24" i="26"/>
  <c r="D25" i="26"/>
  <c r="H25" i="26"/>
  <c r="L25" i="26"/>
  <c r="P25" i="26"/>
  <c r="Q27" i="26"/>
  <c r="H29" i="26"/>
  <c r="L29" i="26"/>
  <c r="P29" i="26"/>
  <c r="T29" i="26"/>
  <c r="E30" i="26"/>
  <c r="M30" i="26"/>
  <c r="T30" i="26"/>
  <c r="F31" i="26"/>
  <c r="M31" i="26"/>
  <c r="U31" i="26"/>
  <c r="U32" i="26"/>
  <c r="I34" i="26"/>
  <c r="Q34" i="26"/>
  <c r="J35" i="26"/>
  <c r="E31" i="26"/>
  <c r="L31" i="26"/>
  <c r="I33" i="26"/>
  <c r="E34" i="26"/>
  <c r="I35" i="26"/>
  <c r="Q35" i="26"/>
  <c r="C87" i="26"/>
  <c r="W51" i="26"/>
  <c r="C91" i="26"/>
  <c r="S55" i="26"/>
  <c r="C95" i="26"/>
  <c r="Q59" i="26"/>
  <c r="G28" i="26"/>
  <c r="L33" i="26"/>
  <c r="F34" i="26"/>
  <c r="P35" i="26"/>
  <c r="C85" i="26"/>
  <c r="U49" i="26"/>
  <c r="C89" i="26"/>
  <c r="S53" i="26"/>
  <c r="C97" i="26"/>
  <c r="I61" i="26"/>
  <c r="C86" i="26"/>
  <c r="W50" i="26"/>
  <c r="C90" i="26"/>
  <c r="R54" i="26"/>
  <c r="K58" i="26"/>
  <c r="C94" i="26"/>
  <c r="G30" i="26"/>
  <c r="K35" i="26"/>
  <c r="W8" i="26"/>
  <c r="W12" i="26"/>
  <c r="W16" i="26"/>
  <c r="W20" i="26"/>
  <c r="W24" i="26"/>
  <c r="V28" i="26"/>
  <c r="T32" i="26"/>
  <c r="H41" i="26"/>
  <c r="H77" i="26" s="1"/>
  <c r="L41" i="26"/>
  <c r="L77" i="26" s="1"/>
  <c r="T41" i="26"/>
  <c r="T77" i="26" s="1"/>
  <c r="S35" i="26"/>
  <c r="D33" i="26"/>
  <c r="P33" i="26"/>
  <c r="C44" i="26"/>
  <c r="U44" i="26" s="1"/>
  <c r="C48" i="26"/>
  <c r="G48" i="26" s="1"/>
  <c r="C52" i="26"/>
  <c r="C88" i="26" s="1"/>
  <c r="C56" i="26"/>
  <c r="C92" i="26" s="1"/>
  <c r="C60" i="26"/>
  <c r="C96" i="26" s="1"/>
  <c r="C64" i="26"/>
  <c r="C100" i="26" s="1"/>
  <c r="C68" i="26"/>
  <c r="C104" i="26" s="1"/>
  <c r="O35" i="26"/>
  <c r="I8" i="26"/>
  <c r="M8" i="26"/>
  <c r="Q8" i="26"/>
  <c r="U8" i="26"/>
  <c r="E12" i="26"/>
  <c r="I12" i="26"/>
  <c r="M12" i="26"/>
  <c r="Q12" i="26"/>
  <c r="U12" i="26"/>
  <c r="I16" i="26"/>
  <c r="M16" i="26"/>
  <c r="Q16" i="26"/>
  <c r="U16" i="26"/>
  <c r="I20" i="26"/>
  <c r="M20" i="26"/>
  <c r="Q20" i="26"/>
  <c r="U20" i="26"/>
  <c r="I24" i="26"/>
  <c r="M24" i="26"/>
  <c r="Q24" i="26"/>
  <c r="U24" i="26"/>
  <c r="I28" i="26"/>
  <c r="N28" i="26"/>
  <c r="S28" i="26"/>
  <c r="I32" i="26"/>
  <c r="Q32" i="26"/>
  <c r="V32" i="26"/>
  <c r="D32" i="26"/>
  <c r="J8" i="26"/>
  <c r="N8" i="26"/>
  <c r="R8" i="26"/>
  <c r="V8" i="26"/>
  <c r="J12" i="26"/>
  <c r="N12" i="26"/>
  <c r="R12" i="26"/>
  <c r="V12" i="26"/>
  <c r="F16" i="26"/>
  <c r="J16" i="26"/>
  <c r="N16" i="26"/>
  <c r="R16" i="26"/>
  <c r="V16" i="26"/>
  <c r="J20" i="26"/>
  <c r="N20" i="26"/>
  <c r="R20" i="26"/>
  <c r="V20" i="26"/>
  <c r="F24" i="26"/>
  <c r="J24" i="26"/>
  <c r="N24" i="26"/>
  <c r="R24" i="26"/>
  <c r="V24" i="26"/>
  <c r="E28" i="26"/>
  <c r="J28" i="26"/>
  <c r="O28" i="26"/>
  <c r="U28" i="26"/>
  <c r="J32" i="26"/>
  <c r="R32" i="26"/>
  <c r="K8" i="26"/>
  <c r="O8" i="26"/>
  <c r="S8" i="26"/>
  <c r="G12" i="26"/>
  <c r="K12" i="26"/>
  <c r="O12" i="26"/>
  <c r="S12" i="26"/>
  <c r="G16" i="26"/>
  <c r="K16" i="26"/>
  <c r="O16" i="26"/>
  <c r="S16" i="26"/>
  <c r="G20" i="26"/>
  <c r="K20" i="26"/>
  <c r="O20" i="26"/>
  <c r="S20" i="26"/>
  <c r="G24" i="26"/>
  <c r="K24" i="26"/>
  <c r="O24" i="26"/>
  <c r="S24" i="26"/>
  <c r="F28" i="26"/>
  <c r="K28" i="26"/>
  <c r="Q28" i="26"/>
  <c r="E32" i="26"/>
  <c r="M32" i="26"/>
  <c r="T45" i="26"/>
  <c r="H28" i="26"/>
  <c r="L28" i="26"/>
  <c r="P28" i="26"/>
  <c r="T28" i="26"/>
  <c r="P30" i="26"/>
  <c r="H31" i="26"/>
  <c r="P32" i="26"/>
  <c r="H33" i="26"/>
  <c r="P34" i="26"/>
  <c r="L35" i="26"/>
  <c r="T42" i="26"/>
  <c r="T46" i="26"/>
  <c r="H27" i="26"/>
  <c r="L27" i="26"/>
  <c r="P27" i="26"/>
  <c r="T27" i="26"/>
  <c r="L30" i="26"/>
  <c r="T31" i="26"/>
  <c r="L32" i="26"/>
  <c r="T33" i="26"/>
  <c r="L34" i="26"/>
  <c r="T43" i="26"/>
  <c r="T47" i="26"/>
  <c r="P57" i="26"/>
  <c r="H26" i="26"/>
  <c r="P26" i="26"/>
  <c r="T26" i="26"/>
  <c r="H30" i="26"/>
  <c r="P31" i="26"/>
  <c r="H32" i="26"/>
  <c r="D26" i="26"/>
  <c r="D27" i="26"/>
  <c r="D30" i="26"/>
  <c r="D31" i="26"/>
  <c r="D34" i="26"/>
  <c r="K30" i="26"/>
  <c r="O30" i="26"/>
  <c r="S30" i="26"/>
  <c r="W30" i="26"/>
  <c r="G31" i="26"/>
  <c r="K31" i="26"/>
  <c r="O31" i="26"/>
  <c r="S31" i="26"/>
  <c r="W31" i="26"/>
  <c r="G32" i="26"/>
  <c r="K32" i="26"/>
  <c r="O32" i="26"/>
  <c r="S32" i="26"/>
  <c r="W32" i="26"/>
  <c r="G33" i="26"/>
  <c r="K33" i="26"/>
  <c r="O33" i="26"/>
  <c r="S33" i="26"/>
  <c r="W33" i="26"/>
  <c r="G34" i="26"/>
  <c r="K34" i="26"/>
  <c r="O34" i="26"/>
  <c r="S34" i="26"/>
  <c r="W34" i="26"/>
  <c r="M42" i="26"/>
  <c r="Q42" i="26"/>
  <c r="U42" i="26"/>
  <c r="I43" i="26"/>
  <c r="M43" i="26"/>
  <c r="Q43" i="26"/>
  <c r="U43" i="26"/>
  <c r="I45" i="26"/>
  <c r="M45" i="26"/>
  <c r="Q45" i="26"/>
  <c r="U45" i="26"/>
  <c r="I46" i="26"/>
  <c r="M46" i="26"/>
  <c r="Q46" i="26"/>
  <c r="U46" i="26"/>
  <c r="I47" i="26"/>
  <c r="M47" i="26"/>
  <c r="Q47" i="26"/>
  <c r="U47" i="26"/>
  <c r="E49" i="26"/>
  <c r="J49" i="26"/>
  <c r="O49" i="26"/>
  <c r="F50" i="26"/>
  <c r="K50" i="26"/>
  <c r="Q50" i="26"/>
  <c r="V50" i="26"/>
  <c r="G51" i="26"/>
  <c r="M51" i="26"/>
  <c r="S51" i="26"/>
  <c r="K53" i="26"/>
  <c r="G54" i="26"/>
  <c r="O54" i="26"/>
  <c r="W54" i="26"/>
  <c r="M55" i="26"/>
  <c r="G58" i="26"/>
  <c r="G59" i="26"/>
  <c r="T49" i="26"/>
  <c r="P49" i="26"/>
  <c r="L49" i="26"/>
  <c r="H49" i="26"/>
  <c r="U53" i="26"/>
  <c r="Q53" i="26"/>
  <c r="M53" i="26"/>
  <c r="I53" i="26"/>
  <c r="T53" i="26"/>
  <c r="P53" i="26"/>
  <c r="L53" i="26"/>
  <c r="H53" i="26"/>
  <c r="V57" i="26"/>
  <c r="R57" i="26"/>
  <c r="N57" i="26"/>
  <c r="J57" i="26"/>
  <c r="F57" i="26"/>
  <c r="S57" i="26"/>
  <c r="M57" i="26"/>
  <c r="H57" i="26"/>
  <c r="W57" i="26"/>
  <c r="Q57" i="26"/>
  <c r="L57" i="26"/>
  <c r="G57" i="26"/>
  <c r="V61" i="26"/>
  <c r="R61" i="26"/>
  <c r="N61" i="26"/>
  <c r="J61" i="26"/>
  <c r="F61" i="26"/>
  <c r="U61" i="26"/>
  <c r="P61" i="26"/>
  <c r="K61" i="26"/>
  <c r="S61" i="26"/>
  <c r="M61" i="26"/>
  <c r="H61" i="26"/>
  <c r="W61" i="26"/>
  <c r="Q61" i="26"/>
  <c r="L61" i="26"/>
  <c r="G61" i="26"/>
  <c r="W65" i="26"/>
  <c r="V65" i="26"/>
  <c r="R65" i="26"/>
  <c r="N65" i="26"/>
  <c r="J65" i="26"/>
  <c r="F65" i="26"/>
  <c r="U65" i="26"/>
  <c r="P65" i="26"/>
  <c r="K65" i="26"/>
  <c r="E65" i="26"/>
  <c r="T65" i="26"/>
  <c r="O65" i="26"/>
  <c r="I65" i="26"/>
  <c r="S65" i="26"/>
  <c r="M65" i="26"/>
  <c r="H65" i="26"/>
  <c r="Q65" i="26"/>
  <c r="L65" i="26"/>
  <c r="G65" i="26"/>
  <c r="W69" i="26"/>
  <c r="S69" i="26"/>
  <c r="O69" i="26"/>
  <c r="K69" i="26"/>
  <c r="G69" i="26"/>
  <c r="V69" i="26"/>
  <c r="R69" i="26"/>
  <c r="N69" i="26"/>
  <c r="J69" i="26"/>
  <c r="F69" i="26"/>
  <c r="U69" i="26"/>
  <c r="M69" i="26"/>
  <c r="E69" i="26"/>
  <c r="T69" i="26"/>
  <c r="L69" i="26"/>
  <c r="D69" i="26"/>
  <c r="Q69" i="26"/>
  <c r="I69" i="26"/>
  <c r="P69" i="26"/>
  <c r="H69" i="26"/>
  <c r="J42" i="26"/>
  <c r="N42" i="26"/>
  <c r="R42" i="26"/>
  <c r="V42" i="26"/>
  <c r="J43" i="26"/>
  <c r="N43" i="26"/>
  <c r="R43" i="26"/>
  <c r="V43" i="26"/>
  <c r="J45" i="26"/>
  <c r="N45" i="26"/>
  <c r="R45" i="26"/>
  <c r="V45" i="26"/>
  <c r="F46" i="26"/>
  <c r="J46" i="26"/>
  <c r="N46" i="26"/>
  <c r="R46" i="26"/>
  <c r="V46" i="26"/>
  <c r="F47" i="26"/>
  <c r="J47" i="26"/>
  <c r="N47" i="26"/>
  <c r="R47" i="26"/>
  <c r="V47" i="26"/>
  <c r="F49" i="26"/>
  <c r="K49" i="26"/>
  <c r="Q49" i="26"/>
  <c r="V49" i="26"/>
  <c r="G50" i="26"/>
  <c r="M50" i="26"/>
  <c r="R50" i="26"/>
  <c r="I51" i="26"/>
  <c r="N51" i="26"/>
  <c r="V51" i="26"/>
  <c r="F53" i="26"/>
  <c r="N53" i="26"/>
  <c r="V53" i="26"/>
  <c r="J54" i="26"/>
  <c r="G55" i="26"/>
  <c r="Q55" i="26"/>
  <c r="I57" i="26"/>
  <c r="T57" i="26"/>
  <c r="L59" i="26"/>
  <c r="O61" i="26"/>
  <c r="T50" i="26"/>
  <c r="P50" i="26"/>
  <c r="L50" i="26"/>
  <c r="H50" i="26"/>
  <c r="U54" i="26"/>
  <c r="Q54" i="26"/>
  <c r="M54" i="26"/>
  <c r="I54" i="26"/>
  <c r="T54" i="26"/>
  <c r="P54" i="26"/>
  <c r="L54" i="26"/>
  <c r="H54" i="26"/>
  <c r="V58" i="26"/>
  <c r="R58" i="26"/>
  <c r="N58" i="26"/>
  <c r="J58" i="26"/>
  <c r="W58" i="26"/>
  <c r="Q58" i="26"/>
  <c r="L58" i="26"/>
  <c r="T58" i="26"/>
  <c r="O58" i="26"/>
  <c r="I58" i="26"/>
  <c r="S58" i="26"/>
  <c r="M58" i="26"/>
  <c r="H58" i="26"/>
  <c r="V62" i="26"/>
  <c r="R62" i="26"/>
  <c r="N62" i="26"/>
  <c r="J62" i="26"/>
  <c r="F62" i="26"/>
  <c r="W62" i="26"/>
  <c r="Q62" i="26"/>
  <c r="L62" i="26"/>
  <c r="G62" i="26"/>
  <c r="U62" i="26"/>
  <c r="P62" i="26"/>
  <c r="K62" i="26"/>
  <c r="T62" i="26"/>
  <c r="O62" i="26"/>
  <c r="I62" i="26"/>
  <c r="D62" i="26"/>
  <c r="S62" i="26"/>
  <c r="M62" i="26"/>
  <c r="H62" i="26"/>
  <c r="W66" i="26"/>
  <c r="S66" i="26"/>
  <c r="O66" i="26"/>
  <c r="K66" i="26"/>
  <c r="G66" i="26"/>
  <c r="V66" i="26"/>
  <c r="R66" i="26"/>
  <c r="N66" i="26"/>
  <c r="J66" i="26"/>
  <c r="F66" i="26"/>
  <c r="Q66" i="26"/>
  <c r="I66" i="26"/>
  <c r="P66" i="26"/>
  <c r="H66" i="26"/>
  <c r="U66" i="26"/>
  <c r="M66" i="26"/>
  <c r="E66" i="26"/>
  <c r="T66" i="26"/>
  <c r="L66" i="26"/>
  <c r="D66" i="26"/>
  <c r="W70" i="26"/>
  <c r="S70" i="26"/>
  <c r="O70" i="26"/>
  <c r="K70" i="26"/>
  <c r="G70" i="26"/>
  <c r="V70" i="26"/>
  <c r="R70" i="26"/>
  <c r="N70" i="26"/>
  <c r="J70" i="26"/>
  <c r="F70" i="26"/>
  <c r="Q70" i="26"/>
  <c r="I70" i="26"/>
  <c r="P70" i="26"/>
  <c r="H70" i="26"/>
  <c r="U70" i="26"/>
  <c r="M70" i="26"/>
  <c r="E70" i="26"/>
  <c r="T70" i="26"/>
  <c r="L70" i="26"/>
  <c r="D70" i="26"/>
  <c r="K42" i="26"/>
  <c r="O42" i="26"/>
  <c r="S42" i="26"/>
  <c r="W42" i="26"/>
  <c r="K43" i="26"/>
  <c r="O43" i="26"/>
  <c r="S43" i="26"/>
  <c r="W43" i="26"/>
  <c r="G45" i="26"/>
  <c r="K45" i="26"/>
  <c r="O45" i="26"/>
  <c r="S45" i="26"/>
  <c r="W45" i="26"/>
  <c r="G46" i="26"/>
  <c r="K46" i="26"/>
  <c r="O46" i="26"/>
  <c r="S46" i="26"/>
  <c r="W46" i="26"/>
  <c r="G47" i="26"/>
  <c r="K47" i="26"/>
  <c r="O47" i="26"/>
  <c r="S47" i="26"/>
  <c r="W47" i="26"/>
  <c r="G49" i="26"/>
  <c r="M49" i="26"/>
  <c r="R49" i="26"/>
  <c r="W49" i="26"/>
  <c r="I50" i="26"/>
  <c r="N50" i="26"/>
  <c r="S50" i="26"/>
  <c r="J51" i="26"/>
  <c r="O51" i="26"/>
  <c r="G53" i="26"/>
  <c r="O53" i="26"/>
  <c r="W53" i="26"/>
  <c r="K54" i="26"/>
  <c r="S54" i="26"/>
  <c r="H55" i="26"/>
  <c r="K57" i="26"/>
  <c r="U57" i="26"/>
  <c r="P58" i="26"/>
  <c r="T61" i="26"/>
  <c r="U51" i="26"/>
  <c r="Q51" i="26"/>
  <c r="T51" i="26"/>
  <c r="P51" i="26"/>
  <c r="L51" i="26"/>
  <c r="H51" i="26"/>
  <c r="V55" i="26"/>
  <c r="R55" i="26"/>
  <c r="N55" i="26"/>
  <c r="J55" i="26"/>
  <c r="F55" i="26"/>
  <c r="U55" i="26"/>
  <c r="P55" i="26"/>
  <c r="K55" i="26"/>
  <c r="T55" i="26"/>
  <c r="O55" i="26"/>
  <c r="I55" i="26"/>
  <c r="V59" i="26"/>
  <c r="R59" i="26"/>
  <c r="N59" i="26"/>
  <c r="J59" i="26"/>
  <c r="S59" i="26"/>
  <c r="M59" i="26"/>
  <c r="H59" i="26"/>
  <c r="U59" i="26"/>
  <c r="P59" i="26"/>
  <c r="K59" i="26"/>
  <c r="E59" i="26"/>
  <c r="T59" i="26"/>
  <c r="O59" i="26"/>
  <c r="I59" i="26"/>
  <c r="V63" i="26"/>
  <c r="R63" i="26"/>
  <c r="N63" i="26"/>
  <c r="J63" i="26"/>
  <c r="F63" i="26"/>
  <c r="S63" i="26"/>
  <c r="M63" i="26"/>
  <c r="H63" i="26"/>
  <c r="W63" i="26"/>
  <c r="Q63" i="26"/>
  <c r="L63" i="26"/>
  <c r="G63" i="26"/>
  <c r="U63" i="26"/>
  <c r="P63" i="26"/>
  <c r="K63" i="26"/>
  <c r="T63" i="26"/>
  <c r="O63" i="26"/>
  <c r="I63" i="26"/>
  <c r="D63" i="26"/>
  <c r="W67" i="26"/>
  <c r="S67" i="26"/>
  <c r="O67" i="26"/>
  <c r="K67" i="26"/>
  <c r="G67" i="26"/>
  <c r="V67" i="26"/>
  <c r="R67" i="26"/>
  <c r="N67" i="26"/>
  <c r="J67" i="26"/>
  <c r="F67" i="26"/>
  <c r="U67" i="26"/>
  <c r="M67" i="26"/>
  <c r="E67" i="26"/>
  <c r="T67" i="26"/>
  <c r="L67" i="26"/>
  <c r="D67" i="26"/>
  <c r="Q67" i="26"/>
  <c r="I67" i="26"/>
  <c r="P67" i="26"/>
  <c r="H67" i="26"/>
  <c r="W71" i="26"/>
  <c r="S71" i="26"/>
  <c r="O71" i="26"/>
  <c r="K71" i="26"/>
  <c r="V71" i="26"/>
  <c r="R71" i="26"/>
  <c r="N71" i="26"/>
  <c r="J71" i="26"/>
  <c r="U71" i="26"/>
  <c r="M71" i="26"/>
  <c r="E71" i="26"/>
  <c r="T71" i="26"/>
  <c r="L71" i="26"/>
  <c r="Q71" i="26"/>
  <c r="I71" i="26"/>
  <c r="P71" i="26"/>
  <c r="L42" i="26"/>
  <c r="P42" i="26"/>
  <c r="L43" i="26"/>
  <c r="P43" i="26"/>
  <c r="L45" i="26"/>
  <c r="P45" i="26"/>
  <c r="H46" i="26"/>
  <c r="L46" i="26"/>
  <c r="P46" i="26"/>
  <c r="H47" i="26"/>
  <c r="L47" i="26"/>
  <c r="P47" i="26"/>
  <c r="I49" i="26"/>
  <c r="N49" i="26"/>
  <c r="S49" i="26"/>
  <c r="E50" i="26"/>
  <c r="J50" i="26"/>
  <c r="O50" i="26"/>
  <c r="U50" i="26"/>
  <c r="F51" i="26"/>
  <c r="K51" i="26"/>
  <c r="R51" i="26"/>
  <c r="J53" i="26"/>
  <c r="R53" i="26"/>
  <c r="F54" i="26"/>
  <c r="N54" i="26"/>
  <c r="V54" i="26"/>
  <c r="L55" i="26"/>
  <c r="W55" i="26"/>
  <c r="D57" i="26"/>
  <c r="O57" i="26"/>
  <c r="U58" i="26"/>
  <c r="W59" i="26"/>
  <c r="D61" i="26"/>
  <c r="M56" i="26" l="1"/>
  <c r="W60" i="26"/>
  <c r="H60" i="26"/>
  <c r="S48" i="26"/>
  <c r="I56" i="26"/>
  <c r="V48" i="26"/>
  <c r="O48" i="26"/>
  <c r="K48" i="26"/>
  <c r="T60" i="26"/>
  <c r="M60" i="26"/>
  <c r="V68" i="26"/>
  <c r="Q60" i="26"/>
  <c r="N60" i="26"/>
  <c r="U60" i="26"/>
  <c r="R60" i="26"/>
  <c r="P68" i="26"/>
  <c r="S68" i="26"/>
  <c r="O44" i="26"/>
  <c r="R44" i="26"/>
  <c r="Q44" i="26"/>
  <c r="N44" i="26"/>
  <c r="S44" i="26"/>
  <c r="S52" i="26"/>
  <c r="J48" i="26"/>
  <c r="T68" i="26"/>
  <c r="P60" i="26"/>
  <c r="O60" i="26"/>
  <c r="Q52" i="26"/>
  <c r="M48" i="26"/>
  <c r="F68" i="26"/>
  <c r="H52" i="26"/>
  <c r="H68" i="26"/>
  <c r="G68" i="26"/>
  <c r="U52" i="26"/>
  <c r="L56" i="26"/>
  <c r="N48" i="26"/>
  <c r="M44" i="26"/>
  <c r="L48" i="26"/>
  <c r="D56" i="26"/>
  <c r="U48" i="26"/>
  <c r="H48" i="26"/>
  <c r="S56" i="26"/>
  <c r="Q48" i="26"/>
  <c r="V64" i="26"/>
  <c r="W48" i="26"/>
  <c r="R48" i="26"/>
  <c r="I48" i="26"/>
  <c r="J56" i="26"/>
  <c r="E48" i="26"/>
  <c r="P48" i="26"/>
  <c r="U64" i="26"/>
  <c r="D68" i="26"/>
  <c r="I68" i="26"/>
  <c r="K68" i="26"/>
  <c r="G64" i="26"/>
  <c r="I64" i="26"/>
  <c r="L68" i="26"/>
  <c r="Q68" i="26"/>
  <c r="O68" i="26"/>
  <c r="L64" i="26"/>
  <c r="O64" i="26"/>
  <c r="T64" i="26"/>
  <c r="K52" i="26"/>
  <c r="R52" i="26"/>
  <c r="W52" i="26"/>
  <c r="E68" i="26"/>
  <c r="J68" i="26"/>
  <c r="W68" i="26"/>
  <c r="W64" i="26"/>
  <c r="F64" i="26"/>
  <c r="L52" i="26"/>
  <c r="Q64" i="26"/>
  <c r="N52" i="26"/>
  <c r="J52" i="26"/>
  <c r="O52" i="26"/>
  <c r="M68" i="26"/>
  <c r="N68" i="26"/>
  <c r="E64" i="26"/>
  <c r="H64" i="26"/>
  <c r="J64" i="26"/>
  <c r="T52" i="26"/>
  <c r="V52" i="26"/>
  <c r="F52" i="26"/>
  <c r="G52" i="26"/>
  <c r="U68" i="26"/>
  <c r="R68" i="26"/>
  <c r="K64" i="26"/>
  <c r="M64" i="26"/>
  <c r="N64" i="26"/>
  <c r="I52" i="26"/>
  <c r="P64" i="26"/>
  <c r="S64" i="26"/>
  <c r="R64" i="26"/>
  <c r="P44" i="26"/>
  <c r="K44" i="26"/>
  <c r="I44" i="26"/>
  <c r="G60" i="26"/>
  <c r="F60" i="26"/>
  <c r="L44" i="26"/>
  <c r="S60" i="26"/>
  <c r="V44" i="26"/>
  <c r="L60" i="26"/>
  <c r="J60" i="26"/>
  <c r="J44" i="26"/>
  <c r="V60" i="26"/>
  <c r="T56" i="26"/>
  <c r="W44" i="26"/>
  <c r="K60" i="26"/>
  <c r="I60" i="26"/>
  <c r="K56" i="26"/>
  <c r="T36" i="26"/>
  <c r="S36" i="26"/>
  <c r="Q36" i="26"/>
  <c r="P56" i="26"/>
  <c r="Q56" i="26"/>
  <c r="N56" i="26"/>
  <c r="U56" i="26"/>
  <c r="W56" i="26"/>
  <c r="R56" i="26"/>
  <c r="H56" i="26"/>
  <c r="O56" i="26"/>
  <c r="G56" i="26"/>
  <c r="V56" i="26"/>
  <c r="P52" i="26"/>
  <c r="M52" i="26"/>
  <c r="X34" i="26"/>
  <c r="P36" i="26"/>
  <c r="L36" i="26"/>
  <c r="U36" i="26"/>
  <c r="X33" i="26"/>
  <c r="O36" i="26"/>
  <c r="X32" i="26"/>
  <c r="M36" i="26"/>
  <c r="T44" i="26"/>
  <c r="C80" i="26"/>
  <c r="T48" i="26"/>
  <c r="C84" i="26"/>
  <c r="N36" i="26"/>
  <c r="V36" i="26"/>
  <c r="R36" i="26"/>
  <c r="W36" i="26"/>
  <c r="K36" i="26"/>
  <c r="J36" i="26"/>
  <c r="X30" i="26"/>
  <c r="X31" i="26"/>
  <c r="X67" i="26"/>
  <c r="X70" i="26"/>
  <c r="X66" i="26"/>
  <c r="X69" i="26"/>
  <c r="AO1266" i="7"/>
  <c r="AH1266" i="7"/>
  <c r="Y1266" i="7"/>
  <c r="AA1266" i="7" s="1"/>
  <c r="H1266" i="7"/>
  <c r="L1266" i="7" s="1"/>
  <c r="G1266" i="7"/>
  <c r="K1266" i="7" s="1"/>
  <c r="E1266" i="7"/>
  <c r="AO1265" i="7"/>
  <c r="AH1265" i="7"/>
  <c r="Y1265" i="7"/>
  <c r="AA1265" i="7" s="1"/>
  <c r="H1265" i="7"/>
  <c r="L1265" i="7" s="1"/>
  <c r="G1265" i="7"/>
  <c r="K1265" i="7" s="1"/>
  <c r="E1265" i="7"/>
  <c r="AO1264" i="7"/>
  <c r="AH1264" i="7"/>
  <c r="Y1264" i="7"/>
  <c r="AA1264" i="7" s="1"/>
  <c r="H1264" i="7"/>
  <c r="L1264" i="7" s="1"/>
  <c r="G1264" i="7"/>
  <c r="K1264" i="7" s="1"/>
  <c r="E1264" i="7"/>
  <c r="AO1263" i="7"/>
  <c r="AH1263" i="7"/>
  <c r="Y1263" i="7"/>
  <c r="AA1263" i="7" s="1"/>
  <c r="H1263" i="7"/>
  <c r="L1263" i="7" s="1"/>
  <c r="G1263" i="7"/>
  <c r="K1263" i="7" s="1"/>
  <c r="E1263" i="7"/>
  <c r="AO1262" i="7"/>
  <c r="AH1262" i="7"/>
  <c r="Y1262" i="7"/>
  <c r="AA1262" i="7" s="1"/>
  <c r="H1262" i="7"/>
  <c r="L1262" i="7" s="1"/>
  <c r="G1262" i="7"/>
  <c r="K1262" i="7" s="1"/>
  <c r="E1262" i="7"/>
  <c r="AO1261" i="7"/>
  <c r="AH1261" i="7"/>
  <c r="Y1261" i="7"/>
  <c r="AA1261" i="7" s="1"/>
  <c r="H1261" i="7"/>
  <c r="L1261" i="7" s="1"/>
  <c r="G1261" i="7"/>
  <c r="K1261" i="7" s="1"/>
  <c r="E1261" i="7"/>
  <c r="AO1260" i="7"/>
  <c r="AH1260" i="7"/>
  <c r="Y1260" i="7"/>
  <c r="AA1260" i="7" s="1"/>
  <c r="H1260" i="7"/>
  <c r="L1260" i="7" s="1"/>
  <c r="G1260" i="7"/>
  <c r="K1260" i="7" s="1"/>
  <c r="E1260" i="7"/>
  <c r="AO1259" i="7"/>
  <c r="AH1259" i="7"/>
  <c r="Y1259" i="7"/>
  <c r="AA1259" i="7" s="1"/>
  <c r="H1259" i="7"/>
  <c r="L1259" i="7" s="1"/>
  <c r="G1259" i="7"/>
  <c r="K1259" i="7" s="1"/>
  <c r="E1259" i="7"/>
  <c r="AO1258" i="7"/>
  <c r="AH1258" i="7"/>
  <c r="Y1258" i="7"/>
  <c r="AA1258" i="7" s="1"/>
  <c r="H1258" i="7"/>
  <c r="L1258" i="7" s="1"/>
  <c r="G1258" i="7"/>
  <c r="K1258" i="7" s="1"/>
  <c r="E1258" i="7"/>
  <c r="AO1257" i="7"/>
  <c r="AH1257" i="7"/>
  <c r="Y1257" i="7"/>
  <c r="AA1257" i="7" s="1"/>
  <c r="H1257" i="7"/>
  <c r="L1257" i="7" s="1"/>
  <c r="G1257" i="7"/>
  <c r="K1257" i="7" s="1"/>
  <c r="E1257" i="7"/>
  <c r="X1260" i="7" l="1"/>
  <c r="U72" i="26"/>
  <c r="S72" i="26"/>
  <c r="Q72" i="26"/>
  <c r="X68" i="26"/>
  <c r="R72" i="26"/>
  <c r="N72" i="26"/>
  <c r="M72" i="26"/>
  <c r="O72" i="26"/>
  <c r="J72" i="26"/>
  <c r="L72" i="26"/>
  <c r="K72" i="26"/>
  <c r="W72" i="26"/>
  <c r="V72" i="26"/>
  <c r="P72" i="26"/>
  <c r="X1257" i="7"/>
  <c r="T72" i="26"/>
  <c r="X1262" i="7"/>
  <c r="X1258" i="7"/>
  <c r="X1261" i="7"/>
  <c r="X1265" i="7"/>
  <c r="X1264" i="7"/>
  <c r="X1259" i="7"/>
  <c r="X1266" i="7"/>
  <c r="X1263" i="7"/>
  <c r="Z1257" i="7"/>
  <c r="Z1258" i="7"/>
  <c r="Z1259" i="7"/>
  <c r="Z1260" i="7"/>
  <c r="Z1261" i="7"/>
  <c r="Z1262" i="7"/>
  <c r="Z1263" i="7"/>
  <c r="Z1264" i="7"/>
  <c r="Z1265" i="7"/>
  <c r="Z1266" i="7"/>
  <c r="A30" i="7" l="1"/>
  <c r="A29" i="7"/>
  <c r="A24" i="7"/>
  <c r="A25" i="7"/>
  <c r="A26" i="7"/>
  <c r="A27" i="7"/>
  <c r="A28" i="7"/>
  <c r="A23" i="7"/>
  <c r="A20" i="7"/>
  <c r="A21" i="7"/>
  <c r="A22" i="7"/>
  <c r="A19" i="7"/>
  <c r="A18" i="7"/>
  <c r="HY217" i="23"/>
  <c r="IB217" i="23"/>
  <c r="EE217" i="23"/>
  <c r="GD217" i="23"/>
  <c r="ER217" i="23"/>
  <c r="BJ217" i="23"/>
  <c r="EA217" i="23"/>
  <c r="IM217" i="23"/>
  <c r="DS217" i="23"/>
  <c r="ED217" i="23"/>
  <c r="FJ217" i="23"/>
  <c r="BK217" i="23"/>
  <c r="BP217" i="23"/>
  <c r="CZ217" i="23"/>
  <c r="FE217" i="23"/>
  <c r="IJ217" i="23"/>
  <c r="GN217" i="23"/>
  <c r="HT217" i="23"/>
  <c r="DV217" i="23"/>
  <c r="FS217" i="23"/>
  <c r="DJ217" i="23"/>
  <c r="FW217" i="23"/>
  <c r="CA217" i="23"/>
  <c r="IC217" i="23"/>
  <c r="EC217" i="23"/>
  <c r="BT217" i="23"/>
  <c r="EH217" i="23"/>
  <c r="CS217" i="23"/>
  <c r="GE217" i="23"/>
  <c r="GK217" i="23"/>
  <c r="HU217" i="23"/>
  <c r="HN217" i="23"/>
  <c r="FU217" i="23"/>
  <c r="BX217" i="23"/>
  <c r="DU217" i="23"/>
  <c r="GF217" i="23"/>
  <c r="CJ217" i="23"/>
  <c r="GP217" i="23"/>
  <c r="GQ217" i="23"/>
  <c r="CW217" i="23"/>
  <c r="CK217" i="23"/>
  <c r="FK217" i="23"/>
  <c r="HE217" i="23"/>
  <c r="DH217" i="23"/>
  <c r="HB217" i="23"/>
  <c r="HJ217" i="23"/>
  <c r="EI217" i="23"/>
  <c r="EK217" i="23"/>
  <c r="FR217" i="23"/>
  <c r="DC217" i="23"/>
  <c r="EF217" i="23"/>
  <c r="GU217" i="23"/>
  <c r="FN217" i="23"/>
  <c r="HW217" i="23"/>
  <c r="CC217" i="23"/>
  <c r="FB217" i="23"/>
  <c r="CV217" i="23"/>
  <c r="GO217" i="23"/>
  <c r="BW217" i="23"/>
  <c r="DB217" i="23"/>
  <c r="EZ217" i="23"/>
  <c r="FG217" i="23"/>
  <c r="GH217" i="23"/>
  <c r="DA217" i="23"/>
  <c r="EM217" i="23"/>
  <c r="IH217" i="23"/>
  <c r="HC217" i="23"/>
  <c r="BI217" i="23"/>
  <c r="GL217" i="23"/>
  <c r="GJ217" i="23"/>
  <c r="HX217" i="23"/>
  <c r="CI217" i="23"/>
  <c r="FX217" i="23"/>
  <c r="IL217" i="23"/>
  <c r="DT217" i="23"/>
  <c r="BS217" i="23"/>
  <c r="FI217" i="23"/>
  <c r="GW217" i="23"/>
  <c r="HL217" i="23"/>
  <c r="CF217" i="23"/>
  <c r="IT217" i="23"/>
  <c r="FL217" i="23"/>
  <c r="GI217" i="23"/>
  <c r="FH217" i="23"/>
  <c r="BL217" i="23"/>
  <c r="DP217" i="23"/>
  <c r="BO217" i="23"/>
  <c r="IG217" i="23"/>
  <c r="EO217" i="23"/>
  <c r="HG217" i="23"/>
  <c r="CH217" i="23"/>
  <c r="EP217" i="23"/>
  <c r="EJ217" i="23"/>
  <c r="FQ217" i="23"/>
  <c r="IP217" i="23"/>
  <c r="CL217" i="23"/>
  <c r="DG217" i="23"/>
  <c r="FP217" i="23"/>
  <c r="DI217" i="23"/>
  <c r="BR217" i="23"/>
  <c r="BM217" i="23"/>
  <c r="BY217" i="23"/>
  <c r="DE217" i="23"/>
  <c r="CY217" i="23"/>
  <c r="FF217" i="23"/>
  <c r="IO217" i="23"/>
  <c r="ID217" i="23"/>
  <c r="II217" i="23"/>
  <c r="IS217" i="23"/>
  <c r="CT217" i="23"/>
  <c r="HO217" i="23"/>
  <c r="HH217" i="23"/>
  <c r="FY217" i="23"/>
  <c r="GZ217" i="23"/>
  <c r="GX217" i="23"/>
  <c r="BG217" i="23"/>
  <c r="GC217" i="23"/>
  <c r="BV217" i="23"/>
  <c r="CP217" i="23"/>
  <c r="ES217" i="23"/>
  <c r="CR217" i="23"/>
  <c r="ET217" i="23"/>
  <c r="HI217" i="23"/>
  <c r="DF217" i="23"/>
  <c r="FC217" i="23"/>
  <c r="EV217" i="23"/>
  <c r="GV217" i="23"/>
  <c r="CB217" i="23"/>
  <c r="EX217" i="23"/>
  <c r="BH217" i="23"/>
  <c r="FD217" i="23"/>
  <c r="CX217" i="23"/>
  <c r="DQ217" i="23"/>
  <c r="FV217" i="23"/>
  <c r="HQ217" i="23"/>
  <c r="DN217" i="23"/>
  <c r="EQ217" i="23"/>
  <c r="CN217" i="23"/>
  <c r="EY217" i="23"/>
  <c r="IA217" i="23"/>
  <c r="HM217" i="23"/>
  <c r="HV217" i="23"/>
  <c r="FA217" i="23"/>
  <c r="DO217" i="23"/>
  <c r="GS217" i="23"/>
  <c r="EB217" i="23"/>
  <c r="EG217" i="23"/>
  <c r="BQ217" i="23"/>
  <c r="BZ217" i="23"/>
  <c r="HA217" i="23"/>
  <c r="HK217" i="23"/>
  <c r="CE217" i="23"/>
  <c r="CQ217" i="23"/>
  <c r="CU217" i="23"/>
  <c r="GT217" i="23"/>
  <c r="EL217" i="23"/>
  <c r="HR217" i="23"/>
  <c r="FM217" i="23"/>
  <c r="HZ217" i="23"/>
  <c r="EU217" i="23"/>
  <c r="CO217" i="23"/>
  <c r="EW217" i="23"/>
  <c r="DD217" i="23"/>
  <c r="CD217" i="23"/>
  <c r="GA217" i="23"/>
  <c r="EN217" i="23"/>
  <c r="DR217" i="23"/>
  <c r="IQ217" i="23"/>
  <c r="DZ217" i="23"/>
  <c r="GM217" i="23"/>
  <c r="HD217" i="23"/>
  <c r="GG217" i="23"/>
  <c r="DM217" i="23"/>
  <c r="GR217" i="23"/>
  <c r="DL217" i="23"/>
  <c r="CM217" i="23"/>
  <c r="DW217" i="23"/>
  <c r="IF217" i="23"/>
  <c r="HP217" i="23"/>
  <c r="IK217" i="23"/>
  <c r="DY217" i="23"/>
  <c r="IN217" i="23"/>
  <c r="BU217" i="23"/>
  <c r="BN217" i="23"/>
  <c r="FO217" i="23"/>
  <c r="CG217" i="23"/>
  <c r="GY217" i="23"/>
  <c r="HS217" i="23"/>
  <c r="GB217" i="23"/>
  <c r="IR217" i="23"/>
  <c r="FT217" i="23"/>
  <c r="IE217" i="23"/>
  <c r="FZ217" i="23"/>
  <c r="DK217" i="23"/>
  <c r="DX217" i="23"/>
  <c r="HF217" i="23"/>
  <c r="F1249" i="7" l="1"/>
  <c r="F1257" i="7"/>
  <c r="D305" i="25"/>
  <c r="D304" i="25"/>
  <c r="D303" i="25"/>
  <c r="D302" i="25"/>
  <c r="D301" i="25"/>
  <c r="D300" i="25"/>
  <c r="D299" i="25"/>
  <c r="D298" i="25"/>
  <c r="D297" i="25"/>
  <c r="D296" i="25"/>
  <c r="D295" i="25"/>
  <c r="D294" i="25"/>
  <c r="D293" i="25"/>
  <c r="D292" i="25"/>
  <c r="D291" i="25"/>
  <c r="D290" i="25"/>
  <c r="D289" i="25"/>
  <c r="D288" i="25"/>
  <c r="D287" i="25"/>
  <c r="D286" i="25"/>
  <c r="D285" i="25"/>
  <c r="D284" i="25"/>
  <c r="D283" i="25"/>
  <c r="D282" i="25"/>
  <c r="D281" i="25"/>
  <c r="D280" i="25"/>
  <c r="D279" i="25"/>
  <c r="D278" i="25"/>
  <c r="D277" i="25"/>
  <c r="D276" i="25"/>
  <c r="D275" i="25"/>
  <c r="D274" i="25"/>
  <c r="D273" i="25"/>
  <c r="D272" i="25"/>
  <c r="D271" i="25"/>
  <c r="D270" i="25"/>
  <c r="D269" i="25"/>
  <c r="D268" i="25"/>
  <c r="D267" i="25"/>
  <c r="D266" i="25"/>
  <c r="D265" i="25"/>
  <c r="D264" i="25"/>
  <c r="D263" i="25"/>
  <c r="D262" i="25"/>
  <c r="D261" i="25"/>
  <c r="D260" i="25"/>
  <c r="D259" i="25"/>
  <c r="D258" i="25"/>
  <c r="D257" i="25"/>
  <c r="D256" i="25"/>
  <c r="D255" i="25"/>
  <c r="D254" i="25"/>
  <c r="D253" i="25"/>
  <c r="D252" i="25"/>
  <c r="D251" i="25"/>
  <c r="D250" i="25"/>
  <c r="D249" i="25"/>
  <c r="D248" i="25"/>
  <c r="D247" i="25"/>
  <c r="D246" i="25"/>
  <c r="D245" i="25"/>
  <c r="D244" i="25"/>
  <c r="D243" i="25"/>
  <c r="D242" i="25"/>
  <c r="D241" i="25"/>
  <c r="D240" i="25"/>
  <c r="D239" i="25"/>
  <c r="D238" i="25"/>
  <c r="D237" i="25"/>
  <c r="D236" i="25"/>
  <c r="D235" i="25"/>
  <c r="D234" i="25"/>
  <c r="D233" i="25"/>
  <c r="D232" i="25"/>
  <c r="D231" i="25"/>
  <c r="D230" i="25"/>
  <c r="D229" i="25"/>
  <c r="D228" i="25"/>
  <c r="D227" i="25"/>
  <c r="D226" i="25"/>
  <c r="D225" i="25"/>
  <c r="D224" i="25"/>
  <c r="D223" i="25"/>
  <c r="D222" i="25"/>
  <c r="D221" i="25"/>
  <c r="D220" i="25"/>
  <c r="D219" i="25"/>
  <c r="D218" i="25"/>
  <c r="D217" i="25"/>
  <c r="D216" i="25"/>
  <c r="D215" i="25"/>
  <c r="D214" i="25"/>
  <c r="D213" i="25"/>
  <c r="D212" i="25"/>
  <c r="D211" i="25"/>
  <c r="D210" i="25"/>
  <c r="D209" i="25"/>
  <c r="D208" i="25"/>
  <c r="D207" i="25"/>
  <c r="D206" i="25"/>
  <c r="D205" i="25"/>
  <c r="D204" i="25"/>
  <c r="D203" i="25"/>
  <c r="D202" i="25"/>
  <c r="D201" i="25"/>
  <c r="D200" i="25"/>
  <c r="D199" i="25"/>
  <c r="D198" i="25"/>
  <c r="D197" i="25"/>
  <c r="D196" i="25"/>
  <c r="D195" i="25"/>
  <c r="D194" i="25"/>
  <c r="D193" i="25"/>
  <c r="D192" i="25"/>
  <c r="D191" i="25"/>
  <c r="D190" i="25"/>
  <c r="D189" i="25"/>
  <c r="D188" i="25"/>
  <c r="D130" i="25"/>
  <c r="D135" i="25"/>
  <c r="D164" i="25"/>
  <c r="D142" i="25"/>
  <c r="D161" i="25"/>
  <c r="D158" i="25"/>
  <c r="D171" i="25"/>
  <c r="D176" i="25"/>
  <c r="D141" i="25"/>
  <c r="D174" i="25"/>
  <c r="D159" i="25"/>
  <c r="D173" i="25"/>
  <c r="D182" i="25"/>
  <c r="D155" i="25"/>
  <c r="D163" i="25"/>
  <c r="D168" i="25"/>
  <c r="D143" i="25"/>
  <c r="D170" i="25"/>
  <c r="D181" i="25"/>
  <c r="D178" i="25"/>
  <c r="D177" i="25"/>
  <c r="D119" i="25"/>
  <c r="D98" i="25"/>
  <c r="D147" i="25"/>
  <c r="D145" i="25"/>
  <c r="D156" i="25"/>
  <c r="D92" i="25"/>
  <c r="D31" i="25"/>
  <c r="D110" i="25"/>
  <c r="D62" i="25"/>
  <c r="D16" i="25"/>
  <c r="D52" i="25"/>
  <c r="D116" i="25"/>
  <c r="D134" i="25"/>
  <c r="D86" i="25"/>
  <c r="D73" i="25"/>
  <c r="D30" i="25"/>
  <c r="D61" i="25"/>
  <c r="D149" i="25"/>
  <c r="D95" i="25"/>
  <c r="D109" i="25"/>
  <c r="D107" i="25"/>
  <c r="D108" i="25"/>
  <c r="D63" i="25"/>
  <c r="D51" i="25"/>
  <c r="D96" i="25"/>
  <c r="D90" i="25"/>
  <c r="D23" i="25"/>
  <c r="D13" i="25"/>
  <c r="D24" i="25"/>
  <c r="D157" i="25"/>
  <c r="D25" i="25"/>
  <c r="D26" i="25"/>
  <c r="D77" i="25"/>
  <c r="D59" i="25"/>
  <c r="D43" i="25"/>
  <c r="D66" i="25"/>
  <c r="D79" i="25"/>
  <c r="D11" i="25"/>
  <c r="D33" i="25"/>
  <c r="D12" i="25"/>
  <c r="D180" i="25"/>
  <c r="D179" i="25"/>
  <c r="D87" i="25"/>
  <c r="D91" i="25"/>
  <c r="D97" i="25"/>
  <c r="D123" i="25"/>
  <c r="D169" i="25"/>
  <c r="D133" i="25"/>
  <c r="D89" i="25"/>
  <c r="D136" i="25"/>
  <c r="D122" i="25"/>
  <c r="D67" i="25"/>
  <c r="D150" i="25"/>
  <c r="D101" i="25"/>
  <c r="D131" i="25"/>
  <c r="D128" i="25"/>
  <c r="D129" i="25"/>
  <c r="D138" i="25"/>
  <c r="D140" i="25"/>
  <c r="D151" i="25"/>
  <c r="D184" i="25"/>
  <c r="D183" i="25"/>
  <c r="D124" i="25"/>
  <c r="D121" i="25"/>
  <c r="D154" i="25"/>
  <c r="D148" i="25"/>
  <c r="D175" i="25"/>
  <c r="D186" i="25"/>
  <c r="D185" i="25"/>
  <c r="D132" i="25"/>
  <c r="D146" i="25"/>
  <c r="D114" i="25"/>
  <c r="D166" i="25"/>
  <c r="D165" i="25"/>
  <c r="D137" i="25"/>
  <c r="D172" i="25"/>
  <c r="D160" i="25"/>
  <c r="D162" i="25"/>
  <c r="D167" i="25"/>
  <c r="D88" i="25"/>
  <c r="D27" i="25"/>
  <c r="D54" i="25"/>
  <c r="D187" i="25"/>
  <c r="D120" i="25"/>
  <c r="D75" i="25"/>
  <c r="D48" i="25"/>
  <c r="D74" i="25"/>
  <c r="D94" i="25"/>
  <c r="D35" i="25"/>
  <c r="D47" i="25"/>
  <c r="D102" i="25"/>
  <c r="D44" i="25"/>
  <c r="D85" i="25"/>
  <c r="D64" i="25"/>
  <c r="D80" i="25"/>
  <c r="D8" i="25"/>
  <c r="D9" i="25"/>
  <c r="D83" i="25"/>
  <c r="D18" i="25"/>
  <c r="D55" i="25"/>
  <c r="D32" i="25"/>
  <c r="D28" i="25"/>
  <c r="D53" i="25"/>
  <c r="D68" i="25"/>
  <c r="D144" i="25"/>
  <c r="D58" i="25"/>
  <c r="D118" i="25"/>
  <c r="D5" i="25"/>
  <c r="D6" i="25"/>
  <c r="D84" i="25"/>
  <c r="D72" i="25"/>
  <c r="D81" i="25"/>
  <c r="D14" i="25"/>
  <c r="D17" i="25"/>
  <c r="D15" i="25"/>
  <c r="D38" i="25"/>
  <c r="D126" i="25"/>
  <c r="D93" i="25"/>
  <c r="D46" i="25"/>
  <c r="D111" i="25"/>
  <c r="D125" i="25"/>
  <c r="D49" i="25"/>
  <c r="D99" i="25"/>
  <c r="D22" i="25"/>
  <c r="D113" i="25"/>
  <c r="D71" i="25"/>
  <c r="D45" i="25"/>
  <c r="D42" i="25"/>
  <c r="D19" i="25"/>
  <c r="D34" i="25"/>
  <c r="D76" i="25"/>
  <c r="D56" i="25"/>
  <c r="D41" i="25"/>
  <c r="D57" i="25"/>
  <c r="D117" i="25"/>
  <c r="D69" i="25"/>
  <c r="D60" i="25"/>
  <c r="D100" i="25"/>
  <c r="D139" i="25"/>
  <c r="D50" i="25"/>
  <c r="D82" i="25"/>
  <c r="D153" i="25"/>
  <c r="D37" i="25"/>
  <c r="D104" i="25"/>
  <c r="D39" i="25"/>
  <c r="D103" i="25"/>
  <c r="D65" i="25"/>
  <c r="D70" i="25"/>
  <c r="D40" i="25"/>
  <c r="D7" i="25"/>
  <c r="D115" i="25"/>
  <c r="D29" i="25"/>
  <c r="D152" i="25"/>
  <c r="D36" i="25"/>
  <c r="D127" i="25"/>
  <c r="D105" i="25"/>
  <c r="D112" i="25"/>
  <c r="D21" i="25"/>
  <c r="D78" i="25"/>
  <c r="D20" i="25"/>
  <c r="D10" i="25"/>
  <c r="D106" i="25"/>
  <c r="DN275" i="1" l="1"/>
  <c r="DU275" i="1" s="1"/>
  <c r="DO275" i="1" l="1"/>
  <c r="DT275" i="1"/>
  <c r="DG57" i="1" l="1"/>
  <c r="DE57" i="1"/>
  <c r="DC57" i="1"/>
  <c r="DA57" i="1"/>
  <c r="CY57" i="1"/>
  <c r="CU57" i="1"/>
  <c r="DS57" i="1" s="1"/>
  <c r="CQ57" i="1"/>
  <c r="AK57" i="1"/>
  <c r="T57" i="1"/>
  <c r="S57" i="1"/>
  <c r="DG55" i="1"/>
  <c r="DE55" i="1"/>
  <c r="DC55" i="1"/>
  <c r="DA55" i="1"/>
  <c r="CY55" i="1"/>
  <c r="CU55" i="1"/>
  <c r="CQ55" i="1"/>
  <c r="AK55" i="1"/>
  <c r="T55" i="1"/>
  <c r="S55" i="1"/>
  <c r="DG52" i="1"/>
  <c r="DE52" i="1"/>
  <c r="DC52" i="1"/>
  <c r="DA52" i="1"/>
  <c r="CY52" i="1"/>
  <c r="CU52" i="1"/>
  <c r="DS52" i="1" s="1"/>
  <c r="CQ52" i="1"/>
  <c r="CS52" i="1" s="1"/>
  <c r="AK52" i="1"/>
  <c r="T52" i="1"/>
  <c r="S52" i="1"/>
  <c r="DG51" i="1"/>
  <c r="DE51" i="1"/>
  <c r="DC51" i="1"/>
  <c r="DA51" i="1"/>
  <c r="CY51" i="1"/>
  <c r="CU51" i="1"/>
  <c r="DS51" i="1" s="1"/>
  <c r="CQ51" i="1"/>
  <c r="CR51" i="1" s="1"/>
  <c r="AK51" i="1"/>
  <c r="T51" i="1"/>
  <c r="S51" i="1"/>
  <c r="DG56" i="1"/>
  <c r="DE56" i="1"/>
  <c r="DC56" i="1"/>
  <c r="DA56" i="1"/>
  <c r="CY56" i="1"/>
  <c r="CU56" i="1"/>
  <c r="DS56" i="1" s="1"/>
  <c r="CQ56" i="1"/>
  <c r="AK56" i="1"/>
  <c r="T56" i="1"/>
  <c r="S56" i="1"/>
  <c r="CR55" i="1" l="1"/>
  <c r="O56" i="1"/>
  <c r="CR57" i="1"/>
  <c r="DS55" i="1"/>
  <c r="DT52" i="1"/>
  <c r="DU52" i="1"/>
  <c r="DT55" i="1"/>
  <c r="DU55" i="1"/>
  <c r="DT56" i="1"/>
  <c r="DU56" i="1"/>
  <c r="DT51" i="1"/>
  <c r="DU51" i="1"/>
  <c r="DT57" i="1"/>
  <c r="DU57" i="1"/>
  <c r="CV52" i="1"/>
  <c r="CX52" i="1" s="1"/>
  <c r="DQ52" i="1"/>
  <c r="DR52" i="1"/>
  <c r="CV55" i="1"/>
  <c r="CX55" i="1" s="1"/>
  <c r="DQ55" i="1"/>
  <c r="DR55" i="1"/>
  <c r="CV56" i="1"/>
  <c r="CX56" i="1" s="1"/>
  <c r="DQ56" i="1"/>
  <c r="DR56" i="1"/>
  <c r="CV51" i="1"/>
  <c r="CX51" i="1" s="1"/>
  <c r="CW51" i="1" s="1"/>
  <c r="DQ51" i="1"/>
  <c r="DR51" i="1"/>
  <c r="CV57" i="1"/>
  <c r="CX57" i="1" s="1"/>
  <c r="DQ57" i="1"/>
  <c r="DR57" i="1"/>
  <c r="O57" i="1"/>
  <c r="CS57" i="1"/>
  <c r="CS56" i="1"/>
  <c r="O55" i="1"/>
  <c r="CR56" i="1"/>
  <c r="O51" i="1"/>
  <c r="CS55" i="1"/>
  <c r="CS51" i="1"/>
  <c r="O52" i="1"/>
  <c r="CR52" i="1"/>
  <c r="Q56" i="1" l="1"/>
  <c r="DB57" i="1"/>
  <c r="CW57" i="1"/>
  <c r="CZ56" i="1"/>
  <c r="CW56" i="1"/>
  <c r="DD52" i="1"/>
  <c r="DF52" i="1" s="1"/>
  <c r="CW52" i="1"/>
  <c r="DB55" i="1"/>
  <c r="CW55" i="1"/>
  <c r="Q52" i="1"/>
  <c r="Q51" i="1"/>
  <c r="Q55" i="1"/>
  <c r="Q57" i="1"/>
  <c r="DD57" i="1"/>
  <c r="DH57" i="1" s="1"/>
  <c r="CZ55" i="1"/>
  <c r="DD56" i="1"/>
  <c r="DF56" i="1" s="1"/>
  <c r="CZ57" i="1"/>
  <c r="CZ52" i="1"/>
  <c r="DB56" i="1"/>
  <c r="DB52" i="1"/>
  <c r="DD55" i="1"/>
  <c r="DF55" i="1" s="1"/>
  <c r="DB51" i="1"/>
  <c r="DD51" i="1"/>
  <c r="DF51" i="1" s="1"/>
  <c r="CZ51" i="1"/>
  <c r="DH52" i="1" l="1"/>
  <c r="DI52" i="1" s="1"/>
  <c r="DF57" i="1"/>
  <c r="DI57" i="1" s="1"/>
  <c r="DH56" i="1"/>
  <c r="DI56" i="1" s="1"/>
  <c r="DH55" i="1"/>
  <c r="DI55" i="1" s="1"/>
  <c r="DH51" i="1"/>
  <c r="DI51" i="1" s="1"/>
  <c r="M61" i="2" l="1"/>
  <c r="F66" i="2"/>
  <c r="L116" i="2"/>
  <c r="DA272" i="1"/>
  <c r="DA271" i="1"/>
  <c r="DA270" i="1"/>
  <c r="DA269" i="1"/>
  <c r="DA268" i="1"/>
  <c r="DA267" i="1"/>
  <c r="DA266" i="1"/>
  <c r="DA265" i="1"/>
  <c r="DA264" i="1"/>
  <c r="DA263" i="1"/>
  <c r="DA262" i="1"/>
  <c r="DA261" i="1"/>
  <c r="DA260" i="1"/>
  <c r="DA259" i="1"/>
  <c r="DA258" i="1"/>
  <c r="DA257" i="1"/>
  <c r="DA256" i="1"/>
  <c r="DA255" i="1"/>
  <c r="DA254" i="1"/>
  <c r="DA253" i="1"/>
  <c r="DA252" i="1"/>
  <c r="DA251" i="1"/>
  <c r="DA250" i="1"/>
  <c r="DA249" i="1"/>
  <c r="DA248" i="1"/>
  <c r="DA247" i="1"/>
  <c r="DA246" i="1"/>
  <c r="DA245" i="1"/>
  <c r="DA244" i="1"/>
  <c r="DA243" i="1"/>
  <c r="DA242" i="1"/>
  <c r="DA241" i="1"/>
  <c r="DA240" i="1"/>
  <c r="DA239" i="1"/>
  <c r="DA238" i="1"/>
  <c r="DA237" i="1"/>
  <c r="DA236" i="1"/>
  <c r="DA235" i="1"/>
  <c r="DA234" i="1"/>
  <c r="DA233" i="1"/>
  <c r="DA232" i="1"/>
  <c r="DA231" i="1"/>
  <c r="DA230" i="1"/>
  <c r="DA229" i="1"/>
  <c r="DA228" i="1"/>
  <c r="DA227" i="1"/>
  <c r="DA226" i="1"/>
  <c r="DA225" i="1"/>
  <c r="DA224" i="1"/>
  <c r="DA223" i="1"/>
  <c r="DA222" i="1"/>
  <c r="DA221" i="1"/>
  <c r="DA220" i="1"/>
  <c r="DA219" i="1"/>
  <c r="DA218" i="1"/>
  <c r="DA217" i="1"/>
  <c r="DA216" i="1"/>
  <c r="DA215" i="1"/>
  <c r="DA214" i="1"/>
  <c r="DA213" i="1"/>
  <c r="DA212" i="1"/>
  <c r="DA211" i="1"/>
  <c r="DA210" i="1"/>
  <c r="DA209" i="1"/>
  <c r="DA208" i="1"/>
  <c r="DA207" i="1"/>
  <c r="DA206" i="1"/>
  <c r="DA205" i="1"/>
  <c r="DA204" i="1"/>
  <c r="DA203" i="1"/>
  <c r="DA202" i="1"/>
  <c r="DA201" i="1"/>
  <c r="DA200" i="1"/>
  <c r="DA199" i="1"/>
  <c r="DA198" i="1"/>
  <c r="DA197" i="1"/>
  <c r="DA196" i="1"/>
  <c r="DA195" i="1"/>
  <c r="DA194" i="1"/>
  <c r="DA193" i="1"/>
  <c r="DA192" i="1"/>
  <c r="DA191" i="1"/>
  <c r="DA190" i="1"/>
  <c r="DA189" i="1"/>
  <c r="DA188" i="1"/>
  <c r="DA187" i="1"/>
  <c r="DA186" i="1"/>
  <c r="DA185" i="1"/>
  <c r="DA184" i="1"/>
  <c r="DA183" i="1"/>
  <c r="DA182" i="1"/>
  <c r="DA181" i="1"/>
  <c r="DA180" i="1"/>
  <c r="DA179" i="1"/>
  <c r="DA178" i="1"/>
  <c r="DA177" i="1"/>
  <c r="DA176" i="1"/>
  <c r="DA175" i="1"/>
  <c r="DA174" i="1"/>
  <c r="DA173" i="1"/>
  <c r="DA172" i="1"/>
  <c r="DA171" i="1"/>
  <c r="DA170" i="1"/>
  <c r="DA169" i="1"/>
  <c r="DA168" i="1"/>
  <c r="DA167" i="1"/>
  <c r="DA166" i="1"/>
  <c r="DA165" i="1"/>
  <c r="DA164" i="1"/>
  <c r="DA163" i="1"/>
  <c r="DA162" i="1"/>
  <c r="DA161" i="1"/>
  <c r="DA160" i="1"/>
  <c r="DA159" i="1"/>
  <c r="DA158" i="1"/>
  <c r="DA157" i="1"/>
  <c r="DA156" i="1"/>
  <c r="DA155" i="1"/>
  <c r="DA154" i="1"/>
  <c r="DA153" i="1"/>
  <c r="DA152" i="1"/>
  <c r="DA151" i="1"/>
  <c r="DA150" i="1"/>
  <c r="DA149" i="1"/>
  <c r="DA148" i="1"/>
  <c r="DA147" i="1"/>
  <c r="DA146" i="1"/>
  <c r="DA145" i="1"/>
  <c r="DA144" i="1"/>
  <c r="DA143" i="1"/>
  <c r="DA142" i="1"/>
  <c r="DA141" i="1"/>
  <c r="DA140" i="1"/>
  <c r="DA139" i="1"/>
  <c r="DA138" i="1"/>
  <c r="DA137" i="1"/>
  <c r="DA136" i="1"/>
  <c r="DA135" i="1"/>
  <c r="DA134" i="1"/>
  <c r="DA133" i="1"/>
  <c r="DA132" i="1"/>
  <c r="DA131" i="1"/>
  <c r="DA130" i="1"/>
  <c r="DA129" i="1"/>
  <c r="DA128" i="1"/>
  <c r="DA127" i="1"/>
  <c r="DA126" i="1"/>
  <c r="DA125" i="1"/>
  <c r="DA124" i="1"/>
  <c r="DA123" i="1"/>
  <c r="DA122" i="1"/>
  <c r="DA121" i="1"/>
  <c r="DA120" i="1"/>
  <c r="DA119" i="1"/>
  <c r="DA118" i="1"/>
  <c r="DA117" i="1"/>
  <c r="DA116" i="1"/>
  <c r="DA115" i="1"/>
  <c r="DA114" i="1"/>
  <c r="DA113" i="1"/>
  <c r="DA112" i="1"/>
  <c r="DA111" i="1"/>
  <c r="DA110" i="1"/>
  <c r="DA109" i="1"/>
  <c r="DA108" i="1"/>
  <c r="DA107" i="1"/>
  <c r="DA106" i="1"/>
  <c r="DA105" i="1"/>
  <c r="DA104" i="1"/>
  <c r="DA103" i="1"/>
  <c r="DA102" i="1"/>
  <c r="DA101" i="1"/>
  <c r="DA100" i="1"/>
  <c r="DA99" i="1"/>
  <c r="DA98" i="1"/>
  <c r="DA97" i="1"/>
  <c r="DA96" i="1"/>
  <c r="DA95" i="1"/>
  <c r="DA94" i="1"/>
  <c r="DA93" i="1"/>
  <c r="DA92" i="1"/>
  <c r="DA91" i="1"/>
  <c r="DA90" i="1"/>
  <c r="DA89" i="1"/>
  <c r="DA88" i="1"/>
  <c r="DA87" i="1"/>
  <c r="DA86" i="1"/>
  <c r="DA85" i="1"/>
  <c r="DA84" i="1"/>
  <c r="DA83" i="1"/>
  <c r="DA82" i="1"/>
  <c r="DA81" i="1"/>
  <c r="DA80" i="1"/>
  <c r="DA79" i="1"/>
  <c r="DA78" i="1"/>
  <c r="DA77" i="1"/>
  <c r="DA76" i="1"/>
  <c r="DA75" i="1"/>
  <c r="DA74" i="1"/>
  <c r="DA73" i="1"/>
  <c r="DA72" i="1"/>
  <c r="DA71" i="1"/>
  <c r="DA70" i="1"/>
  <c r="DA69" i="1"/>
  <c r="DA68" i="1"/>
  <c r="DA67" i="1"/>
  <c r="DA66" i="1"/>
  <c r="DA65" i="1"/>
  <c r="DA64" i="1"/>
  <c r="DA63" i="1"/>
  <c r="DA61" i="1"/>
  <c r="DA11" i="1"/>
  <c r="DG11" i="1" l="1"/>
  <c r="DE11" i="1"/>
  <c r="DC11" i="1"/>
  <c r="CY11" i="1"/>
  <c r="DG272" i="1"/>
  <c r="DE272" i="1"/>
  <c r="DC272" i="1"/>
  <c r="CY272" i="1"/>
  <c r="DG271" i="1"/>
  <c r="DE271" i="1"/>
  <c r="DC271" i="1"/>
  <c r="CY271" i="1"/>
  <c r="DG270" i="1"/>
  <c r="DE270" i="1"/>
  <c r="DC270" i="1"/>
  <c r="CY270" i="1"/>
  <c r="DG269" i="1"/>
  <c r="DE269" i="1"/>
  <c r="DC269" i="1"/>
  <c r="CY269" i="1"/>
  <c r="DG268" i="1"/>
  <c r="DE268" i="1"/>
  <c r="DC268" i="1"/>
  <c r="CY268" i="1"/>
  <c r="DG267" i="1"/>
  <c r="DE267" i="1"/>
  <c r="DC267" i="1"/>
  <c r="CY267" i="1"/>
  <c r="DG266" i="1"/>
  <c r="DE266" i="1"/>
  <c r="DC266" i="1"/>
  <c r="CY266" i="1"/>
  <c r="DG265" i="1"/>
  <c r="DE265" i="1"/>
  <c r="DC265" i="1"/>
  <c r="CY265" i="1"/>
  <c r="DG264" i="1"/>
  <c r="DE264" i="1"/>
  <c r="DC264" i="1"/>
  <c r="CY264" i="1"/>
  <c r="DG263" i="1"/>
  <c r="DE263" i="1"/>
  <c r="DC263" i="1"/>
  <c r="CY263" i="1"/>
  <c r="DG262" i="1"/>
  <c r="DE262" i="1"/>
  <c r="DC262" i="1"/>
  <c r="CY262" i="1"/>
  <c r="DG261" i="1"/>
  <c r="DE261" i="1"/>
  <c r="DC261" i="1"/>
  <c r="CY261" i="1"/>
  <c r="DG260" i="1"/>
  <c r="DE260" i="1"/>
  <c r="DC260" i="1"/>
  <c r="CY260" i="1"/>
  <c r="DG259" i="1"/>
  <c r="DE259" i="1"/>
  <c r="DC259" i="1"/>
  <c r="CY259" i="1"/>
  <c r="DG258" i="1"/>
  <c r="DE258" i="1"/>
  <c r="DC258" i="1"/>
  <c r="CY258" i="1"/>
  <c r="DG257" i="1"/>
  <c r="DE257" i="1"/>
  <c r="DC257" i="1"/>
  <c r="CY257" i="1"/>
  <c r="DG256" i="1"/>
  <c r="DE256" i="1"/>
  <c r="DC256" i="1"/>
  <c r="CY256" i="1"/>
  <c r="DG255" i="1"/>
  <c r="DE255" i="1"/>
  <c r="DC255" i="1"/>
  <c r="CY255" i="1"/>
  <c r="DG254" i="1"/>
  <c r="DE254" i="1"/>
  <c r="DC254" i="1"/>
  <c r="CY254" i="1"/>
  <c r="DG253" i="1"/>
  <c r="DE253" i="1"/>
  <c r="DC253" i="1"/>
  <c r="CY253" i="1"/>
  <c r="DG252" i="1"/>
  <c r="DE252" i="1"/>
  <c r="DC252" i="1"/>
  <c r="CY252" i="1"/>
  <c r="DG251" i="1"/>
  <c r="DE251" i="1"/>
  <c r="DC251" i="1"/>
  <c r="CY251" i="1"/>
  <c r="DG250" i="1"/>
  <c r="DE250" i="1"/>
  <c r="DC250" i="1"/>
  <c r="CY250" i="1"/>
  <c r="DG249" i="1"/>
  <c r="DE249" i="1"/>
  <c r="DC249" i="1"/>
  <c r="CY249" i="1"/>
  <c r="DG248" i="1"/>
  <c r="DE248" i="1"/>
  <c r="DC248" i="1"/>
  <c r="CY248" i="1"/>
  <c r="DG247" i="1"/>
  <c r="DE247" i="1"/>
  <c r="DC247" i="1"/>
  <c r="CY247" i="1"/>
  <c r="DG246" i="1"/>
  <c r="DE246" i="1"/>
  <c r="DC246" i="1"/>
  <c r="CY246" i="1"/>
  <c r="DG245" i="1"/>
  <c r="DE245" i="1"/>
  <c r="DC245" i="1"/>
  <c r="CY245" i="1"/>
  <c r="DG244" i="1"/>
  <c r="DE244" i="1"/>
  <c r="DC244" i="1"/>
  <c r="CY244" i="1"/>
  <c r="DG243" i="1"/>
  <c r="DE243" i="1"/>
  <c r="DC243" i="1"/>
  <c r="CY243" i="1"/>
  <c r="DG242" i="1"/>
  <c r="DE242" i="1"/>
  <c r="DC242" i="1"/>
  <c r="CY242" i="1"/>
  <c r="DG241" i="1"/>
  <c r="DE241" i="1"/>
  <c r="DC241" i="1"/>
  <c r="CY241" i="1"/>
  <c r="DG240" i="1"/>
  <c r="DE240" i="1"/>
  <c r="DC240" i="1"/>
  <c r="CY240" i="1"/>
  <c r="DG239" i="1"/>
  <c r="DE239" i="1"/>
  <c r="DC239" i="1"/>
  <c r="CY239" i="1"/>
  <c r="DG238" i="1"/>
  <c r="DE238" i="1"/>
  <c r="DC238" i="1"/>
  <c r="CY238" i="1"/>
  <c r="DG237" i="1"/>
  <c r="DE237" i="1"/>
  <c r="DC237" i="1"/>
  <c r="CY237" i="1"/>
  <c r="DG236" i="1"/>
  <c r="DE236" i="1"/>
  <c r="DC236" i="1"/>
  <c r="CY236" i="1"/>
  <c r="DG235" i="1"/>
  <c r="DE235" i="1"/>
  <c r="DC235" i="1"/>
  <c r="CY235" i="1"/>
  <c r="DG234" i="1"/>
  <c r="DE234" i="1"/>
  <c r="DC234" i="1"/>
  <c r="CY234" i="1"/>
  <c r="DG233" i="1"/>
  <c r="DE233" i="1"/>
  <c r="DC233" i="1"/>
  <c r="CY233" i="1"/>
  <c r="DG232" i="1"/>
  <c r="DE232" i="1"/>
  <c r="DC232" i="1"/>
  <c r="CY232" i="1"/>
  <c r="DG231" i="1"/>
  <c r="DE231" i="1"/>
  <c r="DC231" i="1"/>
  <c r="CY231" i="1"/>
  <c r="DG230" i="1"/>
  <c r="DE230" i="1"/>
  <c r="DC230" i="1"/>
  <c r="CY230" i="1"/>
  <c r="DG229" i="1"/>
  <c r="DE229" i="1"/>
  <c r="DC229" i="1"/>
  <c r="CY229" i="1"/>
  <c r="DG228" i="1"/>
  <c r="DE228" i="1"/>
  <c r="DC228" i="1"/>
  <c r="CY228" i="1"/>
  <c r="DG227" i="1"/>
  <c r="DE227" i="1"/>
  <c r="DC227" i="1"/>
  <c r="CY227" i="1"/>
  <c r="DG226" i="1"/>
  <c r="DE226" i="1"/>
  <c r="DC226" i="1"/>
  <c r="CY226" i="1"/>
  <c r="DG225" i="1"/>
  <c r="DE225" i="1"/>
  <c r="DC225" i="1"/>
  <c r="CY225" i="1"/>
  <c r="DG224" i="1"/>
  <c r="DE224" i="1"/>
  <c r="DC224" i="1"/>
  <c r="CY224" i="1"/>
  <c r="DG223" i="1"/>
  <c r="DE223" i="1"/>
  <c r="DC223" i="1"/>
  <c r="CY223" i="1"/>
  <c r="DG222" i="1"/>
  <c r="DE222" i="1"/>
  <c r="DC222" i="1"/>
  <c r="CY222" i="1"/>
  <c r="DG221" i="1"/>
  <c r="DE221" i="1"/>
  <c r="DC221" i="1"/>
  <c r="CY221" i="1"/>
  <c r="DG220" i="1"/>
  <c r="DE220" i="1"/>
  <c r="DC220" i="1"/>
  <c r="CY220" i="1"/>
  <c r="DG219" i="1"/>
  <c r="DE219" i="1"/>
  <c r="DC219" i="1"/>
  <c r="CY219" i="1"/>
  <c r="DG218" i="1"/>
  <c r="DE218" i="1"/>
  <c r="DC218" i="1"/>
  <c r="CY218" i="1"/>
  <c r="DG217" i="1"/>
  <c r="DE217" i="1"/>
  <c r="DC217" i="1"/>
  <c r="CY217" i="1"/>
  <c r="DG216" i="1"/>
  <c r="DE216" i="1"/>
  <c r="DC216" i="1"/>
  <c r="CY216" i="1"/>
  <c r="DG215" i="1"/>
  <c r="DE215" i="1"/>
  <c r="DC215" i="1"/>
  <c r="CY215" i="1"/>
  <c r="DG214" i="1"/>
  <c r="DE214" i="1"/>
  <c r="DC214" i="1"/>
  <c r="CY214" i="1"/>
  <c r="DG213" i="1"/>
  <c r="DE213" i="1"/>
  <c r="DC213" i="1"/>
  <c r="CY213" i="1"/>
  <c r="DG212" i="1"/>
  <c r="DE212" i="1"/>
  <c r="DC212" i="1"/>
  <c r="CY212" i="1"/>
  <c r="DG211" i="1"/>
  <c r="DE211" i="1"/>
  <c r="DC211" i="1"/>
  <c r="CY211" i="1"/>
  <c r="DG210" i="1"/>
  <c r="DE210" i="1"/>
  <c r="DC210" i="1"/>
  <c r="CY210" i="1"/>
  <c r="DG209" i="1"/>
  <c r="DE209" i="1"/>
  <c r="DC209" i="1"/>
  <c r="CY209" i="1"/>
  <c r="DG208" i="1"/>
  <c r="DE208" i="1"/>
  <c r="DC208" i="1"/>
  <c r="CY208" i="1"/>
  <c r="DG207" i="1"/>
  <c r="DE207" i="1"/>
  <c r="DC207" i="1"/>
  <c r="CY207" i="1"/>
  <c r="DG206" i="1"/>
  <c r="DE206" i="1"/>
  <c r="DC206" i="1"/>
  <c r="CY206" i="1"/>
  <c r="DG205" i="1"/>
  <c r="DE205" i="1"/>
  <c r="DC205" i="1"/>
  <c r="CY205" i="1"/>
  <c r="DG204" i="1"/>
  <c r="DE204" i="1"/>
  <c r="DC204" i="1"/>
  <c r="CY204" i="1"/>
  <c r="DG203" i="1"/>
  <c r="DE203" i="1"/>
  <c r="DC203" i="1"/>
  <c r="CY203" i="1"/>
  <c r="DG202" i="1"/>
  <c r="DE202" i="1"/>
  <c r="DC202" i="1"/>
  <c r="CY202" i="1"/>
  <c r="DG201" i="1"/>
  <c r="DE201" i="1"/>
  <c r="DC201" i="1"/>
  <c r="CY201" i="1"/>
  <c r="DG200" i="1"/>
  <c r="DE200" i="1"/>
  <c r="DC200" i="1"/>
  <c r="CY200" i="1"/>
  <c r="DG199" i="1"/>
  <c r="DE199" i="1"/>
  <c r="DC199" i="1"/>
  <c r="CY199" i="1"/>
  <c r="DG198" i="1"/>
  <c r="DE198" i="1"/>
  <c r="DC198" i="1"/>
  <c r="CY198" i="1"/>
  <c r="DG197" i="1"/>
  <c r="DE197" i="1"/>
  <c r="DC197" i="1"/>
  <c r="CY197" i="1"/>
  <c r="DG196" i="1"/>
  <c r="DE196" i="1"/>
  <c r="DC196" i="1"/>
  <c r="CY196" i="1"/>
  <c r="DG195" i="1"/>
  <c r="DE195" i="1"/>
  <c r="DC195" i="1"/>
  <c r="CY195" i="1"/>
  <c r="DG194" i="1"/>
  <c r="DE194" i="1"/>
  <c r="DC194" i="1"/>
  <c r="CY194" i="1"/>
  <c r="DG193" i="1"/>
  <c r="DE193" i="1"/>
  <c r="DC193" i="1"/>
  <c r="CY193" i="1"/>
  <c r="DG192" i="1"/>
  <c r="DE192" i="1"/>
  <c r="DC192" i="1"/>
  <c r="CY192" i="1"/>
  <c r="DG191" i="1"/>
  <c r="DE191" i="1"/>
  <c r="DC191" i="1"/>
  <c r="CY191" i="1"/>
  <c r="DG190" i="1"/>
  <c r="DE190" i="1"/>
  <c r="DC190" i="1"/>
  <c r="CY190" i="1"/>
  <c r="DG189" i="1"/>
  <c r="DE189" i="1"/>
  <c r="DC189" i="1"/>
  <c r="CY189" i="1"/>
  <c r="DG188" i="1"/>
  <c r="DE188" i="1"/>
  <c r="DC188" i="1"/>
  <c r="CY188" i="1"/>
  <c r="DG187" i="1"/>
  <c r="DE187" i="1"/>
  <c r="DC187" i="1"/>
  <c r="CY187" i="1"/>
  <c r="DG186" i="1"/>
  <c r="DE186" i="1"/>
  <c r="DC186" i="1"/>
  <c r="CY186" i="1"/>
  <c r="DG185" i="1"/>
  <c r="DE185" i="1"/>
  <c r="DC185" i="1"/>
  <c r="CY185" i="1"/>
  <c r="DG184" i="1"/>
  <c r="DE184" i="1"/>
  <c r="DC184" i="1"/>
  <c r="CY184" i="1"/>
  <c r="DG183" i="1"/>
  <c r="DE183" i="1"/>
  <c r="DC183" i="1"/>
  <c r="CY183" i="1"/>
  <c r="DG182" i="1"/>
  <c r="DE182" i="1"/>
  <c r="DC182" i="1"/>
  <c r="CY182" i="1"/>
  <c r="DG181" i="1"/>
  <c r="DE181" i="1"/>
  <c r="DC181" i="1"/>
  <c r="CY181" i="1"/>
  <c r="DG180" i="1"/>
  <c r="DE180" i="1"/>
  <c r="DC180" i="1"/>
  <c r="CY180" i="1"/>
  <c r="DG179" i="1"/>
  <c r="DE179" i="1"/>
  <c r="DC179" i="1"/>
  <c r="CY179" i="1"/>
  <c r="DG178" i="1"/>
  <c r="DE178" i="1"/>
  <c r="DC178" i="1"/>
  <c r="CY178" i="1"/>
  <c r="DG177" i="1"/>
  <c r="DE177" i="1"/>
  <c r="DC177" i="1"/>
  <c r="CY177" i="1"/>
  <c r="DG176" i="1"/>
  <c r="DE176" i="1"/>
  <c r="DC176" i="1"/>
  <c r="CY176" i="1"/>
  <c r="DG175" i="1"/>
  <c r="DE175" i="1"/>
  <c r="DC175" i="1"/>
  <c r="CY175" i="1"/>
  <c r="DG174" i="1"/>
  <c r="DE174" i="1"/>
  <c r="DC174" i="1"/>
  <c r="CY174" i="1"/>
  <c r="DG173" i="1"/>
  <c r="DE173" i="1"/>
  <c r="DC173" i="1"/>
  <c r="CY173" i="1"/>
  <c r="DG172" i="1"/>
  <c r="DE172" i="1"/>
  <c r="DC172" i="1"/>
  <c r="CY172" i="1"/>
  <c r="DG171" i="1"/>
  <c r="DE171" i="1"/>
  <c r="DC171" i="1"/>
  <c r="CY171" i="1"/>
  <c r="DG170" i="1"/>
  <c r="DE170" i="1"/>
  <c r="DC170" i="1"/>
  <c r="CY170" i="1"/>
  <c r="DG169" i="1"/>
  <c r="DE169" i="1"/>
  <c r="DC169" i="1"/>
  <c r="CY169" i="1"/>
  <c r="DG168" i="1"/>
  <c r="DE168" i="1"/>
  <c r="DC168" i="1"/>
  <c r="CY168" i="1"/>
  <c r="DG167" i="1"/>
  <c r="DE167" i="1"/>
  <c r="DC167" i="1"/>
  <c r="CY167" i="1"/>
  <c r="DG166" i="1"/>
  <c r="DE166" i="1"/>
  <c r="DC166" i="1"/>
  <c r="CY166" i="1"/>
  <c r="DG165" i="1"/>
  <c r="DE165" i="1"/>
  <c r="DC165" i="1"/>
  <c r="CY165" i="1"/>
  <c r="DG164" i="1"/>
  <c r="DE164" i="1"/>
  <c r="DC164" i="1"/>
  <c r="CY164" i="1"/>
  <c r="DG163" i="1"/>
  <c r="DE163" i="1"/>
  <c r="DC163" i="1"/>
  <c r="CY163" i="1"/>
  <c r="DG162" i="1"/>
  <c r="DE162" i="1"/>
  <c r="DC162" i="1"/>
  <c r="CY162" i="1"/>
  <c r="DG161" i="1"/>
  <c r="DE161" i="1"/>
  <c r="DC161" i="1"/>
  <c r="CY161" i="1"/>
  <c r="DG160" i="1"/>
  <c r="DE160" i="1"/>
  <c r="DC160" i="1"/>
  <c r="CY160" i="1"/>
  <c r="DG159" i="1"/>
  <c r="DE159" i="1"/>
  <c r="DC159" i="1"/>
  <c r="CY159" i="1"/>
  <c r="DG158" i="1"/>
  <c r="DE158" i="1"/>
  <c r="DC158" i="1"/>
  <c r="CY158" i="1"/>
  <c r="DG157" i="1"/>
  <c r="DE157" i="1"/>
  <c r="DC157" i="1"/>
  <c r="CY157" i="1"/>
  <c r="DG156" i="1"/>
  <c r="DE156" i="1"/>
  <c r="DC156" i="1"/>
  <c r="CY156" i="1"/>
  <c r="DG155" i="1"/>
  <c r="DE155" i="1"/>
  <c r="DC155" i="1"/>
  <c r="CY155" i="1"/>
  <c r="DG154" i="1"/>
  <c r="DE154" i="1"/>
  <c r="DC154" i="1"/>
  <c r="CY154" i="1"/>
  <c r="DG153" i="1"/>
  <c r="DE153" i="1"/>
  <c r="DC153" i="1"/>
  <c r="CY153" i="1"/>
  <c r="DG152" i="1"/>
  <c r="DE152" i="1"/>
  <c r="DC152" i="1"/>
  <c r="CY152" i="1"/>
  <c r="DG151" i="1"/>
  <c r="DE151" i="1"/>
  <c r="DC151" i="1"/>
  <c r="CY151" i="1"/>
  <c r="DG150" i="1"/>
  <c r="DE150" i="1"/>
  <c r="DC150" i="1"/>
  <c r="CY150" i="1"/>
  <c r="DG149" i="1"/>
  <c r="DE149" i="1"/>
  <c r="DC149" i="1"/>
  <c r="CY149" i="1"/>
  <c r="DG148" i="1"/>
  <c r="DE148" i="1"/>
  <c r="DC148" i="1"/>
  <c r="CY148" i="1"/>
  <c r="DG147" i="1"/>
  <c r="DE147" i="1"/>
  <c r="DC147" i="1"/>
  <c r="CY147" i="1"/>
  <c r="DG146" i="1"/>
  <c r="DE146" i="1"/>
  <c r="DC146" i="1"/>
  <c r="CY146" i="1"/>
  <c r="DG145" i="1"/>
  <c r="DE145" i="1"/>
  <c r="DC145" i="1"/>
  <c r="CY145" i="1"/>
  <c r="DG144" i="1"/>
  <c r="DE144" i="1"/>
  <c r="DC144" i="1"/>
  <c r="CY144" i="1"/>
  <c r="DG143" i="1"/>
  <c r="DE143" i="1"/>
  <c r="DC143" i="1"/>
  <c r="CY143" i="1"/>
  <c r="DG142" i="1"/>
  <c r="DE142" i="1"/>
  <c r="DC142" i="1"/>
  <c r="CY142" i="1"/>
  <c r="DG141" i="1"/>
  <c r="DE141" i="1"/>
  <c r="DC141" i="1"/>
  <c r="CY141" i="1"/>
  <c r="DG140" i="1"/>
  <c r="DE140" i="1"/>
  <c r="DC140" i="1"/>
  <c r="CY140" i="1"/>
  <c r="DG139" i="1"/>
  <c r="DE139" i="1"/>
  <c r="DC139" i="1"/>
  <c r="CY139" i="1"/>
  <c r="DG138" i="1"/>
  <c r="DE138" i="1"/>
  <c r="DC138" i="1"/>
  <c r="CY138" i="1"/>
  <c r="DG137" i="1"/>
  <c r="DE137" i="1"/>
  <c r="DC137" i="1"/>
  <c r="CY137" i="1"/>
  <c r="DG136" i="1"/>
  <c r="DE136" i="1"/>
  <c r="DC136" i="1"/>
  <c r="CY136" i="1"/>
  <c r="DG135" i="1"/>
  <c r="DE135" i="1"/>
  <c r="DC135" i="1"/>
  <c r="CY135" i="1"/>
  <c r="DG134" i="1"/>
  <c r="DE134" i="1"/>
  <c r="DC134" i="1"/>
  <c r="CY134" i="1"/>
  <c r="DG133" i="1"/>
  <c r="DE133" i="1"/>
  <c r="DC133" i="1"/>
  <c r="CY133" i="1"/>
  <c r="DG132" i="1"/>
  <c r="DE132" i="1"/>
  <c r="DC132" i="1"/>
  <c r="CY132" i="1"/>
  <c r="DG131" i="1"/>
  <c r="DE131" i="1"/>
  <c r="DC131" i="1"/>
  <c r="CY131" i="1"/>
  <c r="DG130" i="1"/>
  <c r="DE130" i="1"/>
  <c r="DC130" i="1"/>
  <c r="CY130" i="1"/>
  <c r="DG129" i="1"/>
  <c r="DE129" i="1"/>
  <c r="DC129" i="1"/>
  <c r="CY129" i="1"/>
  <c r="DG128" i="1"/>
  <c r="DE128" i="1"/>
  <c r="DC128" i="1"/>
  <c r="CY128" i="1"/>
  <c r="DG127" i="1"/>
  <c r="DE127" i="1"/>
  <c r="DC127" i="1"/>
  <c r="CY127" i="1"/>
  <c r="DG126" i="1"/>
  <c r="DE126" i="1"/>
  <c r="DC126" i="1"/>
  <c r="CY126" i="1"/>
  <c r="DG125" i="1"/>
  <c r="DE125" i="1"/>
  <c r="DC125" i="1"/>
  <c r="CY125" i="1"/>
  <c r="DG124" i="1"/>
  <c r="DE124" i="1"/>
  <c r="DC124" i="1"/>
  <c r="CY124" i="1"/>
  <c r="DG123" i="1"/>
  <c r="DE123" i="1"/>
  <c r="DC123" i="1"/>
  <c r="CY123" i="1"/>
  <c r="DG122" i="1"/>
  <c r="DE122" i="1"/>
  <c r="DC122" i="1"/>
  <c r="CY122" i="1"/>
  <c r="DG121" i="1"/>
  <c r="DE121" i="1"/>
  <c r="DC121" i="1"/>
  <c r="CY121" i="1"/>
  <c r="DG120" i="1"/>
  <c r="DE120" i="1"/>
  <c r="DC120" i="1"/>
  <c r="CY120" i="1"/>
  <c r="DG119" i="1"/>
  <c r="DE119" i="1"/>
  <c r="DC119" i="1"/>
  <c r="CY119" i="1"/>
  <c r="DG118" i="1"/>
  <c r="DE118" i="1"/>
  <c r="DC118" i="1"/>
  <c r="CY118" i="1"/>
  <c r="DG117" i="1"/>
  <c r="DE117" i="1"/>
  <c r="DC117" i="1"/>
  <c r="CY117" i="1"/>
  <c r="DG116" i="1"/>
  <c r="DE116" i="1"/>
  <c r="DC116" i="1"/>
  <c r="CY116" i="1"/>
  <c r="DG115" i="1"/>
  <c r="DE115" i="1"/>
  <c r="DC115" i="1"/>
  <c r="CY115" i="1"/>
  <c r="DG114" i="1"/>
  <c r="DE114" i="1"/>
  <c r="DC114" i="1"/>
  <c r="CY114" i="1"/>
  <c r="DG113" i="1"/>
  <c r="DE113" i="1"/>
  <c r="DC113" i="1"/>
  <c r="CY113" i="1"/>
  <c r="DG112" i="1"/>
  <c r="DE112" i="1"/>
  <c r="DC112" i="1"/>
  <c r="CY112" i="1"/>
  <c r="DG111" i="1"/>
  <c r="DE111" i="1"/>
  <c r="DC111" i="1"/>
  <c r="CY111" i="1"/>
  <c r="DG110" i="1"/>
  <c r="DE110" i="1"/>
  <c r="DC110" i="1"/>
  <c r="CY110" i="1"/>
  <c r="DG109" i="1"/>
  <c r="DE109" i="1"/>
  <c r="DC109" i="1"/>
  <c r="CY109" i="1"/>
  <c r="DG108" i="1"/>
  <c r="DE108" i="1"/>
  <c r="DC108" i="1"/>
  <c r="CY108" i="1"/>
  <c r="DG107" i="1"/>
  <c r="DE107" i="1"/>
  <c r="DC107" i="1"/>
  <c r="CY107" i="1"/>
  <c r="DG106" i="1"/>
  <c r="DE106" i="1"/>
  <c r="DC106" i="1"/>
  <c r="CY106" i="1"/>
  <c r="DG105" i="1"/>
  <c r="DE105" i="1"/>
  <c r="DC105" i="1"/>
  <c r="CY105" i="1"/>
  <c r="DG104" i="1"/>
  <c r="DE104" i="1"/>
  <c r="DC104" i="1"/>
  <c r="CY104" i="1"/>
  <c r="DG103" i="1"/>
  <c r="DE103" i="1"/>
  <c r="DC103" i="1"/>
  <c r="CY103" i="1"/>
  <c r="DG102" i="1"/>
  <c r="DE102" i="1"/>
  <c r="DC102" i="1"/>
  <c r="CY102" i="1"/>
  <c r="DG101" i="1"/>
  <c r="DE101" i="1"/>
  <c r="DC101" i="1"/>
  <c r="CY101" i="1"/>
  <c r="DG100" i="1"/>
  <c r="DE100" i="1"/>
  <c r="DC100" i="1"/>
  <c r="CY100" i="1"/>
  <c r="DG99" i="1"/>
  <c r="DE99" i="1"/>
  <c r="DC99" i="1"/>
  <c r="CY99" i="1"/>
  <c r="DG98" i="1"/>
  <c r="DE98" i="1"/>
  <c r="DC98" i="1"/>
  <c r="CY98" i="1"/>
  <c r="DG97" i="1"/>
  <c r="DE97" i="1"/>
  <c r="DC97" i="1"/>
  <c r="CY97" i="1"/>
  <c r="DG96" i="1"/>
  <c r="DE96" i="1"/>
  <c r="DC96" i="1"/>
  <c r="CY96" i="1"/>
  <c r="DG95" i="1"/>
  <c r="DE95" i="1"/>
  <c r="DC95" i="1"/>
  <c r="CY95" i="1"/>
  <c r="DG94" i="1"/>
  <c r="DE94" i="1"/>
  <c r="DC94" i="1"/>
  <c r="CY94" i="1"/>
  <c r="DG93" i="1"/>
  <c r="DE93" i="1"/>
  <c r="DC93" i="1"/>
  <c r="CY93" i="1"/>
  <c r="DG92" i="1"/>
  <c r="DE92" i="1"/>
  <c r="DC92" i="1"/>
  <c r="CY92" i="1"/>
  <c r="DG91" i="1"/>
  <c r="DE91" i="1"/>
  <c r="DC91" i="1"/>
  <c r="CY91" i="1"/>
  <c r="DG90" i="1"/>
  <c r="DE90" i="1"/>
  <c r="DC90" i="1"/>
  <c r="CY90" i="1"/>
  <c r="DG89" i="1"/>
  <c r="DE89" i="1"/>
  <c r="DC89" i="1"/>
  <c r="CY89" i="1"/>
  <c r="DG88" i="1"/>
  <c r="DE88" i="1"/>
  <c r="DC88" i="1"/>
  <c r="CY88" i="1"/>
  <c r="DG87" i="1"/>
  <c r="DE87" i="1"/>
  <c r="DC87" i="1"/>
  <c r="CY87" i="1"/>
  <c r="DG86" i="1"/>
  <c r="DE86" i="1"/>
  <c r="DC86" i="1"/>
  <c r="CY86" i="1"/>
  <c r="DG85" i="1"/>
  <c r="DE85" i="1"/>
  <c r="DC85" i="1"/>
  <c r="CY85" i="1"/>
  <c r="DG84" i="1"/>
  <c r="DE84" i="1"/>
  <c r="DC84" i="1"/>
  <c r="CY84" i="1"/>
  <c r="DG83" i="1"/>
  <c r="DE83" i="1"/>
  <c r="DC83" i="1"/>
  <c r="CY83" i="1"/>
  <c r="DG82" i="1"/>
  <c r="DE82" i="1"/>
  <c r="DC82" i="1"/>
  <c r="CY82" i="1"/>
  <c r="DG81" i="1"/>
  <c r="DE81" i="1"/>
  <c r="DC81" i="1"/>
  <c r="CY81" i="1"/>
  <c r="DG80" i="1"/>
  <c r="DE80" i="1"/>
  <c r="DC80" i="1"/>
  <c r="CY80" i="1"/>
  <c r="DG79" i="1"/>
  <c r="DE79" i="1"/>
  <c r="DC79" i="1"/>
  <c r="CY79" i="1"/>
  <c r="DG78" i="1"/>
  <c r="DE78" i="1"/>
  <c r="DC78" i="1"/>
  <c r="CY78" i="1"/>
  <c r="DG77" i="1"/>
  <c r="DE77" i="1"/>
  <c r="DC77" i="1"/>
  <c r="CY77" i="1"/>
  <c r="DG76" i="1"/>
  <c r="DE76" i="1"/>
  <c r="DC76" i="1"/>
  <c r="CY76" i="1"/>
  <c r="DG75" i="1"/>
  <c r="DE75" i="1"/>
  <c r="DC75" i="1"/>
  <c r="CY75" i="1"/>
  <c r="DG74" i="1"/>
  <c r="DE74" i="1"/>
  <c r="DC74" i="1"/>
  <c r="CY74" i="1"/>
  <c r="DG73" i="1"/>
  <c r="DE73" i="1"/>
  <c r="DC73" i="1"/>
  <c r="CY73" i="1"/>
  <c r="DG72" i="1"/>
  <c r="DE72" i="1"/>
  <c r="DC72" i="1"/>
  <c r="CY72" i="1"/>
  <c r="DG71" i="1"/>
  <c r="DE71" i="1"/>
  <c r="DC71" i="1"/>
  <c r="CY71" i="1"/>
  <c r="DG70" i="1"/>
  <c r="DE70" i="1"/>
  <c r="DC70" i="1"/>
  <c r="CY70" i="1"/>
  <c r="DG69" i="1"/>
  <c r="DE69" i="1"/>
  <c r="DC69" i="1"/>
  <c r="CY69" i="1"/>
  <c r="DG68" i="1"/>
  <c r="DE68" i="1"/>
  <c r="DC68" i="1"/>
  <c r="CY68" i="1"/>
  <c r="DG67" i="1"/>
  <c r="DE67" i="1"/>
  <c r="DC67" i="1"/>
  <c r="CY67" i="1"/>
  <c r="DG66" i="1"/>
  <c r="DE66" i="1"/>
  <c r="DC66" i="1"/>
  <c r="CY66" i="1"/>
  <c r="DG65" i="1"/>
  <c r="DE65" i="1"/>
  <c r="DC65" i="1"/>
  <c r="CY65" i="1"/>
  <c r="DG64" i="1"/>
  <c r="DE64" i="1"/>
  <c r="DC64" i="1"/>
  <c r="CY64" i="1"/>
  <c r="DG63" i="1"/>
  <c r="DE63" i="1"/>
  <c r="DC63" i="1"/>
  <c r="CY63" i="1"/>
  <c r="DG61" i="1"/>
  <c r="DE61" i="1"/>
  <c r="DC61" i="1"/>
  <c r="CY61" i="1"/>
  <c r="CU272" i="1"/>
  <c r="CU271" i="1"/>
  <c r="CU270" i="1"/>
  <c r="CU269" i="1"/>
  <c r="CU268" i="1"/>
  <c r="CU267" i="1"/>
  <c r="CU266" i="1"/>
  <c r="CU265" i="1"/>
  <c r="CU264" i="1"/>
  <c r="CU263" i="1"/>
  <c r="CU262" i="1"/>
  <c r="CU261" i="1"/>
  <c r="CU260" i="1"/>
  <c r="CU259" i="1"/>
  <c r="CU258" i="1"/>
  <c r="CU257" i="1"/>
  <c r="CU256" i="1"/>
  <c r="CU255" i="1"/>
  <c r="CU254" i="1"/>
  <c r="CU253" i="1"/>
  <c r="CU252" i="1"/>
  <c r="CU251" i="1"/>
  <c r="CU250" i="1"/>
  <c r="CU249" i="1"/>
  <c r="CU248" i="1"/>
  <c r="CU247" i="1"/>
  <c r="CU246" i="1"/>
  <c r="CU245" i="1"/>
  <c r="CU244" i="1"/>
  <c r="CU243" i="1"/>
  <c r="CU242" i="1"/>
  <c r="CU241" i="1"/>
  <c r="CU240" i="1"/>
  <c r="CU239" i="1"/>
  <c r="CU238" i="1"/>
  <c r="CU237" i="1"/>
  <c r="CU236" i="1"/>
  <c r="CU235" i="1"/>
  <c r="CU234" i="1"/>
  <c r="CU233" i="1"/>
  <c r="CU232" i="1"/>
  <c r="CU231" i="1"/>
  <c r="CU230" i="1"/>
  <c r="CU229" i="1"/>
  <c r="CU228" i="1"/>
  <c r="CU227" i="1"/>
  <c r="CU226" i="1"/>
  <c r="CU225" i="1"/>
  <c r="CU224" i="1"/>
  <c r="CU223" i="1"/>
  <c r="CU222" i="1"/>
  <c r="CU221" i="1"/>
  <c r="CU220" i="1"/>
  <c r="CU219" i="1"/>
  <c r="CU218" i="1"/>
  <c r="CU217" i="1"/>
  <c r="CU216" i="1"/>
  <c r="CU215" i="1"/>
  <c r="CU214" i="1"/>
  <c r="CU213" i="1"/>
  <c r="CU212" i="1"/>
  <c r="CU211" i="1"/>
  <c r="CU210" i="1"/>
  <c r="CU209" i="1"/>
  <c r="CU208" i="1"/>
  <c r="CU207" i="1"/>
  <c r="CU206" i="1"/>
  <c r="CU205" i="1"/>
  <c r="CU204" i="1"/>
  <c r="CU203" i="1"/>
  <c r="CU202" i="1"/>
  <c r="CU201" i="1"/>
  <c r="CU200" i="1"/>
  <c r="CU199" i="1"/>
  <c r="CU198" i="1"/>
  <c r="CU197" i="1"/>
  <c r="CU196" i="1"/>
  <c r="CU195" i="1"/>
  <c r="CU194" i="1"/>
  <c r="CU193" i="1"/>
  <c r="CU192" i="1"/>
  <c r="CU191" i="1"/>
  <c r="CU190" i="1"/>
  <c r="CU189" i="1"/>
  <c r="CU188" i="1"/>
  <c r="CU187" i="1"/>
  <c r="CU186" i="1"/>
  <c r="CU185" i="1"/>
  <c r="CU184" i="1"/>
  <c r="CU183" i="1"/>
  <c r="CU182" i="1"/>
  <c r="CU181" i="1"/>
  <c r="CU180" i="1"/>
  <c r="CU179" i="1"/>
  <c r="CU178" i="1"/>
  <c r="CU177" i="1"/>
  <c r="CU176" i="1"/>
  <c r="CU175" i="1"/>
  <c r="CU174" i="1"/>
  <c r="CU173" i="1"/>
  <c r="CU172" i="1"/>
  <c r="CU171" i="1"/>
  <c r="CU170" i="1"/>
  <c r="CU169" i="1"/>
  <c r="CU168" i="1"/>
  <c r="CU167" i="1"/>
  <c r="CU166" i="1"/>
  <c r="CU165" i="1"/>
  <c r="CU164" i="1"/>
  <c r="CU163" i="1"/>
  <c r="CU162" i="1"/>
  <c r="CU161" i="1"/>
  <c r="CU160" i="1"/>
  <c r="CU159" i="1"/>
  <c r="CU158" i="1"/>
  <c r="CU157" i="1"/>
  <c r="CU156" i="1"/>
  <c r="CU155" i="1"/>
  <c r="CU154" i="1"/>
  <c r="CU153" i="1"/>
  <c r="CU152" i="1"/>
  <c r="CU151" i="1"/>
  <c r="CU150" i="1"/>
  <c r="CU149" i="1"/>
  <c r="CU148" i="1"/>
  <c r="CU147" i="1"/>
  <c r="CU146" i="1"/>
  <c r="CU145" i="1"/>
  <c r="CU144" i="1"/>
  <c r="CU143" i="1"/>
  <c r="CU142" i="1"/>
  <c r="CU141" i="1"/>
  <c r="CU140" i="1"/>
  <c r="CU139" i="1"/>
  <c r="CU138" i="1"/>
  <c r="CU137" i="1"/>
  <c r="CU136" i="1"/>
  <c r="CU135" i="1"/>
  <c r="CU134" i="1"/>
  <c r="CU133" i="1"/>
  <c r="CU132" i="1"/>
  <c r="CU131" i="1"/>
  <c r="CU130" i="1"/>
  <c r="CU129" i="1"/>
  <c r="CU128" i="1"/>
  <c r="CU127" i="1"/>
  <c r="CU126" i="1"/>
  <c r="CU125" i="1"/>
  <c r="CU124" i="1"/>
  <c r="CU123" i="1"/>
  <c r="CU122" i="1"/>
  <c r="CU121" i="1"/>
  <c r="CU120" i="1"/>
  <c r="CU119" i="1"/>
  <c r="CU118" i="1"/>
  <c r="CU117" i="1"/>
  <c r="CU116" i="1"/>
  <c r="CU115" i="1"/>
  <c r="CU114" i="1"/>
  <c r="CU113" i="1"/>
  <c r="CU112" i="1"/>
  <c r="CU111" i="1"/>
  <c r="CU110" i="1"/>
  <c r="CU109" i="1"/>
  <c r="CU108" i="1"/>
  <c r="CU107" i="1"/>
  <c r="CU106" i="1"/>
  <c r="CU105" i="1"/>
  <c r="CU104" i="1"/>
  <c r="CU103" i="1"/>
  <c r="CU102" i="1"/>
  <c r="CU101" i="1"/>
  <c r="CU100" i="1"/>
  <c r="CU99" i="1"/>
  <c r="CU98" i="1"/>
  <c r="CU97" i="1"/>
  <c r="CU96" i="1"/>
  <c r="CU95" i="1"/>
  <c r="CU94" i="1"/>
  <c r="CU93" i="1"/>
  <c r="CU92" i="1"/>
  <c r="CU91" i="1"/>
  <c r="CU90" i="1"/>
  <c r="CU89" i="1"/>
  <c r="CU88" i="1"/>
  <c r="CU87" i="1"/>
  <c r="CU86" i="1"/>
  <c r="CU85" i="1"/>
  <c r="CU84" i="1"/>
  <c r="CU83" i="1"/>
  <c r="CU82" i="1"/>
  <c r="CU81" i="1"/>
  <c r="CU80" i="1"/>
  <c r="CU79" i="1"/>
  <c r="CU78" i="1"/>
  <c r="CU77" i="1"/>
  <c r="CU76" i="1"/>
  <c r="CU75" i="1"/>
  <c r="CU74" i="1"/>
  <c r="CU73" i="1"/>
  <c r="CU72" i="1"/>
  <c r="CU71" i="1"/>
  <c r="CU70" i="1"/>
  <c r="CU69" i="1"/>
  <c r="CU68" i="1"/>
  <c r="CU67" i="1"/>
  <c r="CU66" i="1"/>
  <c r="CU65" i="1"/>
  <c r="CU64" i="1"/>
  <c r="CU63" i="1"/>
  <c r="CU61" i="1"/>
  <c r="CU11" i="1"/>
  <c r="DS11" i="1" l="1"/>
  <c r="DS61" i="1"/>
  <c r="DT74" i="1"/>
  <c r="DU74" i="1"/>
  <c r="DT86" i="1"/>
  <c r="DU86" i="1"/>
  <c r="DT98" i="1"/>
  <c r="DU98" i="1"/>
  <c r="DT110" i="1"/>
  <c r="DU110" i="1"/>
  <c r="DT126" i="1"/>
  <c r="DU126" i="1"/>
  <c r="DT134" i="1"/>
  <c r="DU134" i="1"/>
  <c r="DT150" i="1"/>
  <c r="DU150" i="1"/>
  <c r="DT162" i="1"/>
  <c r="DU162" i="1"/>
  <c r="DT178" i="1"/>
  <c r="DU178" i="1"/>
  <c r="DT190" i="1"/>
  <c r="DU190" i="1"/>
  <c r="DT202" i="1"/>
  <c r="DU202" i="1"/>
  <c r="DT214" i="1"/>
  <c r="DU214" i="1"/>
  <c r="DT230" i="1"/>
  <c r="DU230" i="1"/>
  <c r="DT246" i="1"/>
  <c r="DU246" i="1"/>
  <c r="DT258" i="1"/>
  <c r="DU258" i="1"/>
  <c r="DT270" i="1"/>
  <c r="DU270" i="1"/>
  <c r="DT61" i="1"/>
  <c r="DU61" i="1"/>
  <c r="DT64" i="1"/>
  <c r="DU64" i="1"/>
  <c r="DT68" i="1"/>
  <c r="DU68" i="1"/>
  <c r="DT72" i="1"/>
  <c r="DU72" i="1"/>
  <c r="DT76" i="1"/>
  <c r="DU76" i="1"/>
  <c r="DT80" i="1"/>
  <c r="DU80" i="1"/>
  <c r="DT84" i="1"/>
  <c r="DU84" i="1"/>
  <c r="DT88" i="1"/>
  <c r="DU88" i="1"/>
  <c r="DT92" i="1"/>
  <c r="DU92" i="1"/>
  <c r="DT96" i="1"/>
  <c r="DU96" i="1"/>
  <c r="DT100" i="1"/>
  <c r="DU100" i="1"/>
  <c r="DT104" i="1"/>
  <c r="DU104" i="1"/>
  <c r="DT108" i="1"/>
  <c r="DU108" i="1"/>
  <c r="DT112" i="1"/>
  <c r="DU112" i="1"/>
  <c r="DT116" i="1"/>
  <c r="DU116" i="1"/>
  <c r="DT120" i="1"/>
  <c r="DU120" i="1"/>
  <c r="DT124" i="1"/>
  <c r="DU124" i="1"/>
  <c r="DT128" i="1"/>
  <c r="DU128" i="1"/>
  <c r="DT132" i="1"/>
  <c r="DU132" i="1"/>
  <c r="DT136" i="1"/>
  <c r="DU136" i="1"/>
  <c r="DT140" i="1"/>
  <c r="DU140" i="1"/>
  <c r="DT144" i="1"/>
  <c r="DU144" i="1"/>
  <c r="DT148" i="1"/>
  <c r="DU148" i="1"/>
  <c r="DT152" i="1"/>
  <c r="DU152" i="1"/>
  <c r="DT156" i="1"/>
  <c r="DU156" i="1"/>
  <c r="DT160" i="1"/>
  <c r="DU160" i="1"/>
  <c r="DT164" i="1"/>
  <c r="DU164" i="1"/>
  <c r="DT168" i="1"/>
  <c r="DU168" i="1"/>
  <c r="DT172" i="1"/>
  <c r="DU172" i="1"/>
  <c r="DT176" i="1"/>
  <c r="DU176" i="1"/>
  <c r="DT180" i="1"/>
  <c r="DU180" i="1"/>
  <c r="DT184" i="1"/>
  <c r="DU184" i="1"/>
  <c r="DT188" i="1"/>
  <c r="DU188" i="1"/>
  <c r="DT192" i="1"/>
  <c r="DU192" i="1"/>
  <c r="DT196" i="1"/>
  <c r="DU196" i="1"/>
  <c r="DT200" i="1"/>
  <c r="DU200" i="1"/>
  <c r="DT204" i="1"/>
  <c r="DU204" i="1"/>
  <c r="DT208" i="1"/>
  <c r="DU208" i="1"/>
  <c r="DT212" i="1"/>
  <c r="DU212" i="1"/>
  <c r="DT216" i="1"/>
  <c r="DU216" i="1"/>
  <c r="DT220" i="1"/>
  <c r="DU220" i="1"/>
  <c r="DT224" i="1"/>
  <c r="DU224" i="1"/>
  <c r="DT228" i="1"/>
  <c r="DU228" i="1"/>
  <c r="DT232" i="1"/>
  <c r="DU232" i="1"/>
  <c r="DT236" i="1"/>
  <c r="DU236" i="1"/>
  <c r="DT240" i="1"/>
  <c r="DU240" i="1"/>
  <c r="DT244" i="1"/>
  <c r="DU244" i="1"/>
  <c r="DT248" i="1"/>
  <c r="DU248" i="1"/>
  <c r="DT252" i="1"/>
  <c r="DU252" i="1"/>
  <c r="DT256" i="1"/>
  <c r="DU256" i="1"/>
  <c r="DT260" i="1"/>
  <c r="DU260" i="1"/>
  <c r="DT264" i="1"/>
  <c r="DU264" i="1"/>
  <c r="DT268" i="1"/>
  <c r="DU268" i="1"/>
  <c r="DT272" i="1"/>
  <c r="DU272" i="1"/>
  <c r="DT78" i="1"/>
  <c r="DU78" i="1"/>
  <c r="DT90" i="1"/>
  <c r="DU90" i="1"/>
  <c r="DT102" i="1"/>
  <c r="DU102" i="1"/>
  <c r="DT114" i="1"/>
  <c r="DU114" i="1"/>
  <c r="DT130" i="1"/>
  <c r="DU130" i="1"/>
  <c r="DT142" i="1"/>
  <c r="DU142" i="1"/>
  <c r="DT154" i="1"/>
  <c r="DU154" i="1"/>
  <c r="DT166" i="1"/>
  <c r="DU166" i="1"/>
  <c r="DT174" i="1"/>
  <c r="DU174" i="1"/>
  <c r="DT186" i="1"/>
  <c r="DU186" i="1"/>
  <c r="DT198" i="1"/>
  <c r="DU198" i="1"/>
  <c r="DT210" i="1"/>
  <c r="DU210" i="1"/>
  <c r="DT226" i="1"/>
  <c r="DU226" i="1"/>
  <c r="DT238" i="1"/>
  <c r="DU238" i="1"/>
  <c r="DT242" i="1"/>
  <c r="DU242" i="1"/>
  <c r="DT254" i="1"/>
  <c r="DU254" i="1"/>
  <c r="DT266" i="1"/>
  <c r="DU266" i="1"/>
  <c r="DT65" i="1"/>
  <c r="DU65" i="1"/>
  <c r="DT69" i="1"/>
  <c r="DU69" i="1"/>
  <c r="DT73" i="1"/>
  <c r="DU73" i="1"/>
  <c r="DT77" i="1"/>
  <c r="DU77" i="1"/>
  <c r="DT81" i="1"/>
  <c r="DU81" i="1"/>
  <c r="DT85" i="1"/>
  <c r="DU85" i="1"/>
  <c r="DT89" i="1"/>
  <c r="DU89" i="1"/>
  <c r="DT93" i="1"/>
  <c r="DU93" i="1"/>
  <c r="DT97" i="1"/>
  <c r="DU97" i="1"/>
  <c r="DT101" i="1"/>
  <c r="DU101" i="1"/>
  <c r="DT105" i="1"/>
  <c r="DU105" i="1"/>
  <c r="DT109" i="1"/>
  <c r="DU109" i="1"/>
  <c r="DT113" i="1"/>
  <c r="DU113" i="1"/>
  <c r="DT117" i="1"/>
  <c r="DU117" i="1"/>
  <c r="DT121" i="1"/>
  <c r="DU121" i="1"/>
  <c r="DT125" i="1"/>
  <c r="DU125" i="1"/>
  <c r="DT129" i="1"/>
  <c r="DU129" i="1"/>
  <c r="DT133" i="1"/>
  <c r="DU133" i="1"/>
  <c r="DT137" i="1"/>
  <c r="DU137" i="1"/>
  <c r="DT141" i="1"/>
  <c r="DU141" i="1"/>
  <c r="DT145" i="1"/>
  <c r="DU145" i="1"/>
  <c r="DT149" i="1"/>
  <c r="DU149" i="1"/>
  <c r="DT153" i="1"/>
  <c r="DU153" i="1"/>
  <c r="DT157" i="1"/>
  <c r="DU157" i="1"/>
  <c r="DT161" i="1"/>
  <c r="DU161" i="1"/>
  <c r="DT165" i="1"/>
  <c r="DU165" i="1"/>
  <c r="DT169" i="1"/>
  <c r="DU169" i="1"/>
  <c r="DT173" i="1"/>
  <c r="DU173" i="1"/>
  <c r="DT177" i="1"/>
  <c r="DU177" i="1"/>
  <c r="DT181" i="1"/>
  <c r="DU181" i="1"/>
  <c r="DT185" i="1"/>
  <c r="DU185" i="1"/>
  <c r="DT189" i="1"/>
  <c r="DU189" i="1"/>
  <c r="DT193" i="1"/>
  <c r="DU193" i="1"/>
  <c r="DU197" i="1"/>
  <c r="DT197" i="1"/>
  <c r="DT201" i="1"/>
  <c r="DU201" i="1"/>
  <c r="DU205" i="1"/>
  <c r="DT205" i="1"/>
  <c r="DT209" i="1"/>
  <c r="DU209" i="1"/>
  <c r="DU213" i="1"/>
  <c r="DT213" i="1"/>
  <c r="DT217" i="1"/>
  <c r="DU217" i="1"/>
  <c r="DU221" i="1"/>
  <c r="DT221" i="1"/>
  <c r="DT225" i="1"/>
  <c r="DU225" i="1"/>
  <c r="DU229" i="1"/>
  <c r="DT229" i="1"/>
  <c r="DT233" i="1"/>
  <c r="DU233" i="1"/>
  <c r="DU237" i="1"/>
  <c r="DT237" i="1"/>
  <c r="DT241" i="1"/>
  <c r="DU241" i="1"/>
  <c r="DU245" i="1"/>
  <c r="DT245" i="1"/>
  <c r="DU249" i="1"/>
  <c r="DT249" i="1"/>
  <c r="DT253" i="1"/>
  <c r="DU253" i="1"/>
  <c r="DU257" i="1"/>
  <c r="DT257" i="1"/>
  <c r="DT261" i="1"/>
  <c r="DU261" i="1"/>
  <c r="DT265" i="1"/>
  <c r="DU265" i="1"/>
  <c r="DT269" i="1"/>
  <c r="DU269" i="1"/>
  <c r="DT66" i="1"/>
  <c r="DU66" i="1"/>
  <c r="DT118" i="1"/>
  <c r="DU118" i="1"/>
  <c r="DT170" i="1"/>
  <c r="DU170" i="1"/>
  <c r="DT222" i="1"/>
  <c r="DU222" i="1"/>
  <c r="DT70" i="1"/>
  <c r="DU70" i="1"/>
  <c r="DT82" i="1"/>
  <c r="DU82" i="1"/>
  <c r="DT94" i="1"/>
  <c r="DU94" i="1"/>
  <c r="DT106" i="1"/>
  <c r="DU106" i="1"/>
  <c r="DT122" i="1"/>
  <c r="DU122" i="1"/>
  <c r="DT138" i="1"/>
  <c r="DU138" i="1"/>
  <c r="DT146" i="1"/>
  <c r="DU146" i="1"/>
  <c r="DT158" i="1"/>
  <c r="DU158" i="1"/>
  <c r="DT182" i="1"/>
  <c r="DU182" i="1"/>
  <c r="DT194" i="1"/>
  <c r="DU194" i="1"/>
  <c r="DT206" i="1"/>
  <c r="DU206" i="1"/>
  <c r="DT218" i="1"/>
  <c r="DU218" i="1"/>
  <c r="DT234" i="1"/>
  <c r="DU234" i="1"/>
  <c r="DT250" i="1"/>
  <c r="DU250" i="1"/>
  <c r="DT262" i="1"/>
  <c r="DU262" i="1"/>
  <c r="CV11" i="1"/>
  <c r="DU11" i="1"/>
  <c r="DQ11" i="1"/>
  <c r="DT11" i="1"/>
  <c r="DR11" i="1"/>
  <c r="DT63" i="1"/>
  <c r="DU63" i="1"/>
  <c r="DT67" i="1"/>
  <c r="DU67" i="1"/>
  <c r="DT71" i="1"/>
  <c r="DU71" i="1"/>
  <c r="DT75" i="1"/>
  <c r="DU75" i="1"/>
  <c r="DT79" i="1"/>
  <c r="DU79" i="1"/>
  <c r="DT83" i="1"/>
  <c r="DU83" i="1"/>
  <c r="DT87" i="1"/>
  <c r="DU87" i="1"/>
  <c r="DT91" i="1"/>
  <c r="DU91" i="1"/>
  <c r="DT95" i="1"/>
  <c r="DU95" i="1"/>
  <c r="DT99" i="1"/>
  <c r="DU99" i="1"/>
  <c r="DT103" i="1"/>
  <c r="DU103" i="1"/>
  <c r="DT107" i="1"/>
  <c r="DU107" i="1"/>
  <c r="DT111" i="1"/>
  <c r="DU111" i="1"/>
  <c r="DT115" i="1"/>
  <c r="DU115" i="1"/>
  <c r="DT119" i="1"/>
  <c r="DU119" i="1"/>
  <c r="DT123" i="1"/>
  <c r="DU123" i="1"/>
  <c r="DT127" i="1"/>
  <c r="DU127" i="1"/>
  <c r="DT131" i="1"/>
  <c r="DU131" i="1"/>
  <c r="DT135" i="1"/>
  <c r="DU135" i="1"/>
  <c r="DT139" i="1"/>
  <c r="DU139" i="1"/>
  <c r="DT143" i="1"/>
  <c r="DU143" i="1"/>
  <c r="DT147" i="1"/>
  <c r="DU147" i="1"/>
  <c r="DT151" i="1"/>
  <c r="DU151" i="1"/>
  <c r="DT155" i="1"/>
  <c r="DU155" i="1"/>
  <c r="DT159" i="1"/>
  <c r="DU159" i="1"/>
  <c r="DT163" i="1"/>
  <c r="DU163" i="1"/>
  <c r="DT167" i="1"/>
  <c r="DU167" i="1"/>
  <c r="DT171" i="1"/>
  <c r="DU171" i="1"/>
  <c r="DT175" i="1"/>
  <c r="DU175" i="1"/>
  <c r="DT179" i="1"/>
  <c r="DU179" i="1"/>
  <c r="DT183" i="1"/>
  <c r="DU183" i="1"/>
  <c r="DT187" i="1"/>
  <c r="DU187" i="1"/>
  <c r="DT191" i="1"/>
  <c r="DU191" i="1"/>
  <c r="DT195" i="1"/>
  <c r="DU195" i="1"/>
  <c r="DU199" i="1"/>
  <c r="DT199" i="1"/>
  <c r="DT203" i="1"/>
  <c r="DU203" i="1"/>
  <c r="DU207" i="1"/>
  <c r="DT207" i="1"/>
  <c r="DU211" i="1"/>
  <c r="DT211" i="1"/>
  <c r="DU215" i="1"/>
  <c r="DT215" i="1"/>
  <c r="DU219" i="1"/>
  <c r="DT219" i="1"/>
  <c r="DU223" i="1"/>
  <c r="DT223" i="1"/>
  <c r="DU227" i="1"/>
  <c r="DT227" i="1"/>
  <c r="DU231" i="1"/>
  <c r="DT231" i="1"/>
  <c r="DU235" i="1"/>
  <c r="DT235" i="1"/>
  <c r="DU239" i="1"/>
  <c r="DT239" i="1"/>
  <c r="DU243" i="1"/>
  <c r="DT243" i="1"/>
  <c r="DT247" i="1"/>
  <c r="DU247" i="1"/>
  <c r="DT251" i="1"/>
  <c r="DU251" i="1"/>
  <c r="DT255" i="1"/>
  <c r="DU255" i="1"/>
  <c r="DT259" i="1"/>
  <c r="DU259" i="1"/>
  <c r="DU263" i="1"/>
  <c r="DT263" i="1"/>
  <c r="DT267" i="1"/>
  <c r="DU267" i="1"/>
  <c r="DU271" i="1"/>
  <c r="DT271" i="1"/>
  <c r="CV61" i="1"/>
  <c r="DQ61" i="1"/>
  <c r="DR61" i="1"/>
  <c r="I19" i="6" l="1"/>
  <c r="C26" i="24" l="1"/>
  <c r="C24" i="24"/>
  <c r="F6" i="24"/>
  <c r="F7" i="24"/>
  <c r="F8" i="24"/>
  <c r="F9" i="24"/>
  <c r="F10" i="24"/>
  <c r="F11" i="24"/>
  <c r="F12" i="24"/>
  <c r="F13" i="24"/>
  <c r="F14" i="24"/>
  <c r="G14" i="24"/>
  <c r="F15" i="24"/>
  <c r="G15" i="24"/>
  <c r="F16" i="24"/>
  <c r="G16" i="24"/>
  <c r="F17" i="24"/>
  <c r="G17" i="24"/>
  <c r="F18" i="24"/>
  <c r="G18" i="24"/>
  <c r="F19" i="24"/>
  <c r="G19" i="24"/>
  <c r="F20" i="24"/>
  <c r="G20" i="24"/>
  <c r="F21" i="24"/>
  <c r="G21" i="24"/>
  <c r="F22" i="24"/>
  <c r="G22" i="24"/>
  <c r="F23" i="24"/>
  <c r="G23" i="24"/>
  <c r="F24" i="24"/>
  <c r="G24" i="24"/>
  <c r="F25" i="24"/>
  <c r="G25" i="24"/>
  <c r="F26" i="24"/>
  <c r="G26" i="24"/>
  <c r="F5" i="24"/>
  <c r="C22" i="24"/>
  <c r="C21" i="24"/>
  <c r="D19" i="24"/>
  <c r="D17" i="24"/>
  <c r="D16" i="24"/>
  <c r="D15" i="24"/>
  <c r="D14" i="24"/>
  <c r="C19" i="24"/>
  <c r="C18" i="24"/>
  <c r="C17" i="24"/>
  <c r="C16" i="24"/>
  <c r="C15" i="24"/>
  <c r="C14" i="24"/>
  <c r="D12" i="24"/>
  <c r="D11" i="24"/>
  <c r="D10" i="24"/>
  <c r="D9" i="24"/>
  <c r="D8" i="24"/>
  <c r="D7" i="24"/>
  <c r="D6" i="24"/>
  <c r="D5" i="24"/>
  <c r="C12" i="24"/>
  <c r="C11" i="24"/>
  <c r="C10" i="24"/>
  <c r="C9" i="24"/>
  <c r="C8" i="24"/>
  <c r="C7" i="24"/>
  <c r="C6" i="24"/>
  <c r="C5" i="24"/>
  <c r="H13" i="6" l="1"/>
  <c r="AG28" i="4" l="1"/>
  <c r="AM28" i="4" s="1"/>
  <c r="AG10" i="4"/>
  <c r="AM10" i="4" s="1"/>
  <c r="AG9" i="4"/>
  <c r="AM9" i="4" s="1"/>
  <c r="AG8" i="4"/>
  <c r="AM8" i="4" s="1"/>
  <c r="AG7" i="4"/>
  <c r="AM7" i="4" s="1"/>
  <c r="A4" i="7"/>
  <c r="A5" i="7"/>
  <c r="A6" i="7"/>
  <c r="A7" i="7"/>
  <c r="A8" i="7"/>
  <c r="A9" i="7"/>
  <c r="A10" i="7"/>
  <c r="A11" i="7"/>
  <c r="A12" i="7"/>
  <c r="A13" i="7"/>
  <c r="A14" i="7"/>
  <c r="A15" i="7"/>
  <c r="A16" i="7"/>
  <c r="A17" i="7"/>
  <c r="E51" i="2"/>
  <c r="L2" i="1" l="1"/>
  <c r="L3" i="1"/>
  <c r="L4" i="1"/>
  <c r="CQ61" i="1" l="1"/>
  <c r="AK61" i="1"/>
  <c r="CX61" i="1" s="1"/>
  <c r="CW61" i="1" s="1"/>
  <c r="T61" i="1"/>
  <c r="S61" i="1"/>
  <c r="CN55" i="1"/>
  <c r="CN52" i="1"/>
  <c r="CN51" i="1"/>
  <c r="CN56" i="1"/>
  <c r="CR61" i="1" l="1"/>
  <c r="DB61" i="1"/>
  <c r="DD61" i="1"/>
  <c r="DF61" i="1" s="1"/>
  <c r="CZ61" i="1"/>
  <c r="O61" i="1"/>
  <c r="CS61" i="1"/>
  <c r="DH61" i="1" l="1"/>
  <c r="DI61" i="1" s="1"/>
  <c r="Q61" i="1"/>
  <c r="A2" i="7" l="1"/>
  <c r="A3" i="7"/>
  <c r="B41" i="7"/>
  <c r="B42" i="7"/>
  <c r="L922" i="7" l="1"/>
  <c r="AS922" i="7"/>
  <c r="K921" i="7"/>
  <c r="AS911" i="7"/>
  <c r="AS921" i="7"/>
  <c r="K917" i="7"/>
  <c r="L914" i="7"/>
  <c r="K920" i="7"/>
  <c r="AS916" i="7"/>
  <c r="K923" i="7"/>
  <c r="AS913" i="7"/>
  <c r="K912" i="7"/>
  <c r="L918" i="7"/>
  <c r="K913" i="7"/>
  <c r="K919" i="7"/>
  <c r="K779" i="7"/>
  <c r="K910" i="7"/>
  <c r="AS915" i="7"/>
  <c r="L781" i="7"/>
  <c r="K783" i="7"/>
  <c r="AS783" i="7"/>
  <c r="AS780" i="7"/>
  <c r="AS782" i="7"/>
  <c r="L784" i="7"/>
  <c r="K780" i="7"/>
  <c r="AS784" i="7"/>
  <c r="AS779" i="7"/>
  <c r="L782" i="7"/>
  <c r="AS923" i="7"/>
  <c r="L783" i="7"/>
  <c r="K916" i="7"/>
  <c r="K911" i="7"/>
  <c r="L911" i="7"/>
  <c r="K914" i="7"/>
  <c r="L921" i="7"/>
  <c r="L915" i="7"/>
  <c r="L920" i="7"/>
  <c r="AS919" i="7"/>
  <c r="AS914" i="7"/>
  <c r="L780" i="7"/>
  <c r="AS912" i="7"/>
  <c r="AS920" i="7"/>
  <c r="L916" i="7"/>
  <c r="K784" i="7"/>
  <c r="AS918" i="7"/>
  <c r="L919" i="7"/>
  <c r="L913" i="7"/>
  <c r="K922" i="7"/>
  <c r="K782" i="7"/>
  <c r="L912" i="7"/>
  <c r="L779" i="7"/>
  <c r="AS910" i="7"/>
  <c r="K915" i="7"/>
  <c r="K781" i="7"/>
  <c r="AS781" i="7"/>
  <c r="L910" i="7"/>
  <c r="AS917" i="7"/>
  <c r="K918" i="7"/>
  <c r="L917" i="7"/>
  <c r="L923" i="7"/>
  <c r="AS949" i="7"/>
  <c r="AS937" i="7"/>
  <c r="AS954" i="7"/>
  <c r="AS948" i="7"/>
  <c r="AS942" i="7"/>
  <c r="AS936" i="7"/>
  <c r="L958" i="7"/>
  <c r="K953" i="7"/>
  <c r="K947" i="7"/>
  <c r="K941" i="7"/>
  <c r="K957" i="7"/>
  <c r="K945" i="7"/>
  <c r="K956" i="7"/>
  <c r="L949" i="7"/>
  <c r="K958" i="7"/>
  <c r="AS956" i="7"/>
  <c r="K949" i="7"/>
  <c r="L943" i="7"/>
  <c r="AS939" i="7"/>
  <c r="AS938" i="7"/>
  <c r="K950" i="7"/>
  <c r="K943" i="7"/>
  <c r="AS941" i="7"/>
  <c r="L937" i="7"/>
  <c r="AS950" i="7"/>
  <c r="K937" i="7"/>
  <c r="K938" i="7"/>
  <c r="L946" i="7"/>
  <c r="AS953" i="7"/>
  <c r="L955" i="7"/>
  <c r="K939" i="7"/>
  <c r="K955" i="7"/>
  <c r="L938" i="7"/>
  <c r="AS944" i="7"/>
  <c r="AS951" i="7"/>
  <c r="L419" i="7"/>
  <c r="K419" i="7"/>
  <c r="K418" i="7"/>
  <c r="L417" i="7"/>
  <c r="L416" i="7"/>
  <c r="K416" i="7"/>
  <c r="K417" i="7"/>
  <c r="AS785" i="7"/>
  <c r="L942" i="7"/>
  <c r="L936" i="7"/>
  <c r="AS943" i="7"/>
  <c r="K942" i="7"/>
  <c r="AS947" i="7"/>
  <c r="L785" i="7"/>
  <c r="AS946" i="7"/>
  <c r="K948" i="7"/>
  <c r="L939" i="7"/>
  <c r="L940" i="7"/>
  <c r="L948" i="7"/>
  <c r="AS418" i="7"/>
  <c r="K785" i="7"/>
  <c r="L954" i="7"/>
  <c r="L951" i="7"/>
  <c r="AS940" i="7"/>
  <c r="L941" i="7"/>
  <c r="AS945" i="7"/>
  <c r="L944" i="7"/>
  <c r="L947" i="7"/>
  <c r="L945" i="7"/>
  <c r="L418" i="7"/>
  <c r="K952" i="7"/>
  <c r="L957" i="7"/>
  <c r="L956" i="7"/>
  <c r="AS952" i="7"/>
  <c r="L952" i="7"/>
  <c r="K441" i="7"/>
  <c r="AS441" i="7"/>
  <c r="K936" i="7"/>
  <c r="AS955" i="7"/>
  <c r="K946" i="7"/>
  <c r="K944" i="7"/>
  <c r="AS958" i="7"/>
  <c r="AS957" i="7"/>
  <c r="AS416" i="7"/>
  <c r="AS417" i="7"/>
  <c r="L950" i="7"/>
  <c r="K951" i="7"/>
  <c r="L953" i="7"/>
  <c r="AS419" i="7"/>
  <c r="K954" i="7"/>
  <c r="L441" i="7"/>
  <c r="K940" i="7"/>
  <c r="JH60" i="23"/>
  <c r="B33" i="30"/>
  <c r="B34" i="30"/>
  <c r="B28" i="30"/>
  <c r="B29" i="30"/>
  <c r="B37" i="30"/>
  <c r="A9" i="2"/>
  <c r="A8" i="2"/>
  <c r="A7" i="2"/>
  <c r="A6" i="2"/>
  <c r="A5" i="2"/>
  <c r="A4" i="2"/>
  <c r="A3" i="2"/>
  <c r="B23" i="30" l="1"/>
  <c r="JH62" i="23"/>
  <c r="AK272" i="1"/>
  <c r="AK271" i="1"/>
  <c r="AK270" i="1"/>
  <c r="AK269" i="1"/>
  <c r="AK268" i="1"/>
  <c r="AK267" i="1"/>
  <c r="AK266" i="1"/>
  <c r="AK265" i="1"/>
  <c r="AK264" i="1"/>
  <c r="AK263" i="1"/>
  <c r="AK262" i="1"/>
  <c r="AK261" i="1"/>
  <c r="AK260" i="1"/>
  <c r="AK259" i="1"/>
  <c r="AK258" i="1"/>
  <c r="AK257" i="1"/>
  <c r="AK256" i="1"/>
  <c r="AK255" i="1"/>
  <c r="AK254" i="1"/>
  <c r="AK253" i="1"/>
  <c r="AK252" i="1"/>
  <c r="AK251" i="1"/>
  <c r="AK250" i="1"/>
  <c r="AK249" i="1"/>
  <c r="AK248" i="1"/>
  <c r="AK247" i="1"/>
  <c r="AK246" i="1"/>
  <c r="AK245" i="1"/>
  <c r="AK244" i="1"/>
  <c r="AK243" i="1"/>
  <c r="AK242" i="1"/>
  <c r="AK241" i="1"/>
  <c r="AK240" i="1"/>
  <c r="AK239" i="1"/>
  <c r="AK238" i="1"/>
  <c r="AK237" i="1"/>
  <c r="AK236" i="1"/>
  <c r="AK235" i="1"/>
  <c r="AK234" i="1"/>
  <c r="AK233" i="1"/>
  <c r="AK232" i="1"/>
  <c r="AK231" i="1"/>
  <c r="AK230" i="1"/>
  <c r="AK229" i="1"/>
  <c r="AK228" i="1"/>
  <c r="AK227" i="1"/>
  <c r="AK226" i="1"/>
  <c r="AK225" i="1"/>
  <c r="AK224" i="1"/>
  <c r="AK223" i="1"/>
  <c r="AK222" i="1"/>
  <c r="AK221" i="1"/>
  <c r="AK220" i="1"/>
  <c r="AK219" i="1"/>
  <c r="AK218" i="1"/>
  <c r="AK217" i="1"/>
  <c r="AK216" i="1"/>
  <c r="AK215" i="1"/>
  <c r="AK214" i="1"/>
  <c r="AK213" i="1"/>
  <c r="AK212" i="1"/>
  <c r="AK211" i="1"/>
  <c r="AK210" i="1"/>
  <c r="AK209" i="1"/>
  <c r="AK208" i="1"/>
  <c r="AK207" i="1"/>
  <c r="AK206" i="1"/>
  <c r="AK205" i="1"/>
  <c r="AK204" i="1"/>
  <c r="AK203" i="1"/>
  <c r="AK202" i="1"/>
  <c r="AK201" i="1"/>
  <c r="AK200" i="1"/>
  <c r="AK199" i="1"/>
  <c r="AK198" i="1"/>
  <c r="AK197" i="1"/>
  <c r="AK196" i="1"/>
  <c r="AK195" i="1"/>
  <c r="AK194" i="1"/>
  <c r="AK193" i="1"/>
  <c r="AK192" i="1"/>
  <c r="AK191" i="1"/>
  <c r="AK190" i="1"/>
  <c r="AK189" i="1"/>
  <c r="AK188" i="1"/>
  <c r="AK187" i="1"/>
  <c r="AK186" i="1"/>
  <c r="AK185" i="1"/>
  <c r="AK184" i="1"/>
  <c r="AK183" i="1"/>
  <c r="AK182" i="1"/>
  <c r="AK181" i="1"/>
  <c r="AK180" i="1"/>
  <c r="AK179" i="1"/>
  <c r="AK178" i="1"/>
  <c r="AK177" i="1"/>
  <c r="AK176" i="1"/>
  <c r="AK175" i="1"/>
  <c r="AK174" i="1"/>
  <c r="AK173" i="1"/>
  <c r="AK172" i="1"/>
  <c r="AK171" i="1"/>
  <c r="AK170" i="1"/>
  <c r="AK169" i="1"/>
  <c r="AK168" i="1"/>
  <c r="AK167" i="1"/>
  <c r="AK166" i="1"/>
  <c r="AK165" i="1"/>
  <c r="AK164" i="1"/>
  <c r="AK163" i="1"/>
  <c r="AK162" i="1"/>
  <c r="AK161" i="1"/>
  <c r="AK160" i="1"/>
  <c r="AK159" i="1"/>
  <c r="AK158" i="1"/>
  <c r="AK157" i="1"/>
  <c r="AK156" i="1"/>
  <c r="AK155" i="1"/>
  <c r="AK154" i="1"/>
  <c r="AK153" i="1"/>
  <c r="AK152" i="1"/>
  <c r="AK151" i="1"/>
  <c r="AK150" i="1"/>
  <c r="AK149" i="1"/>
  <c r="AK148" i="1"/>
  <c r="AK147" i="1"/>
  <c r="AK146" i="1"/>
  <c r="AK145" i="1"/>
  <c r="AK144" i="1"/>
  <c r="AK143" i="1"/>
  <c r="AK142" i="1"/>
  <c r="AK141" i="1"/>
  <c r="AK140" i="1"/>
  <c r="AK139" i="1"/>
  <c r="AK138" i="1"/>
  <c r="AK137" i="1"/>
  <c r="AK136" i="1"/>
  <c r="AK135" i="1"/>
  <c r="AK134" i="1"/>
  <c r="AK133" i="1"/>
  <c r="AK132" i="1"/>
  <c r="AK131" i="1"/>
  <c r="AK130" i="1"/>
  <c r="AK129" i="1"/>
  <c r="AK128" i="1"/>
  <c r="AK127" i="1"/>
  <c r="AK126" i="1"/>
  <c r="AK125" i="1"/>
  <c r="AK124" i="1"/>
  <c r="AK123" i="1"/>
  <c r="AK122" i="1"/>
  <c r="AK121" i="1"/>
  <c r="AK120" i="1"/>
  <c r="AK119" i="1"/>
  <c r="AK118" i="1"/>
  <c r="AK117" i="1"/>
  <c r="AK116" i="1"/>
  <c r="AK115" i="1"/>
  <c r="AK114" i="1"/>
  <c r="AK113" i="1"/>
  <c r="AK112" i="1"/>
  <c r="AK111" i="1"/>
  <c r="AK110" i="1"/>
  <c r="AK109" i="1"/>
  <c r="AK108" i="1"/>
  <c r="AK107" i="1"/>
  <c r="AK106" i="1"/>
  <c r="AK105" i="1"/>
  <c r="AK104" i="1"/>
  <c r="AK103" i="1"/>
  <c r="AK102" i="1"/>
  <c r="AK101" i="1"/>
  <c r="AK100" i="1"/>
  <c r="AK99" i="1"/>
  <c r="AK98" i="1"/>
  <c r="AK97" i="1"/>
  <c r="AK96" i="1"/>
  <c r="AK95" i="1"/>
  <c r="AK94" i="1"/>
  <c r="AK93" i="1"/>
  <c r="AK92" i="1"/>
  <c r="AK91" i="1"/>
  <c r="AK90" i="1"/>
  <c r="AK89" i="1"/>
  <c r="AK88" i="1"/>
  <c r="AK87" i="1"/>
  <c r="AK86" i="1"/>
  <c r="AK85" i="1"/>
  <c r="AK84" i="1"/>
  <c r="AK83" i="1"/>
  <c r="AK82" i="1"/>
  <c r="AK81" i="1"/>
  <c r="AK80" i="1"/>
  <c r="AK79" i="1"/>
  <c r="AK78" i="1"/>
  <c r="AK77" i="1"/>
  <c r="AK76" i="1"/>
  <c r="AK75" i="1"/>
  <c r="AK74" i="1"/>
  <c r="AK73" i="1"/>
  <c r="AK72" i="1"/>
  <c r="AK71" i="1"/>
  <c r="AK70" i="1"/>
  <c r="AK69" i="1"/>
  <c r="AK68" i="1"/>
  <c r="AK67" i="1"/>
  <c r="AK66" i="1"/>
  <c r="AK65" i="1"/>
  <c r="AK64" i="1"/>
  <c r="AK63" i="1"/>
  <c r="AK11" i="1"/>
  <c r="CX11" i="1" s="1"/>
  <c r="CW11" i="1" s="1"/>
  <c r="DB11" i="1" l="1"/>
  <c r="DD11" i="1"/>
  <c r="DH11" i="1" s="1"/>
  <c r="CZ11" i="1"/>
  <c r="DF11" i="1" l="1"/>
  <c r="DI11" i="1" s="1"/>
  <c r="C213" i="23" l="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CN263" i="1" s="1"/>
  <c r="L264" i="1"/>
  <c r="L265" i="1"/>
  <c r="L266" i="1"/>
  <c r="L267" i="1"/>
  <c r="L268" i="1"/>
  <c r="L269" i="1"/>
  <c r="L270" i="1"/>
  <c r="L271" i="1"/>
  <c r="L272" i="1"/>
  <c r="L64" i="1"/>
  <c r="L65" i="1"/>
  <c r="T263" i="1"/>
  <c r="S263" i="1"/>
  <c r="DS263" i="1"/>
  <c r="T262" i="1"/>
  <c r="S262" i="1"/>
  <c r="DS262" i="1"/>
  <c r="T261" i="1"/>
  <c r="S261" i="1"/>
  <c r="DS261" i="1"/>
  <c r="T260" i="1"/>
  <c r="S260" i="1"/>
  <c r="DS260" i="1"/>
  <c r="T259" i="1"/>
  <c r="S259" i="1"/>
  <c r="DS259" i="1"/>
  <c r="T258" i="1"/>
  <c r="S258" i="1"/>
  <c r="DS258" i="1"/>
  <c r="T257" i="1"/>
  <c r="S257" i="1"/>
  <c r="DS257" i="1"/>
  <c r="T256" i="1"/>
  <c r="S256" i="1"/>
  <c r="DS256" i="1"/>
  <c r="T255" i="1"/>
  <c r="S255" i="1"/>
  <c r="DS255" i="1"/>
  <c r="T254" i="1"/>
  <c r="S254" i="1"/>
  <c r="DS254" i="1"/>
  <c r="C210" i="23"/>
  <c r="C211" i="23"/>
  <c r="C212" i="23"/>
  <c r="JI203" i="23"/>
  <c r="N262" i="1" s="1"/>
  <c r="C203" i="23"/>
  <c r="JI202" i="23"/>
  <c r="N261" i="1" s="1"/>
  <c r="C202" i="23"/>
  <c r="JI211" i="23"/>
  <c r="N270" i="1" s="1"/>
  <c r="JI210" i="23"/>
  <c r="N269" i="1" s="1"/>
  <c r="JI209" i="23"/>
  <c r="N268" i="1" s="1"/>
  <c r="C209" i="23"/>
  <c r="JI208" i="23"/>
  <c r="N267" i="1" s="1"/>
  <c r="C208" i="23"/>
  <c r="JI207" i="23"/>
  <c r="N266" i="1" s="1"/>
  <c r="C207" i="23"/>
  <c r="JI206" i="23"/>
  <c r="N265" i="1" s="1"/>
  <c r="C206" i="23"/>
  <c r="JI205" i="23"/>
  <c r="N264" i="1" s="1"/>
  <c r="C205" i="23"/>
  <c r="C204" i="23"/>
  <c r="AO1242" i="7"/>
  <c r="AH1242" i="7"/>
  <c r="Y1242" i="7"/>
  <c r="X1242" i="7" s="1"/>
  <c r="H1242" i="7"/>
  <c r="G1242" i="7"/>
  <c r="E1242" i="7"/>
  <c r="AO1241" i="7"/>
  <c r="AH1241" i="7"/>
  <c r="Y1241" i="7"/>
  <c r="X1241" i="7" s="1"/>
  <c r="H1241" i="7"/>
  <c r="G1241" i="7"/>
  <c r="E1241" i="7"/>
  <c r="AO1240" i="7"/>
  <c r="AH1240" i="7"/>
  <c r="Y1240" i="7"/>
  <c r="X1240" i="7" s="1"/>
  <c r="H1240" i="7"/>
  <c r="G1240" i="7"/>
  <c r="E1240" i="7"/>
  <c r="AO1239" i="7"/>
  <c r="AH1239" i="7"/>
  <c r="Y1239" i="7"/>
  <c r="X1239" i="7" s="1"/>
  <c r="H1239" i="7"/>
  <c r="G1239" i="7"/>
  <c r="E1239" i="7"/>
  <c r="AO1238" i="7"/>
  <c r="AH1238" i="7"/>
  <c r="Y1238" i="7"/>
  <c r="X1238" i="7" s="1"/>
  <c r="H1238" i="7"/>
  <c r="G1238" i="7"/>
  <c r="E1238" i="7"/>
  <c r="AO1237" i="7"/>
  <c r="AH1237" i="7"/>
  <c r="Y1237" i="7"/>
  <c r="X1237" i="7" s="1"/>
  <c r="H1237" i="7"/>
  <c r="G1237" i="7"/>
  <c r="E1237" i="7"/>
  <c r="AO1236" i="7"/>
  <c r="AH1236" i="7"/>
  <c r="Y1236" i="7"/>
  <c r="X1236" i="7" s="1"/>
  <c r="H1236" i="7"/>
  <c r="G1236" i="7"/>
  <c r="E1236" i="7"/>
  <c r="AO1235" i="7"/>
  <c r="AH1235" i="7"/>
  <c r="Y1235" i="7"/>
  <c r="X1235" i="7" s="1"/>
  <c r="H1235" i="7"/>
  <c r="G1235" i="7"/>
  <c r="E1235" i="7"/>
  <c r="AO1234" i="7"/>
  <c r="AH1234" i="7"/>
  <c r="Y1234" i="7"/>
  <c r="X1234" i="7" s="1"/>
  <c r="H1234" i="7"/>
  <c r="G1234" i="7"/>
  <c r="E1234" i="7"/>
  <c r="AO1233" i="7"/>
  <c r="AH1233" i="7"/>
  <c r="Y1233" i="7"/>
  <c r="X1233" i="7" s="1"/>
  <c r="H1233" i="7"/>
  <c r="G1233" i="7"/>
  <c r="E1233" i="7"/>
  <c r="AO1232" i="7"/>
  <c r="AH1232" i="7"/>
  <c r="Y1232" i="7"/>
  <c r="X1232" i="7" s="1"/>
  <c r="H1232" i="7"/>
  <c r="G1232" i="7"/>
  <c r="E1232" i="7"/>
  <c r="AO1231" i="7"/>
  <c r="AH1231" i="7"/>
  <c r="Y1231" i="7"/>
  <c r="X1231" i="7" s="1"/>
  <c r="H1231" i="7"/>
  <c r="G1231" i="7"/>
  <c r="E1231" i="7"/>
  <c r="AO1230" i="7"/>
  <c r="AH1230" i="7"/>
  <c r="Y1230" i="7"/>
  <c r="X1230" i="7" s="1"/>
  <c r="H1230" i="7"/>
  <c r="G1230" i="7"/>
  <c r="E1230" i="7"/>
  <c r="AO1229" i="7"/>
  <c r="AH1229" i="7"/>
  <c r="Y1229" i="7"/>
  <c r="X1229" i="7" s="1"/>
  <c r="H1229" i="7"/>
  <c r="G1229" i="7"/>
  <c r="E1229" i="7"/>
  <c r="AO1222" i="7"/>
  <c r="AH1222" i="7"/>
  <c r="Y1222" i="7"/>
  <c r="Z1222" i="7" s="1"/>
  <c r="H1222" i="7"/>
  <c r="G1222" i="7"/>
  <c r="E1222" i="7"/>
  <c r="AO1221" i="7"/>
  <c r="AH1221" i="7"/>
  <c r="Y1221" i="7"/>
  <c r="H1221" i="7"/>
  <c r="G1221" i="7"/>
  <c r="E1221" i="7"/>
  <c r="AO1220" i="7"/>
  <c r="AH1220" i="7"/>
  <c r="Y1220" i="7"/>
  <c r="H1220" i="7"/>
  <c r="G1220" i="7"/>
  <c r="E1220" i="7"/>
  <c r="AO1219" i="7"/>
  <c r="AH1219" i="7"/>
  <c r="Y1219" i="7"/>
  <c r="H1219" i="7"/>
  <c r="G1219" i="7"/>
  <c r="E1219" i="7"/>
  <c r="AO1218" i="7"/>
  <c r="AH1218" i="7"/>
  <c r="Y1218" i="7"/>
  <c r="H1218" i="7"/>
  <c r="G1218" i="7"/>
  <c r="E1218" i="7"/>
  <c r="AO1217" i="7"/>
  <c r="AH1217" i="7"/>
  <c r="Y1217" i="7"/>
  <c r="H1217" i="7"/>
  <c r="G1217" i="7"/>
  <c r="E1217" i="7"/>
  <c r="AO1216" i="7"/>
  <c r="AH1216" i="7"/>
  <c r="Y1216" i="7"/>
  <c r="H1216" i="7"/>
  <c r="G1216" i="7"/>
  <c r="E1216" i="7"/>
  <c r="AO1215" i="7"/>
  <c r="AH1215" i="7"/>
  <c r="Y1215" i="7"/>
  <c r="H1215" i="7"/>
  <c r="G1215" i="7"/>
  <c r="E1215" i="7"/>
  <c r="AO1214" i="7"/>
  <c r="AH1214" i="7"/>
  <c r="Y1214" i="7"/>
  <c r="H1214" i="7"/>
  <c r="G1214" i="7"/>
  <c r="E1214" i="7"/>
  <c r="AO1213" i="7"/>
  <c r="AH1213" i="7"/>
  <c r="Y1213" i="7"/>
  <c r="H1213" i="7"/>
  <c r="G1213" i="7"/>
  <c r="E1213" i="7"/>
  <c r="AO1212" i="7"/>
  <c r="AH1212" i="7"/>
  <c r="Y1212" i="7"/>
  <c r="H1212" i="7"/>
  <c r="G1212" i="7"/>
  <c r="E1212" i="7"/>
  <c r="AO1211" i="7"/>
  <c r="AH1211" i="7"/>
  <c r="Y1211" i="7"/>
  <c r="H1211" i="7"/>
  <c r="G1211" i="7"/>
  <c r="E1211" i="7"/>
  <c r="AO1210" i="7"/>
  <c r="AH1210" i="7"/>
  <c r="Y1210" i="7"/>
  <c r="H1210" i="7"/>
  <c r="G1210" i="7"/>
  <c r="E1210" i="7"/>
  <c r="AO1209" i="7"/>
  <c r="AH1209" i="7"/>
  <c r="Y1209" i="7"/>
  <c r="H1209" i="7"/>
  <c r="G1209" i="7"/>
  <c r="E1209" i="7"/>
  <c r="AO1208" i="7"/>
  <c r="AH1208" i="7"/>
  <c r="Y1208" i="7"/>
  <c r="H1208" i="7"/>
  <c r="G1208" i="7"/>
  <c r="E1208" i="7"/>
  <c r="AO1207" i="7"/>
  <c r="AH1207" i="7"/>
  <c r="Y1207" i="7"/>
  <c r="H1207" i="7"/>
  <c r="G1207" i="7"/>
  <c r="E1207" i="7"/>
  <c r="AO1206" i="7"/>
  <c r="AH1206" i="7"/>
  <c r="Y1206" i="7"/>
  <c r="X1206" i="7" s="1"/>
  <c r="H1206" i="7"/>
  <c r="G1206" i="7"/>
  <c r="E1206" i="7"/>
  <c r="AO1205" i="7"/>
  <c r="AH1205" i="7"/>
  <c r="Y1205" i="7"/>
  <c r="X1205" i="7" s="1"/>
  <c r="H1205" i="7"/>
  <c r="G1205" i="7"/>
  <c r="E1205" i="7"/>
  <c r="AO1204" i="7"/>
  <c r="AH1204" i="7"/>
  <c r="Y1204" i="7"/>
  <c r="X1204" i="7" s="1"/>
  <c r="H1204" i="7"/>
  <c r="G1204" i="7"/>
  <c r="E1204" i="7"/>
  <c r="AO1203" i="7"/>
  <c r="AH1203" i="7"/>
  <c r="Y1203" i="7"/>
  <c r="X1203" i="7" s="1"/>
  <c r="H1203" i="7"/>
  <c r="G1203" i="7"/>
  <c r="E1203" i="7"/>
  <c r="AO1202" i="7"/>
  <c r="AH1202" i="7"/>
  <c r="Y1202" i="7"/>
  <c r="X1202" i="7" s="1"/>
  <c r="H1202" i="7"/>
  <c r="G1202" i="7"/>
  <c r="E1202" i="7"/>
  <c r="AO1201" i="7"/>
  <c r="AH1201" i="7"/>
  <c r="Y1201" i="7"/>
  <c r="Z1201" i="7" s="1"/>
  <c r="H1201" i="7"/>
  <c r="G1201" i="7"/>
  <c r="E1201" i="7"/>
  <c r="AO1200" i="7"/>
  <c r="AH1200" i="7"/>
  <c r="Y1200" i="7"/>
  <c r="Z1200" i="7" s="1"/>
  <c r="H1200" i="7"/>
  <c r="G1200" i="7"/>
  <c r="E1200" i="7"/>
  <c r="AO1199" i="7"/>
  <c r="AH1199" i="7"/>
  <c r="Y1199" i="7"/>
  <c r="Z1199" i="7" s="1"/>
  <c r="H1199" i="7"/>
  <c r="G1199" i="7"/>
  <c r="E1199" i="7"/>
  <c r="AO1198" i="7"/>
  <c r="AH1198" i="7"/>
  <c r="Y1198" i="7"/>
  <c r="Z1198" i="7" s="1"/>
  <c r="H1198" i="7"/>
  <c r="G1198" i="7"/>
  <c r="E1198" i="7"/>
  <c r="AO1197" i="7"/>
  <c r="AH1197" i="7"/>
  <c r="Y1197" i="7"/>
  <c r="H1197" i="7"/>
  <c r="G1197" i="7"/>
  <c r="E1197" i="7"/>
  <c r="AO1196" i="7"/>
  <c r="AH1196" i="7"/>
  <c r="Y1196" i="7"/>
  <c r="X1196" i="7" s="1"/>
  <c r="H1196" i="7"/>
  <c r="G1196" i="7"/>
  <c r="E1196" i="7"/>
  <c r="AO1195" i="7"/>
  <c r="AH1195" i="7"/>
  <c r="Y1195" i="7"/>
  <c r="AA1195" i="7" s="1"/>
  <c r="H1195" i="7"/>
  <c r="G1195" i="7"/>
  <c r="E1195" i="7"/>
  <c r="AO1194" i="7"/>
  <c r="AH1194" i="7"/>
  <c r="Y1194" i="7"/>
  <c r="X1194" i="7" s="1"/>
  <c r="H1194" i="7"/>
  <c r="G1194" i="7"/>
  <c r="E1194" i="7"/>
  <c r="AO1193" i="7"/>
  <c r="AH1193" i="7"/>
  <c r="Y1193" i="7"/>
  <c r="AA1193" i="7" s="1"/>
  <c r="H1193" i="7"/>
  <c r="G1193" i="7"/>
  <c r="E1193" i="7"/>
  <c r="AO1192" i="7"/>
  <c r="AH1192" i="7"/>
  <c r="Y1192" i="7"/>
  <c r="X1192" i="7" s="1"/>
  <c r="H1192" i="7"/>
  <c r="G1192" i="7"/>
  <c r="E1192" i="7"/>
  <c r="AO1191" i="7"/>
  <c r="AH1191" i="7"/>
  <c r="Y1191" i="7"/>
  <c r="AA1191" i="7" s="1"/>
  <c r="H1191" i="7"/>
  <c r="G1191" i="7"/>
  <c r="E1191" i="7"/>
  <c r="AO1190" i="7"/>
  <c r="AH1190" i="7"/>
  <c r="Y1190" i="7"/>
  <c r="X1190" i="7" s="1"/>
  <c r="H1190" i="7"/>
  <c r="G1190" i="7"/>
  <c r="E1190" i="7"/>
  <c r="AO1189" i="7"/>
  <c r="AH1189" i="7"/>
  <c r="Y1189" i="7"/>
  <c r="AA1189" i="7" s="1"/>
  <c r="H1189" i="7"/>
  <c r="G1189" i="7"/>
  <c r="E1189" i="7"/>
  <c r="AO1188" i="7"/>
  <c r="AH1188" i="7"/>
  <c r="Y1188" i="7"/>
  <c r="X1188" i="7" s="1"/>
  <c r="H1188" i="7"/>
  <c r="G1188" i="7"/>
  <c r="E1188" i="7"/>
  <c r="AO1187" i="7"/>
  <c r="AH1187" i="7"/>
  <c r="Y1187" i="7"/>
  <c r="AA1187" i="7" s="1"/>
  <c r="H1187" i="7"/>
  <c r="G1187" i="7"/>
  <c r="E1187" i="7"/>
  <c r="AO1186" i="7"/>
  <c r="AH1186" i="7"/>
  <c r="Y1186" i="7"/>
  <c r="X1186" i="7" s="1"/>
  <c r="H1186" i="7"/>
  <c r="G1186" i="7"/>
  <c r="E1186" i="7"/>
  <c r="AO1185" i="7"/>
  <c r="AH1185" i="7"/>
  <c r="Y1185" i="7"/>
  <c r="AA1185" i="7" s="1"/>
  <c r="H1185" i="7"/>
  <c r="G1185" i="7"/>
  <c r="E1185" i="7"/>
  <c r="AO1184" i="7"/>
  <c r="AH1184" i="7"/>
  <c r="Y1184" i="7"/>
  <c r="X1184" i="7" s="1"/>
  <c r="H1184" i="7"/>
  <c r="G1184" i="7"/>
  <c r="E1184" i="7"/>
  <c r="AO1183" i="7"/>
  <c r="AH1183" i="7"/>
  <c r="Y1183" i="7"/>
  <c r="AA1183" i="7" s="1"/>
  <c r="H1183" i="7"/>
  <c r="G1183" i="7"/>
  <c r="E1183" i="7"/>
  <c r="AO1182" i="7"/>
  <c r="AH1182" i="7"/>
  <c r="Y1182" i="7"/>
  <c r="X1182" i="7" s="1"/>
  <c r="H1182" i="7"/>
  <c r="G1182" i="7"/>
  <c r="E1182" i="7"/>
  <c r="AO1181" i="7"/>
  <c r="AH1181" i="7"/>
  <c r="Y1181" i="7"/>
  <c r="AA1181" i="7" s="1"/>
  <c r="H1181" i="7"/>
  <c r="G1181" i="7"/>
  <c r="E1181" i="7"/>
  <c r="AO1180" i="7"/>
  <c r="AH1180" i="7"/>
  <c r="Y1180" i="7"/>
  <c r="AA1180" i="7" s="1"/>
  <c r="H1180" i="7"/>
  <c r="G1180" i="7"/>
  <c r="E1180" i="7"/>
  <c r="AO1179" i="7"/>
  <c r="AH1179" i="7"/>
  <c r="Y1179" i="7"/>
  <c r="AA1179" i="7" s="1"/>
  <c r="H1179" i="7"/>
  <c r="G1179" i="7"/>
  <c r="E1179" i="7"/>
  <c r="AO1178" i="7"/>
  <c r="AH1178" i="7"/>
  <c r="Y1178" i="7"/>
  <c r="AA1178" i="7" s="1"/>
  <c r="H1178" i="7"/>
  <c r="G1178" i="7"/>
  <c r="E1178" i="7"/>
  <c r="AO1177" i="7"/>
  <c r="AH1177" i="7"/>
  <c r="Y1177" i="7"/>
  <c r="AA1177" i="7" s="1"/>
  <c r="H1177" i="7"/>
  <c r="G1177" i="7"/>
  <c r="E1177" i="7"/>
  <c r="AO1176" i="7"/>
  <c r="AH1176" i="7"/>
  <c r="Y1176" i="7"/>
  <c r="AA1176" i="7" s="1"/>
  <c r="H1176" i="7"/>
  <c r="G1176" i="7"/>
  <c r="E1176" i="7"/>
  <c r="AO1175" i="7"/>
  <c r="AH1175" i="7"/>
  <c r="Y1175" i="7"/>
  <c r="H1175" i="7"/>
  <c r="G1175" i="7"/>
  <c r="E1175" i="7"/>
  <c r="AO1174" i="7"/>
  <c r="AH1174" i="7"/>
  <c r="Y1174" i="7"/>
  <c r="AA1174" i="7" s="1"/>
  <c r="H1174" i="7"/>
  <c r="G1174" i="7"/>
  <c r="E1174" i="7"/>
  <c r="AO1173" i="7"/>
  <c r="AH1173" i="7"/>
  <c r="Y1173" i="7"/>
  <c r="AA1173" i="7" s="1"/>
  <c r="H1173" i="7"/>
  <c r="G1173" i="7"/>
  <c r="E1173" i="7"/>
  <c r="AO1172" i="7"/>
  <c r="AH1172" i="7"/>
  <c r="Y1172" i="7"/>
  <c r="AA1172" i="7" s="1"/>
  <c r="H1172" i="7"/>
  <c r="G1172" i="7"/>
  <c r="E1172" i="7"/>
  <c r="AO1171" i="7"/>
  <c r="AH1171" i="7"/>
  <c r="Y1171" i="7"/>
  <c r="AA1171" i="7" s="1"/>
  <c r="H1171" i="7"/>
  <c r="G1171" i="7"/>
  <c r="E1171" i="7"/>
  <c r="AO1170" i="7"/>
  <c r="AH1170" i="7"/>
  <c r="Y1170" i="7"/>
  <c r="H1170" i="7"/>
  <c r="G1170" i="7"/>
  <c r="E1170" i="7"/>
  <c r="AO1169" i="7"/>
  <c r="AH1169" i="7"/>
  <c r="Y1169" i="7"/>
  <c r="AA1169" i="7" s="1"/>
  <c r="H1169" i="7"/>
  <c r="G1169" i="7"/>
  <c r="E1169" i="7"/>
  <c r="AO1168" i="7"/>
  <c r="AH1168" i="7"/>
  <c r="Y1168" i="7"/>
  <c r="AA1168" i="7" s="1"/>
  <c r="H1168" i="7"/>
  <c r="G1168" i="7"/>
  <c r="E1168" i="7"/>
  <c r="AO1167" i="7"/>
  <c r="AH1167" i="7"/>
  <c r="Y1167" i="7"/>
  <c r="AA1167" i="7" s="1"/>
  <c r="H1167" i="7"/>
  <c r="G1167" i="7"/>
  <c r="E1167" i="7"/>
  <c r="AO1166" i="7"/>
  <c r="AH1166" i="7"/>
  <c r="Y1166" i="7"/>
  <c r="AA1166" i="7" s="1"/>
  <c r="H1166" i="7"/>
  <c r="G1166" i="7"/>
  <c r="E1166" i="7"/>
  <c r="AO1165" i="7"/>
  <c r="AH1165" i="7"/>
  <c r="Y1165" i="7"/>
  <c r="AA1165" i="7" s="1"/>
  <c r="H1165" i="7"/>
  <c r="G1165" i="7"/>
  <c r="E1165" i="7"/>
  <c r="AO1164" i="7"/>
  <c r="AH1164" i="7"/>
  <c r="Y1164" i="7"/>
  <c r="AA1164" i="7" s="1"/>
  <c r="H1164" i="7"/>
  <c r="G1164" i="7"/>
  <c r="E1164" i="7"/>
  <c r="AO1163" i="7"/>
  <c r="AH1163" i="7"/>
  <c r="Y1163" i="7"/>
  <c r="H1163" i="7"/>
  <c r="G1163" i="7"/>
  <c r="E1163" i="7"/>
  <c r="AO1162" i="7"/>
  <c r="AH1162" i="7"/>
  <c r="Y1162" i="7"/>
  <c r="AA1162" i="7" s="1"/>
  <c r="H1162" i="7"/>
  <c r="G1162" i="7"/>
  <c r="E1162" i="7"/>
  <c r="AO1161" i="7"/>
  <c r="AH1161" i="7"/>
  <c r="Y1161" i="7"/>
  <c r="AA1161" i="7" s="1"/>
  <c r="H1161" i="7"/>
  <c r="G1161" i="7"/>
  <c r="E1161" i="7"/>
  <c r="AO1160" i="7"/>
  <c r="AH1160" i="7"/>
  <c r="Y1160" i="7"/>
  <c r="H1160" i="7"/>
  <c r="G1160" i="7"/>
  <c r="E1160" i="7"/>
  <c r="AO1159" i="7"/>
  <c r="AH1159" i="7"/>
  <c r="Y1159" i="7"/>
  <c r="AA1159" i="7" s="1"/>
  <c r="H1159" i="7"/>
  <c r="G1159" i="7"/>
  <c r="E1159" i="7"/>
  <c r="AO1158" i="7"/>
  <c r="AH1158" i="7"/>
  <c r="Y1158" i="7"/>
  <c r="AA1158" i="7" s="1"/>
  <c r="H1158" i="7"/>
  <c r="G1158" i="7"/>
  <c r="E1158" i="7"/>
  <c r="AO1157" i="7"/>
  <c r="AH1157" i="7"/>
  <c r="Y1157" i="7"/>
  <c r="AA1157" i="7" s="1"/>
  <c r="H1157" i="7"/>
  <c r="G1157" i="7"/>
  <c r="E1157" i="7"/>
  <c r="AO1156" i="7"/>
  <c r="AH1156" i="7"/>
  <c r="Y1156" i="7"/>
  <c r="AA1156" i="7" s="1"/>
  <c r="H1156" i="7"/>
  <c r="G1156" i="7"/>
  <c r="E1156" i="7"/>
  <c r="AO1155" i="7"/>
  <c r="AH1155" i="7"/>
  <c r="Y1155" i="7"/>
  <c r="AA1155" i="7" s="1"/>
  <c r="H1155" i="7"/>
  <c r="G1155" i="7"/>
  <c r="E1155" i="7"/>
  <c r="AO1154" i="7"/>
  <c r="AH1154" i="7"/>
  <c r="Y1154" i="7"/>
  <c r="X1154" i="7" s="1"/>
  <c r="H1154" i="7"/>
  <c r="G1154" i="7"/>
  <c r="E1154" i="7"/>
  <c r="AO1153" i="7"/>
  <c r="AH1153" i="7"/>
  <c r="Y1153" i="7"/>
  <c r="AA1153" i="7" s="1"/>
  <c r="H1153" i="7"/>
  <c r="G1153" i="7"/>
  <c r="E1153" i="7"/>
  <c r="AO1152" i="7"/>
  <c r="AH1152" i="7"/>
  <c r="Y1152" i="7"/>
  <c r="AA1152" i="7" s="1"/>
  <c r="H1152" i="7"/>
  <c r="G1152" i="7"/>
  <c r="E1152" i="7"/>
  <c r="AO1151" i="7"/>
  <c r="AH1151" i="7"/>
  <c r="Y1151" i="7"/>
  <c r="AA1151" i="7" s="1"/>
  <c r="H1151" i="7"/>
  <c r="G1151" i="7"/>
  <c r="E1151" i="7"/>
  <c r="AO1150" i="7"/>
  <c r="AH1150" i="7"/>
  <c r="Y1150" i="7"/>
  <c r="X1150" i="7" s="1"/>
  <c r="H1150" i="7"/>
  <c r="G1150" i="7"/>
  <c r="E1150" i="7"/>
  <c r="AO1149" i="7"/>
  <c r="AH1149" i="7"/>
  <c r="Y1149" i="7"/>
  <c r="AA1149" i="7" s="1"/>
  <c r="H1149" i="7"/>
  <c r="G1149" i="7"/>
  <c r="E1149" i="7"/>
  <c r="AO1148" i="7"/>
  <c r="AH1148" i="7"/>
  <c r="Y1148" i="7"/>
  <c r="AA1148" i="7" s="1"/>
  <c r="H1148" i="7"/>
  <c r="G1148" i="7"/>
  <c r="E1148" i="7"/>
  <c r="AO1147" i="7"/>
  <c r="AH1147" i="7"/>
  <c r="Y1147" i="7"/>
  <c r="AA1147" i="7" s="1"/>
  <c r="H1147" i="7"/>
  <c r="G1147" i="7"/>
  <c r="E1147" i="7"/>
  <c r="AO1146" i="7"/>
  <c r="AH1146" i="7"/>
  <c r="Y1146" i="7"/>
  <c r="X1146" i="7" s="1"/>
  <c r="H1146" i="7"/>
  <c r="G1146" i="7"/>
  <c r="E1146" i="7"/>
  <c r="AO1145" i="7"/>
  <c r="AH1145" i="7"/>
  <c r="Y1145" i="7"/>
  <c r="AA1145" i="7" s="1"/>
  <c r="H1145" i="7"/>
  <c r="G1145" i="7"/>
  <c r="E1145" i="7"/>
  <c r="AO1144" i="7"/>
  <c r="AH1144" i="7"/>
  <c r="Y1144" i="7"/>
  <c r="AA1144" i="7" s="1"/>
  <c r="H1144" i="7"/>
  <c r="G1144" i="7"/>
  <c r="E1144" i="7"/>
  <c r="AO1143" i="7"/>
  <c r="AH1143" i="7"/>
  <c r="Y1143" i="7"/>
  <c r="AA1143" i="7" s="1"/>
  <c r="H1143" i="7"/>
  <c r="G1143" i="7"/>
  <c r="E1143" i="7"/>
  <c r="AO1142" i="7"/>
  <c r="AH1142" i="7"/>
  <c r="Y1142" i="7"/>
  <c r="X1142" i="7" s="1"/>
  <c r="H1142" i="7"/>
  <c r="G1142" i="7"/>
  <c r="E1142" i="7"/>
  <c r="AO1141" i="7"/>
  <c r="AH1141" i="7"/>
  <c r="Y1141" i="7"/>
  <c r="AA1141" i="7" s="1"/>
  <c r="H1141" i="7"/>
  <c r="G1141" i="7"/>
  <c r="E1141" i="7"/>
  <c r="AO1140" i="7"/>
  <c r="AH1140" i="7"/>
  <c r="Y1140" i="7"/>
  <c r="AA1140" i="7" s="1"/>
  <c r="H1140" i="7"/>
  <c r="G1140" i="7"/>
  <c r="E1140" i="7"/>
  <c r="AO1139" i="7"/>
  <c r="AH1139" i="7"/>
  <c r="Y1139" i="7"/>
  <c r="AA1139" i="7" s="1"/>
  <c r="H1139" i="7"/>
  <c r="G1139" i="7"/>
  <c r="E1139" i="7"/>
  <c r="AO1138" i="7"/>
  <c r="AH1138" i="7"/>
  <c r="Y1138" i="7"/>
  <c r="X1138" i="7" s="1"/>
  <c r="H1138" i="7"/>
  <c r="G1138" i="7"/>
  <c r="E1138" i="7"/>
  <c r="AO1137" i="7"/>
  <c r="AH1137" i="7"/>
  <c r="Y1137" i="7"/>
  <c r="AA1137" i="7" s="1"/>
  <c r="H1137" i="7"/>
  <c r="G1137" i="7"/>
  <c r="E1137" i="7"/>
  <c r="AO1136" i="7"/>
  <c r="AH1136" i="7"/>
  <c r="Y1136" i="7"/>
  <c r="AA1136" i="7" s="1"/>
  <c r="H1136" i="7"/>
  <c r="G1136" i="7"/>
  <c r="E1136" i="7"/>
  <c r="AO1135" i="7"/>
  <c r="AH1135" i="7"/>
  <c r="Y1135" i="7"/>
  <c r="AA1135" i="7" s="1"/>
  <c r="H1135" i="7"/>
  <c r="G1135" i="7"/>
  <c r="E1135" i="7"/>
  <c r="AO1134" i="7"/>
  <c r="AH1134" i="7"/>
  <c r="Y1134" i="7"/>
  <c r="X1134" i="7" s="1"/>
  <c r="H1134" i="7"/>
  <c r="G1134" i="7"/>
  <c r="E1134" i="7"/>
  <c r="AO1133" i="7"/>
  <c r="AH1133" i="7"/>
  <c r="Y1133" i="7"/>
  <c r="AA1133" i="7" s="1"/>
  <c r="H1133" i="7"/>
  <c r="G1133" i="7"/>
  <c r="E1133" i="7"/>
  <c r="AO1132" i="7"/>
  <c r="AH1132" i="7"/>
  <c r="Y1132" i="7"/>
  <c r="AA1132" i="7" s="1"/>
  <c r="H1132" i="7"/>
  <c r="G1132" i="7"/>
  <c r="E1132" i="7"/>
  <c r="AO1131" i="7"/>
  <c r="AH1131" i="7"/>
  <c r="Y1131" i="7"/>
  <c r="AA1131" i="7" s="1"/>
  <c r="H1131" i="7"/>
  <c r="G1131" i="7"/>
  <c r="E1131" i="7"/>
  <c r="AO1130" i="7"/>
  <c r="AH1130" i="7"/>
  <c r="Y1130" i="7"/>
  <c r="X1130" i="7" s="1"/>
  <c r="H1130" i="7"/>
  <c r="G1130" i="7"/>
  <c r="E1130" i="7"/>
  <c r="AO1129" i="7"/>
  <c r="AH1129" i="7"/>
  <c r="Y1129" i="7"/>
  <c r="AA1129" i="7" s="1"/>
  <c r="H1129" i="7"/>
  <c r="G1129" i="7"/>
  <c r="E1129" i="7"/>
  <c r="AO1128" i="7"/>
  <c r="AH1128" i="7"/>
  <c r="Y1128" i="7"/>
  <c r="AA1128" i="7" s="1"/>
  <c r="H1128" i="7"/>
  <c r="G1128" i="7"/>
  <c r="E1128" i="7"/>
  <c r="AO1127" i="7"/>
  <c r="AH1127" i="7"/>
  <c r="Y1127" i="7"/>
  <c r="AA1127" i="7" s="1"/>
  <c r="H1127" i="7"/>
  <c r="G1127" i="7"/>
  <c r="E1127" i="7"/>
  <c r="AO1126" i="7"/>
  <c r="AH1126" i="7"/>
  <c r="Y1126" i="7"/>
  <c r="X1126" i="7" s="1"/>
  <c r="H1126" i="7"/>
  <c r="G1126" i="7"/>
  <c r="E1126" i="7"/>
  <c r="AO1125" i="7"/>
  <c r="AH1125" i="7"/>
  <c r="Y1125" i="7"/>
  <c r="AA1125" i="7" s="1"/>
  <c r="H1125" i="7"/>
  <c r="G1125" i="7"/>
  <c r="E1125" i="7"/>
  <c r="AO1124" i="7"/>
  <c r="AH1124" i="7"/>
  <c r="Y1124" i="7"/>
  <c r="Z1124" i="7" s="1"/>
  <c r="H1124" i="7"/>
  <c r="G1124" i="7"/>
  <c r="E1124" i="7"/>
  <c r="AO1123" i="7"/>
  <c r="AH1123" i="7"/>
  <c r="Y1123" i="7"/>
  <c r="Z1123" i="7" s="1"/>
  <c r="H1123" i="7"/>
  <c r="G1123" i="7"/>
  <c r="E1123" i="7"/>
  <c r="AO1122" i="7"/>
  <c r="AH1122" i="7"/>
  <c r="Y1122" i="7"/>
  <c r="Z1122" i="7" s="1"/>
  <c r="H1122" i="7"/>
  <c r="G1122" i="7"/>
  <c r="E1122" i="7"/>
  <c r="AO1121" i="7"/>
  <c r="AH1121" i="7"/>
  <c r="Y1121" i="7"/>
  <c r="Z1121" i="7" s="1"/>
  <c r="H1121" i="7"/>
  <c r="G1121" i="7"/>
  <c r="E1121" i="7"/>
  <c r="AO1120" i="7"/>
  <c r="AH1120" i="7"/>
  <c r="Y1120" i="7"/>
  <c r="Z1120" i="7" s="1"/>
  <c r="H1120" i="7"/>
  <c r="G1120" i="7"/>
  <c r="E1120" i="7"/>
  <c r="AO1119" i="7"/>
  <c r="AH1119" i="7"/>
  <c r="Y1119" i="7"/>
  <c r="H1119" i="7"/>
  <c r="G1119" i="7"/>
  <c r="E1119" i="7"/>
  <c r="AO1118" i="7"/>
  <c r="AH1118" i="7"/>
  <c r="Y1118" i="7"/>
  <c r="Z1118" i="7" s="1"/>
  <c r="H1118" i="7"/>
  <c r="G1118" i="7"/>
  <c r="E1118" i="7"/>
  <c r="AO1117" i="7"/>
  <c r="AH1117" i="7"/>
  <c r="Y1117" i="7"/>
  <c r="H1117" i="7"/>
  <c r="G1117" i="7"/>
  <c r="E1117" i="7"/>
  <c r="AO1116" i="7"/>
  <c r="AH1116" i="7"/>
  <c r="Y1116" i="7"/>
  <c r="Z1116" i="7" s="1"/>
  <c r="H1116" i="7"/>
  <c r="G1116" i="7"/>
  <c r="E1116" i="7"/>
  <c r="AO1115" i="7"/>
  <c r="AH1115" i="7"/>
  <c r="Y1115" i="7"/>
  <c r="H1115" i="7"/>
  <c r="G1115" i="7"/>
  <c r="E1115" i="7"/>
  <c r="AO1114" i="7"/>
  <c r="AH1114" i="7"/>
  <c r="Y1114" i="7"/>
  <c r="Z1114" i="7" s="1"/>
  <c r="H1114" i="7"/>
  <c r="G1114" i="7"/>
  <c r="E1114" i="7"/>
  <c r="AO1113" i="7"/>
  <c r="AH1113" i="7"/>
  <c r="Y1113" i="7"/>
  <c r="H1113" i="7"/>
  <c r="G1113" i="7"/>
  <c r="E1113" i="7"/>
  <c r="AO1112" i="7"/>
  <c r="AH1112" i="7"/>
  <c r="Y1112" i="7"/>
  <c r="Z1112" i="7" s="1"/>
  <c r="H1112" i="7"/>
  <c r="G1112" i="7"/>
  <c r="E1112" i="7"/>
  <c r="AO1111" i="7"/>
  <c r="AH1111" i="7"/>
  <c r="Y1111" i="7"/>
  <c r="H1111" i="7"/>
  <c r="G1111" i="7"/>
  <c r="E1111" i="7"/>
  <c r="AO1110" i="7"/>
  <c r="AH1110" i="7"/>
  <c r="Y1110" i="7"/>
  <c r="Z1110" i="7" s="1"/>
  <c r="H1110" i="7"/>
  <c r="G1110" i="7"/>
  <c r="E1110" i="7"/>
  <c r="AO1109" i="7"/>
  <c r="AH1109" i="7"/>
  <c r="Y1109" i="7"/>
  <c r="H1109" i="7"/>
  <c r="G1109" i="7"/>
  <c r="E1109" i="7"/>
  <c r="AO1108" i="7"/>
  <c r="AH1108" i="7"/>
  <c r="Y1108" i="7"/>
  <c r="Z1108" i="7" s="1"/>
  <c r="H1108" i="7"/>
  <c r="G1108" i="7"/>
  <c r="E1108" i="7"/>
  <c r="AO1107" i="7"/>
  <c r="AH1107" i="7"/>
  <c r="Y1107" i="7"/>
  <c r="H1107" i="7"/>
  <c r="G1107" i="7"/>
  <c r="E1107" i="7"/>
  <c r="AO1245" i="7"/>
  <c r="AH1245" i="7"/>
  <c r="Y1245" i="7"/>
  <c r="H1245" i="7"/>
  <c r="G1245" i="7"/>
  <c r="E1245" i="7"/>
  <c r="AO1244" i="7"/>
  <c r="AH1244" i="7"/>
  <c r="Y1244" i="7"/>
  <c r="H1244" i="7"/>
  <c r="G1244" i="7"/>
  <c r="E1244" i="7"/>
  <c r="AO1243" i="7"/>
  <c r="AH1243" i="7"/>
  <c r="Y1243" i="7"/>
  <c r="X1243" i="7" s="1"/>
  <c r="H1243" i="7"/>
  <c r="G1243" i="7"/>
  <c r="E1243" i="7"/>
  <c r="AO1228" i="7"/>
  <c r="AH1228" i="7"/>
  <c r="Y1228" i="7"/>
  <c r="X1228" i="7" s="1"/>
  <c r="H1228" i="7"/>
  <c r="G1228" i="7"/>
  <c r="E1228" i="7"/>
  <c r="AO1227" i="7"/>
  <c r="AH1227" i="7"/>
  <c r="Y1227" i="7"/>
  <c r="X1227" i="7" s="1"/>
  <c r="H1227" i="7"/>
  <c r="G1227" i="7"/>
  <c r="E1227" i="7"/>
  <c r="AO1226" i="7"/>
  <c r="AH1226" i="7"/>
  <c r="Y1226" i="7"/>
  <c r="X1226" i="7" s="1"/>
  <c r="H1226" i="7"/>
  <c r="G1226" i="7"/>
  <c r="E1226" i="7"/>
  <c r="AO1225" i="7"/>
  <c r="AH1225" i="7"/>
  <c r="Y1225" i="7"/>
  <c r="X1225" i="7" s="1"/>
  <c r="H1225" i="7"/>
  <c r="G1225" i="7"/>
  <c r="E1225" i="7"/>
  <c r="AO1224" i="7"/>
  <c r="AH1224" i="7"/>
  <c r="Y1224" i="7"/>
  <c r="H1224" i="7"/>
  <c r="G1224" i="7"/>
  <c r="E1224" i="7"/>
  <c r="AO1223" i="7"/>
  <c r="AH1223" i="7"/>
  <c r="Y1223" i="7"/>
  <c r="H1223" i="7"/>
  <c r="G1223" i="7"/>
  <c r="E1223" i="7"/>
  <c r="AO1106" i="7"/>
  <c r="AH1106" i="7"/>
  <c r="Y1106" i="7"/>
  <c r="X1106" i="7" s="1"/>
  <c r="H1106" i="7"/>
  <c r="G1106" i="7"/>
  <c r="E1106" i="7"/>
  <c r="AO1105" i="7"/>
  <c r="AH1105" i="7"/>
  <c r="Y1105" i="7"/>
  <c r="X1105" i="7" s="1"/>
  <c r="H1105" i="7"/>
  <c r="G1105" i="7"/>
  <c r="E1105" i="7"/>
  <c r="AO1104" i="7"/>
  <c r="AH1104" i="7"/>
  <c r="Y1104" i="7"/>
  <c r="H1104" i="7"/>
  <c r="G1104" i="7"/>
  <c r="E1104" i="7"/>
  <c r="AO1103" i="7"/>
  <c r="AH1103" i="7"/>
  <c r="Y1103" i="7"/>
  <c r="X1103" i="7" s="1"/>
  <c r="H1103" i="7"/>
  <c r="G1103" i="7"/>
  <c r="E1103" i="7"/>
  <c r="AO1102" i="7"/>
  <c r="AH1102" i="7"/>
  <c r="Y1102" i="7"/>
  <c r="H1102" i="7"/>
  <c r="G1102" i="7"/>
  <c r="E1102" i="7"/>
  <c r="AO1101" i="7"/>
  <c r="AH1101" i="7"/>
  <c r="Y1101" i="7"/>
  <c r="X1101" i="7" s="1"/>
  <c r="H1101" i="7"/>
  <c r="G1101" i="7"/>
  <c r="E1101" i="7"/>
  <c r="AO1100" i="7"/>
  <c r="AH1100" i="7"/>
  <c r="Y1100" i="7"/>
  <c r="AA1100" i="7" s="1"/>
  <c r="H1100" i="7"/>
  <c r="G1100" i="7"/>
  <c r="E1100" i="7"/>
  <c r="AO1099" i="7"/>
  <c r="AH1099" i="7"/>
  <c r="Y1099" i="7"/>
  <c r="H1099" i="7"/>
  <c r="G1099" i="7"/>
  <c r="E1099" i="7"/>
  <c r="AO1098" i="7"/>
  <c r="AH1098" i="7"/>
  <c r="Y1098" i="7"/>
  <c r="X1098" i="7" s="1"/>
  <c r="H1098" i="7"/>
  <c r="G1098" i="7"/>
  <c r="E1098" i="7"/>
  <c r="AO1097" i="7"/>
  <c r="AH1097" i="7"/>
  <c r="Y1097" i="7"/>
  <c r="X1097" i="7" s="1"/>
  <c r="H1097" i="7"/>
  <c r="G1097" i="7"/>
  <c r="E1097" i="7"/>
  <c r="AO1096" i="7"/>
  <c r="AH1096" i="7"/>
  <c r="Y1096" i="7"/>
  <c r="AA1096" i="7" s="1"/>
  <c r="H1096" i="7"/>
  <c r="G1096" i="7"/>
  <c r="E1096" i="7"/>
  <c r="AO1095" i="7"/>
  <c r="AH1095" i="7"/>
  <c r="Y1095" i="7"/>
  <c r="Z1095" i="7" s="1"/>
  <c r="H1095" i="7"/>
  <c r="G1095" i="7"/>
  <c r="E1095" i="7"/>
  <c r="AO1094" i="7"/>
  <c r="AH1094" i="7"/>
  <c r="Y1094" i="7"/>
  <c r="X1094" i="7" s="1"/>
  <c r="H1094" i="7"/>
  <c r="G1094" i="7"/>
  <c r="E1094" i="7"/>
  <c r="AO1093" i="7"/>
  <c r="AH1093" i="7"/>
  <c r="Y1093" i="7"/>
  <c r="Z1093" i="7" s="1"/>
  <c r="H1093" i="7"/>
  <c r="G1093" i="7"/>
  <c r="E1093" i="7"/>
  <c r="AO1092" i="7"/>
  <c r="AH1092" i="7"/>
  <c r="Y1092" i="7"/>
  <c r="X1092" i="7" s="1"/>
  <c r="H1092" i="7"/>
  <c r="G1092" i="7"/>
  <c r="E1092" i="7"/>
  <c r="AO1091" i="7"/>
  <c r="AH1091" i="7"/>
  <c r="Y1091" i="7"/>
  <c r="Z1091" i="7" s="1"/>
  <c r="H1091" i="7"/>
  <c r="G1091" i="7"/>
  <c r="E1091" i="7"/>
  <c r="AO1090" i="7"/>
  <c r="AH1090" i="7"/>
  <c r="Y1090" i="7"/>
  <c r="Z1090" i="7" s="1"/>
  <c r="H1090" i="7"/>
  <c r="G1090" i="7"/>
  <c r="E1090" i="7"/>
  <c r="AO1089" i="7"/>
  <c r="AH1089" i="7"/>
  <c r="Y1089" i="7"/>
  <c r="Z1089" i="7" s="1"/>
  <c r="H1089" i="7"/>
  <c r="G1089" i="7"/>
  <c r="E1089" i="7"/>
  <c r="AO1088" i="7"/>
  <c r="AH1088" i="7"/>
  <c r="Y1088" i="7"/>
  <c r="AA1088" i="7" s="1"/>
  <c r="H1088" i="7"/>
  <c r="G1088" i="7"/>
  <c r="E1088" i="7"/>
  <c r="AO1087" i="7"/>
  <c r="AH1087" i="7"/>
  <c r="Y1087" i="7"/>
  <c r="Z1087" i="7" s="1"/>
  <c r="H1087" i="7"/>
  <c r="G1087" i="7"/>
  <c r="E1087" i="7"/>
  <c r="AO1086" i="7"/>
  <c r="AH1086" i="7"/>
  <c r="Y1086" i="7"/>
  <c r="X1086" i="7" s="1"/>
  <c r="H1086" i="7"/>
  <c r="G1086" i="7"/>
  <c r="E1086" i="7"/>
  <c r="AO1085" i="7"/>
  <c r="AH1085" i="7"/>
  <c r="Y1085" i="7"/>
  <c r="Z1085" i="7" s="1"/>
  <c r="H1085" i="7"/>
  <c r="G1085" i="7"/>
  <c r="E1085" i="7"/>
  <c r="AO1084" i="7"/>
  <c r="AH1084" i="7"/>
  <c r="Y1084" i="7"/>
  <c r="X1084" i="7" s="1"/>
  <c r="H1084" i="7"/>
  <c r="G1084" i="7"/>
  <c r="E1084" i="7"/>
  <c r="AO1083" i="7"/>
  <c r="AH1083" i="7"/>
  <c r="Y1083" i="7"/>
  <c r="Z1083" i="7" s="1"/>
  <c r="H1083" i="7"/>
  <c r="G1083" i="7"/>
  <c r="E1083" i="7"/>
  <c r="AO1082" i="7"/>
  <c r="AH1082" i="7"/>
  <c r="Y1082" i="7"/>
  <c r="AA1082" i="7" s="1"/>
  <c r="H1082" i="7"/>
  <c r="G1082" i="7"/>
  <c r="E1082" i="7"/>
  <c r="AO1081" i="7"/>
  <c r="AH1081" i="7"/>
  <c r="Y1081" i="7"/>
  <c r="AA1081" i="7" s="1"/>
  <c r="H1081" i="7"/>
  <c r="G1081" i="7"/>
  <c r="E1081" i="7"/>
  <c r="AO1080" i="7"/>
  <c r="AH1080" i="7"/>
  <c r="Y1080" i="7"/>
  <c r="AA1080" i="7" s="1"/>
  <c r="H1080" i="7"/>
  <c r="G1080" i="7"/>
  <c r="E1080" i="7"/>
  <c r="AO1079" i="7"/>
  <c r="AH1079" i="7"/>
  <c r="Y1079" i="7"/>
  <c r="Z1079" i="7" s="1"/>
  <c r="H1079" i="7"/>
  <c r="G1079" i="7"/>
  <c r="E1079" i="7"/>
  <c r="AO1078" i="7"/>
  <c r="AH1078" i="7"/>
  <c r="Y1078" i="7"/>
  <c r="Z1078" i="7" s="1"/>
  <c r="H1078" i="7"/>
  <c r="G1078" i="7"/>
  <c r="E1078" i="7"/>
  <c r="AO1077" i="7"/>
  <c r="AH1077" i="7"/>
  <c r="Y1077" i="7"/>
  <c r="Z1077" i="7" s="1"/>
  <c r="H1077" i="7"/>
  <c r="G1077" i="7"/>
  <c r="E1077" i="7"/>
  <c r="AO1076" i="7"/>
  <c r="AH1076" i="7"/>
  <c r="Y1076" i="7"/>
  <c r="Z1076" i="7" s="1"/>
  <c r="H1076" i="7"/>
  <c r="G1076" i="7"/>
  <c r="E1076" i="7"/>
  <c r="AO1075" i="7"/>
  <c r="AH1075" i="7"/>
  <c r="Y1075" i="7"/>
  <c r="AA1075" i="7" s="1"/>
  <c r="H1075" i="7"/>
  <c r="G1075" i="7"/>
  <c r="E1075" i="7"/>
  <c r="AO1074" i="7"/>
  <c r="AH1074" i="7"/>
  <c r="Y1074" i="7"/>
  <c r="Z1074" i="7" s="1"/>
  <c r="H1074" i="7"/>
  <c r="G1074" i="7"/>
  <c r="E1074" i="7"/>
  <c r="AO1073" i="7"/>
  <c r="AH1073" i="7"/>
  <c r="Y1073" i="7"/>
  <c r="Z1073" i="7" s="1"/>
  <c r="H1073" i="7"/>
  <c r="G1073" i="7"/>
  <c r="E1073" i="7"/>
  <c r="AO1072" i="7"/>
  <c r="AH1072" i="7"/>
  <c r="Y1072" i="7"/>
  <c r="Z1072" i="7" s="1"/>
  <c r="H1072" i="7"/>
  <c r="G1072" i="7"/>
  <c r="E1072" i="7"/>
  <c r="AO1071" i="7"/>
  <c r="AH1071" i="7"/>
  <c r="Y1071" i="7"/>
  <c r="X1071" i="7" s="1"/>
  <c r="H1071" i="7"/>
  <c r="G1071" i="7"/>
  <c r="E1071" i="7"/>
  <c r="AO1070" i="7"/>
  <c r="AH1070" i="7"/>
  <c r="Y1070" i="7"/>
  <c r="Z1070" i="7" s="1"/>
  <c r="H1070" i="7"/>
  <c r="G1070" i="7"/>
  <c r="E1070" i="7"/>
  <c r="AO1069" i="7"/>
  <c r="AH1069" i="7"/>
  <c r="Y1069" i="7"/>
  <c r="AA1069" i="7" s="1"/>
  <c r="H1069" i="7"/>
  <c r="G1069" i="7"/>
  <c r="E1069" i="7"/>
  <c r="AO1068" i="7"/>
  <c r="AH1068" i="7"/>
  <c r="Y1068" i="7"/>
  <c r="Z1068" i="7" s="1"/>
  <c r="H1068" i="7"/>
  <c r="G1068" i="7"/>
  <c r="E1068" i="7"/>
  <c r="AO1067" i="7"/>
  <c r="AH1067" i="7"/>
  <c r="Y1067" i="7"/>
  <c r="X1067" i="7" s="1"/>
  <c r="H1067" i="7"/>
  <c r="G1067" i="7"/>
  <c r="E1067" i="7"/>
  <c r="AO1066" i="7"/>
  <c r="AH1066" i="7"/>
  <c r="Y1066" i="7"/>
  <c r="Z1066" i="7" s="1"/>
  <c r="H1066" i="7"/>
  <c r="G1066" i="7"/>
  <c r="E1066" i="7"/>
  <c r="AO1065" i="7"/>
  <c r="AH1065" i="7"/>
  <c r="Y1065" i="7"/>
  <c r="AA1065" i="7" s="1"/>
  <c r="H1065" i="7"/>
  <c r="G1065" i="7"/>
  <c r="E1065" i="7"/>
  <c r="AO1064" i="7"/>
  <c r="AH1064" i="7"/>
  <c r="Y1064" i="7"/>
  <c r="Z1064" i="7" s="1"/>
  <c r="H1064" i="7"/>
  <c r="G1064" i="7"/>
  <c r="E1064" i="7"/>
  <c r="AO1063" i="7"/>
  <c r="AH1063" i="7"/>
  <c r="Y1063" i="7"/>
  <c r="X1063" i="7" s="1"/>
  <c r="H1063" i="7"/>
  <c r="G1063" i="7"/>
  <c r="E1063" i="7"/>
  <c r="AO1062" i="7"/>
  <c r="AH1062" i="7"/>
  <c r="Y1062" i="7"/>
  <c r="Z1062" i="7" s="1"/>
  <c r="H1062" i="7"/>
  <c r="G1062" i="7"/>
  <c r="E1062" i="7"/>
  <c r="AO1061" i="7"/>
  <c r="AH1061" i="7"/>
  <c r="Y1061" i="7"/>
  <c r="AA1061" i="7" s="1"/>
  <c r="H1061" i="7"/>
  <c r="G1061" i="7"/>
  <c r="E1061" i="7"/>
  <c r="AO1060" i="7"/>
  <c r="AH1060" i="7"/>
  <c r="Y1060" i="7"/>
  <c r="Z1060" i="7" s="1"/>
  <c r="H1060" i="7"/>
  <c r="G1060" i="7"/>
  <c r="E1060" i="7"/>
  <c r="AO1059" i="7"/>
  <c r="AH1059" i="7"/>
  <c r="Y1059" i="7"/>
  <c r="X1059" i="7" s="1"/>
  <c r="H1059" i="7"/>
  <c r="G1059" i="7"/>
  <c r="E1059" i="7"/>
  <c r="AO1058" i="7"/>
  <c r="AH1058" i="7"/>
  <c r="Y1058" i="7"/>
  <c r="Z1058" i="7" s="1"/>
  <c r="H1058" i="7"/>
  <c r="G1058" i="7"/>
  <c r="E1058" i="7"/>
  <c r="AO1057" i="7"/>
  <c r="AH1057" i="7"/>
  <c r="Y1057" i="7"/>
  <c r="AA1057" i="7" s="1"/>
  <c r="H1057" i="7"/>
  <c r="G1057" i="7"/>
  <c r="E1057" i="7"/>
  <c r="AO1056" i="7"/>
  <c r="AH1056" i="7"/>
  <c r="Y1056" i="7"/>
  <c r="Z1056" i="7" s="1"/>
  <c r="H1056" i="7"/>
  <c r="G1056" i="7"/>
  <c r="E1056" i="7"/>
  <c r="AO1055" i="7"/>
  <c r="AH1055" i="7"/>
  <c r="Y1055" i="7"/>
  <c r="AA1055" i="7" s="1"/>
  <c r="H1055" i="7"/>
  <c r="G1055" i="7"/>
  <c r="E1055" i="7"/>
  <c r="AO1054" i="7"/>
  <c r="AH1054" i="7"/>
  <c r="Y1054" i="7"/>
  <c r="Z1054" i="7" s="1"/>
  <c r="H1054" i="7"/>
  <c r="G1054" i="7"/>
  <c r="E1054" i="7"/>
  <c r="AO1053" i="7"/>
  <c r="AH1053" i="7"/>
  <c r="Y1053" i="7"/>
  <c r="X1053" i="7" s="1"/>
  <c r="H1053" i="7"/>
  <c r="G1053" i="7"/>
  <c r="E1053" i="7"/>
  <c r="AO1052" i="7"/>
  <c r="AH1052" i="7"/>
  <c r="Y1052" i="7"/>
  <c r="Z1052" i="7" s="1"/>
  <c r="H1052" i="7"/>
  <c r="G1052" i="7"/>
  <c r="E1052" i="7"/>
  <c r="AO1051" i="7"/>
  <c r="AH1051" i="7"/>
  <c r="Y1051" i="7"/>
  <c r="X1051" i="7" s="1"/>
  <c r="H1051" i="7"/>
  <c r="G1051" i="7"/>
  <c r="E1051" i="7"/>
  <c r="AO1050" i="7"/>
  <c r="AH1050" i="7"/>
  <c r="Y1050" i="7"/>
  <c r="Z1050" i="7" s="1"/>
  <c r="H1050" i="7"/>
  <c r="G1050" i="7"/>
  <c r="E1050" i="7"/>
  <c r="AO1049" i="7"/>
  <c r="AH1049" i="7"/>
  <c r="Y1049" i="7"/>
  <c r="AA1049" i="7" s="1"/>
  <c r="H1049" i="7"/>
  <c r="G1049" i="7"/>
  <c r="E1049" i="7"/>
  <c r="AO1048" i="7"/>
  <c r="AH1048" i="7"/>
  <c r="Y1048" i="7"/>
  <c r="Z1048" i="7" s="1"/>
  <c r="H1048" i="7"/>
  <c r="G1048" i="7"/>
  <c r="E1048" i="7"/>
  <c r="AO1047" i="7"/>
  <c r="AH1047" i="7"/>
  <c r="Y1047" i="7"/>
  <c r="AA1047" i="7" s="1"/>
  <c r="H1047" i="7"/>
  <c r="G1047" i="7"/>
  <c r="E1047" i="7"/>
  <c r="AO1046" i="7"/>
  <c r="AH1046" i="7"/>
  <c r="Y1046" i="7"/>
  <c r="AA1046" i="7" s="1"/>
  <c r="H1046" i="7"/>
  <c r="G1046" i="7"/>
  <c r="E1046" i="7"/>
  <c r="AO1045" i="7"/>
  <c r="AH1045" i="7"/>
  <c r="Y1045" i="7"/>
  <c r="AA1045" i="7" s="1"/>
  <c r="H1045" i="7"/>
  <c r="G1045" i="7"/>
  <c r="E1045" i="7"/>
  <c r="AO1044" i="7"/>
  <c r="AH1044" i="7"/>
  <c r="Y1044" i="7"/>
  <c r="Z1044" i="7" s="1"/>
  <c r="H1044" i="7"/>
  <c r="G1044" i="7"/>
  <c r="E1044" i="7"/>
  <c r="AO1043" i="7"/>
  <c r="AH1043" i="7"/>
  <c r="Y1043" i="7"/>
  <c r="Z1043" i="7" s="1"/>
  <c r="H1043" i="7"/>
  <c r="G1043" i="7"/>
  <c r="E1043" i="7"/>
  <c r="AO1042" i="7"/>
  <c r="AH1042" i="7"/>
  <c r="Y1042" i="7"/>
  <c r="Z1042" i="7" s="1"/>
  <c r="H1042" i="7"/>
  <c r="G1042" i="7"/>
  <c r="E1042" i="7"/>
  <c r="AO1041" i="7"/>
  <c r="AH1041" i="7"/>
  <c r="Y1041" i="7"/>
  <c r="AA1041" i="7" s="1"/>
  <c r="H1041" i="7"/>
  <c r="G1041" i="7"/>
  <c r="E1041" i="7"/>
  <c r="AO1040" i="7"/>
  <c r="AH1040" i="7"/>
  <c r="Y1040" i="7"/>
  <c r="AA1040" i="7" s="1"/>
  <c r="H1040" i="7"/>
  <c r="G1040" i="7"/>
  <c r="E1040" i="7"/>
  <c r="AO1039" i="7"/>
  <c r="AH1039" i="7"/>
  <c r="Y1039" i="7"/>
  <c r="Z1039" i="7" s="1"/>
  <c r="H1039" i="7"/>
  <c r="G1039" i="7"/>
  <c r="E1039" i="7"/>
  <c r="AO1038" i="7"/>
  <c r="AH1038" i="7"/>
  <c r="Y1038" i="7"/>
  <c r="Z1038" i="7" s="1"/>
  <c r="H1038" i="7"/>
  <c r="G1038" i="7"/>
  <c r="E1038" i="7"/>
  <c r="AO1037" i="7"/>
  <c r="AH1037" i="7"/>
  <c r="Y1037" i="7"/>
  <c r="Z1037" i="7" s="1"/>
  <c r="H1037" i="7"/>
  <c r="G1037" i="7"/>
  <c r="E1037" i="7"/>
  <c r="AO1036" i="7"/>
  <c r="AH1036" i="7"/>
  <c r="Y1036" i="7"/>
  <c r="AA1036" i="7" s="1"/>
  <c r="H1036" i="7"/>
  <c r="G1036" i="7"/>
  <c r="E1036" i="7"/>
  <c r="AO1035" i="7"/>
  <c r="AH1035" i="7"/>
  <c r="Y1035" i="7"/>
  <c r="AA1035" i="7" s="1"/>
  <c r="H1035" i="7"/>
  <c r="G1035" i="7"/>
  <c r="E1035" i="7"/>
  <c r="AO1034" i="7"/>
  <c r="AH1034" i="7"/>
  <c r="Y1034" i="7"/>
  <c r="X1034" i="7" s="1"/>
  <c r="H1034" i="7"/>
  <c r="G1034" i="7"/>
  <c r="E1034" i="7"/>
  <c r="AO1033" i="7"/>
  <c r="AH1033" i="7"/>
  <c r="Y1033" i="7"/>
  <c r="Z1033" i="7" s="1"/>
  <c r="H1033" i="7"/>
  <c r="G1033" i="7"/>
  <c r="E1033" i="7"/>
  <c r="AO1032" i="7"/>
  <c r="AH1032" i="7"/>
  <c r="Y1032" i="7"/>
  <c r="Z1032" i="7" s="1"/>
  <c r="H1032" i="7"/>
  <c r="G1032" i="7"/>
  <c r="E1032" i="7"/>
  <c r="AO1031" i="7"/>
  <c r="AH1031" i="7"/>
  <c r="Y1031" i="7"/>
  <c r="Z1031" i="7" s="1"/>
  <c r="H1031" i="7"/>
  <c r="G1031" i="7"/>
  <c r="E1031" i="7"/>
  <c r="AO1030" i="7"/>
  <c r="AH1030" i="7"/>
  <c r="Y1030" i="7"/>
  <c r="X1030" i="7" s="1"/>
  <c r="H1030" i="7"/>
  <c r="G1030" i="7"/>
  <c r="E1030" i="7"/>
  <c r="AO1029" i="7"/>
  <c r="AH1029" i="7"/>
  <c r="Y1029" i="7"/>
  <c r="X1029" i="7" s="1"/>
  <c r="H1029" i="7"/>
  <c r="G1029" i="7"/>
  <c r="E1029" i="7"/>
  <c r="AO1028" i="7"/>
  <c r="AH1028" i="7"/>
  <c r="Y1028" i="7"/>
  <c r="X1028" i="7" s="1"/>
  <c r="H1028" i="7"/>
  <c r="G1028" i="7"/>
  <c r="E1028" i="7"/>
  <c r="AO1027" i="7"/>
  <c r="AH1027" i="7"/>
  <c r="Y1027" i="7"/>
  <c r="X1027" i="7" s="1"/>
  <c r="H1027" i="7"/>
  <c r="G1027" i="7"/>
  <c r="E1027" i="7"/>
  <c r="AO1026" i="7"/>
  <c r="AH1026" i="7"/>
  <c r="Y1026" i="7"/>
  <c r="X1026" i="7" s="1"/>
  <c r="H1026" i="7"/>
  <c r="G1026" i="7"/>
  <c r="E1026" i="7"/>
  <c r="AO1025" i="7"/>
  <c r="AH1025" i="7"/>
  <c r="Y1025" i="7"/>
  <c r="X1025" i="7" s="1"/>
  <c r="H1025" i="7"/>
  <c r="G1025" i="7"/>
  <c r="E1025" i="7"/>
  <c r="AO1024" i="7"/>
  <c r="AH1024" i="7"/>
  <c r="Y1024" i="7"/>
  <c r="X1024" i="7" s="1"/>
  <c r="H1024" i="7"/>
  <c r="G1024" i="7"/>
  <c r="E1024" i="7"/>
  <c r="AO1023" i="7"/>
  <c r="AH1023" i="7"/>
  <c r="Y1023" i="7"/>
  <c r="X1023" i="7" s="1"/>
  <c r="H1023" i="7"/>
  <c r="G1023" i="7"/>
  <c r="E1023" i="7"/>
  <c r="AO1022" i="7"/>
  <c r="AH1022" i="7"/>
  <c r="Y1022" i="7"/>
  <c r="X1022" i="7" s="1"/>
  <c r="H1022" i="7"/>
  <c r="G1022" i="7"/>
  <c r="E1022" i="7"/>
  <c r="AO1021" i="7"/>
  <c r="AH1021" i="7"/>
  <c r="Y1021" i="7"/>
  <c r="X1021" i="7" s="1"/>
  <c r="H1021" i="7"/>
  <c r="G1021" i="7"/>
  <c r="E1021" i="7"/>
  <c r="AO1020" i="7"/>
  <c r="AH1020" i="7"/>
  <c r="Y1020" i="7"/>
  <c r="X1020" i="7" s="1"/>
  <c r="H1020" i="7"/>
  <c r="G1020" i="7"/>
  <c r="E1020" i="7"/>
  <c r="AO1019" i="7"/>
  <c r="AH1019" i="7"/>
  <c r="Y1019" i="7"/>
  <c r="X1019" i="7" s="1"/>
  <c r="H1019" i="7"/>
  <c r="G1019" i="7"/>
  <c r="E1019" i="7"/>
  <c r="M48" i="7" l="1"/>
  <c r="AO48" i="7" s="1"/>
  <c r="M49" i="7"/>
  <c r="AO49" i="7" s="1"/>
  <c r="M50" i="7"/>
  <c r="AO50" i="7" s="1"/>
  <c r="M53" i="7"/>
  <c r="AO53" i="7" s="1"/>
  <c r="AQ1005" i="7"/>
  <c r="AQ862" i="7"/>
  <c r="AQ723" i="7"/>
  <c r="AQ586" i="7"/>
  <c r="AQ928" i="7"/>
  <c r="AM928" i="7" s="1"/>
  <c r="AQ779" i="7"/>
  <c r="AQ634" i="7"/>
  <c r="AQ811" i="7"/>
  <c r="AM811" i="7" s="1"/>
  <c r="AQ620" i="7"/>
  <c r="AQ964" i="7"/>
  <c r="AM964" i="7" s="1"/>
  <c r="AQ787" i="7"/>
  <c r="AM787" i="7" s="1"/>
  <c r="AQ672" i="7"/>
  <c r="AQ905" i="7"/>
  <c r="AM905" i="7" s="1"/>
  <c r="AQ746" i="7"/>
  <c r="AQ611" i="7"/>
  <c r="AQ951" i="7"/>
  <c r="AM951" i="7" s="1"/>
  <c r="AQ837" i="7"/>
  <c r="AQ680" i="7"/>
  <c r="AQ932" i="7"/>
  <c r="AM932" i="7" s="1"/>
  <c r="AQ618" i="7"/>
  <c r="AQ501" i="7"/>
  <c r="AQ920" i="7"/>
  <c r="AM920" i="7" s="1"/>
  <c r="AQ738" i="7"/>
  <c r="AQ457" i="7"/>
  <c r="AQ981" i="7"/>
  <c r="AM981" i="7" s="1"/>
  <c r="AQ663" i="7"/>
  <c r="AQ508" i="7"/>
  <c r="AQ326" i="7"/>
  <c r="AQ689" i="7"/>
  <c r="AQ488" i="7"/>
  <c r="AQ967" i="7"/>
  <c r="AM967" i="7" s="1"/>
  <c r="AQ712" i="7"/>
  <c r="AQ421" i="7"/>
  <c r="AM421" i="7" s="1"/>
  <c r="AQ919" i="7"/>
  <c r="AM919" i="7" s="1"/>
  <c r="AQ671" i="7"/>
  <c r="AQ489" i="7"/>
  <c r="AQ887" i="7"/>
  <c r="AM887" i="7" s="1"/>
  <c r="AQ306" i="7"/>
  <c r="AQ128" i="7"/>
  <c r="AM128" i="7" s="1"/>
  <c r="AQ385" i="7"/>
  <c r="AQ184" i="7"/>
  <c r="AQ948" i="7"/>
  <c r="AM948" i="7" s="1"/>
  <c r="AQ460" i="7"/>
  <c r="AM460" i="7" s="1"/>
  <c r="AQ281" i="7"/>
  <c r="AQ911" i="7"/>
  <c r="AM911" i="7" s="1"/>
  <c r="AQ418" i="7"/>
  <c r="AM418" i="7" s="1"/>
  <c r="AQ179" i="7"/>
  <c r="AM179" i="7" s="1"/>
  <c r="AQ529" i="7"/>
  <c r="AQ325" i="7"/>
  <c r="AQ244" i="7"/>
  <c r="AQ480" i="7"/>
  <c r="AQ253" i="7"/>
  <c r="AQ683" i="7"/>
  <c r="AQ190" i="7"/>
  <c r="AQ163" i="7"/>
  <c r="AM163" i="7" s="1"/>
  <c r="AQ189" i="7"/>
  <c r="AQ461" i="7"/>
  <c r="AM461" i="7" s="1"/>
  <c r="AQ158" i="7"/>
  <c r="AM158" i="7" s="1"/>
  <c r="AQ204" i="7"/>
  <c r="AQ322" i="7"/>
  <c r="AQ441" i="7"/>
  <c r="AM441" i="7" s="1"/>
  <c r="AQ122" i="7"/>
  <c r="AQ470" i="7"/>
  <c r="AM470" i="7" s="1"/>
  <c r="AQ589" i="7"/>
  <c r="AQ182" i="7"/>
  <c r="AM182" i="7" s="1"/>
  <c r="AQ90" i="7"/>
  <c r="AQ271" i="7"/>
  <c r="AQ279" i="7"/>
  <c r="AQ442" i="7"/>
  <c r="AQ926" i="7"/>
  <c r="AM926" i="7" s="1"/>
  <c r="AQ157" i="7"/>
  <c r="AQ631" i="7"/>
  <c r="AQ502" i="7"/>
  <c r="AQ676" i="7"/>
  <c r="AQ149" i="7"/>
  <c r="AM149" i="7" s="1"/>
  <c r="AQ866" i="7"/>
  <c r="AQ1001" i="7"/>
  <c r="AQ835" i="7"/>
  <c r="AM835" i="7" s="1"/>
  <c r="AQ720" i="7"/>
  <c r="AQ579" i="7"/>
  <c r="AQ925" i="7"/>
  <c r="AM925" i="7" s="1"/>
  <c r="AQ775" i="7"/>
  <c r="AQ630" i="7"/>
  <c r="AQ792" i="7"/>
  <c r="AM792" i="7" s="1"/>
  <c r="AQ613" i="7"/>
  <c r="AQ959" i="7"/>
  <c r="AQ763" i="7"/>
  <c r="AQ669" i="7"/>
  <c r="AQ902" i="7"/>
  <c r="AM902" i="7" s="1"/>
  <c r="AQ741" i="7"/>
  <c r="AQ608" i="7"/>
  <c r="AQ946" i="7"/>
  <c r="AM946" i="7" s="1"/>
  <c r="AQ834" i="7"/>
  <c r="AM834" i="7" s="1"/>
  <c r="AQ677" i="7"/>
  <c r="AQ888" i="7"/>
  <c r="AM888" i="7" s="1"/>
  <c r="AQ603" i="7"/>
  <c r="AQ491" i="7"/>
  <c r="AQ918" i="7"/>
  <c r="AM918" i="7" s="1"/>
  <c r="AQ732" i="7"/>
  <c r="AQ447" i="7"/>
  <c r="AM447" i="7" s="1"/>
  <c r="AQ979" i="7"/>
  <c r="AM979" i="7" s="1"/>
  <c r="AQ636" i="7"/>
  <c r="AQ495" i="7"/>
  <c r="AQ949" i="7"/>
  <c r="AM949" i="7" s="1"/>
  <c r="AQ668" i="7"/>
  <c r="AQ474" i="7"/>
  <c r="AM474" i="7" s="1"/>
  <c r="AQ908" i="7"/>
  <c r="AM908" i="7" s="1"/>
  <c r="AQ628" i="7"/>
  <c r="AQ404" i="7"/>
  <c r="AQ877" i="7"/>
  <c r="AM877" i="7" s="1"/>
  <c r="AQ653" i="7"/>
  <c r="AQ486" i="7"/>
  <c r="AQ718" i="7"/>
  <c r="AQ276" i="7"/>
  <c r="AQ94" i="7"/>
  <c r="AM94" i="7" s="1"/>
  <c r="AQ352" i="7"/>
  <c r="AQ181" i="7"/>
  <c r="AM181" i="7" s="1"/>
  <c r="AQ929" i="7"/>
  <c r="AM929" i="7" s="1"/>
  <c r="AQ453" i="7"/>
  <c r="AQ264" i="7"/>
  <c r="AQ804" i="7"/>
  <c r="AM804" i="7" s="1"/>
  <c r="AQ394" i="7"/>
  <c r="AQ159" i="7"/>
  <c r="AM159" i="7" s="1"/>
  <c r="AQ526" i="7"/>
  <c r="AQ308" i="7"/>
  <c r="AQ239" i="7"/>
  <c r="AQ395" i="7"/>
  <c r="AQ218" i="7"/>
  <c r="AQ615" i="7"/>
  <c r="AQ173" i="7"/>
  <c r="AM173" i="7" s="1"/>
  <c r="AQ105" i="7"/>
  <c r="AM105" i="7" s="1"/>
  <c r="AQ101" i="7"/>
  <c r="AM101" i="7" s="1"/>
  <c r="AQ459" i="7"/>
  <c r="AM459" i="7" s="1"/>
  <c r="AQ109" i="7"/>
  <c r="AM109" i="7" s="1"/>
  <c r="AQ141" i="7"/>
  <c r="AM141" i="7" s="1"/>
  <c r="AQ228" i="7"/>
  <c r="AQ384" i="7"/>
  <c r="AQ114" i="7"/>
  <c r="AM114" i="7" s="1"/>
  <c r="AQ236" i="7"/>
  <c r="AQ539" i="7"/>
  <c r="AQ150" i="7"/>
  <c r="AQ65" i="7"/>
  <c r="AQ992" i="7"/>
  <c r="AM992" i="7" s="1"/>
  <c r="AQ245" i="7"/>
  <c r="AQ227" i="7"/>
  <c r="AQ740" i="7"/>
  <c r="AQ142" i="7"/>
  <c r="AQ556" i="7"/>
  <c r="AQ240" i="7"/>
  <c r="AQ957" i="7"/>
  <c r="AM957" i="7" s="1"/>
  <c r="AQ958" i="7"/>
  <c r="AQ993" i="7"/>
  <c r="AQ977" i="7"/>
  <c r="AM977" i="7" s="1"/>
  <c r="AQ583" i="7"/>
  <c r="AQ735" i="7"/>
  <c r="AQ705" i="7"/>
  <c r="AQ933" i="7"/>
  <c r="AM933" i="7" s="1"/>
  <c r="AQ729" i="7"/>
  <c r="AQ443" i="7"/>
  <c r="AM443" i="7" s="1"/>
  <c r="AQ829" i="7"/>
  <c r="AM829" i="7" s="1"/>
  <c r="AQ987" i="7"/>
  <c r="AM987" i="7" s="1"/>
  <c r="AQ827" i="7"/>
  <c r="AM827" i="7" s="1"/>
  <c r="AQ703" i="7"/>
  <c r="AQ545" i="7"/>
  <c r="AQ922" i="7"/>
  <c r="AM922" i="7" s="1"/>
  <c r="AQ771" i="7"/>
  <c r="AQ593" i="7"/>
  <c r="AQ784" i="7"/>
  <c r="AM784" i="7" s="1"/>
  <c r="AQ597" i="7"/>
  <c r="AQ955" i="7"/>
  <c r="AM955" i="7" s="1"/>
  <c r="AQ759" i="7"/>
  <c r="AQ666" i="7"/>
  <c r="AQ823" i="7"/>
  <c r="AM823" i="7" s="1"/>
  <c r="AQ728" i="7"/>
  <c r="AQ605" i="7"/>
  <c r="AQ941" i="7"/>
  <c r="AM941" i="7" s="1"/>
  <c r="AQ826" i="7"/>
  <c r="AM826" i="7" s="1"/>
  <c r="AQ664" i="7"/>
  <c r="AQ886" i="7"/>
  <c r="AM886" i="7" s="1"/>
  <c r="AQ598" i="7"/>
  <c r="AQ477" i="7"/>
  <c r="AQ878" i="7"/>
  <c r="AM878" i="7" s="1"/>
  <c r="AQ711" i="7"/>
  <c r="AQ440" i="7"/>
  <c r="AQ874" i="7"/>
  <c r="AM874" i="7" s="1"/>
  <c r="AQ633" i="7"/>
  <c r="AQ481" i="7"/>
  <c r="AQ943" i="7"/>
  <c r="AM943" i="7" s="1"/>
  <c r="AQ619" i="7"/>
  <c r="AQ454" i="7"/>
  <c r="AQ891" i="7"/>
  <c r="AM891" i="7" s="1"/>
  <c r="AQ625" i="7"/>
  <c r="AQ380" i="7"/>
  <c r="AM380" i="7" s="1"/>
  <c r="AQ867" i="7"/>
  <c r="AM867" i="7" s="1"/>
  <c r="AQ643" i="7"/>
  <c r="AQ463" i="7"/>
  <c r="AM463" i="7" s="1"/>
  <c r="AQ569" i="7"/>
  <c r="AQ229" i="7"/>
  <c r="AQ88" i="7"/>
  <c r="AM88" i="7" s="1"/>
  <c r="AQ346" i="7"/>
  <c r="AQ148" i="7"/>
  <c r="AM148" i="7" s="1"/>
  <c r="AQ907" i="7"/>
  <c r="AM907" i="7" s="1"/>
  <c r="AQ402" i="7"/>
  <c r="AQ251" i="7"/>
  <c r="AQ778" i="7"/>
  <c r="AQ355" i="7"/>
  <c r="AQ156" i="7"/>
  <c r="AM156" i="7" s="1"/>
  <c r="AQ506" i="7"/>
  <c r="AQ303" i="7"/>
  <c r="AQ235" i="7"/>
  <c r="AQ392" i="7"/>
  <c r="AQ213" i="7"/>
  <c r="AQ509" i="7"/>
  <c r="AQ147" i="7"/>
  <c r="AM147" i="7" s="1"/>
  <c r="AQ77" i="7"/>
  <c r="AQ976" i="7"/>
  <c r="AM976" i="7" s="1"/>
  <c r="AQ408" i="7"/>
  <c r="AQ97" i="7"/>
  <c r="AM97" i="7" s="1"/>
  <c r="AQ81" i="7"/>
  <c r="AQ177" i="7"/>
  <c r="AM177" i="7" s="1"/>
  <c r="AQ381" i="7"/>
  <c r="AM381" i="7" s="1"/>
  <c r="AQ87" i="7"/>
  <c r="AM87" i="7" s="1"/>
  <c r="AQ98" i="7"/>
  <c r="AM98" i="7" s="1"/>
  <c r="AQ530" i="7"/>
  <c r="AQ117" i="7"/>
  <c r="AQ267" i="7"/>
  <c r="AQ766" i="7"/>
  <c r="AQ185" i="7"/>
  <c r="AQ129" i="7"/>
  <c r="AM129" i="7" s="1"/>
  <c r="AQ658" i="7"/>
  <c r="AQ103" i="7"/>
  <c r="AM103" i="7" s="1"/>
  <c r="AQ522" i="7"/>
  <c r="AQ106" i="7"/>
  <c r="AM106" i="7" s="1"/>
  <c r="AQ86" i="7"/>
  <c r="AM86" i="7" s="1"/>
  <c r="AQ52" i="7"/>
  <c r="AM52" i="7" s="1"/>
  <c r="AQ821" i="7"/>
  <c r="AM821" i="7" s="1"/>
  <c r="AQ681" i="7"/>
  <c r="AQ914" i="7"/>
  <c r="AM914" i="7" s="1"/>
  <c r="AQ748" i="7"/>
  <c r="AQ744" i="7"/>
  <c r="AQ940" i="7"/>
  <c r="AM940" i="7" s="1"/>
  <c r="AQ610" i="7"/>
  <c r="AQ588" i="7"/>
  <c r="AQ802" i="7"/>
  <c r="AQ660" i="7"/>
  <c r="AQ974" i="7"/>
  <c r="AM974" i="7" s="1"/>
  <c r="AQ824" i="7"/>
  <c r="AM824" i="7" s="1"/>
  <c r="AQ693" i="7"/>
  <c r="AQ997" i="7"/>
  <c r="AQ917" i="7"/>
  <c r="AM917" i="7" s="1"/>
  <c r="AQ758" i="7"/>
  <c r="AQ985" i="7"/>
  <c r="AM985" i="7" s="1"/>
  <c r="AQ767" i="7"/>
  <c r="AQ590" i="7"/>
  <c r="AQ945" i="7"/>
  <c r="AM945" i="7" s="1"/>
  <c r="AQ754" i="7"/>
  <c r="AQ652" i="7"/>
  <c r="AQ820" i="7"/>
  <c r="AM820" i="7" s="1"/>
  <c r="AQ725" i="7"/>
  <c r="AQ602" i="7"/>
  <c r="AQ936" i="7"/>
  <c r="AM936" i="7" s="1"/>
  <c r="AQ807" i="7"/>
  <c r="AM807" i="7" s="1"/>
  <c r="AQ661" i="7"/>
  <c r="AQ822" i="7"/>
  <c r="AM822" i="7" s="1"/>
  <c r="AQ584" i="7"/>
  <c r="AQ450" i="7"/>
  <c r="AQ876" i="7"/>
  <c r="AM876" i="7" s="1"/>
  <c r="AQ682" i="7"/>
  <c r="AQ420" i="7"/>
  <c r="AQ872" i="7"/>
  <c r="AM872" i="7" s="1"/>
  <c r="AQ627" i="7"/>
  <c r="AQ471" i="7"/>
  <c r="AM471" i="7" s="1"/>
  <c r="AQ939" i="7"/>
  <c r="AM939" i="7" s="1"/>
  <c r="AQ606" i="7"/>
  <c r="AQ451" i="7"/>
  <c r="AQ881" i="7"/>
  <c r="AM881" i="7" s="1"/>
  <c r="AQ599" i="7"/>
  <c r="AQ369" i="7"/>
  <c r="AM369" i="7" s="1"/>
  <c r="AQ836" i="7"/>
  <c r="AM836" i="7" s="1"/>
  <c r="AQ637" i="7"/>
  <c r="AQ455" i="7"/>
  <c r="AQ547" i="7"/>
  <c r="AQ225" i="7"/>
  <c r="AQ64" i="7"/>
  <c r="AQ340" i="7"/>
  <c r="AQ134" i="7"/>
  <c r="AM134" i="7" s="1"/>
  <c r="AQ897" i="7"/>
  <c r="AM897" i="7" s="1"/>
  <c r="AQ391" i="7"/>
  <c r="AQ247" i="7"/>
  <c r="AQ757" i="7"/>
  <c r="AQ307" i="7"/>
  <c r="AQ146" i="7"/>
  <c r="AM146" i="7" s="1"/>
  <c r="AQ456" i="7"/>
  <c r="AQ299" i="7"/>
  <c r="AQ222" i="7"/>
  <c r="AQ366" i="7"/>
  <c r="AM366" i="7" s="1"/>
  <c r="AQ195" i="7"/>
  <c r="AQ478" i="7"/>
  <c r="AQ133" i="7"/>
  <c r="AQ437" i="7"/>
  <c r="AM437" i="7" s="1"/>
  <c r="AQ654" i="7"/>
  <c r="AQ389" i="7"/>
  <c r="AQ89" i="7"/>
  <c r="AM89" i="7" s="1"/>
  <c r="AQ292" i="7"/>
  <c r="AQ801" i="7"/>
  <c r="AM801" i="7" s="1"/>
  <c r="AQ359" i="7"/>
  <c r="AQ411" i="7"/>
  <c r="AM411" i="7" s="1"/>
  <c r="AQ507" i="7"/>
  <c r="AQ112" i="7"/>
  <c r="AM112" i="7" s="1"/>
  <c r="AQ233" i="7"/>
  <c r="AQ609" i="7"/>
  <c r="AQ180" i="7"/>
  <c r="AM180" i="7" s="1"/>
  <c r="AQ85" i="7"/>
  <c r="AM85" i="7" s="1"/>
  <c r="AQ614" i="7"/>
  <c r="AQ91" i="7"/>
  <c r="AQ492" i="7"/>
  <c r="AQ552" i="7"/>
  <c r="AQ67" i="7"/>
  <c r="AQ127" i="7"/>
  <c r="AM127" i="7" s="1"/>
  <c r="AQ815" i="7"/>
  <c r="AM815" i="7" s="1"/>
  <c r="AQ657" i="7"/>
  <c r="AQ581" i="7"/>
  <c r="AQ417" i="7"/>
  <c r="AM417" i="7" s="1"/>
  <c r="AQ952" i="7"/>
  <c r="AM952" i="7" s="1"/>
  <c r="AQ816" i="7"/>
  <c r="AM816" i="7" s="1"/>
  <c r="AQ678" i="7"/>
  <c r="AQ990" i="7"/>
  <c r="AM990" i="7" s="1"/>
  <c r="AQ885" i="7"/>
  <c r="AM885" i="7" s="1"/>
  <c r="AQ713" i="7"/>
  <c r="AQ909" i="7"/>
  <c r="AM909" i="7" s="1"/>
  <c r="AQ739" i="7"/>
  <c r="AQ570" i="7"/>
  <c r="AQ935" i="7"/>
  <c r="AQ731" i="7"/>
  <c r="AQ607" i="7"/>
  <c r="AQ793" i="7"/>
  <c r="AM793" i="7" s="1"/>
  <c r="AQ698" i="7"/>
  <c r="AQ565" i="7"/>
  <c r="AQ921" i="7"/>
  <c r="AM921" i="7" s="1"/>
  <c r="AQ788" i="7"/>
  <c r="AM788" i="7" s="1"/>
  <c r="AQ650" i="7"/>
  <c r="AQ706" i="7"/>
  <c r="AQ575" i="7"/>
  <c r="AQ436" i="7"/>
  <c r="AM436" i="7" s="1"/>
  <c r="AQ831" i="7"/>
  <c r="AM831" i="7" s="1"/>
  <c r="AQ592" i="7"/>
  <c r="AQ415" i="7"/>
  <c r="AQ812" i="7"/>
  <c r="AQ587" i="7"/>
  <c r="AQ462" i="7"/>
  <c r="AM462" i="7" s="1"/>
  <c r="AQ916" i="7"/>
  <c r="AM916" i="7" s="1"/>
  <c r="AQ562" i="7"/>
  <c r="AQ432" i="7"/>
  <c r="AM432" i="7" s="1"/>
  <c r="AQ790" i="7"/>
  <c r="AM790" i="7" s="1"/>
  <c r="AQ585" i="7"/>
  <c r="AQ342" i="7"/>
  <c r="AQ817" i="7"/>
  <c r="AM817" i="7" s="1"/>
  <c r="AQ574" i="7"/>
  <c r="AQ445" i="7"/>
  <c r="AM445" i="7" s="1"/>
  <c r="AQ505" i="7"/>
  <c r="AQ215" i="7"/>
  <c r="AQ966" i="7"/>
  <c r="AQ272" i="7"/>
  <c r="AQ110" i="7"/>
  <c r="AM110" i="7" s="1"/>
  <c r="AQ716" i="7"/>
  <c r="AQ365" i="7"/>
  <c r="AM365" i="7" s="1"/>
  <c r="AQ234" i="7"/>
  <c r="AQ600" i="7"/>
  <c r="AQ230" i="7"/>
  <c r="AQ119" i="7"/>
  <c r="AM119" i="7" s="1"/>
  <c r="AQ410" i="7"/>
  <c r="AM410" i="7" s="1"/>
  <c r="AQ291" i="7"/>
  <c r="AQ212" i="7"/>
  <c r="AQ338" i="7"/>
  <c r="AQ186" i="7"/>
  <c r="AQ401" i="7"/>
  <c r="AQ92" i="7"/>
  <c r="AM92" i="7" s="1"/>
  <c r="AQ172" i="7"/>
  <c r="AM172" i="7" s="1"/>
  <c r="AQ305" i="7"/>
  <c r="AQ312" i="7"/>
  <c r="AQ80" i="7"/>
  <c r="AQ497" i="7"/>
  <c r="AQ691" i="7"/>
  <c r="AQ323" i="7"/>
  <c r="AQ519" i="7"/>
  <c r="AQ66" i="7"/>
  <c r="AQ414" i="7"/>
  <c r="AM414" i="7" s="1"/>
  <c r="AQ95" i="7"/>
  <c r="AM95" i="7" s="1"/>
  <c r="AQ283" i="7"/>
  <c r="AQ449" i="7"/>
  <c r="AQ144" i="7"/>
  <c r="AQ132" i="7"/>
  <c r="AM132" i="7" s="1"/>
  <c r="AQ517" i="7"/>
  <c r="AQ59" i="7"/>
  <c r="AQ301" i="7"/>
  <c r="AQ135" i="7"/>
  <c r="AM135" i="7" s="1"/>
  <c r="AQ99" i="7"/>
  <c r="AM99" i="7" s="1"/>
  <c r="AQ188" i="7"/>
  <c r="AQ934" i="7"/>
  <c r="AM934" i="7" s="1"/>
  <c r="AQ800" i="7"/>
  <c r="AQ662" i="7"/>
  <c r="AQ982" i="7"/>
  <c r="AM982" i="7" s="1"/>
  <c r="AQ875" i="7"/>
  <c r="AM875" i="7" s="1"/>
  <c r="AQ700" i="7"/>
  <c r="AQ904" i="7"/>
  <c r="AQ717" i="7"/>
  <c r="AQ931" i="7"/>
  <c r="AM931" i="7" s="1"/>
  <c r="AQ794" i="7"/>
  <c r="AM794" i="7" s="1"/>
  <c r="AQ651" i="7"/>
  <c r="AQ969" i="7"/>
  <c r="AM969" i="7" s="1"/>
  <c r="AQ870" i="7"/>
  <c r="AM870" i="7" s="1"/>
  <c r="AQ690" i="7"/>
  <c r="AQ890" i="7"/>
  <c r="AM890" i="7" s="1"/>
  <c r="AQ710" i="7"/>
  <c r="AQ557" i="7"/>
  <c r="AQ898" i="7"/>
  <c r="AM898" i="7" s="1"/>
  <c r="AQ727" i="7"/>
  <c r="AQ601" i="7"/>
  <c r="AQ777" i="7"/>
  <c r="AQ673" i="7"/>
  <c r="AQ533" i="7"/>
  <c r="AQ899" i="7"/>
  <c r="AM899" i="7" s="1"/>
  <c r="AQ722" i="7"/>
  <c r="AQ1003" i="7"/>
  <c r="AQ685" i="7"/>
  <c r="AQ555" i="7"/>
  <c r="AQ379" i="7"/>
  <c r="AM379" i="7" s="1"/>
  <c r="AQ798" i="7"/>
  <c r="AM798" i="7" s="1"/>
  <c r="AQ549" i="7"/>
  <c r="AQ406" i="7"/>
  <c r="AQ796" i="7"/>
  <c r="AM796" i="7" s="1"/>
  <c r="AQ531" i="7"/>
  <c r="AQ400" i="7"/>
  <c r="AQ901" i="7"/>
  <c r="AM901" i="7" s="1"/>
  <c r="AQ550" i="7"/>
  <c r="AQ423" i="7"/>
  <c r="AM423" i="7" s="1"/>
  <c r="AQ768" i="7"/>
  <c r="AQ544" i="7"/>
  <c r="AQ327" i="7"/>
  <c r="AQ782" i="7"/>
  <c r="AM782" i="7" s="1"/>
  <c r="AQ566" i="7"/>
  <c r="AQ435" i="7"/>
  <c r="AM435" i="7" s="1"/>
  <c r="AQ476" i="7"/>
  <c r="AQ202" i="7"/>
  <c r="AQ696" i="7"/>
  <c r="AQ259" i="7"/>
  <c r="AQ102" i="7"/>
  <c r="AM102" i="7" s="1"/>
  <c r="AQ656" i="7"/>
  <c r="AQ302" i="7"/>
  <c r="AQ174" i="7"/>
  <c r="AM174" i="7" s="1"/>
  <c r="AQ482" i="7"/>
  <c r="AQ221" i="7"/>
  <c r="AQ871" i="7"/>
  <c r="AM871" i="7" s="1"/>
  <c r="AQ368" i="7"/>
  <c r="AM368" i="7" s="1"/>
  <c r="AQ282" i="7"/>
  <c r="AQ923" i="7"/>
  <c r="AM923" i="7" s="1"/>
  <c r="AQ309" i="7"/>
  <c r="AQ152" i="7"/>
  <c r="AM152" i="7" s="1"/>
  <c r="AQ296" i="7"/>
  <c r="AQ76" i="7"/>
  <c r="AQ289" i="7"/>
  <c r="AQ137" i="7"/>
  <c r="AM137" i="7" s="1"/>
  <c r="AQ275" i="7"/>
  <c r="AQ68" i="7"/>
  <c r="AQ183" i="7"/>
  <c r="AM183" i="7" s="1"/>
  <c r="AQ639" i="7"/>
  <c r="AQ241" i="7"/>
  <c r="AQ370" i="7"/>
  <c r="AM370" i="7" s="1"/>
  <c r="AQ246" i="7"/>
  <c r="AQ348" i="7"/>
  <c r="AQ975" i="7"/>
  <c r="AM975" i="7" s="1"/>
  <c r="AQ74" i="7"/>
  <c r="AQ341" i="7"/>
  <c r="AQ136" i="7"/>
  <c r="AM136" i="7" s="1"/>
  <c r="AQ206" i="7"/>
  <c r="AQ351" i="7"/>
  <c r="AQ938" i="7"/>
  <c r="AM938" i="7" s="1"/>
  <c r="AQ96" i="7"/>
  <c r="AM96" i="7" s="1"/>
  <c r="AQ629" i="7"/>
  <c r="AQ944" i="7"/>
  <c r="AM944" i="7" s="1"/>
  <c r="AQ376" i="7"/>
  <c r="AM376" i="7" s="1"/>
  <c r="AQ906" i="7"/>
  <c r="AM906" i="7" s="1"/>
  <c r="AQ762" i="7"/>
  <c r="AQ648" i="7"/>
  <c r="AQ961" i="7"/>
  <c r="AM961" i="7" s="1"/>
  <c r="AQ808" i="7"/>
  <c r="AM808" i="7" s="1"/>
  <c r="AQ686" i="7"/>
  <c r="AQ839" i="7"/>
  <c r="AQ675" i="7"/>
  <c r="AQ903" i="7"/>
  <c r="AM903" i="7" s="1"/>
  <c r="AQ803" i="7"/>
  <c r="AM803" i="7" s="1"/>
  <c r="AQ567" i="7"/>
  <c r="AQ707" i="7"/>
  <c r="AQ750" i="7"/>
  <c r="AQ894" i="7"/>
  <c r="AM894" i="7" s="1"/>
  <c r="AQ989" i="7"/>
  <c r="AM989" i="7" s="1"/>
  <c r="AQ386" i="7"/>
  <c r="AQ498" i="7"/>
  <c r="AQ699" i="7"/>
  <c r="AQ330" i="7"/>
  <c r="AQ515" i="7"/>
  <c r="AQ733" i="7"/>
  <c r="AQ954" i="7"/>
  <c r="AM954" i="7" s="1"/>
  <c r="AQ493" i="7"/>
  <c r="AQ333" i="7"/>
  <c r="AQ464" i="7"/>
  <c r="AM464" i="7" s="1"/>
  <c r="AQ991" i="7"/>
  <c r="AM991" i="7" s="1"/>
  <c r="AQ285" i="7"/>
  <c r="AQ446" i="7"/>
  <c r="AQ536" i="7"/>
  <c r="AQ248" i="7"/>
  <c r="AQ257" i="7"/>
  <c r="AQ256" i="7"/>
  <c r="AQ249" i="7"/>
  <c r="AQ187" i="7"/>
  <c r="AQ419" i="7"/>
  <c r="AM419" i="7" s="1"/>
  <c r="AQ138" i="7"/>
  <c r="AQ708" i="7"/>
  <c r="AQ214" i="7"/>
  <c r="AQ310" i="7"/>
  <c r="AQ116" i="7"/>
  <c r="AQ665" i="7"/>
  <c r="AQ219" i="7"/>
  <c r="AQ372" i="7"/>
  <c r="AM372" i="7" s="1"/>
  <c r="AQ263" i="7"/>
  <c r="AQ339" i="7"/>
  <c r="AQ709" i="7"/>
  <c r="AQ131" i="7"/>
  <c r="AM131" i="7" s="1"/>
  <c r="AQ950" i="7"/>
  <c r="AM950" i="7" s="1"/>
  <c r="AQ791" i="7"/>
  <c r="AM791" i="7" s="1"/>
  <c r="AQ194" i="7"/>
  <c r="AQ167" i="7"/>
  <c r="AQ915" i="7"/>
  <c r="AM915" i="7" s="1"/>
  <c r="AQ514" i="7"/>
  <c r="AQ535" i="7"/>
  <c r="AQ760" i="7"/>
  <c r="AQ972" i="7"/>
  <c r="AM972" i="7" s="1"/>
  <c r="AQ329" i="7"/>
  <c r="AQ336" i="7"/>
  <c r="AQ913" i="7"/>
  <c r="AM913" i="7" s="1"/>
  <c r="AQ736" i="7"/>
  <c r="AQ984" i="7"/>
  <c r="AM984" i="7" s="1"/>
  <c r="AQ290" i="7"/>
  <c r="AQ367" i="7"/>
  <c r="AM367" i="7" s="1"/>
  <c r="AQ231" i="7"/>
  <c r="AQ622" i="7"/>
  <c r="AQ895" i="7"/>
  <c r="AM895" i="7" s="1"/>
  <c r="AQ797" i="7"/>
  <c r="AM797" i="7" s="1"/>
  <c r="AQ553" i="7"/>
  <c r="AQ704" i="7"/>
  <c r="AQ688" i="7"/>
  <c r="AQ884" i="7"/>
  <c r="AM884" i="7" s="1"/>
  <c r="AQ962" i="7"/>
  <c r="AM962" i="7" s="1"/>
  <c r="AQ354" i="7"/>
  <c r="AQ484" i="7"/>
  <c r="AQ595" i="7"/>
  <c r="AQ930" i="7"/>
  <c r="AM930" i="7" s="1"/>
  <c r="AQ444" i="7"/>
  <c r="AM444" i="7" s="1"/>
  <c r="AQ596" i="7"/>
  <c r="AQ832" i="7"/>
  <c r="AM832" i="7" s="1"/>
  <c r="AQ452" i="7"/>
  <c r="AQ220" i="7"/>
  <c r="AQ311" i="7"/>
  <c r="AQ786" i="7"/>
  <c r="AQ238" i="7"/>
  <c r="AQ277" i="7"/>
  <c r="AQ428" i="7"/>
  <c r="AQ217" i="7"/>
  <c r="AQ191" i="7"/>
  <c r="AQ104" i="7"/>
  <c r="AM104" i="7" s="1"/>
  <c r="AQ398" i="7"/>
  <c r="AQ84" i="7"/>
  <c r="AM84" i="7" s="1"/>
  <c r="AQ755" i="7"/>
  <c r="AQ809" i="7"/>
  <c r="AM809" i="7" s="1"/>
  <c r="AQ431" i="7"/>
  <c r="AM431" i="7" s="1"/>
  <c r="AQ70" i="7"/>
  <c r="AQ169" i="7"/>
  <c r="AQ594" i="7"/>
  <c r="AQ475" i="7"/>
  <c r="AQ262" i="7"/>
  <c r="AQ1002" i="7"/>
  <c r="AQ999" i="7"/>
  <c r="AQ737" i="7"/>
  <c r="AQ927" i="7"/>
  <c r="AM927" i="7" s="1"/>
  <c r="AQ764" i="7"/>
  <c r="AQ512" i="7"/>
  <c r="AQ242" i="7"/>
  <c r="AQ124" i="7"/>
  <c r="AM124" i="7" s="1"/>
  <c r="AQ726" i="7"/>
  <c r="AQ496" i="7"/>
  <c r="AQ170" i="7"/>
  <c r="AM170" i="7" s="1"/>
  <c r="AQ79" i="7"/>
  <c r="AQ382" i="7"/>
  <c r="AQ490" i="7"/>
  <c r="AQ297" i="7"/>
  <c r="AQ93" i="7"/>
  <c r="AQ286" i="7"/>
  <c r="AQ278" i="7"/>
  <c r="AQ364" i="7"/>
  <c r="AM364" i="7" s="1"/>
  <c r="AQ165" i="7"/>
  <c r="AQ773" i="7"/>
  <c r="AQ770" i="7"/>
  <c r="AQ409" i="7"/>
  <c r="AM409" i="7" s="1"/>
  <c r="AQ479" i="7"/>
  <c r="AQ265" i="7"/>
  <c r="AQ293" i="7"/>
  <c r="AQ232" i="7"/>
  <c r="AQ813" i="7"/>
  <c r="AM813" i="7" s="1"/>
  <c r="AQ71" i="7"/>
  <c r="AQ942" i="7"/>
  <c r="AM942" i="7" s="1"/>
  <c r="AQ363" i="7"/>
  <c r="AQ261" i="7"/>
  <c r="AQ160" i="7"/>
  <c r="AM160" i="7" s="1"/>
  <c r="AQ111" i="7"/>
  <c r="AM111" i="7" s="1"/>
  <c r="AQ623" i="7"/>
  <c r="AQ714" i="7"/>
  <c r="AQ469" i="7"/>
  <c r="AM469" i="7" s="1"/>
  <c r="AQ252" i="7"/>
  <c r="AQ154" i="7"/>
  <c r="AM154" i="7" s="1"/>
  <c r="AQ880" i="7"/>
  <c r="AM880" i="7" s="1"/>
  <c r="AQ789" i="7"/>
  <c r="AM789" i="7" s="1"/>
  <c r="AQ542" i="7"/>
  <c r="AQ697" i="7"/>
  <c r="AQ670" i="7"/>
  <c r="AQ879" i="7"/>
  <c r="AM879" i="7" s="1"/>
  <c r="AQ694" i="7"/>
  <c r="AQ983" i="7"/>
  <c r="AM983" i="7" s="1"/>
  <c r="AQ468" i="7"/>
  <c r="AQ546" i="7"/>
  <c r="AQ910" i="7"/>
  <c r="AM910" i="7" s="1"/>
  <c r="AQ426" i="7"/>
  <c r="AQ568" i="7"/>
  <c r="AQ799" i="7"/>
  <c r="AM799" i="7" s="1"/>
  <c r="AQ438" i="7"/>
  <c r="AQ207" i="7"/>
  <c r="AQ268" i="7"/>
  <c r="AQ679" i="7"/>
  <c r="AQ211" i="7"/>
  <c r="AQ226" i="7"/>
  <c r="AQ405" i="7"/>
  <c r="AQ963" i="7"/>
  <c r="AM963" i="7" s="1"/>
  <c r="AQ166" i="7"/>
  <c r="AQ75" i="7"/>
  <c r="AQ237" i="7"/>
  <c r="AQ72" i="7"/>
  <c r="AQ646" i="7"/>
  <c r="AQ472" i="7"/>
  <c r="AM472" i="7" s="1"/>
  <c r="AQ387" i="7"/>
  <c r="AQ113" i="7"/>
  <c r="AM113" i="7" s="1"/>
  <c r="AQ139" i="7"/>
  <c r="AQ466" i="7"/>
  <c r="AQ258" i="7"/>
  <c r="AQ145" i="7"/>
  <c r="AM145" i="7" s="1"/>
  <c r="AQ196" i="7"/>
  <c r="AQ638" i="7"/>
  <c r="AQ644" i="7"/>
  <c r="AQ403" i="7"/>
  <c r="AQ397" i="7"/>
  <c r="AQ430" i="7"/>
  <c r="AM430" i="7" s="1"/>
  <c r="AQ513" i="7"/>
  <c r="AQ208" i="7"/>
  <c r="AQ882" i="7"/>
  <c r="AM882" i="7" s="1"/>
  <c r="AQ577" i="7"/>
  <c r="AQ956" i="7"/>
  <c r="AQ783" i="7"/>
  <c r="AM783" i="7" s="1"/>
  <c r="AQ971" i="7"/>
  <c r="AM971" i="7" s="1"/>
  <c r="AQ924" i="7"/>
  <c r="AM924" i="7" s="1"/>
  <c r="AQ483" i="7"/>
  <c r="AQ494" i="7"/>
  <c r="AQ485" i="7"/>
  <c r="AQ269" i="7"/>
  <c r="AQ473" i="7"/>
  <c r="AM473" i="7" s="1"/>
  <c r="AQ659" i="7"/>
  <c r="AQ647" i="7"/>
  <c r="AQ375" i="7"/>
  <c r="AM375" i="7" s="1"/>
  <c r="AQ320" i="7"/>
  <c r="AQ298" i="7"/>
  <c r="AQ730" i="7"/>
  <c r="AQ742" i="7"/>
  <c r="AQ287" i="7"/>
  <c r="AQ580" i="7"/>
  <c r="AQ753" i="7"/>
  <c r="AQ655" i="7"/>
  <c r="AQ1006" i="7"/>
  <c r="AQ604" i="7"/>
  <c r="AQ667" i="7"/>
  <c r="AQ869" i="7"/>
  <c r="AM869" i="7" s="1"/>
  <c r="AQ649" i="7"/>
  <c r="AQ953" i="7"/>
  <c r="AM953" i="7" s="1"/>
  <c r="AQ412" i="7"/>
  <c r="AM412" i="7" s="1"/>
  <c r="AQ524" i="7"/>
  <c r="AQ838" i="7"/>
  <c r="AQ407" i="7"/>
  <c r="AQ538" i="7"/>
  <c r="AQ780" i="7"/>
  <c r="AM780" i="7" s="1"/>
  <c r="AQ433" i="7"/>
  <c r="AM433" i="7" s="1"/>
  <c r="AQ255" i="7"/>
  <c r="AQ523" i="7"/>
  <c r="AQ151" i="7"/>
  <c r="AM151" i="7" s="1"/>
  <c r="AQ216" i="7"/>
  <c r="AQ358" i="7"/>
  <c r="AQ749" i="7"/>
  <c r="AQ980" i="7"/>
  <c r="AM980" i="7" s="1"/>
  <c r="AQ548" i="7"/>
  <c r="AQ873" i="7"/>
  <c r="AM873" i="7" s="1"/>
  <c r="AQ988" i="7"/>
  <c r="AM988" i="7" s="1"/>
  <c r="AQ582" i="7"/>
  <c r="AQ300" i="7"/>
  <c r="AQ266" i="7"/>
  <c r="AQ413" i="7"/>
  <c r="AM413" i="7" s="1"/>
  <c r="AQ120" i="7"/>
  <c r="AM120" i="7" s="1"/>
  <c r="AQ224" i="7"/>
  <c r="AQ896" i="7"/>
  <c r="AM896" i="7" s="1"/>
  <c r="AQ743" i="7"/>
  <c r="AQ640" i="7"/>
  <c r="AQ521" i="7"/>
  <c r="AQ765" i="7"/>
  <c r="AQ171" i="7"/>
  <c r="AQ353" i="7"/>
  <c r="AQ795" i="7"/>
  <c r="AM795" i="7" s="1"/>
  <c r="AQ254" i="7"/>
  <c r="AQ205" i="7"/>
  <c r="AQ511" i="7"/>
  <c r="AQ715" i="7"/>
  <c r="AQ199" i="7"/>
  <c r="AQ260" i="7"/>
  <c r="AQ532" i="7"/>
  <c r="AQ900" i="7"/>
  <c r="AQ118" i="7"/>
  <c r="AQ69" i="7"/>
  <c r="AQ47" i="7"/>
  <c r="AM47" i="7" s="1"/>
  <c r="AQ965" i="7"/>
  <c r="AM965" i="7" s="1"/>
  <c r="AQ751" i="7"/>
  <c r="AQ560" i="7"/>
  <c r="AQ828" i="7"/>
  <c r="AM828" i="7" s="1"/>
  <c r="AQ304" i="7"/>
  <c r="AQ108" i="7"/>
  <c r="AM108" i="7" s="1"/>
  <c r="AQ60" i="7"/>
  <c r="AQ164" i="7"/>
  <c r="AQ642" i="7"/>
  <c r="AQ576" i="7"/>
  <c r="AQ563" i="7"/>
  <c r="AQ772" i="7"/>
  <c r="AQ937" i="7"/>
  <c r="AM937" i="7" s="1"/>
  <c r="AQ528" i="7"/>
  <c r="AQ284" i="7"/>
  <c r="AQ313" i="7"/>
  <c r="AQ1000" i="7"/>
  <c r="AQ534" i="7"/>
  <c r="AQ73" i="7"/>
  <c r="AQ274" i="7"/>
  <c r="AQ612" i="7"/>
  <c r="AQ724" i="7"/>
  <c r="AQ458" i="7"/>
  <c r="AM458" i="7" s="1"/>
  <c r="AQ197" i="7"/>
  <c r="AQ347" i="7"/>
  <c r="AQ734" i="7"/>
  <c r="AQ635" i="7"/>
  <c r="AQ912" i="7"/>
  <c r="AM912" i="7" s="1"/>
  <c r="AQ995" i="7"/>
  <c r="AQ632" i="7"/>
  <c r="AQ719" i="7"/>
  <c r="AQ641" i="7"/>
  <c r="AQ818" i="7"/>
  <c r="AM818" i="7" s="1"/>
  <c r="AQ393" i="7"/>
  <c r="AQ518" i="7"/>
  <c r="AQ761" i="7"/>
  <c r="AQ390" i="7"/>
  <c r="AQ499" i="7"/>
  <c r="AQ721" i="7"/>
  <c r="AQ427" i="7"/>
  <c r="AQ153" i="7"/>
  <c r="AM153" i="7" s="1"/>
  <c r="AQ198" i="7"/>
  <c r="AQ503" i="7"/>
  <c r="AQ970" i="7"/>
  <c r="AM970" i="7" s="1"/>
  <c r="AQ203" i="7"/>
  <c r="AQ344" i="7"/>
  <c r="AQ561" i="7"/>
  <c r="AQ825" i="7"/>
  <c r="AM825" i="7" s="1"/>
  <c r="AQ288" i="7"/>
  <c r="AQ747" i="7"/>
  <c r="AQ439" i="7"/>
  <c r="AM439" i="7" s="1"/>
  <c r="AQ564" i="7"/>
  <c r="AQ161" i="7"/>
  <c r="AQ223" i="7"/>
  <c r="AQ806" i="7"/>
  <c r="AM806" i="7" s="1"/>
  <c r="AQ621" i="7"/>
  <c r="AQ192" i="7"/>
  <c r="AQ209" i="7"/>
  <c r="AQ701" i="7"/>
  <c r="AQ645" i="7"/>
  <c r="AQ830" i="7"/>
  <c r="AM830" i="7" s="1"/>
  <c r="AQ893" i="7"/>
  <c r="AM893" i="7" s="1"/>
  <c r="AQ986" i="7"/>
  <c r="AM986" i="7" s="1"/>
  <c r="AQ551" i="7"/>
  <c r="AQ702" i="7"/>
  <c r="AQ624" i="7"/>
  <c r="AQ448" i="7"/>
  <c r="AM448" i="7" s="1"/>
  <c r="AQ193" i="7"/>
  <c r="AQ328" i="7"/>
  <c r="AQ541" i="7"/>
  <c r="AQ383" i="7"/>
  <c r="AM383" i="7" s="1"/>
  <c r="AQ500" i="7"/>
  <c r="AQ243" i="7"/>
  <c r="AQ998" i="7"/>
  <c r="AQ833" i="7"/>
  <c r="AM833" i="7" s="1"/>
  <c r="AQ537" i="7"/>
  <c r="AQ674" i="7"/>
  <c r="AQ250" i="7"/>
  <c r="AQ63" i="7"/>
  <c r="AQ960" i="7"/>
  <c r="AM960" i="7" s="1"/>
  <c r="AQ745" i="7"/>
  <c r="AQ314" i="7"/>
  <c r="AQ294" i="7"/>
  <c r="AQ200" i="7"/>
  <c r="AQ572" i="7"/>
  <c r="AQ994" i="7"/>
  <c r="AQ543" i="7"/>
  <c r="AQ516" i="7"/>
  <c r="AQ554" i="7"/>
  <c r="AQ504" i="7"/>
  <c r="AQ996" i="7"/>
  <c r="AQ687" i="7"/>
  <c r="AQ626" i="7"/>
  <c r="AQ819" i="7"/>
  <c r="AM819" i="7" s="1"/>
  <c r="AQ883" i="7"/>
  <c r="AM883" i="7" s="1"/>
  <c r="AQ978" i="7"/>
  <c r="AM978" i="7" s="1"/>
  <c r="AQ973" i="7"/>
  <c r="AM973" i="7" s="1"/>
  <c r="AQ695" i="7"/>
  <c r="AQ558" i="7"/>
  <c r="AQ781" i="7"/>
  <c r="AM781" i="7" s="1"/>
  <c r="AQ377" i="7"/>
  <c r="AM377" i="7" s="1"/>
  <c r="AQ465" i="7"/>
  <c r="AQ573" i="7"/>
  <c r="AQ810" i="7"/>
  <c r="AM810" i="7" s="1"/>
  <c r="AQ349" i="7"/>
  <c r="AQ617" i="7"/>
  <c r="AQ525" i="7"/>
  <c r="AQ1004" i="7"/>
  <c r="AQ115" i="7"/>
  <c r="AM115" i="7" s="1"/>
  <c r="AQ388" i="7"/>
  <c r="AQ692" i="7"/>
  <c r="AQ140" i="7"/>
  <c r="AM140" i="7" s="1"/>
  <c r="AQ295" i="7"/>
  <c r="AQ356" i="7"/>
  <c r="AQ422" i="7"/>
  <c r="AM422" i="7" s="1"/>
  <c r="AQ273" i="7"/>
  <c r="AQ337" i="7"/>
  <c r="AQ155" i="7"/>
  <c r="AM155" i="7" s="1"/>
  <c r="AQ350" i="7"/>
  <c r="AQ123" i="7"/>
  <c r="AM123" i="7" s="1"/>
  <c r="AQ100" i="7"/>
  <c r="AM100" i="7" s="1"/>
  <c r="AQ510" i="7"/>
  <c r="AQ280" i="7"/>
  <c r="AQ78" i="7"/>
  <c r="AQ424" i="7"/>
  <c r="AQ616" i="7"/>
  <c r="AQ814" i="7"/>
  <c r="AM814" i="7" s="1"/>
  <c r="AQ868" i="7"/>
  <c r="AM868" i="7" s="1"/>
  <c r="AQ785" i="7"/>
  <c r="AM785" i="7" s="1"/>
  <c r="AQ968" i="7"/>
  <c r="AM968" i="7" s="1"/>
  <c r="AQ684" i="7"/>
  <c r="AQ540" i="7"/>
  <c r="AQ776" i="7"/>
  <c r="AQ805" i="7"/>
  <c r="AM805" i="7" s="1"/>
  <c r="AQ429" i="7"/>
  <c r="AM429" i="7" s="1"/>
  <c r="AQ559" i="7"/>
  <c r="AQ774" i="7"/>
  <c r="AQ331" i="7"/>
  <c r="AQ571" i="7"/>
  <c r="AQ487" i="7"/>
  <c r="AQ889" i="7"/>
  <c r="AM889" i="7" s="1"/>
  <c r="AQ107" i="7"/>
  <c r="AM107" i="7" s="1"/>
  <c r="AQ343" i="7"/>
  <c r="AQ319" i="7"/>
  <c r="AQ396" i="7"/>
  <c r="AQ520" i="7"/>
  <c r="AQ947" i="7"/>
  <c r="AM947" i="7" s="1"/>
  <c r="AQ527" i="7"/>
  <c r="AQ752" i="7"/>
  <c r="AQ83" i="7"/>
  <c r="AM83" i="7" s="1"/>
  <c r="AQ130" i="7"/>
  <c r="AM130" i="7" s="1"/>
  <c r="AQ332" i="7"/>
  <c r="AQ892" i="7"/>
  <c r="AM892" i="7" s="1"/>
  <c r="AQ769" i="7"/>
  <c r="AQ578" i="7"/>
  <c r="AQ399" i="7"/>
  <c r="AQ467" i="7"/>
  <c r="AQ756" i="7"/>
  <c r="AQ345" i="7"/>
  <c r="AQ362" i="7"/>
  <c r="AQ270" i="7"/>
  <c r="AQ374" i="7"/>
  <c r="AM374" i="7" s="1"/>
  <c r="AQ591" i="7"/>
  <c r="M47" i="7"/>
  <c r="AO47" i="7" s="1"/>
  <c r="M884" i="7"/>
  <c r="AO884" i="7" s="1"/>
  <c r="M705" i="7"/>
  <c r="AO705" i="7" s="1"/>
  <c r="M565" i="7"/>
  <c r="AO565" i="7" s="1"/>
  <c r="M879" i="7"/>
  <c r="AO879" i="7" s="1"/>
  <c r="M750" i="7"/>
  <c r="M599" i="7"/>
  <c r="AO599" i="7" s="1"/>
  <c r="M837" i="7"/>
  <c r="M684" i="7"/>
  <c r="M551" i="7"/>
  <c r="M916" i="7"/>
  <c r="AO916" i="7" s="1"/>
  <c r="M733" i="7"/>
  <c r="M958" i="7"/>
  <c r="M771" i="7"/>
  <c r="M583" i="7"/>
  <c r="AO583" i="7" s="1"/>
  <c r="M940" i="7"/>
  <c r="AO940" i="7" s="1"/>
  <c r="M806" i="7"/>
  <c r="AO806" i="7" s="1"/>
  <c r="M659" i="7"/>
  <c r="AO659" i="7" s="1"/>
  <c r="M749" i="7"/>
  <c r="M516" i="7"/>
  <c r="AO516" i="7" s="1"/>
  <c r="M978" i="7"/>
  <c r="AO978" i="7" s="1"/>
  <c r="M643" i="7"/>
  <c r="M461" i="7"/>
  <c r="AO461" i="7" s="1"/>
  <c r="M811" i="7"/>
  <c r="AO811" i="7" s="1"/>
  <c r="M545" i="7"/>
  <c r="AO545" i="7" s="1"/>
  <c r="M359" i="7"/>
  <c r="AO359" i="7" s="1"/>
  <c r="M890" i="7"/>
  <c r="AO890" i="7" s="1"/>
  <c r="M610" i="7"/>
  <c r="AO610" i="7" s="1"/>
  <c r="M483" i="7"/>
  <c r="M385" i="7"/>
  <c r="M831" i="7"/>
  <c r="AO831" i="7" s="1"/>
  <c r="M598" i="7"/>
  <c r="AO598" i="7" s="1"/>
  <c r="M417" i="7"/>
  <c r="AO417" i="7" s="1"/>
  <c r="M947" i="7"/>
  <c r="AO947" i="7" s="1"/>
  <c r="M636" i="7"/>
  <c r="AO636" i="7" s="1"/>
  <c r="M474" i="7"/>
  <c r="AO474" i="7" s="1"/>
  <c r="M838" i="7"/>
  <c r="M383" i="7"/>
  <c r="AO383" i="7" s="1"/>
  <c r="M200" i="7"/>
  <c r="M66" i="7"/>
  <c r="M549" i="7"/>
  <c r="AO549" i="7" s="1"/>
  <c r="M319" i="7"/>
  <c r="M166" i="7"/>
  <c r="M827" i="7"/>
  <c r="AO827" i="7" s="1"/>
  <c r="M507" i="7"/>
  <c r="AO507" i="7" s="1"/>
  <c r="M292" i="7"/>
  <c r="M190" i="7"/>
  <c r="M478" i="7"/>
  <c r="AO478" i="7" s="1"/>
  <c r="M935" i="7"/>
  <c r="M505" i="7"/>
  <c r="AO505" i="7" s="1"/>
  <c r="M280" i="7"/>
  <c r="M689" i="7"/>
  <c r="M311" i="7"/>
  <c r="M159" i="7"/>
  <c r="AO159" i="7" s="1"/>
  <c r="M273" i="7"/>
  <c r="M60" i="7"/>
  <c r="M682" i="7"/>
  <c r="AO682" i="7" s="1"/>
  <c r="M202" i="7"/>
  <c r="M104" i="7"/>
  <c r="AO104" i="7" s="1"/>
  <c r="M790" i="7"/>
  <c r="AO790" i="7" s="1"/>
  <c r="M252" i="7"/>
  <c r="M275" i="7"/>
  <c r="M572" i="7"/>
  <c r="AO572" i="7" s="1"/>
  <c r="M175" i="7"/>
  <c r="AO175" i="7" s="1"/>
  <c r="M265" i="7"/>
  <c r="M176" i="7"/>
  <c r="AO176" i="7" s="1"/>
  <c r="M463" i="7"/>
  <c r="AO463" i="7" s="1"/>
  <c r="M196" i="7"/>
  <c r="M768" i="7"/>
  <c r="M217" i="7"/>
  <c r="M337" i="7"/>
  <c r="M112" i="7"/>
  <c r="AO112" i="7" s="1"/>
  <c r="M451" i="7"/>
  <c r="M81" i="7"/>
  <c r="M115" i="7"/>
  <c r="AO115" i="7" s="1"/>
  <c r="M239" i="7"/>
  <c r="M107" i="7"/>
  <c r="AO107" i="7" s="1"/>
  <c r="M73" i="7"/>
  <c r="M621" i="7"/>
  <c r="AO621" i="7" s="1"/>
  <c r="M499" i="7"/>
  <c r="AO499" i="7" s="1"/>
  <c r="M629" i="7"/>
  <c r="M726" i="7"/>
  <c r="AO726" i="7" s="1"/>
  <c r="M932" i="7"/>
  <c r="M752" i="7"/>
  <c r="M387" i="7"/>
  <c r="AO387" i="7" s="1"/>
  <c r="M1003" i="7"/>
  <c r="M869" i="7"/>
  <c r="AO869" i="7" s="1"/>
  <c r="M698" i="7"/>
  <c r="AO698" i="7" s="1"/>
  <c r="M999" i="7"/>
  <c r="M874" i="7"/>
  <c r="AO874" i="7" s="1"/>
  <c r="M746" i="7"/>
  <c r="M588" i="7"/>
  <c r="AO588" i="7" s="1"/>
  <c r="M813" i="7"/>
  <c r="AO813" i="7" s="1"/>
  <c r="M677" i="7"/>
  <c r="AO677" i="7" s="1"/>
  <c r="M544" i="7"/>
  <c r="AO544" i="7" s="1"/>
  <c r="M911" i="7"/>
  <c r="AO911" i="7" s="1"/>
  <c r="M719" i="7"/>
  <c r="AO719" i="7" s="1"/>
  <c r="M955" i="7"/>
  <c r="AO955" i="7" s="1"/>
  <c r="M758" i="7"/>
  <c r="M570" i="7"/>
  <c r="AO570" i="7" s="1"/>
  <c r="M920" i="7"/>
  <c r="AO920" i="7" s="1"/>
  <c r="M782" i="7"/>
  <c r="AO782" i="7" s="1"/>
  <c r="M959" i="7"/>
  <c r="M721" i="7"/>
  <c r="AO721" i="7" s="1"/>
  <c r="M489" i="7"/>
  <c r="AO489" i="7" s="1"/>
  <c r="M948" i="7"/>
  <c r="AO948" i="7" s="1"/>
  <c r="M591" i="7"/>
  <c r="AO591" i="7" s="1"/>
  <c r="M438" i="7"/>
  <c r="M734" i="7"/>
  <c r="M539" i="7"/>
  <c r="AO539" i="7" s="1"/>
  <c r="M350" i="7"/>
  <c r="AO350" i="7" s="1"/>
  <c r="M880" i="7"/>
  <c r="AO880" i="7" s="1"/>
  <c r="M594" i="7"/>
  <c r="AO594" i="7" s="1"/>
  <c r="M473" i="7"/>
  <c r="M365" i="7"/>
  <c r="AO365" i="7" s="1"/>
  <c r="M816" i="7"/>
  <c r="AO816" i="7" s="1"/>
  <c r="M558" i="7"/>
  <c r="AO558" i="7" s="1"/>
  <c r="M412" i="7"/>
  <c r="AO412" i="7" s="1"/>
  <c r="M943" i="7"/>
  <c r="AO943" i="7" s="1"/>
  <c r="M627" i="7"/>
  <c r="AO627" i="7" s="1"/>
  <c r="M471" i="7"/>
  <c r="M815" i="7"/>
  <c r="AO815" i="7" s="1"/>
  <c r="M356" i="7"/>
  <c r="AO356" i="7" s="1"/>
  <c r="M180" i="7"/>
  <c r="AO180" i="7" s="1"/>
  <c r="M928" i="7"/>
  <c r="M532" i="7"/>
  <c r="AO532" i="7" s="1"/>
  <c r="M309" i="7"/>
  <c r="M163" i="7"/>
  <c r="AO163" i="7" s="1"/>
  <c r="M821" i="7"/>
  <c r="AO821" i="7" s="1"/>
  <c r="M502" i="7"/>
  <c r="AO502" i="7" s="1"/>
  <c r="M287" i="7"/>
  <c r="M183" i="7"/>
  <c r="AO183" i="7" s="1"/>
  <c r="M390" i="7"/>
  <c r="AO390" i="7" s="1"/>
  <c r="M922" i="7"/>
  <c r="AO922" i="7" s="1"/>
  <c r="M487" i="7"/>
  <c r="AO487" i="7" s="1"/>
  <c r="M267" i="7"/>
  <c r="M668" i="7"/>
  <c r="AO668" i="7" s="1"/>
  <c r="M272" i="7"/>
  <c r="M156" i="7"/>
  <c r="AO156" i="7" s="1"/>
  <c r="M264" i="7"/>
  <c r="M498" i="7"/>
  <c r="AO498" i="7" s="1"/>
  <c r="M645" i="7"/>
  <c r="AO645" i="7" s="1"/>
  <c r="M192" i="7"/>
  <c r="M92" i="7"/>
  <c r="AO92" i="7" s="1"/>
  <c r="M609" i="7"/>
  <c r="AO609" i="7" s="1"/>
  <c r="M199" i="7"/>
  <c r="M269" i="7"/>
  <c r="M485" i="7"/>
  <c r="M149" i="7"/>
  <c r="AO149" i="7" s="1"/>
  <c r="M143" i="7"/>
  <c r="AO143" i="7" s="1"/>
  <c r="M484" i="7"/>
  <c r="AO484" i="7" s="1"/>
  <c r="M448" i="7"/>
  <c r="M165" i="7"/>
  <c r="M683" i="7"/>
  <c r="M148" i="7"/>
  <c r="AO148" i="7" s="1"/>
  <c r="M320" i="7"/>
  <c r="M444" i="7"/>
  <c r="M214" i="7"/>
  <c r="M650" i="7"/>
  <c r="AO650" i="7" s="1"/>
  <c r="M814" i="7"/>
  <c r="AO814" i="7" s="1"/>
  <c r="M991" i="7"/>
  <c r="AO991" i="7" s="1"/>
  <c r="M724" i="7"/>
  <c r="M501" i="7"/>
  <c r="AO501" i="7" s="1"/>
  <c r="M364" i="7"/>
  <c r="AO364" i="7" s="1"/>
  <c r="M825" i="7"/>
  <c r="AO825" i="7" s="1"/>
  <c r="M968" i="7"/>
  <c r="AO968" i="7" s="1"/>
  <c r="M834" i="7"/>
  <c r="AO834" i="7" s="1"/>
  <c r="M673" i="7"/>
  <c r="AO673" i="7" s="1"/>
  <c r="M995" i="7"/>
  <c r="M829" i="7"/>
  <c r="AO829" i="7" s="1"/>
  <c r="M722" i="7"/>
  <c r="AO722" i="7" s="1"/>
  <c r="M585" i="7"/>
  <c r="AO585" i="7" s="1"/>
  <c r="M802" i="7"/>
  <c r="M657" i="7"/>
  <c r="AO657" i="7" s="1"/>
  <c r="M1004" i="7"/>
  <c r="M892" i="7"/>
  <c r="AO892" i="7" s="1"/>
  <c r="M709" i="7"/>
  <c r="AO709" i="7" s="1"/>
  <c r="M945" i="7"/>
  <c r="AO945" i="7" s="1"/>
  <c r="M748" i="7"/>
  <c r="M567" i="7"/>
  <c r="AO567" i="7" s="1"/>
  <c r="M917" i="7"/>
  <c r="AO917" i="7" s="1"/>
  <c r="M767" i="7"/>
  <c r="M952" i="7"/>
  <c r="AO952" i="7" s="1"/>
  <c r="M693" i="7"/>
  <c r="AO693" i="7" s="1"/>
  <c r="M475" i="7"/>
  <c r="M942" i="7"/>
  <c r="AO942" i="7" s="1"/>
  <c r="M580" i="7"/>
  <c r="AO580" i="7" s="1"/>
  <c r="M411" i="7"/>
  <c r="AO411" i="7" s="1"/>
  <c r="M713" i="7"/>
  <c r="AO713" i="7" s="1"/>
  <c r="M513" i="7"/>
  <c r="AO513" i="7" s="1"/>
  <c r="M343" i="7"/>
  <c r="AO343" i="7" s="1"/>
  <c r="M789" i="7"/>
  <c r="AO789" i="7" s="1"/>
  <c r="M564" i="7"/>
  <c r="AO564" i="7" s="1"/>
  <c r="M467" i="7"/>
  <c r="M1006" i="7"/>
  <c r="M798" i="7"/>
  <c r="AO798" i="7" s="1"/>
  <c r="M555" i="7"/>
  <c r="AO555" i="7" s="1"/>
  <c r="M389" i="7"/>
  <c r="M937" i="7"/>
  <c r="AO937" i="7" s="1"/>
  <c r="M624" i="7"/>
  <c r="M465" i="7"/>
  <c r="AO465" i="7" s="1"/>
  <c r="M803" i="7"/>
  <c r="AO803" i="7" s="1"/>
  <c r="M322" i="7"/>
  <c r="M169" i="7"/>
  <c r="M910" i="7"/>
  <c r="AO910" i="7" s="1"/>
  <c r="M437" i="7"/>
  <c r="M304" i="7"/>
  <c r="M138" i="7"/>
  <c r="M819" i="7"/>
  <c r="AO819" i="7" s="1"/>
  <c r="M492" i="7"/>
  <c r="AO492" i="7" s="1"/>
  <c r="M283" i="7"/>
  <c r="M173" i="7"/>
  <c r="AO173" i="7" s="1"/>
  <c r="M351" i="7"/>
  <c r="AO351" i="7" s="1"/>
  <c r="M895" i="7"/>
  <c r="AO895" i="7" s="1"/>
  <c r="M469" i="7"/>
  <c r="AO469" i="7" s="1"/>
  <c r="M263" i="7"/>
  <c r="M543" i="7"/>
  <c r="AO543" i="7" s="1"/>
  <c r="M268" i="7"/>
  <c r="M146" i="7"/>
  <c r="AO146" i="7" s="1"/>
  <c r="M221" i="7"/>
  <c r="M374" i="7"/>
  <c r="AO374" i="7" s="1"/>
  <c r="M638" i="7"/>
  <c r="AO638" i="7" s="1"/>
  <c r="M167" i="7"/>
  <c r="AO167" i="7" s="1"/>
  <c r="M441" i="7"/>
  <c r="AO441" i="7" s="1"/>
  <c r="M248" i="7"/>
  <c r="M181" i="7"/>
  <c r="AO181" i="7" s="1"/>
  <c r="M294" i="7"/>
  <c r="M403" i="7"/>
  <c r="AO403" i="7" s="1"/>
  <c r="M135" i="7"/>
  <c r="AO135" i="7" s="1"/>
  <c r="M116" i="7"/>
  <c r="M208" i="7"/>
  <c r="M410" i="7"/>
  <c r="AO410" i="7" s="1"/>
  <c r="M126" i="7"/>
  <c r="AO126" i="7" s="1"/>
  <c r="M593" i="7"/>
  <c r="AO593" i="7" s="1"/>
  <c r="M120" i="7"/>
  <c r="AO120" i="7" s="1"/>
  <c r="M312" i="7"/>
  <c r="M100" i="7"/>
  <c r="AO100" i="7" s="1"/>
  <c r="M394" i="7"/>
  <c r="AO394" i="7" s="1"/>
  <c r="M69" i="7"/>
  <c r="M310" i="7"/>
  <c r="M737" i="7"/>
  <c r="M697" i="7"/>
  <c r="AO697" i="7" s="1"/>
  <c r="M506" i="7"/>
  <c r="AO506" i="7" s="1"/>
  <c r="M685" i="7"/>
  <c r="AO685" i="7" s="1"/>
  <c r="M521" i="7"/>
  <c r="AO521" i="7" s="1"/>
  <c r="M240" i="7"/>
  <c r="M965" i="7"/>
  <c r="AO965" i="7" s="1"/>
  <c r="M788" i="7"/>
  <c r="AO788" i="7" s="1"/>
  <c r="M670" i="7"/>
  <c r="AO670" i="7" s="1"/>
  <c r="M989" i="7"/>
  <c r="AO989" i="7" s="1"/>
  <c r="M826" i="7"/>
  <c r="AO826" i="7" s="1"/>
  <c r="M695" i="7"/>
  <c r="AO695" i="7" s="1"/>
  <c r="M984" i="7"/>
  <c r="AO984" i="7" s="1"/>
  <c r="M799" i="7"/>
  <c r="AO799" i="7" s="1"/>
  <c r="M644" i="7"/>
  <c r="AO644" i="7" s="1"/>
  <c r="M1000" i="7"/>
  <c r="M887" i="7"/>
  <c r="AO887" i="7" s="1"/>
  <c r="M699" i="7"/>
  <c r="AO699" i="7" s="1"/>
  <c r="M898" i="7"/>
  <c r="AO898" i="7" s="1"/>
  <c r="M743" i="7"/>
  <c r="M553" i="7"/>
  <c r="AO553" i="7" s="1"/>
  <c r="M912" i="7"/>
  <c r="AO912" i="7" s="1"/>
  <c r="M739" i="7"/>
  <c r="M931" i="7"/>
  <c r="M671" i="7"/>
  <c r="AO671" i="7" s="1"/>
  <c r="M455" i="7"/>
  <c r="AO455" i="7" s="1"/>
  <c r="M938" i="7"/>
  <c r="AO938" i="7" s="1"/>
  <c r="M577" i="7"/>
  <c r="AO577" i="7" s="1"/>
  <c r="M395" i="7"/>
  <c r="M703" i="7"/>
  <c r="AO703" i="7" s="1"/>
  <c r="M500" i="7"/>
  <c r="M332" i="7"/>
  <c r="M778" i="7"/>
  <c r="M548" i="7"/>
  <c r="M459" i="7"/>
  <c r="AO459" i="7" s="1"/>
  <c r="M983" i="7"/>
  <c r="AO983" i="7" s="1"/>
  <c r="M754" i="7"/>
  <c r="M552" i="7"/>
  <c r="M377" i="7"/>
  <c r="AO377" i="7" s="1"/>
  <c r="M914" i="7"/>
  <c r="AO914" i="7" s="1"/>
  <c r="M587" i="7"/>
  <c r="AO587" i="7" s="1"/>
  <c r="M457" i="7"/>
  <c r="M763" i="7"/>
  <c r="M313" i="7"/>
  <c r="M160" i="7"/>
  <c r="AO160" i="7" s="1"/>
  <c r="M881" i="7"/>
  <c r="AO881" i="7" s="1"/>
  <c r="M435" i="7"/>
  <c r="AO435" i="7" s="1"/>
  <c r="M274" i="7"/>
  <c r="M130" i="7"/>
  <c r="AO130" i="7" s="1"/>
  <c r="M809" i="7"/>
  <c r="AO809" i="7" s="1"/>
  <c r="M429" i="7"/>
  <c r="AO429" i="7" s="1"/>
  <c r="M266" i="7"/>
  <c r="M155" i="7"/>
  <c r="AO155" i="7" s="1"/>
  <c r="M323" i="7"/>
  <c r="M891" i="7"/>
  <c r="AO891" i="7" s="1"/>
  <c r="M462" i="7"/>
  <c r="AO462" i="7" s="1"/>
  <c r="M250" i="7"/>
  <c r="M458" i="7"/>
  <c r="AO458" i="7" s="1"/>
  <c r="M259" i="7"/>
  <c r="M985" i="7"/>
  <c r="AO985" i="7" s="1"/>
  <c r="M153" i="7"/>
  <c r="AO153" i="7" s="1"/>
  <c r="M786" i="7"/>
  <c r="M631" i="7"/>
  <c r="AO631" i="7" s="1"/>
  <c r="M164" i="7"/>
  <c r="M256" i="7"/>
  <c r="M998" i="7"/>
  <c r="M177" i="7"/>
  <c r="AO177" i="7" s="1"/>
  <c r="M282" i="7"/>
  <c r="M393" i="7"/>
  <c r="AO393" i="7" s="1"/>
  <c r="M119" i="7"/>
  <c r="AO119" i="7" s="1"/>
  <c r="M331" i="7"/>
  <c r="M110" i="7"/>
  <c r="AO110" i="7" s="1"/>
  <c r="M396" i="7"/>
  <c r="AO396" i="7" s="1"/>
  <c r="M124" i="7"/>
  <c r="AO124" i="7" s="1"/>
  <c r="M550" i="7"/>
  <c r="AO550" i="7" s="1"/>
  <c r="M129" i="7"/>
  <c r="AO129" i="7" s="1"/>
  <c r="M306" i="7"/>
  <c r="M95" i="7"/>
  <c r="AO95" i="7" s="1"/>
  <c r="M366" i="7"/>
  <c r="AO366" i="7" s="1"/>
  <c r="M382" i="7"/>
  <c r="M307" i="7"/>
  <c r="M346" i="7"/>
  <c r="AO346" i="7" s="1"/>
  <c r="M118" i="7"/>
  <c r="AO118" i="7" s="1"/>
  <c r="M611" i="7"/>
  <c r="AO611" i="7" s="1"/>
  <c r="M949" i="7"/>
  <c r="AO949" i="7" s="1"/>
  <c r="M980" i="7"/>
  <c r="AO980" i="7" s="1"/>
  <c r="M607" i="7"/>
  <c r="AO607" i="7" s="1"/>
  <c r="M523" i="7"/>
  <c r="AO523" i="7" s="1"/>
  <c r="M231" i="7"/>
  <c r="M559" i="7"/>
  <c r="AO559" i="7" s="1"/>
  <c r="M960" i="7"/>
  <c r="AO960" i="7" s="1"/>
  <c r="M764" i="7"/>
  <c r="M667" i="7"/>
  <c r="AO667" i="7" s="1"/>
  <c r="M981" i="7"/>
  <c r="AO981" i="7" s="1"/>
  <c r="M823" i="7"/>
  <c r="AO823" i="7" s="1"/>
  <c r="M688" i="7"/>
  <c r="AO688" i="7" s="1"/>
  <c r="M963" i="7"/>
  <c r="AO963" i="7" s="1"/>
  <c r="M796" i="7"/>
  <c r="AO796" i="7" s="1"/>
  <c r="M640" i="7"/>
  <c r="AO640" i="7" s="1"/>
  <c r="M992" i="7"/>
  <c r="AO992" i="7" s="1"/>
  <c r="M877" i="7"/>
  <c r="AO877" i="7" s="1"/>
  <c r="M661" i="7"/>
  <c r="AO661" i="7" s="1"/>
  <c r="M883" i="7"/>
  <c r="AO883" i="7" s="1"/>
  <c r="M717" i="7"/>
  <c r="AO717" i="7" s="1"/>
  <c r="M542" i="7"/>
  <c r="AO542" i="7" s="1"/>
  <c r="M904" i="7"/>
  <c r="M730" i="7"/>
  <c r="AO730" i="7" s="1"/>
  <c r="M871" i="7"/>
  <c r="AO871" i="7" s="1"/>
  <c r="M648" i="7"/>
  <c r="AO648" i="7" s="1"/>
  <c r="M452" i="7"/>
  <c r="AO452" i="7" s="1"/>
  <c r="M926" i="7"/>
  <c r="M566" i="7"/>
  <c r="M388" i="7"/>
  <c r="AO388" i="7" s="1"/>
  <c r="M662" i="7"/>
  <c r="AO662" i="7" s="1"/>
  <c r="M476" i="7"/>
  <c r="M328" i="7"/>
  <c r="M772" i="7"/>
  <c r="M533" i="7"/>
  <c r="AO533" i="7" s="1"/>
  <c r="M442" i="7"/>
  <c r="M966" i="7"/>
  <c r="M729" i="7"/>
  <c r="AO729" i="7" s="1"/>
  <c r="M540" i="7"/>
  <c r="AO540" i="7" s="1"/>
  <c r="M368" i="7"/>
  <c r="AO368" i="7" s="1"/>
  <c r="M866" i="7"/>
  <c r="M546" i="7"/>
  <c r="AO546" i="7" s="1"/>
  <c r="M447" i="7"/>
  <c r="M660" i="7"/>
  <c r="AO660" i="7" s="1"/>
  <c r="M308" i="7"/>
  <c r="M157" i="7"/>
  <c r="M836" i="7"/>
  <c r="AO836" i="7" s="1"/>
  <c r="M426" i="7"/>
  <c r="M270" i="7"/>
  <c r="M123" i="7"/>
  <c r="AO123" i="7" s="1"/>
  <c r="M801" i="7"/>
  <c r="AO801" i="7" s="1"/>
  <c r="M413" i="7"/>
  <c r="AO413" i="7" s="1"/>
  <c r="M262" i="7"/>
  <c r="M145" i="7"/>
  <c r="AO145" i="7" s="1"/>
  <c r="M314" i="7"/>
  <c r="M780" i="7"/>
  <c r="AO780" i="7" s="1"/>
  <c r="M362" i="7"/>
  <c r="AO362" i="7" s="1"/>
  <c r="M246" i="7"/>
  <c r="M453" i="7"/>
  <c r="AO453" i="7" s="1"/>
  <c r="M255" i="7"/>
  <c r="M961" i="7"/>
  <c r="AO961" i="7" s="1"/>
  <c r="M151" i="7"/>
  <c r="AO151" i="7" s="1"/>
  <c r="M742" i="7"/>
  <c r="M576" i="7"/>
  <c r="AO576" i="7" s="1"/>
  <c r="M142" i="7"/>
  <c r="M131" i="7"/>
  <c r="AO131" i="7" s="1"/>
  <c r="M808" i="7"/>
  <c r="AO808" i="7" s="1"/>
  <c r="M140" i="7"/>
  <c r="AO140" i="7" s="1"/>
  <c r="M386" i="7"/>
  <c r="AO386" i="7" s="1"/>
  <c r="M111" i="7"/>
  <c r="AO111" i="7" s="1"/>
  <c r="M154" i="7"/>
  <c r="AO154" i="7" s="1"/>
  <c r="M875" i="7"/>
  <c r="AO875" i="7" s="1"/>
  <c r="M305" i="7"/>
  <c r="M97" i="7"/>
  <c r="AO97" i="7" s="1"/>
  <c r="M541" i="7"/>
  <c r="AO541" i="7" s="1"/>
  <c r="M994" i="7"/>
  <c r="M238" i="7"/>
  <c r="M80" i="7"/>
  <c r="M105" i="7"/>
  <c r="AO105" i="7" s="1"/>
  <c r="M185" i="7"/>
  <c r="M83" i="7"/>
  <c r="AO83" i="7" s="1"/>
  <c r="M736" i="7"/>
  <c r="M927" i="7"/>
  <c r="M686" i="7"/>
  <c r="AO686" i="7" s="1"/>
  <c r="M804" i="7"/>
  <c r="AO804" i="7" s="1"/>
  <c r="M934" i="7"/>
  <c r="M423" i="7"/>
  <c r="AO423" i="7" s="1"/>
  <c r="M253" i="7"/>
  <c r="M711" i="7"/>
  <c r="AO711" i="7" s="1"/>
  <c r="M956" i="7"/>
  <c r="M760" i="7"/>
  <c r="M653" i="7"/>
  <c r="M976" i="7"/>
  <c r="AO976" i="7" s="1"/>
  <c r="M818" i="7"/>
  <c r="AO818" i="7" s="1"/>
  <c r="M680" i="7"/>
  <c r="AO680" i="7" s="1"/>
  <c r="M954" i="7"/>
  <c r="AO954" i="7" s="1"/>
  <c r="M791" i="7"/>
  <c r="AO791" i="7" s="1"/>
  <c r="M637" i="7"/>
  <c r="AO637" i="7" s="1"/>
  <c r="M971" i="7"/>
  <c r="AO971" i="7" s="1"/>
  <c r="M872" i="7"/>
  <c r="AO872" i="7" s="1"/>
  <c r="M654" i="7"/>
  <c r="M868" i="7"/>
  <c r="AO868" i="7" s="1"/>
  <c r="M710" i="7"/>
  <c r="AO710" i="7" s="1"/>
  <c r="M538" i="7"/>
  <c r="M901" i="7"/>
  <c r="AO901" i="7" s="1"/>
  <c r="M727" i="7"/>
  <c r="AO727" i="7" s="1"/>
  <c r="M862" i="7"/>
  <c r="AO862" i="7" s="1"/>
  <c r="M620" i="7"/>
  <c r="M445" i="7"/>
  <c r="M915" i="7"/>
  <c r="AO915" i="7" s="1"/>
  <c r="M557" i="7"/>
  <c r="M384" i="7"/>
  <c r="M646" i="7"/>
  <c r="AO646" i="7" s="1"/>
  <c r="M470" i="7"/>
  <c r="AO470" i="7" s="1"/>
  <c r="M52" i="7"/>
  <c r="AO52" i="7" s="1"/>
  <c r="M740" i="7"/>
  <c r="M530" i="7"/>
  <c r="AO530" i="7" s="1"/>
  <c r="M439" i="7"/>
  <c r="AO439" i="7" s="1"/>
  <c r="M962" i="7"/>
  <c r="AO962" i="7" s="1"/>
  <c r="M706" i="7"/>
  <c r="AO706" i="7" s="1"/>
  <c r="M527" i="7"/>
  <c r="AO527" i="7" s="1"/>
  <c r="M354" i="7"/>
  <c r="AO354" i="7" s="1"/>
  <c r="M776" i="7"/>
  <c r="M531" i="7"/>
  <c r="AO531" i="7" s="1"/>
  <c r="M440" i="7"/>
  <c r="M652" i="7"/>
  <c r="AO652" i="7" s="1"/>
  <c r="M278" i="7"/>
  <c r="M147" i="7"/>
  <c r="AO147" i="7" s="1"/>
  <c r="M817" i="7"/>
  <c r="AO817" i="7" s="1"/>
  <c r="M375" i="7"/>
  <c r="AO375" i="7" s="1"/>
  <c r="M261" i="7"/>
  <c r="M109" i="7"/>
  <c r="AO109" i="7" s="1"/>
  <c r="M785" i="7"/>
  <c r="AO785" i="7" s="1"/>
  <c r="M406" i="7"/>
  <c r="AO406" i="7" s="1"/>
  <c r="M249" i="7"/>
  <c r="M133" i="7"/>
  <c r="M279" i="7"/>
  <c r="M744" i="7"/>
  <c r="M349" i="7"/>
  <c r="AO349" i="7" s="1"/>
  <c r="M241" i="7"/>
  <c r="M436" i="7"/>
  <c r="AO436" i="7" s="1"/>
  <c r="M207" i="7"/>
  <c r="M830" i="7"/>
  <c r="AO830" i="7" s="1"/>
  <c r="M132" i="7"/>
  <c r="AO132" i="7" s="1"/>
  <c r="M260" i="7"/>
  <c r="M556" i="7"/>
  <c r="AO556" i="7" s="1"/>
  <c r="M108" i="7"/>
  <c r="AO108" i="7" s="1"/>
  <c r="M102" i="7"/>
  <c r="AO102" i="7" s="1"/>
  <c r="M757" i="7"/>
  <c r="M137" i="7"/>
  <c r="AO137" i="7" s="1"/>
  <c r="M460" i="7"/>
  <c r="AO460" i="7" s="1"/>
  <c r="M339" i="7"/>
  <c r="M404" i="7"/>
  <c r="AO404" i="7" s="1"/>
  <c r="M674" i="7"/>
  <c r="AO674" i="7" s="1"/>
  <c r="M302" i="7"/>
  <c r="M89" i="7"/>
  <c r="AO89" i="7" s="1"/>
  <c r="M488" i="7"/>
  <c r="AO488" i="7" s="1"/>
  <c r="M990" i="7"/>
  <c r="AO990" i="7" s="1"/>
  <c r="M235" i="7"/>
  <c r="M72" i="7"/>
  <c r="M174" i="7"/>
  <c r="AO174" i="7" s="1"/>
  <c r="M125" i="7"/>
  <c r="AO125" i="7" s="1"/>
  <c r="M85" i="7"/>
  <c r="AO85" i="7" s="1"/>
  <c r="M951" i="7"/>
  <c r="AO951" i="7" s="1"/>
  <c r="M805" i="7"/>
  <c r="AO805" i="7" s="1"/>
  <c r="M424" i="7"/>
  <c r="M612" i="7"/>
  <c r="AO612" i="7" s="1"/>
  <c r="M333" i="7"/>
  <c r="M601" i="7"/>
  <c r="AO601" i="7" s="1"/>
  <c r="M205" i="7"/>
  <c r="M946" i="7"/>
  <c r="AO946" i="7" s="1"/>
  <c r="M755" i="7"/>
  <c r="M628" i="7"/>
  <c r="AO628" i="7" s="1"/>
  <c r="M973" i="7"/>
  <c r="AO973" i="7" s="1"/>
  <c r="M810" i="7"/>
  <c r="AO810" i="7" s="1"/>
  <c r="M664" i="7"/>
  <c r="AO664" i="7" s="1"/>
  <c r="M930" i="7"/>
  <c r="M741" i="7"/>
  <c r="M615" i="7"/>
  <c r="AO615" i="7" s="1"/>
  <c r="M957" i="7"/>
  <c r="M832" i="7"/>
  <c r="AO832" i="7" s="1"/>
  <c r="M633" i="7"/>
  <c r="M833" i="7"/>
  <c r="AO833" i="7" s="1"/>
  <c r="M700" i="7"/>
  <c r="AO700" i="7" s="1"/>
  <c r="M535" i="7"/>
  <c r="AO535" i="7" s="1"/>
  <c r="M893" i="7"/>
  <c r="AO893" i="7" s="1"/>
  <c r="M707" i="7"/>
  <c r="AO707" i="7" s="1"/>
  <c r="M828" i="7"/>
  <c r="AO828" i="7" s="1"/>
  <c r="M617" i="7"/>
  <c r="AO617" i="7" s="1"/>
  <c r="M427" i="7"/>
  <c r="AO427" i="7" s="1"/>
  <c r="M753" i="7"/>
  <c r="M554" i="7"/>
  <c r="AO554" i="7" s="1"/>
  <c r="M996" i="7"/>
  <c r="M626" i="7"/>
  <c r="AO626" i="7" s="1"/>
  <c r="M464" i="7"/>
  <c r="AO464" i="7" s="1"/>
  <c r="M970" i="7"/>
  <c r="AO970" i="7" s="1"/>
  <c r="M731" i="7"/>
  <c r="M526" i="7"/>
  <c r="AO526" i="7" s="1"/>
  <c r="M431" i="7"/>
  <c r="AO431" i="7" s="1"/>
  <c r="M953" i="7"/>
  <c r="AO953" i="7" s="1"/>
  <c r="M694" i="7"/>
  <c r="AO694" i="7" s="1"/>
  <c r="M504" i="7"/>
  <c r="AO504" i="7" s="1"/>
  <c r="M344" i="7"/>
  <c r="M770" i="7"/>
  <c r="M524" i="7"/>
  <c r="AO524" i="7" s="1"/>
  <c r="M432" i="7"/>
  <c r="AO432" i="7" s="1"/>
  <c r="M619" i="7"/>
  <c r="M244" i="7"/>
  <c r="M144" i="7"/>
  <c r="M774" i="7"/>
  <c r="M369" i="7"/>
  <c r="AO369" i="7" s="1"/>
  <c r="M257" i="7"/>
  <c r="M101" i="7"/>
  <c r="AO101" i="7" s="1"/>
  <c r="M766" i="7"/>
  <c r="M401" i="7"/>
  <c r="AO401" i="7" s="1"/>
  <c r="M245" i="7"/>
  <c r="M885" i="7"/>
  <c r="AO885" i="7" s="1"/>
  <c r="M228" i="7"/>
  <c r="M718" i="7"/>
  <c r="AO718" i="7" s="1"/>
  <c r="M301" i="7"/>
  <c r="M237" i="7"/>
  <c r="M418" i="7"/>
  <c r="AO418" i="7" s="1"/>
  <c r="M198" i="7"/>
  <c r="M735" i="7"/>
  <c r="M113" i="7"/>
  <c r="AO113" i="7" s="1"/>
  <c r="M172" i="7"/>
  <c r="AO172" i="7" s="1"/>
  <c r="M428" i="7"/>
  <c r="M94" i="7"/>
  <c r="AO94" i="7" s="1"/>
  <c r="M87" i="7"/>
  <c r="AO87" i="7" s="1"/>
  <c r="M529" i="7"/>
  <c r="AO529" i="7" s="1"/>
  <c r="M121" i="7"/>
  <c r="AO121" i="7" s="1"/>
  <c r="M421" i="7"/>
  <c r="AO421" i="7" s="1"/>
  <c r="M336" i="7"/>
  <c r="C42" i="30" s="1"/>
  <c r="D42" i="30" s="1"/>
  <c r="M86" i="7"/>
  <c r="AO86" i="7" s="1"/>
  <c r="M372" i="7"/>
  <c r="AO372" i="7" s="1"/>
  <c r="M606" i="7"/>
  <c r="AO606" i="7" s="1"/>
  <c r="M299" i="7"/>
  <c r="M84" i="7"/>
  <c r="AO84" i="7" s="1"/>
  <c r="M171" i="7"/>
  <c r="M747" i="7"/>
  <c r="M229" i="7"/>
  <c r="M792" i="7"/>
  <c r="AO792" i="7" s="1"/>
  <c r="M134" i="7"/>
  <c r="AO134" i="7" s="1"/>
  <c r="M77" i="7"/>
  <c r="M211" i="7"/>
  <c r="M941" i="7"/>
  <c r="AO941" i="7" s="1"/>
  <c r="M807" i="7"/>
  <c r="AO807" i="7" s="1"/>
  <c r="M595" i="7"/>
  <c r="AO595" i="7" s="1"/>
  <c r="M888" i="7"/>
  <c r="AO888" i="7" s="1"/>
  <c r="M449" i="7"/>
  <c r="M419" i="7"/>
  <c r="AO419" i="7" s="1"/>
  <c r="M738" i="7"/>
  <c r="M141" i="7"/>
  <c r="AO141" i="7" s="1"/>
  <c r="M93" i="7"/>
  <c r="M297" i="7"/>
  <c r="M913" i="7"/>
  <c r="AO913" i="7" s="1"/>
  <c r="M728" i="7"/>
  <c r="AO728" i="7" s="1"/>
  <c r="M605" i="7"/>
  <c r="AO605" i="7" s="1"/>
  <c r="M921" i="7"/>
  <c r="AO921" i="7" s="1"/>
  <c r="M777" i="7"/>
  <c r="M632" i="7"/>
  <c r="AO632" i="7" s="1"/>
  <c r="M897" i="7"/>
  <c r="AO897" i="7" s="1"/>
  <c r="M712" i="7"/>
  <c r="AO712" i="7" s="1"/>
  <c r="M578" i="7"/>
  <c r="AO578" i="7" s="1"/>
  <c r="M939" i="7"/>
  <c r="AO939" i="7" s="1"/>
  <c r="M765" i="7"/>
  <c r="M997" i="7"/>
  <c r="M787" i="7"/>
  <c r="AO787" i="7" s="1"/>
  <c r="M623" i="7"/>
  <c r="AO623" i="7" s="1"/>
  <c r="M972" i="7"/>
  <c r="AO972" i="7" s="1"/>
  <c r="M873" i="7"/>
  <c r="AO873" i="7" s="1"/>
  <c r="M672" i="7"/>
  <c r="AO672" i="7" s="1"/>
  <c r="M793" i="7"/>
  <c r="AO793" i="7" s="1"/>
  <c r="M571" i="7"/>
  <c r="AO571" i="7" s="1"/>
  <c r="M398" i="7"/>
  <c r="AO398" i="7" s="1"/>
  <c r="M681" i="7"/>
  <c r="AO681" i="7" s="1"/>
  <c r="M493" i="7"/>
  <c r="AO493" i="7" s="1"/>
  <c r="M909" i="7"/>
  <c r="AO909" i="7" s="1"/>
  <c r="M597" i="7"/>
  <c r="AO597" i="7" s="1"/>
  <c r="M405" i="7"/>
  <c r="AO405" i="7" s="1"/>
  <c r="M907" i="7"/>
  <c r="AO907" i="7" s="1"/>
  <c r="M696" i="7"/>
  <c r="AO696" i="7" s="1"/>
  <c r="M510" i="7"/>
  <c r="AO510" i="7" s="1"/>
  <c r="M409" i="7"/>
  <c r="AO409" i="7" s="1"/>
  <c r="M903" i="7"/>
  <c r="AO903" i="7" s="1"/>
  <c r="M649" i="7"/>
  <c r="AO649" i="7" s="1"/>
  <c r="M477" i="7"/>
  <c r="AO477" i="7" s="1"/>
  <c r="M325" i="7"/>
  <c r="M714" i="7"/>
  <c r="AO714" i="7" s="1"/>
  <c r="M511" i="7"/>
  <c r="AO511" i="7" s="1"/>
  <c r="M988" i="7"/>
  <c r="AO988" i="7" s="1"/>
  <c r="M561" i="7"/>
  <c r="AO561" i="7" s="1"/>
  <c r="M222" i="7"/>
  <c r="M114" i="7"/>
  <c r="AO114" i="7" s="1"/>
  <c r="M655" i="7"/>
  <c r="AO655" i="7" s="1"/>
  <c r="M345" i="7"/>
  <c r="AO345" i="7" s="1"/>
  <c r="M213" i="7"/>
  <c r="M75" i="7"/>
  <c r="M522" i="7"/>
  <c r="AO522" i="7" s="1"/>
  <c r="M326" i="7"/>
  <c r="M232" i="7"/>
  <c r="M658" i="7"/>
  <c r="AO658" i="7" s="1"/>
  <c r="M158" i="7"/>
  <c r="AO158" i="7" s="1"/>
  <c r="M604" i="7"/>
  <c r="AO604" i="7" s="1"/>
  <c r="M289" i="7"/>
  <c r="M794" i="7"/>
  <c r="AO794" i="7" s="1"/>
  <c r="M376" i="7"/>
  <c r="AO376" i="7" s="1"/>
  <c r="M184" i="7"/>
  <c r="M466" i="7"/>
  <c r="AO466" i="7" s="1"/>
  <c r="M59" i="7"/>
  <c r="M800" i="7"/>
  <c r="M295" i="7"/>
  <c r="M78" i="7"/>
  <c r="M519" i="7"/>
  <c r="AO519" i="7" s="1"/>
  <c r="M330" i="7"/>
  <c r="M568" i="7"/>
  <c r="AO568" i="7" s="1"/>
  <c r="M251" i="7"/>
  <c r="M212" i="7"/>
  <c r="M701" i="7"/>
  <c r="AO701" i="7" s="1"/>
  <c r="M496" i="7"/>
  <c r="AO496" i="7" s="1"/>
  <c r="M534" i="7"/>
  <c r="AO534" i="7" s="1"/>
  <c r="M219" i="7"/>
  <c r="M923" i="7"/>
  <c r="AO923" i="7" s="1"/>
  <c r="M397" i="7"/>
  <c r="AO397" i="7" s="1"/>
  <c r="M446" i="7"/>
  <c r="M187" i="7"/>
  <c r="M596" i="7"/>
  <c r="AO596" i="7" s="1"/>
  <c r="M242" i="7"/>
  <c r="M90" i="7"/>
  <c r="M127" i="7"/>
  <c r="AO127" i="7" s="1"/>
  <c r="M936" i="7"/>
  <c r="AO936" i="7" s="1"/>
  <c r="M783" i="7"/>
  <c r="AO783" i="7" s="1"/>
  <c r="M592" i="7"/>
  <c r="AO592" i="7" s="1"/>
  <c r="M797" i="7"/>
  <c r="AO797" i="7" s="1"/>
  <c r="M675" i="7"/>
  <c r="M687" i="7"/>
  <c r="AO687" i="7" s="1"/>
  <c r="M422" i="7"/>
  <c r="AO422" i="7" s="1"/>
  <c r="M414" i="7"/>
  <c r="AO414" i="7" s="1"/>
  <c r="M329" i="7"/>
  <c r="M589" i="7"/>
  <c r="AO589" i="7" s="1"/>
  <c r="M348" i="7"/>
  <c r="AO348" i="7" s="1"/>
  <c r="M379" i="7"/>
  <c r="AO379" i="7" s="1"/>
  <c r="M642" i="7"/>
  <c r="M352" i="7"/>
  <c r="AO352" i="7" s="1"/>
  <c r="M128" i="7"/>
  <c r="AO128" i="7" s="1"/>
  <c r="M347" i="7"/>
  <c r="M536" i="7"/>
  <c r="AO536" i="7" s="1"/>
  <c r="M363" i="7"/>
  <c r="M216" i="7"/>
  <c r="M420" i="7"/>
  <c r="M139" i="7"/>
  <c r="M197" i="7"/>
  <c r="M103" i="7"/>
  <c r="AO103" i="7" s="1"/>
  <c r="M508" i="7"/>
  <c r="AO508" i="7" s="1"/>
  <c r="M630" i="7"/>
  <c r="AO630" i="7" s="1"/>
  <c r="M950" i="7"/>
  <c r="AO950" i="7" s="1"/>
  <c r="M495" i="7"/>
  <c r="AO495" i="7" s="1"/>
  <c r="M206" i="7"/>
  <c r="M517" i="7"/>
  <c r="AO517" i="7" s="1"/>
  <c r="M899" i="7"/>
  <c r="AO899" i="7" s="1"/>
  <c r="M773" i="7"/>
  <c r="M575" i="7"/>
  <c r="AO575" i="7" s="1"/>
  <c r="M779" i="7"/>
  <c r="M669" i="7"/>
  <c r="AO669" i="7" s="1"/>
  <c r="M676" i="7"/>
  <c r="AO676" i="7" s="1"/>
  <c r="M381" i="7"/>
  <c r="AO381" i="7" s="1"/>
  <c r="M402" i="7"/>
  <c r="AO402" i="7" s="1"/>
  <c r="M979" i="7"/>
  <c r="AO979" i="7" s="1"/>
  <c r="M468" i="7"/>
  <c r="AO468" i="7" s="1"/>
  <c r="M342" i="7"/>
  <c r="AO342" i="7" s="1"/>
  <c r="M300" i="7"/>
  <c r="M547" i="7"/>
  <c r="AO547" i="7" s="1"/>
  <c r="M340" i="7"/>
  <c r="M79" i="7"/>
  <c r="M225" i="7"/>
  <c r="M247" i="7"/>
  <c r="M271" i="7"/>
  <c r="M203" i="7"/>
  <c r="M399" i="7"/>
  <c r="AO399" i="7" s="1"/>
  <c r="M88" i="7"/>
  <c r="AO88" i="7" s="1"/>
  <c r="M896" i="7"/>
  <c r="AO896" i="7" s="1"/>
  <c r="M224" i="7"/>
  <c r="M234" i="7"/>
  <c r="M867" i="7"/>
  <c r="AO867" i="7" s="1"/>
  <c r="M515" i="7"/>
  <c r="AO515" i="7" s="1"/>
  <c r="M986" i="7"/>
  <c r="AO986" i="7" s="1"/>
  <c r="M99" i="7"/>
  <c r="AO99" i="7" s="1"/>
  <c r="M894" i="7"/>
  <c r="AO894" i="7" s="1"/>
  <c r="M769" i="7"/>
  <c r="M562" i="7"/>
  <c r="AO562" i="7" s="1"/>
  <c r="M775" i="7"/>
  <c r="M666" i="7"/>
  <c r="AO666" i="7" s="1"/>
  <c r="M656" i="7"/>
  <c r="AO656" i="7" s="1"/>
  <c r="M370" i="7"/>
  <c r="AO370" i="7" s="1"/>
  <c r="M392" i="7"/>
  <c r="AO392" i="7" s="1"/>
  <c r="M977" i="7"/>
  <c r="AO977" i="7" s="1"/>
  <c r="M433" i="7"/>
  <c r="AO433" i="7" s="1"/>
  <c r="M338" i="7"/>
  <c r="M296" i="7"/>
  <c r="M525" i="7"/>
  <c r="AO525" i="7" s="1"/>
  <c r="M193" i="7"/>
  <c r="M987" i="7"/>
  <c r="AO987" i="7" s="1"/>
  <c r="M64" i="7"/>
  <c r="M353" i="7"/>
  <c r="AO353" i="7" s="1"/>
  <c r="M220" i="7"/>
  <c r="M67" i="7"/>
  <c r="M226" i="7"/>
  <c r="M161" i="7"/>
  <c r="M925" i="7"/>
  <c r="M761" i="7"/>
  <c r="M641" i="7"/>
  <c r="AO641" i="7" s="1"/>
  <c r="M454" i="7"/>
  <c r="AO454" i="7" s="1"/>
  <c r="M303" i="7"/>
  <c r="M634" i="7"/>
  <c r="AO634" i="7" s="1"/>
  <c r="M290" i="7"/>
  <c r="M732" i="7"/>
  <c r="M647" i="7"/>
  <c r="AO647" i="7" s="1"/>
  <c r="M944" i="7"/>
  <c r="AO944" i="7" s="1"/>
  <c r="M635" i="7"/>
  <c r="M795" i="7"/>
  <c r="AO795" i="7" s="1"/>
  <c r="M503" i="7"/>
  <c r="AO503" i="7" s="1"/>
  <c r="M929" i="7"/>
  <c r="M918" i="7"/>
  <c r="AO918" i="7" s="1"/>
  <c r="M720" i="7"/>
  <c r="AO720" i="7" s="1"/>
  <c r="M227" i="7"/>
  <c r="M218" i="7"/>
  <c r="M236" i="7"/>
  <c r="M293" i="7"/>
  <c r="M188" i="7"/>
  <c r="M906" i="7"/>
  <c r="AO906" i="7" s="1"/>
  <c r="M68" i="7"/>
  <c r="M276" i="7"/>
  <c r="M616" i="7"/>
  <c r="AO616" i="7" s="1"/>
  <c r="M230" i="7"/>
  <c r="M967" i="7"/>
  <c r="AO967" i="7" s="1"/>
  <c r="M679" i="7"/>
  <c r="AO679" i="7" s="1"/>
  <c r="M298" i="7"/>
  <c r="M380" i="7"/>
  <c r="AO380" i="7" s="1"/>
  <c r="M560" i="7"/>
  <c r="AO560" i="7" s="1"/>
  <c r="M745" i="7"/>
  <c r="M491" i="7"/>
  <c r="AO491" i="7" s="1"/>
  <c r="M63" i="7"/>
  <c r="M725" i="7"/>
  <c r="AO725" i="7" s="1"/>
  <c r="M625" i="7"/>
  <c r="AO625" i="7" s="1"/>
  <c r="M924" i="7"/>
  <c r="M613" i="7"/>
  <c r="AO613" i="7" s="1"/>
  <c r="M762" i="7"/>
  <c r="M486" i="7"/>
  <c r="M905" i="7"/>
  <c r="AO905" i="7" s="1"/>
  <c r="M876" i="7"/>
  <c r="AO876" i="7" s="1"/>
  <c r="M704" i="7"/>
  <c r="M209" i="7"/>
  <c r="M195" i="7"/>
  <c r="M223" i="7"/>
  <c r="M288" i="7"/>
  <c r="M179" i="7"/>
  <c r="AO179" i="7" s="1"/>
  <c r="M751" i="7"/>
  <c r="M355" i="7"/>
  <c r="AO355" i="7" s="1"/>
  <c r="M1001" i="7"/>
  <c r="M472" i="7"/>
  <c r="M886" i="7"/>
  <c r="AO886" i="7" s="1"/>
  <c r="M182" i="7"/>
  <c r="AO182" i="7" s="1"/>
  <c r="M65" i="7"/>
  <c r="M882" i="7"/>
  <c r="AO882" i="7" s="1"/>
  <c r="M482" i="7"/>
  <c r="AO482" i="7" s="1"/>
  <c r="M756" i="7"/>
  <c r="M603" i="7"/>
  <c r="AO603" i="7" s="1"/>
  <c r="M509" i="7"/>
  <c r="AO509" i="7" s="1"/>
  <c r="M96" i="7"/>
  <c r="AO96" i="7" s="1"/>
  <c r="M708" i="7"/>
  <c r="AO708" i="7" s="1"/>
  <c r="M618" i="7"/>
  <c r="AO618" i="7" s="1"/>
  <c r="M919" i="7"/>
  <c r="AO919" i="7" s="1"/>
  <c r="M590" i="7"/>
  <c r="AO590" i="7" s="1"/>
  <c r="M759" i="7"/>
  <c r="M479" i="7"/>
  <c r="AO479" i="7" s="1"/>
  <c r="M900" i="7"/>
  <c r="M835" i="7"/>
  <c r="AO835" i="7" s="1"/>
  <c r="M663" i="7"/>
  <c r="AO663" i="7" s="1"/>
  <c r="M204" i="7"/>
  <c r="M186" i="7"/>
  <c r="M191" i="7"/>
  <c r="M284" i="7"/>
  <c r="M168" i="7"/>
  <c r="AO168" i="7" s="1"/>
  <c r="M690" i="7"/>
  <c r="AO690" i="7" s="1"/>
  <c r="M285" i="7"/>
  <c r="M812" i="7"/>
  <c r="M194" i="7"/>
  <c r="M820" i="7"/>
  <c r="AO820" i="7" s="1"/>
  <c r="M122" i="7"/>
  <c r="AO122" i="7" s="1"/>
  <c r="M400" i="7"/>
  <c r="AO400" i="7" s="1"/>
  <c r="M602" i="7"/>
  <c r="AO602" i="7" s="1"/>
  <c r="M71" i="7"/>
  <c r="M579" i="7"/>
  <c r="AO579" i="7" s="1"/>
  <c r="M651" i="7"/>
  <c r="AO651" i="7" s="1"/>
  <c r="M870" i="7"/>
  <c r="AO870" i="7" s="1"/>
  <c r="M497" i="7"/>
  <c r="AO497" i="7" s="1"/>
  <c r="M608" i="7"/>
  <c r="AO608" i="7" s="1"/>
  <c r="M908" i="7"/>
  <c r="AO908" i="7" s="1"/>
  <c r="M781" i="7"/>
  <c r="AO781" i="7" s="1"/>
  <c r="M975" i="7"/>
  <c r="AO975" i="7" s="1"/>
  <c r="M574" i="7"/>
  <c r="AO574" i="7" s="1"/>
  <c r="M974" i="7"/>
  <c r="AO974" i="7" s="1"/>
  <c r="M716" i="7"/>
  <c r="AO716" i="7" s="1"/>
  <c r="M665" i="7"/>
  <c r="M518" i="7"/>
  <c r="AO518" i="7" s="1"/>
  <c r="M117" i="7"/>
  <c r="AO117" i="7" s="1"/>
  <c r="M691" i="7"/>
  <c r="AO691" i="7" s="1"/>
  <c r="M233" i="7"/>
  <c r="M614" i="7"/>
  <c r="AO614" i="7" s="1"/>
  <c r="M327" i="7"/>
  <c r="M367" i="7"/>
  <c r="AO367" i="7" s="1"/>
  <c r="M243" i="7"/>
  <c r="M584" i="7"/>
  <c r="AO584" i="7" s="1"/>
  <c r="M152" i="7"/>
  <c r="AO152" i="7" s="1"/>
  <c r="M784" i="7"/>
  <c r="AO784" i="7" s="1"/>
  <c r="M563" i="7"/>
  <c r="AO563" i="7" s="1"/>
  <c r="M639" i="7"/>
  <c r="AO639" i="7" s="1"/>
  <c r="M1005" i="7"/>
  <c r="M407" i="7"/>
  <c r="M933" i="7"/>
  <c r="M715" i="7"/>
  <c r="AO715" i="7" s="1"/>
  <c r="M622" i="7"/>
  <c r="AO622" i="7" s="1"/>
  <c r="M878" i="7"/>
  <c r="AO878" i="7" s="1"/>
  <c r="M408" i="7"/>
  <c r="M600" i="7"/>
  <c r="AO600" i="7" s="1"/>
  <c r="M520" i="7"/>
  <c r="AO520" i="7" s="1"/>
  <c r="M480" i="7"/>
  <c r="M415" i="7"/>
  <c r="M678" i="7"/>
  <c r="AO678" i="7" s="1"/>
  <c r="M537" i="7"/>
  <c r="AO537" i="7" s="1"/>
  <c r="M170" i="7"/>
  <c r="M723" i="7"/>
  <c r="AO723" i="7" s="1"/>
  <c r="M430" i="7"/>
  <c r="AO430" i="7" s="1"/>
  <c r="M215" i="7"/>
  <c r="M258" i="7"/>
  <c r="M189" i="7"/>
  <c r="M490" i="7"/>
  <c r="AO490" i="7" s="1"/>
  <c r="M291" i="7"/>
  <c r="M481" i="7"/>
  <c r="AO481" i="7" s="1"/>
  <c r="M341" i="7"/>
  <c r="M902" i="7"/>
  <c r="AO902" i="7" s="1"/>
  <c r="M702" i="7"/>
  <c r="AO702" i="7" s="1"/>
  <c r="M993" i="7"/>
  <c r="M839" i="7"/>
  <c r="M586" i="7"/>
  <c r="AO586" i="7" s="1"/>
  <c r="M582" i="7"/>
  <c r="AO582" i="7" s="1"/>
  <c r="M889" i="7"/>
  <c r="AO889" i="7" s="1"/>
  <c r="M692" i="7"/>
  <c r="AO692" i="7" s="1"/>
  <c r="M964" i="7"/>
  <c r="AO964" i="7" s="1"/>
  <c r="M822" i="7"/>
  <c r="AO822" i="7" s="1"/>
  <c r="M1002" i="7"/>
  <c r="M569" i="7"/>
  <c r="AO569" i="7" s="1"/>
  <c r="M494" i="7"/>
  <c r="AO494" i="7" s="1"/>
  <c r="M443" i="7"/>
  <c r="M969" i="7"/>
  <c r="AO969" i="7" s="1"/>
  <c r="M573" i="7"/>
  <c r="AO573" i="7" s="1"/>
  <c r="M512" i="7"/>
  <c r="AO512" i="7" s="1"/>
  <c r="M136" i="7"/>
  <c r="AO136" i="7" s="1"/>
  <c r="M391" i="7"/>
  <c r="AO391" i="7" s="1"/>
  <c r="M70" i="7"/>
  <c r="M82" i="7"/>
  <c r="AO82" i="7" s="1"/>
  <c r="M74" i="7"/>
  <c r="M982" i="7"/>
  <c r="AO982" i="7" s="1"/>
  <c r="M281" i="7"/>
  <c r="M514" i="7"/>
  <c r="M254" i="7"/>
  <c r="M106" i="7"/>
  <c r="AO106" i="7" s="1"/>
  <c r="M358" i="7"/>
  <c r="AO358" i="7" s="1"/>
  <c r="M76" i="7"/>
  <c r="M581" i="7"/>
  <c r="AO581" i="7" s="1"/>
  <c r="M824" i="7"/>
  <c r="AO824" i="7" s="1"/>
  <c r="M98" i="7"/>
  <c r="AO98" i="7" s="1"/>
  <c r="M286" i="7"/>
  <c r="M277" i="7"/>
  <c r="M456" i="7"/>
  <c r="AO456" i="7" s="1"/>
  <c r="M450" i="7"/>
  <c r="AO450" i="7" s="1"/>
  <c r="M150" i="7"/>
  <c r="M91" i="7"/>
  <c r="M528" i="7"/>
  <c r="AQ51" i="7"/>
  <c r="AM51" i="7" s="1"/>
  <c r="M51" i="7"/>
  <c r="AO51" i="7" s="1"/>
  <c r="M56" i="7"/>
  <c r="AO56" i="7" s="1"/>
  <c r="A11" i="11"/>
  <c r="AQ54" i="7"/>
  <c r="M54" i="7"/>
  <c r="A6" i="11"/>
  <c r="H4" i="30"/>
  <c r="A3" i="11"/>
  <c r="AQ45" i="7"/>
  <c r="M45" i="7"/>
  <c r="A10" i="11"/>
  <c r="A8" i="11"/>
  <c r="A5" i="11"/>
  <c r="A7" i="11"/>
  <c r="A12" i="11"/>
  <c r="A9" i="11"/>
  <c r="A4" i="11"/>
  <c r="DQ254" i="1"/>
  <c r="DR254" i="1"/>
  <c r="DQ255" i="1"/>
  <c r="DR255" i="1"/>
  <c r="DR256" i="1"/>
  <c r="DQ256" i="1"/>
  <c r="DQ257" i="1"/>
  <c r="DR257" i="1"/>
  <c r="DR258" i="1"/>
  <c r="DQ258" i="1"/>
  <c r="DR259" i="1"/>
  <c r="DQ259" i="1"/>
  <c r="DQ260" i="1"/>
  <c r="DR260" i="1"/>
  <c r="DQ261" i="1"/>
  <c r="DR261" i="1"/>
  <c r="DR262" i="1"/>
  <c r="DQ262" i="1"/>
  <c r="DQ263" i="1"/>
  <c r="DR263" i="1"/>
  <c r="X1073" i="7"/>
  <c r="Z1141" i="7"/>
  <c r="X1068" i="7"/>
  <c r="X1079" i="7"/>
  <c r="AA1150" i="7"/>
  <c r="Z1059" i="7"/>
  <c r="X1161" i="7"/>
  <c r="AA1044" i="7"/>
  <c r="AA1059" i="7"/>
  <c r="X1122" i="7"/>
  <c r="AA1142" i="7"/>
  <c r="Z1134" i="7"/>
  <c r="X1166" i="7"/>
  <c r="X1083" i="7"/>
  <c r="Z1051" i="7"/>
  <c r="X1064" i="7"/>
  <c r="AA1067" i="7"/>
  <c r="X1093" i="7"/>
  <c r="AA1095" i="7"/>
  <c r="Z1098" i="7"/>
  <c r="Z1146" i="7"/>
  <c r="Z1150" i="7"/>
  <c r="Z1157" i="7"/>
  <c r="Z1158" i="7"/>
  <c r="X1108" i="7"/>
  <c r="X1116" i="7"/>
  <c r="Z1130" i="7"/>
  <c r="X1158" i="7"/>
  <c r="Z1053" i="7"/>
  <c r="AA1063" i="7"/>
  <c r="AA1077" i="7"/>
  <c r="Z1126" i="7"/>
  <c r="Z1138" i="7"/>
  <c r="Z1149" i="7"/>
  <c r="Z1049" i="7"/>
  <c r="X1057" i="7"/>
  <c r="Z1071" i="7"/>
  <c r="Z1125" i="7"/>
  <c r="AA1126" i="7"/>
  <c r="Z1036" i="7"/>
  <c r="AA1071" i="7"/>
  <c r="Z1133" i="7"/>
  <c r="AA1134" i="7"/>
  <c r="Z1142" i="7"/>
  <c r="Z1154" i="7"/>
  <c r="Z1047" i="7"/>
  <c r="X1049" i="7"/>
  <c r="AA1051" i="7"/>
  <c r="Z1057" i="7"/>
  <c r="X1060" i="7"/>
  <c r="Z1063" i="7"/>
  <c r="X1114" i="7"/>
  <c r="AA1201" i="7"/>
  <c r="AA1073" i="7"/>
  <c r="X1075" i="7"/>
  <c r="X1081" i="7"/>
  <c r="X1085" i="7"/>
  <c r="X1112" i="7"/>
  <c r="X1120" i="7"/>
  <c r="Z1229" i="7"/>
  <c r="Z1034" i="7"/>
  <c r="Z1041" i="7"/>
  <c r="Z1242" i="7"/>
  <c r="AA1034" i="7"/>
  <c r="Z1075" i="7"/>
  <c r="Z1080" i="7"/>
  <c r="Z1081" i="7"/>
  <c r="AA1087" i="7"/>
  <c r="Z1237" i="7"/>
  <c r="X1033" i="7"/>
  <c r="Z1046" i="7"/>
  <c r="Z1067" i="7"/>
  <c r="X1077" i="7"/>
  <c r="AA1079" i="7"/>
  <c r="X1110" i="7"/>
  <c r="X1118" i="7"/>
  <c r="X1124" i="7"/>
  <c r="X1125" i="7"/>
  <c r="X1131" i="7"/>
  <c r="X1139" i="7"/>
  <c r="X1147" i="7"/>
  <c r="X1155" i="7"/>
  <c r="Z1174" i="7"/>
  <c r="Z1232" i="7"/>
  <c r="X1035" i="7"/>
  <c r="X1038" i="7"/>
  <c r="X1039" i="7"/>
  <c r="X1040" i="7"/>
  <c r="X1045" i="7"/>
  <c r="X1055" i="7"/>
  <c r="X1061" i="7"/>
  <c r="X1065" i="7"/>
  <c r="X1069" i="7"/>
  <c r="AA1085" i="7"/>
  <c r="X1091" i="7"/>
  <c r="X1128" i="7"/>
  <c r="X1132" i="7"/>
  <c r="X1136" i="7"/>
  <c r="X1140" i="7"/>
  <c r="X1144" i="7"/>
  <c r="X1148" i="7"/>
  <c r="X1152" i="7"/>
  <c r="X1156" i="7"/>
  <c r="X1162" i="7"/>
  <c r="Z1238" i="7"/>
  <c r="Z1241" i="7"/>
  <c r="Z1035" i="7"/>
  <c r="AA1038" i="7"/>
  <c r="AA1039" i="7"/>
  <c r="Z1040" i="7"/>
  <c r="Z1045" i="7"/>
  <c r="AA1053" i="7"/>
  <c r="Z1055" i="7"/>
  <c r="Z1061" i="7"/>
  <c r="Z1065" i="7"/>
  <c r="Z1069" i="7"/>
  <c r="AA1106" i="7"/>
  <c r="Z1226" i="7"/>
  <c r="Z1128" i="7"/>
  <c r="AA1130" i="7"/>
  <c r="Z1132" i="7"/>
  <c r="X1133" i="7"/>
  <c r="Z1136" i="7"/>
  <c r="AA1138" i="7"/>
  <c r="Z1140" i="7"/>
  <c r="X1141" i="7"/>
  <c r="Z1144" i="7"/>
  <c r="AA1146" i="7"/>
  <c r="Z1148" i="7"/>
  <c r="X1149" i="7"/>
  <c r="Z1152" i="7"/>
  <c r="AA1154" i="7"/>
  <c r="Z1156" i="7"/>
  <c r="X1157" i="7"/>
  <c r="Z1162" i="7"/>
  <c r="Z1167" i="7"/>
  <c r="X1178" i="7"/>
  <c r="Z1179" i="7"/>
  <c r="X1198" i="7"/>
  <c r="Z1231" i="7"/>
  <c r="Z1234" i="7"/>
  <c r="AA1033" i="7"/>
  <c r="X1044" i="7"/>
  <c r="X1062" i="7"/>
  <c r="X1066" i="7"/>
  <c r="X1070" i="7"/>
  <c r="AA1093" i="7"/>
  <c r="AA1226" i="7"/>
  <c r="AA1228" i="7"/>
  <c r="AA1108" i="7"/>
  <c r="AA1110" i="7"/>
  <c r="AA1112" i="7"/>
  <c r="AA1114" i="7"/>
  <c r="AA1116" i="7"/>
  <c r="AA1118" i="7"/>
  <c r="AA1120" i="7"/>
  <c r="AA1122" i="7"/>
  <c r="AA1124" i="7"/>
  <c r="X1129" i="7"/>
  <c r="X1137" i="7"/>
  <c r="X1145" i="7"/>
  <c r="X1153" i="7"/>
  <c r="X1169" i="7"/>
  <c r="X1174" i="7"/>
  <c r="Z1239" i="7"/>
  <c r="R255" i="1"/>
  <c r="R254" i="1"/>
  <c r="R256" i="1"/>
  <c r="R258" i="1"/>
  <c r="R257" i="1"/>
  <c r="R259" i="1"/>
  <c r="R261" i="1"/>
  <c r="R260" i="1"/>
  <c r="R262" i="1"/>
  <c r="R263" i="1"/>
  <c r="AA1031" i="7"/>
  <c r="AA1032" i="7"/>
  <c r="X1036" i="7"/>
  <c r="AA1037" i="7"/>
  <c r="X1041" i="7"/>
  <c r="AA1042" i="7"/>
  <c r="AA1043" i="7"/>
  <c r="X1046" i="7"/>
  <c r="X1047" i="7"/>
  <c r="AA1048" i="7"/>
  <c r="AA1050" i="7"/>
  <c r="AA1052" i="7"/>
  <c r="AA1054" i="7"/>
  <c r="AA1056" i="7"/>
  <c r="AA1058" i="7"/>
  <c r="AA1060" i="7"/>
  <c r="AA1062" i="7"/>
  <c r="AA1064" i="7"/>
  <c r="AA1066" i="7"/>
  <c r="AA1068" i="7"/>
  <c r="AA1070" i="7"/>
  <c r="AA1072" i="7"/>
  <c r="AA1074" i="7"/>
  <c r="AA1076" i="7"/>
  <c r="AA1078" i="7"/>
  <c r="X1080" i="7"/>
  <c r="AA1098" i="7"/>
  <c r="X1100" i="7"/>
  <c r="Z1100" i="7"/>
  <c r="X1102" i="7"/>
  <c r="AA1102" i="7"/>
  <c r="Z1102" i="7"/>
  <c r="Z1109" i="7"/>
  <c r="X1109" i="7"/>
  <c r="AA1109" i="7"/>
  <c r="Z1117" i="7"/>
  <c r="X1117" i="7"/>
  <c r="AA1117" i="7"/>
  <c r="X1031" i="7"/>
  <c r="X1032" i="7"/>
  <c r="X1037" i="7"/>
  <c r="X1042" i="7"/>
  <c r="X1043" i="7"/>
  <c r="X1048" i="7"/>
  <c r="X1050" i="7"/>
  <c r="X1052" i="7"/>
  <c r="X1054" i="7"/>
  <c r="X1056" i="7"/>
  <c r="X1058" i="7"/>
  <c r="X1072" i="7"/>
  <c r="X1074" i="7"/>
  <c r="X1076" i="7"/>
  <c r="X1078" i="7"/>
  <c r="X1082" i="7"/>
  <c r="X1244" i="7"/>
  <c r="Z1244" i="7"/>
  <c r="AA1244" i="7"/>
  <c r="Z1111" i="7"/>
  <c r="X1111" i="7"/>
  <c r="AA1111" i="7"/>
  <c r="Z1119" i="7"/>
  <c r="X1119" i="7"/>
  <c r="AA1119" i="7"/>
  <c r="X1088" i="7"/>
  <c r="Z1088" i="7"/>
  <c r="X1104" i="7"/>
  <c r="AA1104" i="7"/>
  <c r="Z1113" i="7"/>
  <c r="X1113" i="7"/>
  <c r="AA1113" i="7"/>
  <c r="Z1082" i="7"/>
  <c r="X1090" i="7"/>
  <c r="AA1090" i="7"/>
  <c r="X1096" i="7"/>
  <c r="Z1096" i="7"/>
  <c r="Z1104" i="7"/>
  <c r="X1224" i="7"/>
  <c r="Z1224" i="7"/>
  <c r="AA1224" i="7"/>
  <c r="Z1107" i="7"/>
  <c r="X1107" i="7"/>
  <c r="AA1107" i="7"/>
  <c r="Z1115" i="7"/>
  <c r="X1115" i="7"/>
  <c r="AA1115" i="7"/>
  <c r="AA1121" i="7"/>
  <c r="AA1123" i="7"/>
  <c r="Z1129" i="7"/>
  <c r="Z1137" i="7"/>
  <c r="Z1145" i="7"/>
  <c r="Z1153" i="7"/>
  <c r="AA1170" i="7"/>
  <c r="X1170" i="7"/>
  <c r="Z1106" i="7"/>
  <c r="Z1228" i="7"/>
  <c r="X1121" i="7"/>
  <c r="X1123" i="7"/>
  <c r="X1127" i="7"/>
  <c r="Z1131" i="7"/>
  <c r="X1135" i="7"/>
  <c r="Z1139" i="7"/>
  <c r="X1143" i="7"/>
  <c r="Z1147" i="7"/>
  <c r="X1151" i="7"/>
  <c r="Z1155" i="7"/>
  <c r="X1159" i="7"/>
  <c r="Z1170" i="7"/>
  <c r="AA1163" i="7"/>
  <c r="Z1163" i="7"/>
  <c r="X1173" i="7"/>
  <c r="AA1175" i="7"/>
  <c r="Z1175" i="7"/>
  <c r="Z1127" i="7"/>
  <c r="Z1135" i="7"/>
  <c r="Z1143" i="7"/>
  <c r="Z1151" i="7"/>
  <c r="Z1159" i="7"/>
  <c r="X1165" i="7"/>
  <c r="Z1166" i="7"/>
  <c r="Z1171" i="7"/>
  <c r="Z1178" i="7"/>
  <c r="Z1236" i="7"/>
  <c r="X1177" i="7"/>
  <c r="X1200" i="7"/>
  <c r="AA1199" i="7"/>
  <c r="Z1240" i="7"/>
  <c r="Z1230" i="7"/>
  <c r="Z1233" i="7"/>
  <c r="Z1235" i="7"/>
  <c r="AA1229" i="7"/>
  <c r="AA1230" i="7"/>
  <c r="AA1231" i="7"/>
  <c r="AA1232" i="7"/>
  <c r="AA1233" i="7"/>
  <c r="AA1234" i="7"/>
  <c r="AA1235" i="7"/>
  <c r="AA1236" i="7"/>
  <c r="AA1237" i="7"/>
  <c r="AA1238" i="7"/>
  <c r="AA1239" i="7"/>
  <c r="AA1240" i="7"/>
  <c r="AA1241" i="7"/>
  <c r="AA1242" i="7"/>
  <c r="AA1086" i="7"/>
  <c r="X1089" i="7"/>
  <c r="AA1094" i="7"/>
  <c r="AA1099" i="7"/>
  <c r="Z1099" i="7"/>
  <c r="AA1223" i="7"/>
  <c r="Z1223" i="7"/>
  <c r="AA1097" i="7"/>
  <c r="Z1097" i="7"/>
  <c r="AA1105" i="7"/>
  <c r="Z1105" i="7"/>
  <c r="AA1243" i="7"/>
  <c r="Z1243" i="7"/>
  <c r="Z1084" i="7"/>
  <c r="AA1089" i="7"/>
  <c r="Z1092" i="7"/>
  <c r="AA1103" i="7"/>
  <c r="Z1103" i="7"/>
  <c r="AA1227" i="7"/>
  <c r="Z1227" i="7"/>
  <c r="Z1245" i="7"/>
  <c r="X1245" i="7"/>
  <c r="AA1160" i="7"/>
  <c r="Z1160" i="7"/>
  <c r="X1160" i="7"/>
  <c r="AA1083" i="7"/>
  <c r="AA1084" i="7"/>
  <c r="Z1086" i="7"/>
  <c r="X1087" i="7"/>
  <c r="AA1091" i="7"/>
  <c r="AA1092" i="7"/>
  <c r="Z1094" i="7"/>
  <c r="X1095" i="7"/>
  <c r="X1099" i="7"/>
  <c r="AA1101" i="7"/>
  <c r="Z1101" i="7"/>
  <c r="X1223" i="7"/>
  <c r="AA1225" i="7"/>
  <c r="Z1225" i="7"/>
  <c r="AA1245" i="7"/>
  <c r="Z1161" i="7"/>
  <c r="X1163" i="7"/>
  <c r="Z1165" i="7"/>
  <c r="X1167" i="7"/>
  <c r="Z1169" i="7"/>
  <c r="X1171" i="7"/>
  <c r="Z1173" i="7"/>
  <c r="X1175" i="7"/>
  <c r="Z1177" i="7"/>
  <c r="X1179" i="7"/>
  <c r="X1164" i="7"/>
  <c r="X1168" i="7"/>
  <c r="X1172" i="7"/>
  <c r="X1176" i="7"/>
  <c r="X1180" i="7"/>
  <c r="Z1182" i="7"/>
  <c r="AA1182" i="7"/>
  <c r="Z1183" i="7"/>
  <c r="X1183" i="7"/>
  <c r="Z1186" i="7"/>
  <c r="AA1186" i="7"/>
  <c r="Z1187" i="7"/>
  <c r="X1187" i="7"/>
  <c r="Z1190" i="7"/>
  <c r="AA1190" i="7"/>
  <c r="Z1191" i="7"/>
  <c r="X1191" i="7"/>
  <c r="Z1194" i="7"/>
  <c r="AA1194" i="7"/>
  <c r="Z1195" i="7"/>
  <c r="X1195" i="7"/>
  <c r="Z1197" i="7"/>
  <c r="X1197" i="7"/>
  <c r="Z1164" i="7"/>
  <c r="Z1168" i="7"/>
  <c r="Z1172" i="7"/>
  <c r="Z1176" i="7"/>
  <c r="Z1180" i="7"/>
  <c r="Z1181" i="7"/>
  <c r="X1181" i="7"/>
  <c r="Z1184" i="7"/>
  <c r="AA1184" i="7"/>
  <c r="Z1185" i="7"/>
  <c r="X1185" i="7"/>
  <c r="Z1188" i="7"/>
  <c r="AA1188" i="7"/>
  <c r="Z1189" i="7"/>
  <c r="X1189" i="7"/>
  <c r="Z1192" i="7"/>
  <c r="AA1192" i="7"/>
  <c r="Z1193" i="7"/>
  <c r="X1193" i="7"/>
  <c r="Z1196" i="7"/>
  <c r="AA1196" i="7"/>
  <c r="AA1197" i="7"/>
  <c r="AA1198" i="7"/>
  <c r="X1199" i="7"/>
  <c r="AA1200" i="7"/>
  <c r="X1201" i="7"/>
  <c r="Z1209" i="7"/>
  <c r="X1209" i="7"/>
  <c r="AA1209" i="7"/>
  <c r="Z1213" i="7"/>
  <c r="X1213" i="7"/>
  <c r="AA1213" i="7"/>
  <c r="Z1217" i="7"/>
  <c r="X1217" i="7"/>
  <c r="AA1217" i="7"/>
  <c r="Z1208" i="7"/>
  <c r="X1208" i="7"/>
  <c r="AA1208" i="7"/>
  <c r="Z1212" i="7"/>
  <c r="X1212" i="7"/>
  <c r="AA1212" i="7"/>
  <c r="Z1216" i="7"/>
  <c r="X1216" i="7"/>
  <c r="AA1216" i="7"/>
  <c r="Z1220" i="7"/>
  <c r="X1220" i="7"/>
  <c r="AA1220" i="7"/>
  <c r="Z1207" i="7"/>
  <c r="X1207" i="7"/>
  <c r="AA1207" i="7"/>
  <c r="Z1211" i="7"/>
  <c r="X1211" i="7"/>
  <c r="AA1211" i="7"/>
  <c r="Z1215" i="7"/>
  <c r="X1215" i="7"/>
  <c r="AA1215" i="7"/>
  <c r="Z1219" i="7"/>
  <c r="X1219" i="7"/>
  <c r="AA1219" i="7"/>
  <c r="Z1202" i="7"/>
  <c r="AA1202" i="7"/>
  <c r="Z1203" i="7"/>
  <c r="AA1203" i="7"/>
  <c r="Z1204" i="7"/>
  <c r="AA1204" i="7"/>
  <c r="Z1205" i="7"/>
  <c r="AA1205" i="7"/>
  <c r="Z1206" i="7"/>
  <c r="AA1206" i="7"/>
  <c r="Z1210" i="7"/>
  <c r="X1210" i="7"/>
  <c r="AA1210" i="7"/>
  <c r="Z1214" i="7"/>
  <c r="X1214" i="7"/>
  <c r="AA1214" i="7"/>
  <c r="Z1218" i="7"/>
  <c r="X1218" i="7"/>
  <c r="AA1218" i="7"/>
  <c r="Z1221" i="7"/>
  <c r="X1221" i="7"/>
  <c r="AA1221" i="7"/>
  <c r="AA1222" i="7"/>
  <c r="X1222" i="7"/>
  <c r="Z1020" i="7"/>
  <c r="Z1023" i="7"/>
  <c r="Z1026" i="7"/>
  <c r="Z1029" i="7"/>
  <c r="Z1019" i="7"/>
  <c r="Z1022" i="7"/>
  <c r="Z1025" i="7"/>
  <c r="Z1028" i="7"/>
  <c r="AA1019" i="7"/>
  <c r="AA1021" i="7"/>
  <c r="AA1022" i="7"/>
  <c r="AA1023" i="7"/>
  <c r="AA1024" i="7"/>
  <c r="AA1025" i="7"/>
  <c r="AA1026" i="7"/>
  <c r="AA1027" i="7"/>
  <c r="AA1028" i="7"/>
  <c r="AA1029" i="7"/>
  <c r="AA1030" i="7"/>
  <c r="Z1021" i="7"/>
  <c r="Z1024" i="7"/>
  <c r="Z1027" i="7"/>
  <c r="Z1030" i="7"/>
  <c r="AA1020" i="7"/>
  <c r="C43" i="30" l="1"/>
  <c r="D43" i="30" s="1"/>
  <c r="C37" i="30"/>
  <c r="D37" i="30" s="1"/>
  <c r="C29" i="30"/>
  <c r="D29" i="30" s="1"/>
  <c r="C28" i="30"/>
  <c r="D28" i="30" s="1"/>
  <c r="C34" i="30"/>
  <c r="D34" i="30" s="1"/>
  <c r="C33" i="30"/>
  <c r="D33" i="30" s="1"/>
  <c r="CQ11" i="1"/>
  <c r="T11" i="1"/>
  <c r="S11" i="1"/>
  <c r="R11" i="1"/>
  <c r="CS11" i="1" l="1"/>
  <c r="Z11" i="1"/>
  <c r="CR11" i="1"/>
  <c r="DS63" i="1"/>
  <c r="I64" i="1"/>
  <c r="DS64" i="1" s="1"/>
  <c r="DS65" i="1"/>
  <c r="DS66" i="1"/>
  <c r="DS67" i="1"/>
  <c r="DS68" i="1"/>
  <c r="DS69" i="1"/>
  <c r="DS70" i="1"/>
  <c r="DS71" i="1"/>
  <c r="DS72" i="1"/>
  <c r="DS73" i="1"/>
  <c r="DS74" i="1"/>
  <c r="DS75" i="1"/>
  <c r="DS76" i="1"/>
  <c r="DS77" i="1"/>
  <c r="DS78" i="1"/>
  <c r="DS79" i="1"/>
  <c r="DS80" i="1"/>
  <c r="DS81" i="1"/>
  <c r="DS82" i="1"/>
  <c r="DS83" i="1"/>
  <c r="DS84" i="1"/>
  <c r="DS85" i="1"/>
  <c r="DS86" i="1"/>
  <c r="DS87" i="1"/>
  <c r="DS88" i="1"/>
  <c r="DS89" i="1"/>
  <c r="DS90" i="1"/>
  <c r="DS91" i="1"/>
  <c r="DS92" i="1"/>
  <c r="DS93" i="1"/>
  <c r="DS94" i="1"/>
  <c r="DS95" i="1"/>
  <c r="DS96" i="1"/>
  <c r="DS97" i="1"/>
  <c r="DS98" i="1"/>
  <c r="DS99" i="1"/>
  <c r="DS100" i="1"/>
  <c r="DS101" i="1"/>
  <c r="DS102" i="1"/>
  <c r="DS103" i="1"/>
  <c r="DS104" i="1"/>
  <c r="DS105" i="1"/>
  <c r="DS106" i="1"/>
  <c r="DS107" i="1"/>
  <c r="DS108" i="1"/>
  <c r="DS109" i="1"/>
  <c r="DS110" i="1"/>
  <c r="DS111" i="1"/>
  <c r="DS112" i="1"/>
  <c r="DS113" i="1"/>
  <c r="DS114" i="1"/>
  <c r="DS115" i="1"/>
  <c r="DS116" i="1"/>
  <c r="DS117" i="1"/>
  <c r="DS118" i="1"/>
  <c r="DS119" i="1"/>
  <c r="DS120" i="1"/>
  <c r="DS121" i="1"/>
  <c r="DS122" i="1"/>
  <c r="DS123" i="1"/>
  <c r="DS124" i="1"/>
  <c r="DS125" i="1"/>
  <c r="DS126" i="1"/>
  <c r="DS127" i="1"/>
  <c r="DS128" i="1"/>
  <c r="DS129" i="1"/>
  <c r="DS130" i="1"/>
  <c r="DS131" i="1"/>
  <c r="DS132" i="1"/>
  <c r="DS133" i="1"/>
  <c r="DS134" i="1"/>
  <c r="DS135" i="1"/>
  <c r="DS136" i="1"/>
  <c r="DS137" i="1"/>
  <c r="DS138" i="1"/>
  <c r="DS139" i="1"/>
  <c r="DS140" i="1"/>
  <c r="DS141" i="1"/>
  <c r="DS142" i="1"/>
  <c r="DS143" i="1"/>
  <c r="DS144" i="1"/>
  <c r="DS145" i="1"/>
  <c r="DS146" i="1"/>
  <c r="DS147" i="1"/>
  <c r="DS148" i="1"/>
  <c r="DS149" i="1"/>
  <c r="DS150" i="1"/>
  <c r="DS151" i="1"/>
  <c r="DS152" i="1"/>
  <c r="DS153" i="1"/>
  <c r="DS154" i="1"/>
  <c r="DS155" i="1"/>
  <c r="DS156" i="1"/>
  <c r="DS157" i="1"/>
  <c r="DS158" i="1"/>
  <c r="DS159" i="1"/>
  <c r="DS160" i="1"/>
  <c r="DS161" i="1"/>
  <c r="DS162" i="1"/>
  <c r="DS163" i="1"/>
  <c r="DS164" i="1"/>
  <c r="DS165" i="1"/>
  <c r="DS166" i="1"/>
  <c r="DS167" i="1"/>
  <c r="DS168" i="1"/>
  <c r="DS169" i="1"/>
  <c r="DS170" i="1"/>
  <c r="DS171" i="1"/>
  <c r="DS172" i="1"/>
  <c r="DS173" i="1"/>
  <c r="DS174" i="1"/>
  <c r="DS175" i="1"/>
  <c r="DS176" i="1"/>
  <c r="DS177" i="1"/>
  <c r="DS178" i="1"/>
  <c r="DS179" i="1"/>
  <c r="DS180" i="1"/>
  <c r="DS181" i="1"/>
  <c r="DS182" i="1"/>
  <c r="DS183" i="1"/>
  <c r="DS184" i="1"/>
  <c r="DS185" i="1"/>
  <c r="DS186" i="1"/>
  <c r="DS187" i="1"/>
  <c r="DS188" i="1"/>
  <c r="DS189" i="1"/>
  <c r="DS190" i="1"/>
  <c r="DS191" i="1"/>
  <c r="DS192" i="1"/>
  <c r="DS193" i="1"/>
  <c r="DS194" i="1"/>
  <c r="DS195" i="1"/>
  <c r="DS196" i="1"/>
  <c r="DS197" i="1"/>
  <c r="DS198" i="1"/>
  <c r="DS199" i="1"/>
  <c r="DS200" i="1"/>
  <c r="DS201" i="1"/>
  <c r="DS202" i="1"/>
  <c r="DS203" i="1"/>
  <c r="DS204" i="1"/>
  <c r="DS205" i="1"/>
  <c r="DS206" i="1"/>
  <c r="DS207" i="1"/>
  <c r="DS208" i="1"/>
  <c r="DS209" i="1"/>
  <c r="DS210" i="1"/>
  <c r="DS211" i="1"/>
  <c r="DS212" i="1"/>
  <c r="DS213" i="1"/>
  <c r="DS214" i="1"/>
  <c r="DS215" i="1"/>
  <c r="DS216" i="1"/>
  <c r="DS217" i="1"/>
  <c r="DS218" i="1"/>
  <c r="DS219" i="1"/>
  <c r="DS220" i="1"/>
  <c r="DS221" i="1"/>
  <c r="DS222" i="1"/>
  <c r="DS223" i="1"/>
  <c r="DS224" i="1"/>
  <c r="DS225" i="1"/>
  <c r="DS226" i="1"/>
  <c r="DS227" i="1"/>
  <c r="DS228" i="1"/>
  <c r="DS229" i="1"/>
  <c r="DS230" i="1"/>
  <c r="DS231" i="1"/>
  <c r="DS232" i="1"/>
  <c r="DS233" i="1"/>
  <c r="DS234" i="1"/>
  <c r="DS235" i="1"/>
  <c r="DS236" i="1"/>
  <c r="DS237" i="1"/>
  <c r="DS238" i="1"/>
  <c r="DS239" i="1"/>
  <c r="DS240" i="1"/>
  <c r="DS241" i="1"/>
  <c r="DS242" i="1"/>
  <c r="DS243" i="1"/>
  <c r="DS244" i="1"/>
  <c r="DS245" i="1"/>
  <c r="DS246" i="1"/>
  <c r="DS247" i="1"/>
  <c r="DS248" i="1"/>
  <c r="DS249" i="1"/>
  <c r="DS250" i="1"/>
  <c r="DS251" i="1"/>
  <c r="DS252" i="1"/>
  <c r="DS253" i="1"/>
  <c r="DS264" i="1"/>
  <c r="DS265" i="1"/>
  <c r="DS266" i="1"/>
  <c r="DS267" i="1"/>
  <c r="DS268" i="1"/>
  <c r="DS269" i="1"/>
  <c r="DS270" i="1"/>
  <c r="DS271" i="1"/>
  <c r="DS272" i="1"/>
  <c r="C222" i="23"/>
  <c r="O1266" i="7" l="1"/>
  <c r="P1266" i="7" s="1"/>
  <c r="O1265" i="7"/>
  <c r="P1265" i="7" s="1"/>
  <c r="O1264" i="7"/>
  <c r="P1264" i="7" s="1"/>
  <c r="O1261" i="7"/>
  <c r="P1261" i="7" s="1"/>
  <c r="O1260" i="7"/>
  <c r="P1260" i="7" s="1"/>
  <c r="O1259" i="7"/>
  <c r="P1259" i="7" s="1"/>
  <c r="O1258" i="7"/>
  <c r="P1258" i="7" s="1"/>
  <c r="O1257" i="7"/>
  <c r="P1257" i="7" s="1"/>
  <c r="O1263" i="7"/>
  <c r="P1263" i="7" s="1"/>
  <c r="O1262" i="7"/>
  <c r="P1262" i="7" s="1"/>
  <c r="DQ267" i="1"/>
  <c r="DR267" i="1"/>
  <c r="DQ245" i="1"/>
  <c r="DR245" i="1"/>
  <c r="DQ237" i="1"/>
  <c r="DR237" i="1"/>
  <c r="DR233" i="1"/>
  <c r="DQ233" i="1"/>
  <c r="DQ229" i="1"/>
  <c r="DR229" i="1"/>
  <c r="DQ225" i="1"/>
  <c r="DR225" i="1"/>
  <c r="DQ221" i="1"/>
  <c r="DR221" i="1"/>
  <c r="DR217" i="1"/>
  <c r="DQ217" i="1"/>
  <c r="DQ213" i="1"/>
  <c r="DR213" i="1"/>
  <c r="DQ209" i="1"/>
  <c r="DR209" i="1"/>
  <c r="DQ205" i="1"/>
  <c r="DR205" i="1"/>
  <c r="DR201" i="1"/>
  <c r="DQ201" i="1"/>
  <c r="DQ197" i="1"/>
  <c r="DR197" i="1"/>
  <c r="DQ193" i="1"/>
  <c r="DR193" i="1"/>
  <c r="DQ189" i="1"/>
  <c r="DR189" i="1"/>
  <c r="DR185" i="1"/>
  <c r="DQ185" i="1"/>
  <c r="DQ181" i="1"/>
  <c r="DR181" i="1"/>
  <c r="DQ177" i="1"/>
  <c r="DR177" i="1"/>
  <c r="DQ173" i="1"/>
  <c r="DR173" i="1"/>
  <c r="DR169" i="1"/>
  <c r="DQ169" i="1"/>
  <c r="DQ165" i="1"/>
  <c r="DR165" i="1"/>
  <c r="DQ161" i="1"/>
  <c r="DR161" i="1"/>
  <c r="DQ157" i="1"/>
  <c r="DR157" i="1"/>
  <c r="DR153" i="1"/>
  <c r="DQ153" i="1"/>
  <c r="DQ149" i="1"/>
  <c r="DR149" i="1"/>
  <c r="DQ145" i="1"/>
  <c r="DR145" i="1"/>
  <c r="DQ141" i="1"/>
  <c r="DR141" i="1"/>
  <c r="DR137" i="1"/>
  <c r="DQ137" i="1"/>
  <c r="DQ133" i="1"/>
  <c r="DR133" i="1"/>
  <c r="DQ129" i="1"/>
  <c r="DR129" i="1"/>
  <c r="DQ125" i="1"/>
  <c r="DR125" i="1"/>
  <c r="DR121" i="1"/>
  <c r="DQ121" i="1"/>
  <c r="DQ117" i="1"/>
  <c r="DR117" i="1"/>
  <c r="DQ113" i="1"/>
  <c r="DR113" i="1"/>
  <c r="DQ109" i="1"/>
  <c r="DR109" i="1"/>
  <c r="DR105" i="1"/>
  <c r="DQ105" i="1"/>
  <c r="DQ101" i="1"/>
  <c r="DR101" i="1"/>
  <c r="DQ97" i="1"/>
  <c r="DR97" i="1"/>
  <c r="DQ93" i="1"/>
  <c r="DR93" i="1"/>
  <c r="DR89" i="1"/>
  <c r="DQ89" i="1"/>
  <c r="DQ85" i="1"/>
  <c r="DR85" i="1"/>
  <c r="DQ81" i="1"/>
  <c r="DR81" i="1"/>
  <c r="DQ77" i="1"/>
  <c r="DR77" i="1"/>
  <c r="DR73" i="1"/>
  <c r="DQ73" i="1"/>
  <c r="DQ69" i="1"/>
  <c r="DR69" i="1"/>
  <c r="DQ65" i="1"/>
  <c r="DR65" i="1"/>
  <c r="DQ271" i="1"/>
  <c r="DR271" i="1"/>
  <c r="DR249" i="1"/>
  <c r="DQ249" i="1"/>
  <c r="DQ252" i="1"/>
  <c r="DR252" i="1"/>
  <c r="DR244" i="1"/>
  <c r="DQ244" i="1"/>
  <c r="DR240" i="1"/>
  <c r="DQ240" i="1"/>
  <c r="DQ236" i="1"/>
  <c r="DR236" i="1"/>
  <c r="DQ232" i="1"/>
  <c r="DR232" i="1"/>
  <c r="DQ228" i="1"/>
  <c r="DR228" i="1"/>
  <c r="DR224" i="1"/>
  <c r="DQ224" i="1"/>
  <c r="DQ220" i="1"/>
  <c r="DR220" i="1"/>
  <c r="DQ216" i="1"/>
  <c r="DR216" i="1"/>
  <c r="DR212" i="1"/>
  <c r="DQ212" i="1"/>
  <c r="DR208" i="1"/>
  <c r="DQ208" i="1"/>
  <c r="DQ204" i="1"/>
  <c r="DR204" i="1"/>
  <c r="DQ200" i="1"/>
  <c r="DR200" i="1"/>
  <c r="DR196" i="1"/>
  <c r="DQ196" i="1"/>
  <c r="DR192" i="1"/>
  <c r="DQ192" i="1"/>
  <c r="DQ188" i="1"/>
  <c r="DR188" i="1"/>
  <c r="DQ184" i="1"/>
  <c r="DR184" i="1"/>
  <c r="DQ180" i="1"/>
  <c r="DR180" i="1"/>
  <c r="DR176" i="1"/>
  <c r="DQ176" i="1"/>
  <c r="DQ172" i="1"/>
  <c r="DR172" i="1"/>
  <c r="DQ168" i="1"/>
  <c r="DR168" i="1"/>
  <c r="DQ164" i="1"/>
  <c r="DR164" i="1"/>
  <c r="DR160" i="1"/>
  <c r="DQ160" i="1"/>
  <c r="DQ156" i="1"/>
  <c r="DR156" i="1"/>
  <c r="DQ152" i="1"/>
  <c r="DR152" i="1"/>
  <c r="DR148" i="1"/>
  <c r="DQ148" i="1"/>
  <c r="DR144" i="1"/>
  <c r="DQ144" i="1"/>
  <c r="DQ140" i="1"/>
  <c r="DR140" i="1"/>
  <c r="DQ136" i="1"/>
  <c r="DR136" i="1"/>
  <c r="DQ132" i="1"/>
  <c r="DR132" i="1"/>
  <c r="DR128" i="1"/>
  <c r="DQ128" i="1"/>
  <c r="DQ124" i="1"/>
  <c r="DR124" i="1"/>
  <c r="DQ120" i="1"/>
  <c r="DR120" i="1"/>
  <c r="DQ116" i="1"/>
  <c r="DR116" i="1"/>
  <c r="DR112" i="1"/>
  <c r="DQ112" i="1"/>
  <c r="DQ108" i="1"/>
  <c r="DR108" i="1"/>
  <c r="DQ104" i="1"/>
  <c r="DR104" i="1"/>
  <c r="DQ100" i="1"/>
  <c r="DR100" i="1"/>
  <c r="DR96" i="1"/>
  <c r="DQ96" i="1"/>
  <c r="DQ92" i="1"/>
  <c r="DR92" i="1"/>
  <c r="DQ88" i="1"/>
  <c r="DR88" i="1"/>
  <c r="DQ84" i="1"/>
  <c r="DR84" i="1"/>
  <c r="DR80" i="1"/>
  <c r="DQ80" i="1"/>
  <c r="DQ76" i="1"/>
  <c r="DR76" i="1"/>
  <c r="DQ72" i="1"/>
  <c r="DR72" i="1"/>
  <c r="DQ68" i="1"/>
  <c r="DR68" i="1"/>
  <c r="DR64" i="1"/>
  <c r="DQ64" i="1"/>
  <c r="DQ253" i="1"/>
  <c r="DR253" i="1"/>
  <c r="DQ241" i="1"/>
  <c r="DR241" i="1"/>
  <c r="DQ270" i="1"/>
  <c r="DR270" i="1"/>
  <c r="DR266" i="1"/>
  <c r="DQ266" i="1"/>
  <c r="DQ248" i="1"/>
  <c r="DR248" i="1"/>
  <c r="DQ269" i="1"/>
  <c r="DR269" i="1"/>
  <c r="DR265" i="1"/>
  <c r="DQ265" i="1"/>
  <c r="DQ251" i="1"/>
  <c r="DR251" i="1"/>
  <c r="DR247" i="1"/>
  <c r="DQ247" i="1"/>
  <c r="DR243" i="1"/>
  <c r="DQ243" i="1"/>
  <c r="DQ239" i="1"/>
  <c r="DR239" i="1"/>
  <c r="DQ235" i="1"/>
  <c r="DR235" i="1"/>
  <c r="DQ231" i="1"/>
  <c r="DR231" i="1"/>
  <c r="DR227" i="1"/>
  <c r="DQ227" i="1"/>
  <c r="DQ223" i="1"/>
  <c r="DR223" i="1"/>
  <c r="DQ219" i="1"/>
  <c r="DR219" i="1"/>
  <c r="DQ215" i="1"/>
  <c r="DR215" i="1"/>
  <c r="DR211" i="1"/>
  <c r="DQ211" i="1"/>
  <c r="DQ207" i="1"/>
  <c r="DR207" i="1"/>
  <c r="DQ203" i="1"/>
  <c r="DR203" i="1"/>
  <c r="DR199" i="1"/>
  <c r="DQ199" i="1"/>
  <c r="DR195" i="1"/>
  <c r="DQ195" i="1"/>
  <c r="DQ191" i="1"/>
  <c r="DR191" i="1"/>
  <c r="DQ187" i="1"/>
  <c r="DR187" i="1"/>
  <c r="DQ183" i="1"/>
  <c r="DR183" i="1"/>
  <c r="DR179" i="1"/>
  <c r="DQ179" i="1"/>
  <c r="DQ175" i="1"/>
  <c r="DR175" i="1"/>
  <c r="DQ171" i="1"/>
  <c r="DR171" i="1"/>
  <c r="DQ167" i="1"/>
  <c r="DR167" i="1"/>
  <c r="DR163" i="1"/>
  <c r="DQ163" i="1"/>
  <c r="DQ159" i="1"/>
  <c r="DR159" i="1"/>
  <c r="DQ155" i="1"/>
  <c r="DR155" i="1"/>
  <c r="DR151" i="1"/>
  <c r="DQ151" i="1"/>
  <c r="DR147" i="1"/>
  <c r="DQ147" i="1"/>
  <c r="DQ143" i="1"/>
  <c r="DR143" i="1"/>
  <c r="DQ139" i="1"/>
  <c r="DR139" i="1"/>
  <c r="DQ135" i="1"/>
  <c r="DR135" i="1"/>
  <c r="DQ131" i="1"/>
  <c r="DR131" i="1"/>
  <c r="DQ127" i="1"/>
  <c r="DR127" i="1"/>
  <c r="DR123" i="1"/>
  <c r="DQ123" i="1"/>
  <c r="DQ119" i="1"/>
  <c r="DR119" i="1"/>
  <c r="DR115" i="1"/>
  <c r="DQ115" i="1"/>
  <c r="DQ111" i="1"/>
  <c r="DR111" i="1"/>
  <c r="DQ107" i="1"/>
  <c r="DR107" i="1"/>
  <c r="DQ103" i="1"/>
  <c r="DR103" i="1"/>
  <c r="DR99" i="1"/>
  <c r="DQ99" i="1"/>
  <c r="DQ95" i="1"/>
  <c r="DR95" i="1"/>
  <c r="DQ91" i="1"/>
  <c r="DR91" i="1"/>
  <c r="DR87" i="1"/>
  <c r="DQ87" i="1"/>
  <c r="DR83" i="1"/>
  <c r="DQ83" i="1"/>
  <c r="DQ79" i="1"/>
  <c r="DR79" i="1"/>
  <c r="DQ75" i="1"/>
  <c r="DR75" i="1"/>
  <c r="DQ71" i="1"/>
  <c r="DR71" i="1"/>
  <c r="DR67" i="1"/>
  <c r="DQ67" i="1"/>
  <c r="DQ63" i="1"/>
  <c r="DR63" i="1"/>
  <c r="DR272" i="1"/>
  <c r="DQ272" i="1"/>
  <c r="DQ268" i="1"/>
  <c r="DR268" i="1"/>
  <c r="DQ264" i="1"/>
  <c r="DR264" i="1"/>
  <c r="DQ250" i="1"/>
  <c r="DR250" i="1"/>
  <c r="DR246" i="1"/>
  <c r="DQ246" i="1"/>
  <c r="DQ242" i="1"/>
  <c r="DR242" i="1"/>
  <c r="DQ238" i="1"/>
  <c r="DR238" i="1"/>
  <c r="DQ234" i="1"/>
  <c r="DR234" i="1"/>
  <c r="DR230" i="1"/>
  <c r="DQ230" i="1"/>
  <c r="DQ226" i="1"/>
  <c r="DR226" i="1"/>
  <c r="DQ222" i="1"/>
  <c r="DR222" i="1"/>
  <c r="DQ218" i="1"/>
  <c r="DR218" i="1"/>
  <c r="DR214" i="1"/>
  <c r="DQ214" i="1"/>
  <c r="DR210" i="1"/>
  <c r="DQ210" i="1"/>
  <c r="DR206" i="1"/>
  <c r="DQ206" i="1"/>
  <c r="DQ202" i="1"/>
  <c r="DR202" i="1"/>
  <c r="DQ198" i="1"/>
  <c r="DR198" i="1"/>
  <c r="DR194" i="1"/>
  <c r="DQ194" i="1"/>
  <c r="DQ190" i="1"/>
  <c r="DR190" i="1"/>
  <c r="DQ186" i="1"/>
  <c r="DR186" i="1"/>
  <c r="DQ182" i="1"/>
  <c r="DR182" i="1"/>
  <c r="DQ178" i="1"/>
  <c r="DR178" i="1"/>
  <c r="DQ174" i="1"/>
  <c r="DR174" i="1"/>
  <c r="DR170" i="1"/>
  <c r="DQ170" i="1"/>
  <c r="DQ166" i="1"/>
  <c r="DR166" i="1"/>
  <c r="DQ162" i="1"/>
  <c r="DR162" i="1"/>
  <c r="DQ158" i="1"/>
  <c r="DR158" i="1"/>
  <c r="DQ154" i="1"/>
  <c r="DR154" i="1"/>
  <c r="DR150" i="1"/>
  <c r="DQ150" i="1"/>
  <c r="DR146" i="1"/>
  <c r="DQ146" i="1"/>
  <c r="DQ142" i="1"/>
  <c r="DR142" i="1"/>
  <c r="DR138" i="1"/>
  <c r="DQ138" i="1"/>
  <c r="DQ134" i="1"/>
  <c r="DR134" i="1"/>
  <c r="DQ130" i="1"/>
  <c r="DR130" i="1"/>
  <c r="DQ126" i="1"/>
  <c r="DR126" i="1"/>
  <c r="DR122" i="1"/>
  <c r="DQ122" i="1"/>
  <c r="DQ118" i="1"/>
  <c r="DR118" i="1"/>
  <c r="DQ114" i="1"/>
  <c r="DR114" i="1"/>
  <c r="DQ110" i="1"/>
  <c r="DR110" i="1"/>
  <c r="DR106" i="1"/>
  <c r="DQ106" i="1"/>
  <c r="DQ102" i="1"/>
  <c r="DR102" i="1"/>
  <c r="DQ98" i="1"/>
  <c r="DR98" i="1"/>
  <c r="DQ94" i="1"/>
  <c r="DR94" i="1"/>
  <c r="DR90" i="1"/>
  <c r="DQ90" i="1"/>
  <c r="DR86" i="1"/>
  <c r="DQ86" i="1"/>
  <c r="DQ82" i="1"/>
  <c r="DR82" i="1"/>
  <c r="DQ78" i="1"/>
  <c r="DR78" i="1"/>
  <c r="DQ74" i="1"/>
  <c r="DR74" i="1"/>
  <c r="DQ70" i="1"/>
  <c r="DR70" i="1"/>
  <c r="DQ66" i="1"/>
  <c r="DR66" i="1"/>
  <c r="DL11" i="1"/>
  <c r="DO11" i="1"/>
  <c r="DK11" i="1"/>
  <c r="DN11" i="1"/>
  <c r="DM11" i="1"/>
  <c r="R272" i="1"/>
  <c r="R271" i="1"/>
  <c r="R270" i="1"/>
  <c r="R269" i="1"/>
  <c r="R268" i="1"/>
  <c r="R267" i="1"/>
  <c r="R266" i="1"/>
  <c r="R265" i="1"/>
  <c r="R264" i="1"/>
  <c r="R253" i="1"/>
  <c r="R252" i="1"/>
  <c r="R251" i="1"/>
  <c r="R250" i="1"/>
  <c r="R249" i="1"/>
  <c r="R248" i="1"/>
  <c r="R247" i="1"/>
  <c r="R246" i="1"/>
  <c r="R245" i="1"/>
  <c r="R244" i="1"/>
  <c r="R243" i="1"/>
  <c r="R242" i="1"/>
  <c r="R241" i="1"/>
  <c r="R240" i="1"/>
  <c r="R239" i="1"/>
  <c r="R238" i="1"/>
  <c r="R237" i="1"/>
  <c r="R236" i="1"/>
  <c r="R235" i="1"/>
  <c r="R234" i="1"/>
  <c r="R233" i="1"/>
  <c r="R232" i="1"/>
  <c r="R231" i="1"/>
  <c r="R230" i="1"/>
  <c r="R229" i="1"/>
  <c r="R228" i="1"/>
  <c r="R227" i="1"/>
  <c r="R226" i="1"/>
  <c r="R225" i="1"/>
  <c r="R224" i="1"/>
  <c r="R223" i="1"/>
  <c r="R222" i="1"/>
  <c r="R221"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O1236" i="7"/>
  <c r="P1236" i="7" s="1"/>
  <c r="O1222" i="7"/>
  <c r="P1222" i="7" s="1"/>
  <c r="O1221" i="7"/>
  <c r="P1221" i="7" s="1"/>
  <c r="O1219" i="7"/>
  <c r="P1219" i="7" s="1"/>
  <c r="O1217" i="7"/>
  <c r="P1217" i="7" s="1"/>
  <c r="O1215" i="7"/>
  <c r="P1215" i="7" s="1"/>
  <c r="O1210" i="7"/>
  <c r="P1210" i="7" s="1"/>
  <c r="O1203" i="7"/>
  <c r="P1203" i="7" s="1"/>
  <c r="O1201" i="7"/>
  <c r="P1201" i="7" s="1"/>
  <c r="O1200" i="7"/>
  <c r="P1200" i="7" s="1"/>
  <c r="O1196" i="7"/>
  <c r="P1196" i="7" s="1"/>
  <c r="O1195" i="7"/>
  <c r="P1195" i="7" s="1"/>
  <c r="O1193" i="7"/>
  <c r="P1193" i="7" s="1"/>
  <c r="O1192" i="7"/>
  <c r="P1192" i="7" s="1"/>
  <c r="O1190" i="7"/>
  <c r="P1190" i="7" s="1"/>
  <c r="O1188" i="7"/>
  <c r="P1188" i="7" s="1"/>
  <c r="O1187" i="7"/>
  <c r="P1187" i="7" s="1"/>
  <c r="O1185" i="7"/>
  <c r="P1185" i="7" s="1"/>
  <c r="O1240" i="7"/>
  <c r="P1240" i="7" s="1"/>
  <c r="O1239" i="7"/>
  <c r="P1239" i="7" s="1"/>
  <c r="O1238" i="7"/>
  <c r="P1238" i="7" s="1"/>
  <c r="O1237" i="7"/>
  <c r="P1237" i="7" s="1"/>
  <c r="O1230" i="7"/>
  <c r="P1230" i="7" s="1"/>
  <c r="O1229" i="7"/>
  <c r="P1229" i="7" s="1"/>
  <c r="O1220" i="7"/>
  <c r="P1220" i="7" s="1"/>
  <c r="O1218" i="7"/>
  <c r="P1218" i="7" s="1"/>
  <c r="O1206" i="7"/>
  <c r="P1206" i="7" s="1"/>
  <c r="O1205" i="7"/>
  <c r="P1205" i="7" s="1"/>
  <c r="O1199" i="7"/>
  <c r="P1199" i="7" s="1"/>
  <c r="O1194" i="7"/>
  <c r="P1194" i="7" s="1"/>
  <c r="O1191" i="7"/>
  <c r="P1191" i="7" s="1"/>
  <c r="O1189" i="7"/>
  <c r="P1189" i="7" s="1"/>
  <c r="O1183" i="7"/>
  <c r="P1183" i="7" s="1"/>
  <c r="O1182" i="7"/>
  <c r="P1182" i="7" s="1"/>
  <c r="O1181" i="7"/>
  <c r="P1181" i="7" s="1"/>
  <c r="O1179" i="7"/>
  <c r="P1179" i="7" s="1"/>
  <c r="O1178" i="7"/>
  <c r="P1178" i="7" s="1"/>
  <c r="O1171" i="7"/>
  <c r="P1171" i="7" s="1"/>
  <c r="O1170" i="7"/>
  <c r="P1170" i="7" s="1"/>
  <c r="O1169" i="7"/>
  <c r="P1169" i="7" s="1"/>
  <c r="O1167" i="7"/>
  <c r="P1167" i="7" s="1"/>
  <c r="O1166" i="7"/>
  <c r="P1166" i="7" s="1"/>
  <c r="O1159" i="7"/>
  <c r="P1159" i="7" s="1"/>
  <c r="O1158" i="7"/>
  <c r="P1158" i="7" s="1"/>
  <c r="O1154" i="7"/>
  <c r="P1154" i="7" s="1"/>
  <c r="O1133" i="7"/>
  <c r="P1133" i="7" s="1"/>
  <c r="O1132" i="7"/>
  <c r="P1132" i="7" s="1"/>
  <c r="O1131" i="7"/>
  <c r="P1131" i="7" s="1"/>
  <c r="O1129" i="7"/>
  <c r="P1129" i="7" s="1"/>
  <c r="O1128" i="7"/>
  <c r="P1128" i="7" s="1"/>
  <c r="O1127" i="7"/>
  <c r="P1127" i="7" s="1"/>
  <c r="O1126" i="7"/>
  <c r="P1126" i="7" s="1"/>
  <c r="O1124" i="7"/>
  <c r="P1124" i="7" s="1"/>
  <c r="O1123" i="7"/>
  <c r="P1123" i="7" s="1"/>
  <c r="O1116" i="7"/>
  <c r="P1116" i="7" s="1"/>
  <c r="O1115" i="7"/>
  <c r="P1115" i="7" s="1"/>
  <c r="O1108" i="7"/>
  <c r="P1108" i="7" s="1"/>
  <c r="O1107" i="7"/>
  <c r="P1107" i="7" s="1"/>
  <c r="O1245" i="7"/>
  <c r="P1245" i="7" s="1"/>
  <c r="O1244" i="7"/>
  <c r="P1244" i="7" s="1"/>
  <c r="O1228" i="7"/>
  <c r="P1228" i="7" s="1"/>
  <c r="O1227" i="7"/>
  <c r="P1227" i="7" s="1"/>
  <c r="O1225" i="7"/>
  <c r="P1225" i="7" s="1"/>
  <c r="O1224" i="7"/>
  <c r="P1224" i="7" s="1"/>
  <c r="O1106" i="7"/>
  <c r="P1106" i="7" s="1"/>
  <c r="O1105" i="7"/>
  <c r="P1105" i="7" s="1"/>
  <c r="O1104" i="7"/>
  <c r="P1104" i="7" s="1"/>
  <c r="O1103" i="7"/>
  <c r="P1103" i="7" s="1"/>
  <c r="O1102" i="7"/>
  <c r="P1102" i="7" s="1"/>
  <c r="O1100" i="7"/>
  <c r="P1100" i="7" s="1"/>
  <c r="O1242" i="7"/>
  <c r="P1242" i="7" s="1"/>
  <c r="O1241" i="7"/>
  <c r="P1241" i="7" s="1"/>
  <c r="O1233" i="7"/>
  <c r="P1233" i="7" s="1"/>
  <c r="O1232" i="7"/>
  <c r="P1232" i="7" s="1"/>
  <c r="O1231" i="7"/>
  <c r="P1231" i="7" s="1"/>
  <c r="O1213" i="7"/>
  <c r="P1213" i="7" s="1"/>
  <c r="O1208" i="7"/>
  <c r="P1208" i="7" s="1"/>
  <c r="O1207" i="7"/>
  <c r="P1207" i="7" s="1"/>
  <c r="O1198" i="7"/>
  <c r="P1198" i="7" s="1"/>
  <c r="O1184" i="7"/>
  <c r="P1184" i="7" s="1"/>
  <c r="O1172" i="7"/>
  <c r="P1172" i="7" s="1"/>
  <c r="O1163" i="7"/>
  <c r="P1163" i="7" s="1"/>
  <c r="O1160" i="7"/>
  <c r="P1160" i="7" s="1"/>
  <c r="O1157" i="7"/>
  <c r="P1157" i="7" s="1"/>
  <c r="O1156" i="7"/>
  <c r="P1156" i="7" s="1"/>
  <c r="O1155" i="7"/>
  <c r="P1155" i="7" s="1"/>
  <c r="O1153" i="7"/>
  <c r="P1153" i="7" s="1"/>
  <c r="O1152" i="7"/>
  <c r="P1152" i="7" s="1"/>
  <c r="O1151" i="7"/>
  <c r="P1151" i="7" s="1"/>
  <c r="O1150" i="7"/>
  <c r="P1150" i="7" s="1"/>
  <c r="O1146" i="7"/>
  <c r="P1146" i="7" s="1"/>
  <c r="O1125" i="7"/>
  <c r="P1125" i="7" s="1"/>
  <c r="O1118" i="7"/>
  <c r="P1118" i="7" s="1"/>
  <c r="O1117" i="7"/>
  <c r="P1117" i="7" s="1"/>
  <c r="O1110" i="7"/>
  <c r="P1110" i="7" s="1"/>
  <c r="O1109" i="7"/>
  <c r="P1109" i="7" s="1"/>
  <c r="O1098" i="7"/>
  <c r="P1098" i="7" s="1"/>
  <c r="O1097" i="7"/>
  <c r="P1097" i="7" s="1"/>
  <c r="O1096" i="7"/>
  <c r="P1096" i="7" s="1"/>
  <c r="O1095" i="7"/>
  <c r="P1095" i="7" s="1"/>
  <c r="O1088" i="7"/>
  <c r="P1088" i="7" s="1"/>
  <c r="O1076" i="7"/>
  <c r="P1076" i="7" s="1"/>
  <c r="O1075" i="7"/>
  <c r="P1075" i="7" s="1"/>
  <c r="O1235" i="7"/>
  <c r="P1235" i="7" s="1"/>
  <c r="O1234" i="7"/>
  <c r="P1234" i="7" s="1"/>
  <c r="O1216" i="7"/>
  <c r="P1216" i="7" s="1"/>
  <c r="O1214" i="7"/>
  <c r="P1214" i="7" s="1"/>
  <c r="O1212" i="7"/>
  <c r="P1212" i="7" s="1"/>
  <c r="O1211" i="7"/>
  <c r="P1211" i="7" s="1"/>
  <c r="O1209" i="7"/>
  <c r="P1209" i="7" s="1"/>
  <c r="O1204" i="7"/>
  <c r="P1204" i="7" s="1"/>
  <c r="O1202" i="7"/>
  <c r="P1202" i="7" s="1"/>
  <c r="O1197" i="7"/>
  <c r="P1197" i="7" s="1"/>
  <c r="O1186" i="7"/>
  <c r="P1186" i="7" s="1"/>
  <c r="O1176" i="7"/>
  <c r="P1176" i="7" s="1"/>
  <c r="O1175" i="7"/>
  <c r="P1175" i="7" s="1"/>
  <c r="O1173" i="7"/>
  <c r="P1173" i="7" s="1"/>
  <c r="O1164" i="7"/>
  <c r="P1164" i="7" s="1"/>
  <c r="O1162" i="7"/>
  <c r="P1162" i="7" s="1"/>
  <c r="O1161" i="7"/>
  <c r="P1161" i="7" s="1"/>
  <c r="O1149" i="7"/>
  <c r="P1149" i="7" s="1"/>
  <c r="O1148" i="7"/>
  <c r="P1148" i="7" s="1"/>
  <c r="O1147" i="7"/>
  <c r="P1147" i="7" s="1"/>
  <c r="O1145" i="7"/>
  <c r="P1145" i="7" s="1"/>
  <c r="O1144" i="7"/>
  <c r="P1144" i="7" s="1"/>
  <c r="O1143" i="7"/>
  <c r="P1143" i="7" s="1"/>
  <c r="O1142" i="7"/>
  <c r="P1142" i="7" s="1"/>
  <c r="O1138" i="7"/>
  <c r="P1138" i="7" s="1"/>
  <c r="O1120" i="7"/>
  <c r="P1120" i="7" s="1"/>
  <c r="O1119" i="7"/>
  <c r="P1119" i="7" s="1"/>
  <c r="O1165" i="7"/>
  <c r="P1165" i="7" s="1"/>
  <c r="O1112" i="7"/>
  <c r="P1112" i="7" s="1"/>
  <c r="O1111" i="7"/>
  <c r="P1111" i="7" s="1"/>
  <c r="O1226" i="7"/>
  <c r="P1226" i="7" s="1"/>
  <c r="O1090" i="7"/>
  <c r="P1090" i="7" s="1"/>
  <c r="O1087" i="7"/>
  <c r="P1087" i="7" s="1"/>
  <c r="O1084" i="7"/>
  <c r="P1084" i="7" s="1"/>
  <c r="O1083" i="7"/>
  <c r="P1083" i="7" s="1"/>
  <c r="O1082" i="7"/>
  <c r="P1082" i="7" s="1"/>
  <c r="O1081" i="7"/>
  <c r="P1081" i="7" s="1"/>
  <c r="O1080" i="7"/>
  <c r="P1080" i="7" s="1"/>
  <c r="O1079" i="7"/>
  <c r="P1079" i="7" s="1"/>
  <c r="O1071" i="7"/>
  <c r="P1071" i="7" s="1"/>
  <c r="O1070" i="7"/>
  <c r="P1070" i="7" s="1"/>
  <c r="O1069" i="7"/>
  <c r="P1069" i="7" s="1"/>
  <c r="O1068" i="7"/>
  <c r="P1068" i="7" s="1"/>
  <c r="O1067" i="7"/>
  <c r="P1067" i="7" s="1"/>
  <c r="O1066" i="7"/>
  <c r="P1066" i="7" s="1"/>
  <c r="O1065" i="7"/>
  <c r="P1065" i="7" s="1"/>
  <c r="O1064" i="7"/>
  <c r="P1064" i="7" s="1"/>
  <c r="O1063" i="7"/>
  <c r="P1063" i="7" s="1"/>
  <c r="O1062" i="7"/>
  <c r="P1062" i="7" s="1"/>
  <c r="O1061" i="7"/>
  <c r="P1061" i="7" s="1"/>
  <c r="O1060" i="7"/>
  <c r="P1060" i="7" s="1"/>
  <c r="O1058" i="7"/>
  <c r="P1058" i="7" s="1"/>
  <c r="O1056" i="7"/>
  <c r="P1056" i="7" s="1"/>
  <c r="O1054" i="7"/>
  <c r="P1054" i="7" s="1"/>
  <c r="O1052" i="7"/>
  <c r="P1052" i="7" s="1"/>
  <c r="O1050" i="7"/>
  <c r="P1050" i="7" s="1"/>
  <c r="O1048" i="7"/>
  <c r="P1048" i="7" s="1"/>
  <c r="O1043" i="7"/>
  <c r="P1043" i="7" s="1"/>
  <c r="O1041" i="7"/>
  <c r="P1041" i="7" s="1"/>
  <c r="O1029" i="7"/>
  <c r="P1029" i="7" s="1"/>
  <c r="O1025" i="7"/>
  <c r="P1025" i="7" s="1"/>
  <c r="O1021" i="7"/>
  <c r="P1021" i="7" s="1"/>
  <c r="O1026" i="7"/>
  <c r="P1026" i="7" s="1"/>
  <c r="O1022" i="7"/>
  <c r="P1022" i="7" s="1"/>
  <c r="O1180" i="7"/>
  <c r="P1180" i="7" s="1"/>
  <c r="O1174" i="7"/>
  <c r="P1174" i="7" s="1"/>
  <c r="O1141" i="7"/>
  <c r="P1141" i="7" s="1"/>
  <c r="O1093" i="7"/>
  <c r="P1093" i="7" s="1"/>
  <c r="O1089" i="7"/>
  <c r="P1089" i="7" s="1"/>
  <c r="O1078" i="7"/>
  <c r="P1078" i="7" s="1"/>
  <c r="O1042" i="7"/>
  <c r="P1042" i="7" s="1"/>
  <c r="O1038" i="7"/>
  <c r="P1038" i="7" s="1"/>
  <c r="O1036" i="7"/>
  <c r="P1036" i="7" s="1"/>
  <c r="O1024" i="7"/>
  <c r="P1024" i="7" s="1"/>
  <c r="O1177" i="7"/>
  <c r="P1177" i="7" s="1"/>
  <c r="O1137" i="7"/>
  <c r="P1137" i="7" s="1"/>
  <c r="O1136" i="7"/>
  <c r="P1136" i="7" s="1"/>
  <c r="O1135" i="7"/>
  <c r="P1135" i="7" s="1"/>
  <c r="O1134" i="7"/>
  <c r="P1134" i="7" s="1"/>
  <c r="O1101" i="7"/>
  <c r="P1101" i="7" s="1"/>
  <c r="O1099" i="7"/>
  <c r="P1099" i="7" s="1"/>
  <c r="O1085" i="7"/>
  <c r="P1085" i="7" s="1"/>
  <c r="O1072" i="7"/>
  <c r="P1072" i="7" s="1"/>
  <c r="O1059" i="7"/>
  <c r="P1059" i="7" s="1"/>
  <c r="O1057" i="7"/>
  <c r="P1057" i="7" s="1"/>
  <c r="O1055" i="7"/>
  <c r="P1055" i="7" s="1"/>
  <c r="O1053" i="7"/>
  <c r="P1053" i="7" s="1"/>
  <c r="O1051" i="7"/>
  <c r="P1051" i="7" s="1"/>
  <c r="O1049" i="7"/>
  <c r="P1049" i="7" s="1"/>
  <c r="O1047" i="7"/>
  <c r="P1047" i="7" s="1"/>
  <c r="O1044" i="7"/>
  <c r="P1044" i="7" s="1"/>
  <c r="O1040" i="7"/>
  <c r="P1040" i="7" s="1"/>
  <c r="O1034" i="7"/>
  <c r="P1034" i="7" s="1"/>
  <c r="O1030" i="7"/>
  <c r="P1030" i="7" s="1"/>
  <c r="O1023" i="7"/>
  <c r="P1023" i="7" s="1"/>
  <c r="O1091" i="7"/>
  <c r="P1091" i="7" s="1"/>
  <c r="O1033" i="7"/>
  <c r="P1033" i="7" s="1"/>
  <c r="O1168" i="7"/>
  <c r="P1168" i="7" s="1"/>
  <c r="O1140" i="7"/>
  <c r="P1140" i="7" s="1"/>
  <c r="O1139" i="7"/>
  <c r="P1139" i="7" s="1"/>
  <c r="O1130" i="7"/>
  <c r="P1130" i="7" s="1"/>
  <c r="O1122" i="7"/>
  <c r="P1122" i="7" s="1"/>
  <c r="O1121" i="7"/>
  <c r="P1121" i="7" s="1"/>
  <c r="O1114" i="7"/>
  <c r="P1114" i="7" s="1"/>
  <c r="O1113" i="7"/>
  <c r="P1113" i="7" s="1"/>
  <c r="O1243" i="7"/>
  <c r="P1243" i="7" s="1"/>
  <c r="O1223" i="7"/>
  <c r="P1223" i="7" s="1"/>
  <c r="O1094" i="7"/>
  <c r="P1094" i="7" s="1"/>
  <c r="O1092" i="7"/>
  <c r="P1092" i="7" s="1"/>
  <c r="O1077" i="7"/>
  <c r="P1077" i="7" s="1"/>
  <c r="O1074" i="7"/>
  <c r="P1074" i="7" s="1"/>
  <c r="O1073" i="7"/>
  <c r="P1073" i="7" s="1"/>
  <c r="O1046" i="7"/>
  <c r="P1046" i="7" s="1"/>
  <c r="O1045" i="7"/>
  <c r="P1045" i="7" s="1"/>
  <c r="O1039" i="7"/>
  <c r="P1039" i="7" s="1"/>
  <c r="O1037" i="7"/>
  <c r="P1037" i="7" s="1"/>
  <c r="O1035" i="7"/>
  <c r="P1035" i="7" s="1"/>
  <c r="O1032" i="7"/>
  <c r="P1032" i="7" s="1"/>
  <c r="O1031" i="7"/>
  <c r="P1031" i="7" s="1"/>
  <c r="O1027" i="7"/>
  <c r="P1027" i="7" s="1"/>
  <c r="O1019" i="7"/>
  <c r="P1019" i="7" s="1"/>
  <c r="O1086" i="7"/>
  <c r="P1086" i="7" s="1"/>
  <c r="O1028" i="7"/>
  <c r="P1028" i="7" s="1"/>
  <c r="O1020" i="7"/>
  <c r="P1020" i="7" s="1"/>
  <c r="O1267" i="7"/>
  <c r="O1256" i="7"/>
  <c r="O1255" i="7"/>
  <c r="O1254" i="7"/>
  <c r="O1253" i="7"/>
  <c r="O1252" i="7"/>
  <c r="O1251" i="7"/>
  <c r="O1250" i="7"/>
  <c r="O1249" i="7"/>
  <c r="O1248" i="7"/>
  <c r="O1247" i="7"/>
  <c r="O1246" i="7"/>
  <c r="O1018" i="7"/>
  <c r="O1017" i="7"/>
  <c r="O1016" i="7"/>
  <c r="O1015" i="7"/>
  <c r="O1014" i="7"/>
  <c r="O1013" i="7"/>
  <c r="O1012" i="7"/>
  <c r="O1011" i="7"/>
  <c r="O1010" i="7"/>
  <c r="O1009" i="7"/>
  <c r="O1008" i="7"/>
  <c r="E1009" i="7" l="1"/>
  <c r="E1010" i="7"/>
  <c r="E1011" i="7"/>
  <c r="E1012" i="7"/>
  <c r="E1013" i="7"/>
  <c r="E1014" i="7"/>
  <c r="E1015" i="7"/>
  <c r="E1016" i="7"/>
  <c r="E1017" i="7"/>
  <c r="E1018" i="7"/>
  <c r="E1246" i="7"/>
  <c r="E1247" i="7"/>
  <c r="E1248" i="7"/>
  <c r="E1249" i="7"/>
  <c r="E1250" i="7"/>
  <c r="E1251" i="7"/>
  <c r="E1252" i="7"/>
  <c r="E1253" i="7"/>
  <c r="E1254" i="7"/>
  <c r="E1255" i="7"/>
  <c r="E1256" i="7"/>
  <c r="E1267" i="7"/>
  <c r="E1008" i="7"/>
  <c r="Z54" i="1" s="1"/>
  <c r="AO1267" i="7"/>
  <c r="AH1267" i="7"/>
  <c r="Y1267" i="7"/>
  <c r="X1267" i="7" s="1"/>
  <c r="P1267" i="7"/>
  <c r="H1267" i="7"/>
  <c r="G1267" i="7"/>
  <c r="AO1256" i="7"/>
  <c r="AH1256" i="7"/>
  <c r="Y1256" i="7"/>
  <c r="X1256" i="7" s="1"/>
  <c r="P1256" i="7"/>
  <c r="H1256" i="7"/>
  <c r="G1256" i="7"/>
  <c r="AO1255" i="7"/>
  <c r="AH1255" i="7"/>
  <c r="Y1255" i="7"/>
  <c r="X1255" i="7" s="1"/>
  <c r="P1255" i="7"/>
  <c r="H1255" i="7"/>
  <c r="G1255" i="7"/>
  <c r="AO1254" i="7"/>
  <c r="AH1254" i="7"/>
  <c r="Y1254" i="7"/>
  <c r="Z1254" i="7" s="1"/>
  <c r="P1254" i="7"/>
  <c r="H1254" i="7"/>
  <c r="G1254" i="7"/>
  <c r="AO1253" i="7"/>
  <c r="AH1253" i="7"/>
  <c r="Y1253" i="7"/>
  <c r="AA1253" i="7" s="1"/>
  <c r="P1253" i="7"/>
  <c r="H1253" i="7"/>
  <c r="G1253" i="7"/>
  <c r="AO1252" i="7"/>
  <c r="AH1252" i="7"/>
  <c r="Y1252" i="7"/>
  <c r="X1252" i="7" s="1"/>
  <c r="P1252" i="7"/>
  <c r="H1252" i="7"/>
  <c r="G1252" i="7"/>
  <c r="AO1251" i="7"/>
  <c r="AH1251" i="7"/>
  <c r="Y1251" i="7"/>
  <c r="Z1251" i="7" s="1"/>
  <c r="P1251" i="7"/>
  <c r="H1251" i="7"/>
  <c r="G1251" i="7"/>
  <c r="AO1250" i="7"/>
  <c r="AH1250" i="7"/>
  <c r="Y1250" i="7"/>
  <c r="Z1250" i="7" s="1"/>
  <c r="P1250" i="7"/>
  <c r="H1250" i="7"/>
  <c r="G1250" i="7"/>
  <c r="AO1249" i="7"/>
  <c r="AH1249" i="7"/>
  <c r="Y1249" i="7"/>
  <c r="AA1249" i="7" s="1"/>
  <c r="P1249" i="7"/>
  <c r="H1249" i="7"/>
  <c r="G1249" i="7"/>
  <c r="AO1248" i="7"/>
  <c r="AH1248" i="7"/>
  <c r="Y1248" i="7"/>
  <c r="AA1248" i="7" s="1"/>
  <c r="P1248" i="7"/>
  <c r="H1248" i="7"/>
  <c r="G1248" i="7"/>
  <c r="AO1247" i="7"/>
  <c r="AH1247" i="7"/>
  <c r="Y1247" i="7"/>
  <c r="X1247" i="7" s="1"/>
  <c r="P1247" i="7"/>
  <c r="H1247" i="7"/>
  <c r="G1247" i="7"/>
  <c r="AO1246" i="7"/>
  <c r="AH1246" i="7"/>
  <c r="Y1246" i="7"/>
  <c r="X1246" i="7" s="1"/>
  <c r="P1246" i="7"/>
  <c r="H1246" i="7"/>
  <c r="G1246" i="7"/>
  <c r="AO1018" i="7"/>
  <c r="AH1018" i="7"/>
  <c r="Y1018" i="7"/>
  <c r="AA1018" i="7" s="1"/>
  <c r="P1018" i="7"/>
  <c r="H1018" i="7"/>
  <c r="G1018" i="7"/>
  <c r="AO1017" i="7"/>
  <c r="AH1017" i="7"/>
  <c r="Y1017" i="7"/>
  <c r="Z1017" i="7" s="1"/>
  <c r="P1017" i="7"/>
  <c r="H1017" i="7"/>
  <c r="G1017" i="7"/>
  <c r="AO1016" i="7"/>
  <c r="AH1016" i="7"/>
  <c r="Y1016" i="7"/>
  <c r="AA1016" i="7" s="1"/>
  <c r="P1016" i="7"/>
  <c r="H1016" i="7"/>
  <c r="G1016" i="7"/>
  <c r="AO1015" i="7"/>
  <c r="AH1015" i="7"/>
  <c r="Y1015" i="7"/>
  <c r="Z1015" i="7" s="1"/>
  <c r="P1015" i="7"/>
  <c r="H1015" i="7"/>
  <c r="G1015" i="7"/>
  <c r="AO1014" i="7"/>
  <c r="AH1014" i="7"/>
  <c r="Y1014" i="7"/>
  <c r="AA1014" i="7" s="1"/>
  <c r="P1014" i="7"/>
  <c r="H1014" i="7"/>
  <c r="G1014" i="7"/>
  <c r="AO1013" i="7"/>
  <c r="AH1013" i="7"/>
  <c r="Y1013" i="7"/>
  <c r="AA1013" i="7" s="1"/>
  <c r="P1013" i="7"/>
  <c r="H1013" i="7"/>
  <c r="G1013" i="7"/>
  <c r="AO1012" i="7"/>
  <c r="AH1012" i="7"/>
  <c r="Y1012" i="7"/>
  <c r="Z1012" i="7" s="1"/>
  <c r="P1012" i="7"/>
  <c r="H1012" i="7"/>
  <c r="G1012" i="7"/>
  <c r="AO1011" i="7"/>
  <c r="AH1011" i="7"/>
  <c r="Y1011" i="7"/>
  <c r="Z1011" i="7" s="1"/>
  <c r="P1011" i="7"/>
  <c r="H1011" i="7"/>
  <c r="G1011" i="7"/>
  <c r="AO1010" i="7"/>
  <c r="AH1010" i="7"/>
  <c r="Y1010" i="7"/>
  <c r="AA1010" i="7" s="1"/>
  <c r="P1010" i="7"/>
  <c r="H1010" i="7"/>
  <c r="G1010" i="7"/>
  <c r="AO1009" i="7"/>
  <c r="AH1009" i="7"/>
  <c r="Y1009" i="7"/>
  <c r="X1009" i="7" s="1"/>
  <c r="P1009" i="7"/>
  <c r="H1009" i="7"/>
  <c r="G1009" i="7"/>
  <c r="AO1008" i="7"/>
  <c r="AH1008" i="7"/>
  <c r="Y1008" i="7"/>
  <c r="X1008" i="7" s="1"/>
  <c r="P1008" i="7"/>
  <c r="H1008" i="7"/>
  <c r="G1008" i="7"/>
  <c r="DK54" i="1" l="1"/>
  <c r="DM54" i="1"/>
  <c r="DN54" i="1"/>
  <c r="DO54" i="1"/>
  <c r="AA54" i="1"/>
  <c r="DW54" i="1" s="1"/>
  <c r="CD54" i="1"/>
  <c r="P54" i="1" s="1"/>
  <c r="CB54" i="1"/>
  <c r="M54" i="1"/>
  <c r="CB37" i="1"/>
  <c r="CL37" i="1"/>
  <c r="CK37" i="1"/>
  <c r="M37" i="1"/>
  <c r="CJ37" i="1"/>
  <c r="CI37" i="1"/>
  <c r="CD37" i="1"/>
  <c r="Z37" i="1"/>
  <c r="CI32" i="1"/>
  <c r="CD32" i="1"/>
  <c r="CB32" i="1"/>
  <c r="CJ32" i="1"/>
  <c r="M32" i="1"/>
  <c r="CL32" i="1"/>
  <c r="CK32" i="1"/>
  <c r="Z32" i="1"/>
  <c r="M35" i="1"/>
  <c r="CB35" i="1"/>
  <c r="CD35" i="1"/>
  <c r="Z35" i="1"/>
  <c r="CI35" i="1"/>
  <c r="CK35" i="1"/>
  <c r="CJ35" i="1"/>
  <c r="CL35" i="1"/>
  <c r="JH6" i="23"/>
  <c r="CI58" i="1"/>
  <c r="CD58" i="1"/>
  <c r="M58" i="1"/>
  <c r="CL58" i="1"/>
  <c r="CB58" i="1"/>
  <c r="CK58" i="1"/>
  <c r="CJ58" i="1"/>
  <c r="JH52" i="23"/>
  <c r="B31" i="30"/>
  <c r="C31" i="30"/>
  <c r="B39" i="30"/>
  <c r="B36" i="30"/>
  <c r="B35" i="30"/>
  <c r="C39" i="30"/>
  <c r="C35" i="30"/>
  <c r="C36" i="30"/>
  <c r="JH49" i="23"/>
  <c r="B20" i="30"/>
  <c r="B22" i="30"/>
  <c r="B19" i="30"/>
  <c r="C22" i="30"/>
  <c r="C20" i="30"/>
  <c r="C19" i="30"/>
  <c r="CI34" i="1"/>
  <c r="M34" i="1"/>
  <c r="CL34" i="1"/>
  <c r="CD34" i="1"/>
  <c r="CK34" i="1"/>
  <c r="CB34" i="1"/>
  <c r="CJ34" i="1"/>
  <c r="Z34" i="1"/>
  <c r="B21" i="30"/>
  <c r="C21" i="30"/>
  <c r="JH54" i="23"/>
  <c r="JH53" i="23"/>
  <c r="B30" i="30"/>
  <c r="B32" i="30"/>
  <c r="C30" i="30"/>
  <c r="C32" i="30"/>
  <c r="B44" i="30"/>
  <c r="B27" i="30"/>
  <c r="B26" i="30"/>
  <c r="B25" i="30"/>
  <c r="B24" i="30"/>
  <c r="C44" i="30"/>
  <c r="C25" i="30"/>
  <c r="C27" i="30"/>
  <c r="B16" i="30"/>
  <c r="B13" i="30"/>
  <c r="B8" i="30"/>
  <c r="B11" i="30"/>
  <c r="B14" i="30"/>
  <c r="B17" i="30"/>
  <c r="B12" i="30"/>
  <c r="B10" i="30"/>
  <c r="B9" i="30"/>
  <c r="B18" i="30"/>
  <c r="C14" i="30"/>
  <c r="C18" i="30"/>
  <c r="C16" i="30"/>
  <c r="C11" i="30"/>
  <c r="C17" i="30"/>
  <c r="C10" i="30"/>
  <c r="C13" i="30"/>
  <c r="C12" i="30"/>
  <c r="C9" i="30"/>
  <c r="B15" i="30"/>
  <c r="C15" i="30"/>
  <c r="JH34" i="23"/>
  <c r="JH26" i="23"/>
  <c r="JH22" i="23"/>
  <c r="JH18" i="23"/>
  <c r="JH14" i="23"/>
  <c r="JH10" i="23"/>
  <c r="JH38" i="23"/>
  <c r="JH46" i="23"/>
  <c r="JH21" i="23"/>
  <c r="JH42" i="23"/>
  <c r="JH27" i="23"/>
  <c r="JH15" i="23"/>
  <c r="JH29" i="23"/>
  <c r="JH25" i="23"/>
  <c r="JH16" i="23"/>
  <c r="JH13" i="23"/>
  <c r="JH9" i="23"/>
  <c r="JH45" i="23"/>
  <c r="JH44" i="23"/>
  <c r="JH31" i="23"/>
  <c r="JH19" i="23"/>
  <c r="JH43" i="23"/>
  <c r="JH33" i="23"/>
  <c r="JH28" i="23"/>
  <c r="JH24" i="23"/>
  <c r="JH20" i="23"/>
  <c r="JH17" i="23"/>
  <c r="JH12" i="23"/>
  <c r="JH8" i="23"/>
  <c r="JH23" i="23"/>
  <c r="JH11" i="23"/>
  <c r="JH39" i="23"/>
  <c r="JH40" i="23"/>
  <c r="CI23" i="1"/>
  <c r="CD23" i="1"/>
  <c r="M23" i="1"/>
  <c r="CL23" i="1"/>
  <c r="CB23" i="1"/>
  <c r="CK23" i="1"/>
  <c r="CL21" i="1"/>
  <c r="CB21" i="1"/>
  <c r="CJ30" i="1"/>
  <c r="CK21" i="1"/>
  <c r="CI30" i="1"/>
  <c r="CD30" i="1"/>
  <c r="M30" i="1"/>
  <c r="CJ23" i="1"/>
  <c r="CD21" i="1"/>
  <c r="CL30" i="1"/>
  <c r="CB30" i="1"/>
  <c r="CI20" i="1"/>
  <c r="CD20" i="1"/>
  <c r="M20" i="1"/>
  <c r="CJ21" i="1"/>
  <c r="M21" i="1"/>
  <c r="CK30" i="1"/>
  <c r="Z21" i="1"/>
  <c r="CL20" i="1"/>
  <c r="CI21" i="1"/>
  <c r="CK20" i="1"/>
  <c r="CJ20" i="1"/>
  <c r="CB20" i="1"/>
  <c r="Z30" i="1"/>
  <c r="Z20" i="1"/>
  <c r="Z23" i="1"/>
  <c r="CI47" i="1"/>
  <c r="CD47" i="1"/>
  <c r="CL47" i="1"/>
  <c r="CB47" i="1"/>
  <c r="CK47" i="1"/>
  <c r="CJ47" i="1"/>
  <c r="M47" i="1"/>
  <c r="CL49" i="1"/>
  <c r="CJ49" i="1"/>
  <c r="CK49" i="1"/>
  <c r="CI49" i="1"/>
  <c r="CJ48" i="1"/>
  <c r="CI48" i="1"/>
  <c r="CL48" i="1"/>
  <c r="CK48" i="1"/>
  <c r="CD49" i="1"/>
  <c r="CB49" i="1"/>
  <c r="M49" i="1"/>
  <c r="JH55" i="23"/>
  <c r="CD48" i="1"/>
  <c r="CB48" i="1"/>
  <c r="M48" i="1"/>
  <c r="Z48" i="1"/>
  <c r="C26" i="12"/>
  <c r="C25" i="12"/>
  <c r="C27" i="12"/>
  <c r="C28" i="12"/>
  <c r="C29" i="12"/>
  <c r="JH48" i="23"/>
  <c r="JH41" i="23"/>
  <c r="JH213" i="23"/>
  <c r="JH47" i="23"/>
  <c r="JH57" i="23"/>
  <c r="CL61" i="1"/>
  <c r="CL56" i="1"/>
  <c r="CL57" i="1"/>
  <c r="CL55" i="1"/>
  <c r="CK61" i="1"/>
  <c r="CK56" i="1"/>
  <c r="CK57" i="1"/>
  <c r="CK55" i="1"/>
  <c r="CJ61" i="1"/>
  <c r="CJ56" i="1"/>
  <c r="CJ57" i="1"/>
  <c r="CJ55" i="1"/>
  <c r="CI61" i="1"/>
  <c r="CI56" i="1"/>
  <c r="CI57" i="1"/>
  <c r="CI55" i="1"/>
  <c r="CL52" i="1"/>
  <c r="CL51" i="1"/>
  <c r="CK52" i="1"/>
  <c r="CK51" i="1"/>
  <c r="CJ52" i="1"/>
  <c r="CJ51" i="1"/>
  <c r="CJ11" i="1"/>
  <c r="CI52" i="1"/>
  <c r="CI51" i="1"/>
  <c r="CI11" i="1"/>
  <c r="CL11" i="1"/>
  <c r="CK11" i="1"/>
  <c r="CB57" i="1"/>
  <c r="M57" i="1"/>
  <c r="CD57" i="1"/>
  <c r="CD55" i="1"/>
  <c r="M55" i="1"/>
  <c r="Z52" i="1"/>
  <c r="CD56" i="1"/>
  <c r="CB55" i="1"/>
  <c r="CD52" i="1"/>
  <c r="M52" i="1"/>
  <c r="CB56" i="1"/>
  <c r="M56" i="1"/>
  <c r="CB52" i="1"/>
  <c r="CD51" i="1"/>
  <c r="CB51" i="1"/>
  <c r="M51" i="1"/>
  <c r="Z56" i="1"/>
  <c r="Z51" i="1"/>
  <c r="CB61" i="1"/>
  <c r="M61" i="1"/>
  <c r="CD61" i="1"/>
  <c r="CB270" i="1"/>
  <c r="CB266" i="1"/>
  <c r="CB262" i="1"/>
  <c r="CB258" i="1"/>
  <c r="CB254" i="1"/>
  <c r="CB250" i="1"/>
  <c r="CB246" i="1"/>
  <c r="CB242" i="1"/>
  <c r="CB238" i="1"/>
  <c r="CB234" i="1"/>
  <c r="CB230" i="1"/>
  <c r="CB226" i="1"/>
  <c r="CB222" i="1"/>
  <c r="CB218" i="1"/>
  <c r="CB214" i="1"/>
  <c r="CB210" i="1"/>
  <c r="CB206" i="1"/>
  <c r="CB202" i="1"/>
  <c r="CB198" i="1"/>
  <c r="CB194" i="1"/>
  <c r="CB190" i="1"/>
  <c r="CB186" i="1"/>
  <c r="CB182" i="1"/>
  <c r="CB178" i="1"/>
  <c r="CB174" i="1"/>
  <c r="CB170" i="1"/>
  <c r="CB166" i="1"/>
  <c r="CB162" i="1"/>
  <c r="CB158" i="1"/>
  <c r="CB154" i="1"/>
  <c r="CB150" i="1"/>
  <c r="CB146" i="1"/>
  <c r="CB142" i="1"/>
  <c r="CB138" i="1"/>
  <c r="CB134" i="1"/>
  <c r="CB130" i="1"/>
  <c r="CB126" i="1"/>
  <c r="CB122" i="1"/>
  <c r="CB118" i="1"/>
  <c r="CB114" i="1"/>
  <c r="CB110" i="1"/>
  <c r="CB106" i="1"/>
  <c r="CB102" i="1"/>
  <c r="CB98" i="1"/>
  <c r="CB94" i="1"/>
  <c r="CB90" i="1"/>
  <c r="CB86" i="1"/>
  <c r="CB82" i="1"/>
  <c r="CB78" i="1"/>
  <c r="CB74" i="1"/>
  <c r="CB70" i="1"/>
  <c r="CB66" i="1"/>
  <c r="CB269" i="1"/>
  <c r="CB265" i="1"/>
  <c r="CB261" i="1"/>
  <c r="CB257" i="1"/>
  <c r="CB253" i="1"/>
  <c r="CB249" i="1"/>
  <c r="CB245" i="1"/>
  <c r="CB241" i="1"/>
  <c r="CB237" i="1"/>
  <c r="CB233" i="1"/>
  <c r="CB229" i="1"/>
  <c r="CB225" i="1"/>
  <c r="CB221" i="1"/>
  <c r="CB217" i="1"/>
  <c r="CB213" i="1"/>
  <c r="CB209" i="1"/>
  <c r="CB205" i="1"/>
  <c r="CB201" i="1"/>
  <c r="CB197" i="1"/>
  <c r="CB193" i="1"/>
  <c r="CB189" i="1"/>
  <c r="CB185" i="1"/>
  <c r="CB181" i="1"/>
  <c r="CB177" i="1"/>
  <c r="CB173" i="1"/>
  <c r="CB169" i="1"/>
  <c r="CB165" i="1"/>
  <c r="CB161" i="1"/>
  <c r="CB157" i="1"/>
  <c r="CB153" i="1"/>
  <c r="CB149" i="1"/>
  <c r="CB145" i="1"/>
  <c r="CB141" i="1"/>
  <c r="CB137" i="1"/>
  <c r="CB133" i="1"/>
  <c r="CB129" i="1"/>
  <c r="CB125" i="1"/>
  <c r="CB121" i="1"/>
  <c r="CB117" i="1"/>
  <c r="CB113" i="1"/>
  <c r="CB109" i="1"/>
  <c r="CB105" i="1"/>
  <c r="CB101" i="1"/>
  <c r="CB97" i="1"/>
  <c r="CB93" i="1"/>
  <c r="CB89" i="1"/>
  <c r="CB85" i="1"/>
  <c r="CB81" i="1"/>
  <c r="CB77" i="1"/>
  <c r="CB73" i="1"/>
  <c r="CB69" i="1"/>
  <c r="CB65" i="1"/>
  <c r="CB272" i="1"/>
  <c r="CB268" i="1"/>
  <c r="CB264" i="1"/>
  <c r="CB260" i="1"/>
  <c r="CB256" i="1"/>
  <c r="CB252" i="1"/>
  <c r="CB248" i="1"/>
  <c r="CB244" i="1"/>
  <c r="CB240" i="1"/>
  <c r="CB236" i="1"/>
  <c r="CB232" i="1"/>
  <c r="CB228" i="1"/>
  <c r="CB224" i="1"/>
  <c r="CB220" i="1"/>
  <c r="CB216" i="1"/>
  <c r="CB212" i="1"/>
  <c r="CB208" i="1"/>
  <c r="CB204" i="1"/>
  <c r="CB200" i="1"/>
  <c r="CB196" i="1"/>
  <c r="CB192" i="1"/>
  <c r="CB188" i="1"/>
  <c r="CB184" i="1"/>
  <c r="CB180" i="1"/>
  <c r="CB176" i="1"/>
  <c r="CB172" i="1"/>
  <c r="CB168" i="1"/>
  <c r="CB164" i="1"/>
  <c r="CB160" i="1"/>
  <c r="CB156" i="1"/>
  <c r="CB152" i="1"/>
  <c r="CB148" i="1"/>
  <c r="CB144" i="1"/>
  <c r="CB140" i="1"/>
  <c r="CB136" i="1"/>
  <c r="CB132" i="1"/>
  <c r="CB128" i="1"/>
  <c r="CB124" i="1"/>
  <c r="CB120" i="1"/>
  <c r="CB116" i="1"/>
  <c r="CB112" i="1"/>
  <c r="CB108" i="1"/>
  <c r="CB104" i="1"/>
  <c r="CB100" i="1"/>
  <c r="CB96" i="1"/>
  <c r="CB92" i="1"/>
  <c r="CB88" i="1"/>
  <c r="CB84" i="1"/>
  <c r="CB80" i="1"/>
  <c r="CB76" i="1"/>
  <c r="CB72" i="1"/>
  <c r="CB68" i="1"/>
  <c r="CB64" i="1"/>
  <c r="CB271" i="1"/>
  <c r="CB267" i="1"/>
  <c r="CB263" i="1"/>
  <c r="CB259" i="1"/>
  <c r="CB255" i="1"/>
  <c r="CB251" i="1"/>
  <c r="CB247" i="1"/>
  <c r="CB243" i="1"/>
  <c r="CB239" i="1"/>
  <c r="CB235" i="1"/>
  <c r="CB231" i="1"/>
  <c r="CB227" i="1"/>
  <c r="CB223" i="1"/>
  <c r="CB219" i="1"/>
  <c r="CB215" i="1"/>
  <c r="CB211" i="1"/>
  <c r="CB207" i="1"/>
  <c r="CB203" i="1"/>
  <c r="CB199" i="1"/>
  <c r="CB195" i="1"/>
  <c r="CB191" i="1"/>
  <c r="CB187" i="1"/>
  <c r="CB183" i="1"/>
  <c r="CB179" i="1"/>
  <c r="CB175" i="1"/>
  <c r="CB171" i="1"/>
  <c r="CB167" i="1"/>
  <c r="CB163" i="1"/>
  <c r="CB159" i="1"/>
  <c r="CB155" i="1"/>
  <c r="CB151" i="1"/>
  <c r="CB147" i="1"/>
  <c r="CB143" i="1"/>
  <c r="CB139" i="1"/>
  <c r="CB135" i="1"/>
  <c r="CB131" i="1"/>
  <c r="CB127" i="1"/>
  <c r="CB123" i="1"/>
  <c r="CB119" i="1"/>
  <c r="CB115" i="1"/>
  <c r="CB111" i="1"/>
  <c r="CB107" i="1"/>
  <c r="CB103" i="1"/>
  <c r="CB99" i="1"/>
  <c r="CB95" i="1"/>
  <c r="CB91" i="1"/>
  <c r="CB87" i="1"/>
  <c r="CB83" i="1"/>
  <c r="CB79" i="1"/>
  <c r="CB75" i="1"/>
  <c r="CB71" i="1"/>
  <c r="CB67" i="1"/>
  <c r="CB63" i="1"/>
  <c r="CB11" i="1"/>
  <c r="X1015" i="7"/>
  <c r="AA1267" i="7"/>
  <c r="CD255" i="1"/>
  <c r="M258" i="1"/>
  <c r="M259" i="1"/>
  <c r="CD262" i="1"/>
  <c r="M261" i="1"/>
  <c r="M254" i="1"/>
  <c r="M256" i="1"/>
  <c r="CD260" i="1"/>
  <c r="CD261" i="1"/>
  <c r="M262" i="1"/>
  <c r="CD263" i="1"/>
  <c r="CD254" i="1"/>
  <c r="CD256" i="1"/>
  <c r="CD257" i="1"/>
  <c r="M260" i="1"/>
  <c r="M263" i="1"/>
  <c r="M257" i="1"/>
  <c r="M255" i="1"/>
  <c r="CD258" i="1"/>
  <c r="CD259" i="1"/>
  <c r="X1016" i="7"/>
  <c r="Z1255" i="7"/>
  <c r="Z1018" i="7"/>
  <c r="AA1255" i="7"/>
  <c r="AA1247" i="7"/>
  <c r="AA1015" i="7"/>
  <c r="Z1016" i="7"/>
  <c r="X1018" i="7"/>
  <c r="AA1251" i="7"/>
  <c r="AA1012" i="7"/>
  <c r="AA1246" i="7"/>
  <c r="Z1247" i="7"/>
  <c r="Z1249" i="7"/>
  <c r="X1251" i="7"/>
  <c r="Z1267" i="7"/>
  <c r="X1249" i="7"/>
  <c r="BW11" i="1"/>
  <c r="O11" i="1"/>
  <c r="AA11" i="1"/>
  <c r="DW11" i="1" s="1"/>
  <c r="CD11" i="1"/>
  <c r="Z1008" i="7"/>
  <c r="X1010" i="7"/>
  <c r="AA1011" i="7"/>
  <c r="X1012" i="7"/>
  <c r="Z1014" i="7"/>
  <c r="X1253" i="7"/>
  <c r="X1254" i="7"/>
  <c r="Z1256" i="7"/>
  <c r="AA1256" i="7"/>
  <c r="AA1008" i="7"/>
  <c r="X1011" i="7"/>
  <c r="X1014" i="7"/>
  <c r="Z1253" i="7"/>
  <c r="AA1254" i="7"/>
  <c r="Z1009" i="7"/>
  <c r="AA1009" i="7"/>
  <c r="Z1010" i="7"/>
  <c r="AA1017" i="7"/>
  <c r="X1013" i="7"/>
  <c r="X1017" i="7"/>
  <c r="Z1246" i="7"/>
  <c r="X1248" i="7"/>
  <c r="AA1250" i="7"/>
  <c r="Z1013" i="7"/>
  <c r="Z1248" i="7"/>
  <c r="X1250" i="7"/>
  <c r="Z1252" i="7"/>
  <c r="AA1252" i="7"/>
  <c r="CF11" i="1"/>
  <c r="CG11" i="1"/>
  <c r="V58" i="1"/>
  <c r="DL37" i="1" l="1"/>
  <c r="AA37" i="1"/>
  <c r="AQ168" i="7" s="1"/>
  <c r="DM37" i="1"/>
  <c r="DN37" i="1"/>
  <c r="DO37" i="1"/>
  <c r="DO32" i="1"/>
  <c r="AA32" i="1"/>
  <c r="DN32" i="1"/>
  <c r="DM32" i="1"/>
  <c r="DL32" i="1"/>
  <c r="DO35" i="1"/>
  <c r="AA35" i="1"/>
  <c r="DN35" i="1"/>
  <c r="DL35" i="1"/>
  <c r="DM35" i="1"/>
  <c r="X58" i="1"/>
  <c r="BN58" i="1" s="1"/>
  <c r="BP58" i="1"/>
  <c r="W58" i="1"/>
  <c r="BH58" i="1" s="1"/>
  <c r="P58" i="1"/>
  <c r="D31" i="30"/>
  <c r="D36" i="30"/>
  <c r="D35" i="30"/>
  <c r="D39" i="30"/>
  <c r="D20" i="30"/>
  <c r="D22" i="30"/>
  <c r="D19" i="30"/>
  <c r="DO34" i="1"/>
  <c r="DM34" i="1"/>
  <c r="DN34" i="1"/>
  <c r="DL34" i="1"/>
  <c r="AA34" i="1"/>
  <c r="D21" i="30"/>
  <c r="D32" i="30"/>
  <c r="D30" i="30"/>
  <c r="D27" i="30"/>
  <c r="D44" i="30"/>
  <c r="D25" i="30"/>
  <c r="D17" i="30"/>
  <c r="D18" i="30"/>
  <c r="D13" i="30"/>
  <c r="D10" i="30"/>
  <c r="D12" i="30"/>
  <c r="D14" i="30"/>
  <c r="D9" i="30"/>
  <c r="D11" i="30"/>
  <c r="D16" i="30"/>
  <c r="D15" i="30"/>
  <c r="DL30" i="1"/>
  <c r="AA30" i="1"/>
  <c r="DO30" i="1"/>
  <c r="DN30" i="1"/>
  <c r="DM30" i="1"/>
  <c r="DN21" i="1"/>
  <c r="DM21" i="1"/>
  <c r="DO21" i="1"/>
  <c r="AA21" i="1"/>
  <c r="DL21" i="1"/>
  <c r="DO23" i="1"/>
  <c r="DN23" i="1"/>
  <c r="DM23" i="1"/>
  <c r="AA23" i="1"/>
  <c r="DL23" i="1"/>
  <c r="DO20" i="1"/>
  <c r="DN20" i="1"/>
  <c r="AA20" i="1"/>
  <c r="AQ143" i="7" s="1"/>
  <c r="AM143" i="7" s="1"/>
  <c r="DM20" i="1"/>
  <c r="DL20" i="1"/>
  <c r="DO48" i="1"/>
  <c r="DN48" i="1"/>
  <c r="DM48" i="1"/>
  <c r="AA48" i="1"/>
  <c r="Q11" i="1"/>
  <c r="DQ275" i="1"/>
  <c r="DS275" i="1" s="1"/>
  <c r="I102" i="2"/>
  <c r="F110" i="2"/>
  <c r="AX4" i="30" s="1"/>
  <c r="F96" i="2"/>
  <c r="AJ4" i="30" s="1"/>
  <c r="I112" i="2"/>
  <c r="I97" i="2"/>
  <c r="I89" i="2"/>
  <c r="I111" i="2"/>
  <c r="I96" i="2"/>
  <c r="F112" i="2"/>
  <c r="AZ4" i="30" s="1"/>
  <c r="F102" i="2"/>
  <c r="AP4" i="30" s="1"/>
  <c r="I110" i="2"/>
  <c r="F111" i="2"/>
  <c r="AY4" i="30" s="1"/>
  <c r="F97" i="2"/>
  <c r="AK4" i="30" s="1"/>
  <c r="F89" i="2"/>
  <c r="AC4" i="30" s="1"/>
  <c r="DR275" i="1"/>
  <c r="AA52" i="1"/>
  <c r="DW52" i="1" s="1"/>
  <c r="DM52" i="1"/>
  <c r="DO52" i="1"/>
  <c r="DN52" i="1"/>
  <c r="AA51" i="1"/>
  <c r="DW51" i="1" s="1"/>
  <c r="DN51" i="1"/>
  <c r="DM51" i="1"/>
  <c r="DO51" i="1"/>
  <c r="AA56" i="1"/>
  <c r="DW56" i="1" s="1"/>
  <c r="DO56" i="1"/>
  <c r="DN56" i="1"/>
  <c r="DM56" i="1"/>
  <c r="AU11" i="1"/>
  <c r="DY11" i="1" s="1"/>
  <c r="AQ175" i="7" l="1"/>
  <c r="AM175" i="7" s="1"/>
  <c r="AQ176" i="7"/>
  <c r="AM176" i="7" s="1"/>
  <c r="AQ121" i="7"/>
  <c r="AM121" i="7" s="1"/>
  <c r="AQ50" i="7"/>
  <c r="AM50" i="7" s="1"/>
  <c r="AQ126" i="7"/>
  <c r="AM126" i="7" s="1"/>
  <c r="AQ49" i="7"/>
  <c r="AM49" i="7" s="1"/>
  <c r="AQ125" i="7"/>
  <c r="AM125" i="7" s="1"/>
  <c r="AQ48" i="7"/>
  <c r="AM48" i="7" s="1"/>
  <c r="AQ82" i="7"/>
  <c r="AM82" i="7" s="1"/>
  <c r="AQ53" i="7"/>
  <c r="AM53" i="7" s="1"/>
  <c r="DW35" i="1"/>
  <c r="AQ56" i="7"/>
  <c r="DW37" i="1"/>
  <c r="DW32" i="1"/>
  <c r="DW34" i="1"/>
  <c r="F88" i="2"/>
  <c r="AB4" i="30" s="1"/>
  <c r="DW20" i="1"/>
  <c r="DW21" i="1"/>
  <c r="DW23" i="1"/>
  <c r="DW30" i="1"/>
  <c r="DW48" i="1"/>
  <c r="F101" i="2"/>
  <c r="AO4" i="30" s="1"/>
  <c r="F100" i="2"/>
  <c r="AN4" i="30" s="1"/>
  <c r="F99" i="2"/>
  <c r="AM4" i="30" s="1"/>
  <c r="F95" i="2"/>
  <c r="AI4" i="30" s="1"/>
  <c r="F107" i="2"/>
  <c r="AU4" i="30" s="1"/>
  <c r="F113" i="2"/>
  <c r="BA4" i="30" s="1"/>
  <c r="F105" i="2"/>
  <c r="AS4" i="30" s="1"/>
  <c r="F114" i="2"/>
  <c r="BB4" i="30" s="1"/>
  <c r="DQ273" i="1"/>
  <c r="DQ274" i="1"/>
  <c r="DR273" i="1"/>
  <c r="DR274" i="1"/>
  <c r="DU274" i="1"/>
  <c r="DU273" i="1"/>
  <c r="DT273" i="1"/>
  <c r="DT274" i="1"/>
  <c r="DS274" i="1"/>
  <c r="DS273" i="1"/>
  <c r="AT11" i="1"/>
  <c r="AW11" i="1"/>
  <c r="BA273" i="1"/>
  <c r="AN273" i="1"/>
  <c r="M64" i="1"/>
  <c r="M65" i="1"/>
  <c r="M68" i="1"/>
  <c r="M70" i="1"/>
  <c r="M71" i="1"/>
  <c r="M72" i="1"/>
  <c r="M73" i="1"/>
  <c r="M75" i="1"/>
  <c r="M76" i="1"/>
  <c r="M77" i="1"/>
  <c r="M78" i="1"/>
  <c r="M79" i="1"/>
  <c r="M80" i="1"/>
  <c r="M83" i="1"/>
  <c r="M84" i="1"/>
  <c r="M85" i="1"/>
  <c r="M86" i="1"/>
  <c r="M88" i="1"/>
  <c r="M91" i="1"/>
  <c r="M92" i="1"/>
  <c r="M93" i="1"/>
  <c r="M94" i="1"/>
  <c r="M95" i="1"/>
  <c r="M96" i="1"/>
  <c r="M97" i="1"/>
  <c r="M98" i="1"/>
  <c r="M99" i="1"/>
  <c r="M100" i="1"/>
  <c r="M102" i="1"/>
  <c r="M103" i="1"/>
  <c r="M104" i="1"/>
  <c r="M105" i="1"/>
  <c r="M108" i="1"/>
  <c r="M110" i="1"/>
  <c r="M111" i="1"/>
  <c r="M112" i="1"/>
  <c r="M113" i="1"/>
  <c r="M114" i="1"/>
  <c r="M116" i="1"/>
  <c r="M117" i="1"/>
  <c r="M118" i="1"/>
  <c r="M119" i="1"/>
  <c r="M120" i="1"/>
  <c r="M123" i="1"/>
  <c r="M124" i="1"/>
  <c r="M125" i="1"/>
  <c r="M126" i="1"/>
  <c r="M127" i="1"/>
  <c r="M128" i="1"/>
  <c r="M129" i="1"/>
  <c r="M130" i="1"/>
  <c r="M131" i="1"/>
  <c r="M132" i="1"/>
  <c r="M134" i="1"/>
  <c r="M135" i="1"/>
  <c r="M136" i="1"/>
  <c r="M137" i="1"/>
  <c r="M138" i="1"/>
  <c r="M139" i="1"/>
  <c r="M140" i="1"/>
  <c r="M141" i="1"/>
  <c r="M142" i="1"/>
  <c r="M143" i="1"/>
  <c r="M144" i="1"/>
  <c r="M145" i="1"/>
  <c r="M146" i="1"/>
  <c r="M147" i="1"/>
  <c r="M148" i="1"/>
  <c r="M150" i="1"/>
  <c r="M151" i="1"/>
  <c r="M152" i="1"/>
  <c r="M153" i="1"/>
  <c r="M154" i="1"/>
  <c r="M155" i="1"/>
  <c r="M156" i="1"/>
  <c r="M157" i="1"/>
  <c r="M158" i="1"/>
  <c r="M159" i="1"/>
  <c r="M160" i="1"/>
  <c r="M161" i="1"/>
  <c r="M162" i="1"/>
  <c r="M164" i="1"/>
  <c r="M165" i="1"/>
  <c r="M166" i="1"/>
  <c r="M167" i="1"/>
  <c r="M168" i="1"/>
  <c r="M169" i="1"/>
  <c r="M170" i="1"/>
  <c r="M171" i="1"/>
  <c r="M172" i="1"/>
  <c r="M173" i="1"/>
  <c r="M174" i="1"/>
  <c r="M176" i="1"/>
  <c r="M177" i="1"/>
  <c r="M178" i="1"/>
  <c r="M179" i="1"/>
  <c r="M180" i="1"/>
  <c r="M181" i="1"/>
  <c r="M182" i="1"/>
  <c r="M183" i="1"/>
  <c r="M184" i="1"/>
  <c r="M185" i="1"/>
  <c r="M186" i="1"/>
  <c r="M187" i="1"/>
  <c r="M188" i="1"/>
  <c r="M189" i="1"/>
  <c r="M190" i="1"/>
  <c r="M192" i="1"/>
  <c r="M193" i="1"/>
  <c r="M194" i="1"/>
  <c r="M195" i="1"/>
  <c r="M196" i="1"/>
  <c r="M197" i="1"/>
  <c r="M198" i="1"/>
  <c r="M200" i="1"/>
  <c r="M201" i="1"/>
  <c r="M202" i="1"/>
  <c r="M203" i="1"/>
  <c r="M204" i="1"/>
  <c r="M205" i="1"/>
  <c r="M206" i="1"/>
  <c r="M207" i="1"/>
  <c r="M208" i="1"/>
  <c r="M209" i="1"/>
  <c r="M210" i="1"/>
  <c r="M212" i="1"/>
  <c r="M213" i="1"/>
  <c r="M214" i="1"/>
  <c r="M215" i="1"/>
  <c r="M216" i="1"/>
  <c r="M217" i="1"/>
  <c r="M218" i="1"/>
  <c r="M220" i="1"/>
  <c r="M221" i="1"/>
  <c r="M222" i="1"/>
  <c r="M224" i="1"/>
  <c r="M225" i="1"/>
  <c r="M226" i="1"/>
  <c r="M228" i="1"/>
  <c r="M229" i="1"/>
  <c r="M230" i="1"/>
  <c r="M232" i="1"/>
  <c r="M233" i="1"/>
  <c r="M234" i="1"/>
  <c r="M236" i="1"/>
  <c r="M237" i="1"/>
  <c r="M238" i="1"/>
  <c r="M240" i="1"/>
  <c r="M241" i="1"/>
  <c r="M242" i="1"/>
  <c r="M244" i="1"/>
  <c r="M245" i="1"/>
  <c r="M246" i="1"/>
  <c r="M248" i="1"/>
  <c r="M249" i="1"/>
  <c r="M250" i="1"/>
  <c r="M252" i="1"/>
  <c r="M253" i="1"/>
  <c r="M266" i="1"/>
  <c r="M267" i="1"/>
  <c r="M268" i="1"/>
  <c r="M270" i="1"/>
  <c r="M63" i="1"/>
  <c r="T272" i="1"/>
  <c r="S272" i="1"/>
  <c r="T271" i="1"/>
  <c r="S271" i="1"/>
  <c r="T270" i="1"/>
  <c r="S270" i="1"/>
  <c r="T269" i="1"/>
  <c r="S269" i="1"/>
  <c r="T268" i="1"/>
  <c r="S268" i="1"/>
  <c r="T267" i="1"/>
  <c r="S267" i="1"/>
  <c r="T266" i="1"/>
  <c r="S266" i="1"/>
  <c r="T265" i="1"/>
  <c r="S265" i="1"/>
  <c r="T264" i="1"/>
  <c r="S264" i="1"/>
  <c r="T253" i="1"/>
  <c r="S253" i="1"/>
  <c r="T252" i="1"/>
  <c r="S252" i="1"/>
  <c r="T251" i="1"/>
  <c r="S251" i="1"/>
  <c r="T250" i="1"/>
  <c r="S250" i="1"/>
  <c r="T249" i="1"/>
  <c r="S249" i="1"/>
  <c r="T248" i="1"/>
  <c r="S248" i="1"/>
  <c r="T247" i="1"/>
  <c r="S247" i="1"/>
  <c r="T246" i="1"/>
  <c r="S246" i="1"/>
  <c r="T245" i="1"/>
  <c r="S245" i="1"/>
  <c r="T244" i="1"/>
  <c r="S244" i="1"/>
  <c r="T243" i="1"/>
  <c r="S243" i="1"/>
  <c r="T242" i="1"/>
  <c r="S242" i="1"/>
  <c r="T241" i="1"/>
  <c r="S241" i="1"/>
  <c r="T240" i="1"/>
  <c r="S240" i="1"/>
  <c r="T239" i="1"/>
  <c r="S239" i="1"/>
  <c r="T238" i="1"/>
  <c r="S238" i="1"/>
  <c r="T237" i="1"/>
  <c r="S237" i="1"/>
  <c r="T236" i="1"/>
  <c r="S236" i="1"/>
  <c r="T235" i="1"/>
  <c r="S235" i="1"/>
  <c r="T234" i="1"/>
  <c r="S234" i="1"/>
  <c r="T233" i="1"/>
  <c r="S233" i="1"/>
  <c r="T232" i="1"/>
  <c r="S232" i="1"/>
  <c r="T231" i="1"/>
  <c r="S231" i="1"/>
  <c r="T230" i="1"/>
  <c r="S230" i="1"/>
  <c r="T229" i="1"/>
  <c r="S229" i="1"/>
  <c r="T228" i="1"/>
  <c r="S228" i="1"/>
  <c r="T227" i="1"/>
  <c r="S227" i="1"/>
  <c r="T226" i="1"/>
  <c r="S226" i="1"/>
  <c r="T225" i="1"/>
  <c r="S225" i="1"/>
  <c r="T224" i="1"/>
  <c r="S224" i="1"/>
  <c r="T223" i="1"/>
  <c r="S223" i="1"/>
  <c r="T222" i="1"/>
  <c r="S222" i="1"/>
  <c r="T221" i="1"/>
  <c r="S221" i="1"/>
  <c r="T220" i="1"/>
  <c r="S220" i="1"/>
  <c r="T219" i="1"/>
  <c r="S219" i="1"/>
  <c r="T218" i="1"/>
  <c r="S218" i="1"/>
  <c r="T217" i="1"/>
  <c r="S217" i="1"/>
  <c r="T216" i="1"/>
  <c r="S216" i="1"/>
  <c r="T215" i="1"/>
  <c r="S215" i="1"/>
  <c r="T214" i="1"/>
  <c r="S214" i="1"/>
  <c r="T213" i="1"/>
  <c r="S213" i="1"/>
  <c r="T212" i="1"/>
  <c r="S212" i="1"/>
  <c r="T211" i="1"/>
  <c r="S211" i="1"/>
  <c r="M211" i="1"/>
  <c r="T210" i="1"/>
  <c r="S210" i="1"/>
  <c r="T209" i="1"/>
  <c r="S209" i="1"/>
  <c r="T208" i="1"/>
  <c r="S208" i="1"/>
  <c r="T207" i="1"/>
  <c r="S207" i="1"/>
  <c r="T206" i="1"/>
  <c r="S206" i="1"/>
  <c r="T205" i="1"/>
  <c r="S205" i="1"/>
  <c r="T204" i="1"/>
  <c r="S204" i="1"/>
  <c r="T203" i="1"/>
  <c r="S203" i="1"/>
  <c r="T202" i="1"/>
  <c r="S202" i="1"/>
  <c r="T201" i="1"/>
  <c r="S201" i="1"/>
  <c r="T200" i="1"/>
  <c r="S200" i="1"/>
  <c r="T199" i="1"/>
  <c r="S199" i="1"/>
  <c r="M199" i="1"/>
  <c r="T198" i="1"/>
  <c r="S198" i="1"/>
  <c r="T197" i="1"/>
  <c r="S197" i="1"/>
  <c r="T196" i="1"/>
  <c r="S196" i="1"/>
  <c r="T195" i="1"/>
  <c r="S195" i="1"/>
  <c r="T194" i="1"/>
  <c r="S194" i="1"/>
  <c r="T193" i="1"/>
  <c r="S193" i="1"/>
  <c r="T192" i="1"/>
  <c r="S192" i="1"/>
  <c r="T191" i="1"/>
  <c r="S191" i="1"/>
  <c r="M191" i="1"/>
  <c r="T190" i="1"/>
  <c r="S190" i="1"/>
  <c r="T189" i="1"/>
  <c r="S189" i="1"/>
  <c r="T188" i="1"/>
  <c r="S188" i="1"/>
  <c r="T187" i="1"/>
  <c r="S187" i="1"/>
  <c r="T186" i="1"/>
  <c r="S186" i="1"/>
  <c r="T185" i="1"/>
  <c r="S185" i="1"/>
  <c r="T184" i="1"/>
  <c r="S184" i="1"/>
  <c r="T183" i="1"/>
  <c r="S183" i="1"/>
  <c r="T182" i="1"/>
  <c r="S182" i="1"/>
  <c r="T181" i="1"/>
  <c r="S181" i="1"/>
  <c r="T180" i="1"/>
  <c r="S180" i="1"/>
  <c r="T179" i="1"/>
  <c r="S179" i="1"/>
  <c r="T178" i="1"/>
  <c r="S178" i="1"/>
  <c r="T177" i="1"/>
  <c r="S177" i="1"/>
  <c r="T176" i="1"/>
  <c r="S176" i="1"/>
  <c r="T175" i="1"/>
  <c r="S175" i="1"/>
  <c r="M175" i="1"/>
  <c r="T174" i="1"/>
  <c r="S174" i="1"/>
  <c r="T173" i="1"/>
  <c r="S173" i="1"/>
  <c r="T172" i="1"/>
  <c r="S172" i="1"/>
  <c r="T171" i="1"/>
  <c r="S171" i="1"/>
  <c r="T170" i="1"/>
  <c r="S170" i="1"/>
  <c r="T169" i="1"/>
  <c r="S169" i="1"/>
  <c r="T168" i="1"/>
  <c r="S168" i="1"/>
  <c r="T167" i="1"/>
  <c r="S167" i="1"/>
  <c r="T166" i="1"/>
  <c r="S166" i="1"/>
  <c r="T165" i="1"/>
  <c r="S165" i="1"/>
  <c r="T164" i="1"/>
  <c r="S164" i="1"/>
  <c r="T163" i="1"/>
  <c r="S163" i="1"/>
  <c r="M163" i="1"/>
  <c r="T162" i="1"/>
  <c r="S162" i="1"/>
  <c r="T161" i="1"/>
  <c r="S161" i="1"/>
  <c r="T160" i="1"/>
  <c r="S160" i="1"/>
  <c r="T159" i="1"/>
  <c r="S159" i="1"/>
  <c r="T158" i="1"/>
  <c r="S158" i="1"/>
  <c r="T157" i="1"/>
  <c r="S157" i="1"/>
  <c r="T156" i="1"/>
  <c r="S156" i="1"/>
  <c r="T155" i="1"/>
  <c r="S155" i="1"/>
  <c r="T154" i="1"/>
  <c r="S154" i="1"/>
  <c r="T153" i="1"/>
  <c r="S153" i="1"/>
  <c r="T152" i="1"/>
  <c r="S152" i="1"/>
  <c r="T151" i="1"/>
  <c r="S151" i="1"/>
  <c r="T150" i="1"/>
  <c r="S150" i="1"/>
  <c r="T149" i="1"/>
  <c r="S149" i="1"/>
  <c r="M149" i="1"/>
  <c r="T148" i="1"/>
  <c r="S148" i="1"/>
  <c r="T147" i="1"/>
  <c r="S147" i="1"/>
  <c r="T146" i="1"/>
  <c r="S146" i="1"/>
  <c r="T145" i="1"/>
  <c r="S145" i="1"/>
  <c r="T144" i="1"/>
  <c r="S144" i="1"/>
  <c r="T143" i="1"/>
  <c r="S143" i="1"/>
  <c r="T142" i="1"/>
  <c r="S142" i="1"/>
  <c r="T141" i="1"/>
  <c r="S141" i="1"/>
  <c r="T140" i="1"/>
  <c r="S140" i="1"/>
  <c r="T139" i="1"/>
  <c r="S139" i="1"/>
  <c r="T138" i="1"/>
  <c r="S138" i="1"/>
  <c r="T137" i="1"/>
  <c r="S137" i="1"/>
  <c r="T136" i="1"/>
  <c r="S136" i="1"/>
  <c r="T135" i="1"/>
  <c r="S135" i="1"/>
  <c r="T134" i="1"/>
  <c r="S134" i="1"/>
  <c r="T133" i="1"/>
  <c r="S133" i="1"/>
  <c r="M133" i="1"/>
  <c r="T132" i="1"/>
  <c r="S132" i="1"/>
  <c r="T131" i="1"/>
  <c r="S131" i="1"/>
  <c r="T130" i="1"/>
  <c r="S130" i="1"/>
  <c r="T129" i="1"/>
  <c r="S129" i="1"/>
  <c r="T128" i="1"/>
  <c r="S128" i="1"/>
  <c r="T127" i="1"/>
  <c r="S127" i="1"/>
  <c r="T126" i="1"/>
  <c r="S126" i="1"/>
  <c r="T125" i="1"/>
  <c r="S125" i="1"/>
  <c r="T124" i="1"/>
  <c r="S124" i="1"/>
  <c r="T123" i="1"/>
  <c r="S123" i="1"/>
  <c r="T122" i="1"/>
  <c r="S122" i="1"/>
  <c r="M122" i="1"/>
  <c r="T121" i="1"/>
  <c r="S121" i="1"/>
  <c r="M121" i="1"/>
  <c r="T120" i="1"/>
  <c r="S120" i="1"/>
  <c r="T119" i="1"/>
  <c r="S119" i="1"/>
  <c r="T118" i="1"/>
  <c r="S118" i="1"/>
  <c r="T117" i="1"/>
  <c r="S117" i="1"/>
  <c r="T116" i="1"/>
  <c r="S116" i="1"/>
  <c r="T115" i="1"/>
  <c r="S115" i="1"/>
  <c r="M115" i="1"/>
  <c r="T114" i="1"/>
  <c r="S114" i="1"/>
  <c r="T113" i="1"/>
  <c r="S113" i="1"/>
  <c r="T112" i="1"/>
  <c r="S112" i="1"/>
  <c r="T111" i="1"/>
  <c r="S111" i="1"/>
  <c r="T110" i="1"/>
  <c r="S110" i="1"/>
  <c r="T109" i="1"/>
  <c r="S109" i="1"/>
  <c r="M109" i="1"/>
  <c r="T108" i="1"/>
  <c r="S108" i="1"/>
  <c r="T107" i="1"/>
  <c r="S107" i="1"/>
  <c r="M107" i="1"/>
  <c r="T106" i="1"/>
  <c r="S106" i="1"/>
  <c r="M106" i="1"/>
  <c r="T105" i="1"/>
  <c r="S105" i="1"/>
  <c r="T104" i="1"/>
  <c r="S104" i="1"/>
  <c r="T103" i="1"/>
  <c r="S103" i="1"/>
  <c r="T102" i="1"/>
  <c r="S102" i="1"/>
  <c r="T101" i="1"/>
  <c r="S101" i="1"/>
  <c r="M101" i="1"/>
  <c r="T100" i="1"/>
  <c r="S100" i="1"/>
  <c r="T99" i="1"/>
  <c r="S99" i="1"/>
  <c r="T98" i="1"/>
  <c r="S98" i="1"/>
  <c r="T97" i="1"/>
  <c r="S97" i="1"/>
  <c r="T96" i="1"/>
  <c r="S96" i="1"/>
  <c r="T95" i="1"/>
  <c r="S95" i="1"/>
  <c r="T94" i="1"/>
  <c r="S94" i="1"/>
  <c r="T93" i="1"/>
  <c r="S93" i="1"/>
  <c r="T92" i="1"/>
  <c r="S92" i="1"/>
  <c r="T91" i="1"/>
  <c r="S91" i="1"/>
  <c r="T90" i="1"/>
  <c r="S90" i="1"/>
  <c r="M90" i="1"/>
  <c r="T89" i="1"/>
  <c r="S89" i="1"/>
  <c r="M89" i="1"/>
  <c r="T88" i="1"/>
  <c r="S88" i="1"/>
  <c r="T87" i="1"/>
  <c r="S87" i="1"/>
  <c r="M87" i="1"/>
  <c r="T86" i="1"/>
  <c r="S86" i="1"/>
  <c r="T85" i="1"/>
  <c r="S85" i="1"/>
  <c r="T84" i="1"/>
  <c r="S84" i="1"/>
  <c r="T83" i="1"/>
  <c r="S83" i="1"/>
  <c r="T82" i="1"/>
  <c r="S82" i="1"/>
  <c r="M82" i="1"/>
  <c r="T81" i="1"/>
  <c r="S81" i="1"/>
  <c r="M81" i="1"/>
  <c r="T80" i="1"/>
  <c r="S80" i="1"/>
  <c r="T79" i="1"/>
  <c r="S79" i="1"/>
  <c r="T78" i="1"/>
  <c r="S78" i="1"/>
  <c r="T77" i="1"/>
  <c r="S77" i="1"/>
  <c r="T76" i="1"/>
  <c r="S76" i="1"/>
  <c r="T75" i="1"/>
  <c r="S75" i="1"/>
  <c r="T74" i="1"/>
  <c r="S74" i="1"/>
  <c r="M74" i="1"/>
  <c r="T73" i="1"/>
  <c r="S73" i="1"/>
  <c r="T72" i="1"/>
  <c r="S72" i="1"/>
  <c r="T71" i="1"/>
  <c r="S71" i="1"/>
  <c r="T70" i="1"/>
  <c r="S70" i="1"/>
  <c r="T69" i="1"/>
  <c r="S69" i="1"/>
  <c r="M69" i="1"/>
  <c r="T68" i="1"/>
  <c r="S68" i="1"/>
  <c r="T67" i="1"/>
  <c r="S67" i="1"/>
  <c r="M67" i="1"/>
  <c r="T66" i="1"/>
  <c r="S66" i="1"/>
  <c r="M66" i="1"/>
  <c r="T65" i="1"/>
  <c r="S65" i="1"/>
  <c r="T64" i="1"/>
  <c r="S64" i="1"/>
  <c r="T63" i="1"/>
  <c r="S63" i="1"/>
  <c r="J334" i="15" l="1"/>
  <c r="K330" i="15"/>
  <c r="J332" i="15"/>
  <c r="K334" i="15"/>
  <c r="J330" i="15"/>
  <c r="K332" i="15"/>
  <c r="K333" i="15"/>
  <c r="K331" i="15"/>
  <c r="J333" i="15"/>
  <c r="J331" i="15"/>
  <c r="AX11" i="1"/>
  <c r="AY11" i="1" s="1"/>
  <c r="AZ11" i="1" s="1"/>
  <c r="BD11" i="1"/>
  <c r="BC11" i="1"/>
  <c r="BF11" i="1"/>
  <c r="BE11" i="1"/>
  <c r="BB11" i="1"/>
  <c r="CD270" i="1"/>
  <c r="CD266" i="1"/>
  <c r="CD252" i="1"/>
  <c r="CD248" i="1"/>
  <c r="CD244" i="1"/>
  <c r="CD240" i="1"/>
  <c r="CD236" i="1"/>
  <c r="CD232" i="1"/>
  <c r="CD228" i="1"/>
  <c r="CD224" i="1"/>
  <c r="CD220" i="1"/>
  <c r="CD216" i="1"/>
  <c r="CD212" i="1"/>
  <c r="CD208" i="1"/>
  <c r="CD204" i="1"/>
  <c r="CD200" i="1"/>
  <c r="CD196" i="1"/>
  <c r="CD192" i="1"/>
  <c r="CD188" i="1"/>
  <c r="CD184" i="1"/>
  <c r="CD180" i="1"/>
  <c r="CD176" i="1"/>
  <c r="CD172" i="1"/>
  <c r="CD168" i="1"/>
  <c r="CD164" i="1"/>
  <c r="CD160" i="1"/>
  <c r="CD156" i="1"/>
  <c r="CD152" i="1"/>
  <c r="CD148" i="1"/>
  <c r="CD144" i="1"/>
  <c r="CD140" i="1"/>
  <c r="CD136" i="1"/>
  <c r="CD132" i="1"/>
  <c r="CD128" i="1"/>
  <c r="CN124" i="1"/>
  <c r="CD124" i="1"/>
  <c r="CN120" i="1"/>
  <c r="CD120" i="1"/>
  <c r="CN116" i="1"/>
  <c r="CD116" i="1"/>
  <c r="CN112" i="1"/>
  <c r="CD112" i="1"/>
  <c r="CN108" i="1"/>
  <c r="CD108" i="1"/>
  <c r="CN104" i="1"/>
  <c r="CD104" i="1"/>
  <c r="CN100" i="1"/>
  <c r="CD100" i="1"/>
  <c r="CN96" i="1"/>
  <c r="CD96" i="1"/>
  <c r="CN92" i="1"/>
  <c r="CD92" i="1"/>
  <c r="CN88" i="1"/>
  <c r="CD88" i="1"/>
  <c r="CN84" i="1"/>
  <c r="CD84" i="1"/>
  <c r="CN80" i="1"/>
  <c r="CD80" i="1"/>
  <c r="CN76" i="1"/>
  <c r="CD76" i="1"/>
  <c r="CO72" i="1"/>
  <c r="CN72" i="1"/>
  <c r="CD72" i="1"/>
  <c r="CO68" i="1"/>
  <c r="CN68" i="1"/>
  <c r="CD68" i="1"/>
  <c r="CO64" i="1"/>
  <c r="CN64" i="1"/>
  <c r="CD64" i="1"/>
  <c r="CN63" i="1"/>
  <c r="CD63" i="1"/>
  <c r="CO63" i="1"/>
  <c r="CD269" i="1"/>
  <c r="CD265" i="1"/>
  <c r="CD251" i="1"/>
  <c r="CD247" i="1"/>
  <c r="CD243" i="1"/>
  <c r="CD239" i="1"/>
  <c r="CD235" i="1"/>
  <c r="CD231" i="1"/>
  <c r="CD227" i="1"/>
  <c r="CD223" i="1"/>
  <c r="CD219" i="1"/>
  <c r="CD215" i="1"/>
  <c r="CD211" i="1"/>
  <c r="CD207" i="1"/>
  <c r="CD203" i="1"/>
  <c r="CD199" i="1"/>
  <c r="CD195" i="1"/>
  <c r="CD191" i="1"/>
  <c r="CD187" i="1"/>
  <c r="CD183" i="1"/>
  <c r="CD179" i="1"/>
  <c r="CD175" i="1"/>
  <c r="CD171" i="1"/>
  <c r="CD167" i="1"/>
  <c r="CD163" i="1"/>
  <c r="CD159" i="1"/>
  <c r="CD155" i="1"/>
  <c r="CD151" i="1"/>
  <c r="CD147" i="1"/>
  <c r="CD143" i="1"/>
  <c r="CD139" i="1"/>
  <c r="CD135" i="1"/>
  <c r="CD131" i="1"/>
  <c r="CD127" i="1"/>
  <c r="CN123" i="1"/>
  <c r="CD123" i="1"/>
  <c r="CN119" i="1"/>
  <c r="CD119" i="1"/>
  <c r="CD115" i="1"/>
  <c r="CN111" i="1"/>
  <c r="CD111" i="1"/>
  <c r="CN107" i="1"/>
  <c r="CD107" i="1"/>
  <c r="CN103" i="1"/>
  <c r="CD103" i="1"/>
  <c r="CN99" i="1"/>
  <c r="CD99" i="1"/>
  <c r="CN95" i="1"/>
  <c r="CD95" i="1"/>
  <c r="CD91" i="1"/>
  <c r="CN87" i="1"/>
  <c r="CD87" i="1"/>
  <c r="CN83" i="1"/>
  <c r="CD83" i="1"/>
  <c r="CN79" i="1"/>
  <c r="CD79" i="1"/>
  <c r="CN75" i="1"/>
  <c r="CD75" i="1"/>
  <c r="CN71" i="1"/>
  <c r="CD71" i="1"/>
  <c r="CO71" i="1"/>
  <c r="CN67" i="1"/>
  <c r="CD67" i="1"/>
  <c r="CO67" i="1"/>
  <c r="CD272" i="1"/>
  <c r="CD268" i="1"/>
  <c r="CD264" i="1"/>
  <c r="CD250" i="1"/>
  <c r="CD246" i="1"/>
  <c r="CD242" i="1"/>
  <c r="CD238" i="1"/>
  <c r="CD234" i="1"/>
  <c r="CD230" i="1"/>
  <c r="CD226" i="1"/>
  <c r="CD222" i="1"/>
  <c r="CD218" i="1"/>
  <c r="CD214" i="1"/>
  <c r="CD210" i="1"/>
  <c r="CD206" i="1"/>
  <c r="CD202" i="1"/>
  <c r="CD198" i="1"/>
  <c r="CD194" i="1"/>
  <c r="CD190" i="1"/>
  <c r="CD186" i="1"/>
  <c r="CD182" i="1"/>
  <c r="CD178" i="1"/>
  <c r="CD174" i="1"/>
  <c r="CD170" i="1"/>
  <c r="CD166" i="1"/>
  <c r="CD162" i="1"/>
  <c r="CD158" i="1"/>
  <c r="CD154" i="1"/>
  <c r="CD150" i="1"/>
  <c r="CD146" i="1"/>
  <c r="CD142" i="1"/>
  <c r="CD138" i="1"/>
  <c r="CD134" i="1"/>
  <c r="CD130" i="1"/>
  <c r="CD126" i="1"/>
  <c r="CN122" i="1"/>
  <c r="CD122" i="1"/>
  <c r="CN118" i="1"/>
  <c r="CD118" i="1"/>
  <c r="CN114" i="1"/>
  <c r="CD114" i="1"/>
  <c r="CN110" i="1"/>
  <c r="CD110" i="1"/>
  <c r="CD106" i="1"/>
  <c r="CN102" i="1"/>
  <c r="CD102" i="1"/>
  <c r="CN98" i="1"/>
  <c r="CD98" i="1"/>
  <c r="CD94" i="1"/>
  <c r="CN90" i="1"/>
  <c r="CD90" i="1"/>
  <c r="CN86" i="1"/>
  <c r="CD86" i="1"/>
  <c r="CN82" i="1"/>
  <c r="CD82" i="1"/>
  <c r="CN78" i="1"/>
  <c r="CD78" i="1"/>
  <c r="CN74" i="1"/>
  <c r="CD74" i="1"/>
  <c r="CD70" i="1"/>
  <c r="CO70" i="1"/>
  <c r="CN70" i="1"/>
  <c r="CD66" i="1"/>
  <c r="CD271" i="1"/>
  <c r="CD267" i="1"/>
  <c r="CD253" i="1"/>
  <c r="CD249" i="1"/>
  <c r="CD245" i="1"/>
  <c r="CD241" i="1"/>
  <c r="CD237" i="1"/>
  <c r="CD233" i="1"/>
  <c r="CD229" i="1"/>
  <c r="CD225" i="1"/>
  <c r="CD221" i="1"/>
  <c r="CD217" i="1"/>
  <c r="CD213" i="1"/>
  <c r="CD209" i="1"/>
  <c r="CD205" i="1"/>
  <c r="CD201" i="1"/>
  <c r="CD197" i="1"/>
  <c r="CD193" i="1"/>
  <c r="CD189" i="1"/>
  <c r="CD185" i="1"/>
  <c r="CD181" i="1"/>
  <c r="CD177" i="1"/>
  <c r="CD173" i="1"/>
  <c r="CD169" i="1"/>
  <c r="CD165" i="1"/>
  <c r="CD161" i="1"/>
  <c r="CD157" i="1"/>
  <c r="CD153" i="1"/>
  <c r="CD149" i="1"/>
  <c r="CD145" i="1"/>
  <c r="CD141" i="1"/>
  <c r="CD137" i="1"/>
  <c r="CD133" i="1"/>
  <c r="CD129" i="1"/>
  <c r="CN125" i="1"/>
  <c r="CD125" i="1"/>
  <c r="CN121" i="1"/>
  <c r="CD121" i="1"/>
  <c r="CD117" i="1"/>
  <c r="CN113" i="1"/>
  <c r="CD113" i="1"/>
  <c r="CN109" i="1"/>
  <c r="CD109" i="1"/>
  <c r="CN105" i="1"/>
  <c r="CD105" i="1"/>
  <c r="CN101" i="1"/>
  <c r="CD101" i="1"/>
  <c r="CN97" i="1"/>
  <c r="CD97" i="1"/>
  <c r="CN93" i="1"/>
  <c r="CD93" i="1"/>
  <c r="CD89" i="1"/>
  <c r="CN85" i="1"/>
  <c r="CD85" i="1"/>
  <c r="CN81" i="1"/>
  <c r="CD81" i="1"/>
  <c r="CN77" i="1"/>
  <c r="CD77" i="1"/>
  <c r="CO73" i="1"/>
  <c r="CN73" i="1"/>
  <c r="CD73" i="1"/>
  <c r="CO69" i="1"/>
  <c r="CN69" i="1"/>
  <c r="CD69" i="1"/>
  <c r="CO65" i="1"/>
  <c r="CN65" i="1"/>
  <c r="CD65" i="1"/>
  <c r="M227" i="1"/>
  <c r="M243" i="1"/>
  <c r="M264" i="1"/>
  <c r="M231" i="1"/>
  <c r="M247" i="1"/>
  <c r="M219" i="1"/>
  <c r="M235" i="1"/>
  <c r="M223" i="1"/>
  <c r="M239" i="1"/>
  <c r="M269" i="1"/>
  <c r="M272" i="1"/>
  <c r="M271" i="1"/>
  <c r="M251" i="1"/>
  <c r="M265" i="1"/>
  <c r="E330" i="15" l="1"/>
  <c r="E333" i="15"/>
  <c r="E332" i="15"/>
  <c r="E331" i="15"/>
  <c r="E334" i="15"/>
  <c r="BS11" i="1"/>
  <c r="JI32" i="23"/>
  <c r="N91" i="1" s="1"/>
  <c r="JI70" i="23"/>
  <c r="N129" i="1" s="1"/>
  <c r="JI71" i="23"/>
  <c r="N130" i="1" s="1"/>
  <c r="JI72" i="23"/>
  <c r="N131" i="1" s="1"/>
  <c r="JI73" i="23"/>
  <c r="N132" i="1" s="1"/>
  <c r="JI74" i="23"/>
  <c r="N133" i="1" s="1"/>
  <c r="JI75" i="23"/>
  <c r="N134" i="1" s="1"/>
  <c r="JI76" i="23"/>
  <c r="N135" i="1" s="1"/>
  <c r="JI77" i="23"/>
  <c r="N136" i="1" s="1"/>
  <c r="JI78" i="23"/>
  <c r="N137" i="1" s="1"/>
  <c r="JI79" i="23"/>
  <c r="N138" i="1" s="1"/>
  <c r="JI80" i="23"/>
  <c r="N139" i="1" s="1"/>
  <c r="JI81" i="23"/>
  <c r="N140" i="1" s="1"/>
  <c r="JI82" i="23"/>
  <c r="N141" i="1" s="1"/>
  <c r="JI83" i="23"/>
  <c r="N142" i="1" s="1"/>
  <c r="JI84" i="23"/>
  <c r="N143" i="1" s="1"/>
  <c r="JI85" i="23"/>
  <c r="N144" i="1" s="1"/>
  <c r="JI86" i="23"/>
  <c r="N145" i="1" s="1"/>
  <c r="JI87" i="23"/>
  <c r="N146" i="1" s="1"/>
  <c r="JI88" i="23"/>
  <c r="N147" i="1" s="1"/>
  <c r="JI89" i="23"/>
  <c r="N148" i="1" s="1"/>
  <c r="JI90" i="23"/>
  <c r="N149" i="1" s="1"/>
  <c r="JI91" i="23"/>
  <c r="N150" i="1" s="1"/>
  <c r="JI92" i="23"/>
  <c r="N151" i="1" s="1"/>
  <c r="JI93" i="23"/>
  <c r="N152" i="1" s="1"/>
  <c r="JI94" i="23"/>
  <c r="N153" i="1" s="1"/>
  <c r="JI95" i="23"/>
  <c r="N154" i="1" s="1"/>
  <c r="JI96" i="23"/>
  <c r="N155" i="1" s="1"/>
  <c r="JI97" i="23"/>
  <c r="N156" i="1" s="1"/>
  <c r="JI98" i="23"/>
  <c r="N157" i="1" s="1"/>
  <c r="JI99" i="23"/>
  <c r="N158" i="1" s="1"/>
  <c r="JI100" i="23"/>
  <c r="N159" i="1" s="1"/>
  <c r="JI101" i="23"/>
  <c r="N160" i="1" s="1"/>
  <c r="JI102" i="23"/>
  <c r="N161" i="1" s="1"/>
  <c r="JI103" i="23"/>
  <c r="N162" i="1" s="1"/>
  <c r="JI104" i="23"/>
  <c r="N163" i="1" s="1"/>
  <c r="JI105" i="23"/>
  <c r="N164" i="1" s="1"/>
  <c r="JI106" i="23"/>
  <c r="N165" i="1" s="1"/>
  <c r="JI107" i="23"/>
  <c r="N166" i="1" s="1"/>
  <c r="JI108" i="23"/>
  <c r="N167" i="1" s="1"/>
  <c r="JI109" i="23"/>
  <c r="N168" i="1" s="1"/>
  <c r="JI110" i="23"/>
  <c r="N169" i="1" s="1"/>
  <c r="JI111" i="23"/>
  <c r="N170" i="1" s="1"/>
  <c r="JI112" i="23"/>
  <c r="N171" i="1" s="1"/>
  <c r="JI113" i="23"/>
  <c r="N172" i="1" s="1"/>
  <c r="JI114" i="23"/>
  <c r="N173" i="1" s="1"/>
  <c r="JI115" i="23"/>
  <c r="N174" i="1" s="1"/>
  <c r="JI116" i="23"/>
  <c r="N175" i="1" s="1"/>
  <c r="JI117" i="23"/>
  <c r="N176" i="1" s="1"/>
  <c r="JI118" i="23"/>
  <c r="N177" i="1" s="1"/>
  <c r="JI119" i="23"/>
  <c r="N178" i="1" s="1"/>
  <c r="JI120" i="23"/>
  <c r="N179" i="1" s="1"/>
  <c r="JI121" i="23"/>
  <c r="N180" i="1" s="1"/>
  <c r="JI122" i="23"/>
  <c r="N181" i="1" s="1"/>
  <c r="JI123" i="23"/>
  <c r="N182" i="1" s="1"/>
  <c r="JI124" i="23"/>
  <c r="N183" i="1" s="1"/>
  <c r="JI125" i="23"/>
  <c r="N184" i="1" s="1"/>
  <c r="JI126" i="23"/>
  <c r="N185" i="1" s="1"/>
  <c r="JI127" i="23"/>
  <c r="N186" i="1" s="1"/>
  <c r="JI128" i="23"/>
  <c r="N187" i="1" s="1"/>
  <c r="JI129" i="23"/>
  <c r="N188" i="1" s="1"/>
  <c r="JI130" i="23"/>
  <c r="N189" i="1" s="1"/>
  <c r="JI131" i="23"/>
  <c r="N190" i="1" s="1"/>
  <c r="JI132" i="23"/>
  <c r="N191" i="1" s="1"/>
  <c r="JI133" i="23"/>
  <c r="N192" i="1" s="1"/>
  <c r="JI134" i="23"/>
  <c r="N193" i="1" s="1"/>
  <c r="JI135" i="23"/>
  <c r="N194" i="1" s="1"/>
  <c r="JI136" i="23"/>
  <c r="N195" i="1" s="1"/>
  <c r="JI137" i="23"/>
  <c r="N196" i="1" s="1"/>
  <c r="JI138" i="23"/>
  <c r="N197" i="1" s="1"/>
  <c r="JI139" i="23"/>
  <c r="N198" i="1" s="1"/>
  <c r="JI140" i="23"/>
  <c r="N199" i="1" s="1"/>
  <c r="JI141" i="23"/>
  <c r="N200" i="1" s="1"/>
  <c r="JI142" i="23"/>
  <c r="N201" i="1" s="1"/>
  <c r="JI143" i="23"/>
  <c r="N202" i="1" s="1"/>
  <c r="JI144" i="23"/>
  <c r="N203" i="1" s="1"/>
  <c r="JI145" i="23"/>
  <c r="N204" i="1" s="1"/>
  <c r="JI146" i="23"/>
  <c r="N205" i="1" s="1"/>
  <c r="JI147" i="23"/>
  <c r="N206" i="1" s="1"/>
  <c r="JI148" i="23"/>
  <c r="N207" i="1" s="1"/>
  <c r="JI149" i="23"/>
  <c r="N208" i="1" s="1"/>
  <c r="JI150" i="23"/>
  <c r="N209" i="1" s="1"/>
  <c r="JI151" i="23"/>
  <c r="N210" i="1" s="1"/>
  <c r="JI152" i="23"/>
  <c r="N211" i="1" s="1"/>
  <c r="JI153" i="23"/>
  <c r="N212" i="1" s="1"/>
  <c r="JI154" i="23"/>
  <c r="N213" i="1" s="1"/>
  <c r="JI155" i="23"/>
  <c r="N214" i="1" s="1"/>
  <c r="JI156" i="23"/>
  <c r="N215" i="1" s="1"/>
  <c r="JI157" i="23"/>
  <c r="N216" i="1" s="1"/>
  <c r="JI158" i="23"/>
  <c r="N217" i="1" s="1"/>
  <c r="JI159" i="23"/>
  <c r="N218" i="1" s="1"/>
  <c r="JI160" i="23"/>
  <c r="N219" i="1" s="1"/>
  <c r="JI161" i="23"/>
  <c r="N220" i="1" s="1"/>
  <c r="JI162" i="23"/>
  <c r="N221" i="1" s="1"/>
  <c r="JI163" i="23"/>
  <c r="N222" i="1" s="1"/>
  <c r="JI164" i="23"/>
  <c r="N223" i="1" s="1"/>
  <c r="JI165" i="23"/>
  <c r="N224" i="1" s="1"/>
  <c r="JI166" i="23"/>
  <c r="N225" i="1" s="1"/>
  <c r="JI167" i="23"/>
  <c r="N226" i="1" s="1"/>
  <c r="JI168" i="23"/>
  <c r="N227" i="1" s="1"/>
  <c r="JI169" i="23"/>
  <c r="N228" i="1" s="1"/>
  <c r="JI170" i="23"/>
  <c r="N229" i="1" s="1"/>
  <c r="JI171" i="23"/>
  <c r="N230" i="1" s="1"/>
  <c r="JI172" i="23"/>
  <c r="N231" i="1" s="1"/>
  <c r="JI173" i="23"/>
  <c r="N232" i="1" s="1"/>
  <c r="JI174" i="23"/>
  <c r="N233" i="1" s="1"/>
  <c r="JI175" i="23"/>
  <c r="N234" i="1" s="1"/>
  <c r="JI176" i="23"/>
  <c r="N235" i="1" s="1"/>
  <c r="JI177" i="23"/>
  <c r="N236" i="1" s="1"/>
  <c r="JI178" i="23"/>
  <c r="N237" i="1" s="1"/>
  <c r="JI179" i="23"/>
  <c r="N238" i="1" s="1"/>
  <c r="JI180" i="23"/>
  <c r="N239" i="1" s="1"/>
  <c r="JI181" i="23"/>
  <c r="N240" i="1" s="1"/>
  <c r="JI182" i="23"/>
  <c r="N241" i="1" s="1"/>
  <c r="JI183" i="23"/>
  <c r="N242" i="1" s="1"/>
  <c r="JI184" i="23"/>
  <c r="N243" i="1" s="1"/>
  <c r="JI185" i="23"/>
  <c r="N244" i="1" s="1"/>
  <c r="JI186" i="23"/>
  <c r="N245" i="1" s="1"/>
  <c r="JI187" i="23"/>
  <c r="N246" i="1" s="1"/>
  <c r="JI188" i="23"/>
  <c r="N247" i="1" s="1"/>
  <c r="JI189" i="23"/>
  <c r="N248" i="1" s="1"/>
  <c r="JI190" i="23"/>
  <c r="N249" i="1" s="1"/>
  <c r="JI191" i="23"/>
  <c r="N250" i="1" s="1"/>
  <c r="JI192" i="23"/>
  <c r="N251" i="1" s="1"/>
  <c r="JI193" i="23"/>
  <c r="N252" i="1" s="1"/>
  <c r="JI194" i="23"/>
  <c r="N253" i="1" s="1"/>
  <c r="JI195" i="23"/>
  <c r="N254" i="1" s="1"/>
  <c r="JI196" i="23"/>
  <c r="N255" i="1" s="1"/>
  <c r="JI197" i="23"/>
  <c r="N256" i="1" s="1"/>
  <c r="JI198" i="23"/>
  <c r="N257" i="1" s="1"/>
  <c r="JI199" i="23"/>
  <c r="N258" i="1" s="1"/>
  <c r="JI200" i="23"/>
  <c r="N259" i="1" s="1"/>
  <c r="JI201" i="23"/>
  <c r="N260" i="1" s="1"/>
  <c r="JI212" i="23"/>
  <c r="N271" i="1" s="1"/>
  <c r="C184" i="23"/>
  <c r="C183" i="23"/>
  <c r="C182" i="23"/>
  <c r="C181" i="23"/>
  <c r="C180" i="23"/>
  <c r="C179" i="23"/>
  <c r="C178" i="23"/>
  <c r="C177" i="23"/>
  <c r="C176" i="23"/>
  <c r="C175" i="23"/>
  <c r="C174" i="23"/>
  <c r="C173" i="23"/>
  <c r="C172" i="23"/>
  <c r="C171" i="23"/>
  <c r="C199" i="23"/>
  <c r="C198" i="23"/>
  <c r="C197" i="23"/>
  <c r="C196" i="23"/>
  <c r="C195" i="23"/>
  <c r="C194" i="23"/>
  <c r="C193" i="23"/>
  <c r="C192" i="23"/>
  <c r="C191" i="23"/>
  <c r="C190" i="23"/>
  <c r="C189" i="23"/>
  <c r="C188" i="23"/>
  <c r="C187" i="23"/>
  <c r="C186" i="23"/>
  <c r="C18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136" i="23"/>
  <c r="C135" i="23"/>
  <c r="C134" i="23"/>
  <c r="C133" i="23"/>
  <c r="C132" i="23"/>
  <c r="C131" i="23"/>
  <c r="C130" i="23"/>
  <c r="C129" i="23"/>
  <c r="C128" i="23"/>
  <c r="C127" i="23"/>
  <c r="C126" i="23"/>
  <c r="C125" i="23"/>
  <c r="C124" i="23"/>
  <c r="C123" i="23"/>
  <c r="C122" i="23"/>
  <c r="C121" i="23"/>
  <c r="C120" i="23"/>
  <c r="C119" i="23"/>
  <c r="C118" i="23"/>
  <c r="C117" i="23"/>
  <c r="C116" i="23"/>
  <c r="C115" i="23"/>
  <c r="C114" i="23"/>
  <c r="C113" i="23"/>
  <c r="C112" i="23"/>
  <c r="C111" i="23"/>
  <c r="C110" i="23"/>
  <c r="C109" i="23"/>
  <c r="C108" i="23"/>
  <c r="C107" i="23"/>
  <c r="C106" i="23"/>
  <c r="C105" i="23"/>
  <c r="C104"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69" i="23"/>
  <c r="C68" i="23"/>
  <c r="C67" i="23"/>
  <c r="C66" i="23"/>
  <c r="C65" i="23"/>
  <c r="C64" i="23"/>
  <c r="C63" i="23"/>
  <c r="C62" i="23"/>
  <c r="C61" i="23"/>
  <c r="C60" i="23"/>
  <c r="C59" i="23"/>
  <c r="C58" i="23"/>
  <c r="C57" i="23"/>
  <c r="C56" i="23"/>
  <c r="C55" i="23"/>
  <c r="C5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D5" i="23"/>
  <c r="D6" i="23"/>
  <c r="D7" i="23"/>
  <c r="D8" i="23"/>
  <c r="D9" i="23"/>
  <c r="D10" i="23"/>
  <c r="D11" i="23"/>
  <c r="D12" i="23"/>
  <c r="D13" i="23"/>
  <c r="D14" i="23"/>
  <c r="D4" i="23"/>
  <c r="C4" i="23"/>
  <c r="C5" i="23"/>
  <c r="C6" i="23"/>
  <c r="C7" i="23"/>
  <c r="C8" i="23"/>
  <c r="C9" i="23"/>
  <c r="C10" i="23"/>
  <c r="C11" i="23"/>
  <c r="C12" i="23"/>
  <c r="C13" i="23"/>
  <c r="C14" i="23"/>
  <c r="C15" i="23"/>
  <c r="C16" i="23"/>
  <c r="C17" i="23"/>
  <c r="C18" i="23"/>
  <c r="C19" i="23"/>
  <c r="C20" i="23"/>
  <c r="C21" i="23"/>
  <c r="C22" i="23"/>
  <c r="C200" i="23"/>
  <c r="C201" i="23"/>
  <c r="AQ1261" i="7" l="1"/>
  <c r="AQ1258" i="7"/>
  <c r="AQ1263" i="7"/>
  <c r="AQ1262" i="7"/>
  <c r="AQ1259" i="7"/>
  <c r="AQ1266" i="7"/>
  <c r="AQ1265" i="7"/>
  <c r="AQ1260" i="7"/>
  <c r="AQ1264" i="7"/>
  <c r="AQ1257" i="7"/>
  <c r="M1263" i="7"/>
  <c r="M1261" i="7"/>
  <c r="M1262" i="7"/>
  <c r="M1257" i="7"/>
  <c r="M1258" i="7"/>
  <c r="M1260" i="7"/>
  <c r="M1265" i="7"/>
  <c r="M1264" i="7"/>
  <c r="M1259" i="7"/>
  <c r="M1266" i="7"/>
  <c r="K193" i="25"/>
  <c r="K209" i="25"/>
  <c r="K225" i="25"/>
  <c r="K241" i="25"/>
  <c r="K257" i="25"/>
  <c r="K273" i="25"/>
  <c r="K289" i="25"/>
  <c r="K305" i="25"/>
  <c r="K190" i="25"/>
  <c r="K206" i="25"/>
  <c r="K222" i="25"/>
  <c r="K238" i="25"/>
  <c r="K254" i="25"/>
  <c r="K270" i="25"/>
  <c r="K286" i="25"/>
  <c r="K302" i="25"/>
  <c r="K203" i="25"/>
  <c r="K219" i="25"/>
  <c r="K235" i="25"/>
  <c r="K251" i="25"/>
  <c r="K267" i="25"/>
  <c r="K283" i="25"/>
  <c r="K299" i="25"/>
  <c r="K188" i="25"/>
  <c r="K204" i="25"/>
  <c r="K220" i="25"/>
  <c r="K236" i="25"/>
  <c r="K252" i="25"/>
  <c r="K268" i="25"/>
  <c r="K284" i="25"/>
  <c r="K300" i="25"/>
  <c r="J191" i="25"/>
  <c r="J207" i="25"/>
  <c r="J223" i="25"/>
  <c r="J239" i="25"/>
  <c r="J255" i="25"/>
  <c r="J271" i="25"/>
  <c r="J287" i="25"/>
  <c r="J303" i="25"/>
  <c r="G166" i="25"/>
  <c r="G129" i="25"/>
  <c r="G180" i="25"/>
  <c r="G96" i="25"/>
  <c r="G155" i="25"/>
  <c r="G190" i="25"/>
  <c r="G206" i="25"/>
  <c r="J200" i="25"/>
  <c r="J216" i="25"/>
  <c r="J232" i="25"/>
  <c r="J248" i="25"/>
  <c r="J264" i="25"/>
  <c r="J280" i="25"/>
  <c r="J296" i="25"/>
  <c r="G88" i="25"/>
  <c r="G121" i="25"/>
  <c r="G133" i="25"/>
  <c r="J193" i="25"/>
  <c r="J209" i="25"/>
  <c r="J225" i="25"/>
  <c r="J241" i="25"/>
  <c r="J257" i="25"/>
  <c r="J273" i="25"/>
  <c r="J289" i="25"/>
  <c r="J305" i="25"/>
  <c r="G146" i="25"/>
  <c r="G131" i="25"/>
  <c r="J190" i="25"/>
  <c r="J206" i="25"/>
  <c r="J222" i="25"/>
  <c r="J238" i="25"/>
  <c r="J254" i="25"/>
  <c r="J270" i="25"/>
  <c r="J286" i="25"/>
  <c r="J302" i="25"/>
  <c r="G165" i="25"/>
  <c r="G138" i="25"/>
  <c r="G179" i="25"/>
  <c r="G90" i="25"/>
  <c r="G163" i="25"/>
  <c r="G189" i="25"/>
  <c r="G205" i="25"/>
  <c r="G142" i="25"/>
  <c r="G212" i="25"/>
  <c r="G228" i="25"/>
  <c r="G244" i="25"/>
  <c r="G260" i="25"/>
  <c r="G276" i="25"/>
  <c r="G292" i="25"/>
  <c r="K197" i="25"/>
  <c r="K213" i="25"/>
  <c r="K229" i="25"/>
  <c r="K245" i="25"/>
  <c r="K261" i="25"/>
  <c r="K277" i="25"/>
  <c r="K293" i="25"/>
  <c r="K194" i="25"/>
  <c r="K210" i="25"/>
  <c r="K226" i="25"/>
  <c r="K242" i="25"/>
  <c r="K258" i="25"/>
  <c r="K274" i="25"/>
  <c r="K290" i="25"/>
  <c r="K191" i="25"/>
  <c r="K207" i="25"/>
  <c r="K223" i="25"/>
  <c r="K239" i="25"/>
  <c r="K255" i="25"/>
  <c r="K271" i="25"/>
  <c r="K287" i="25"/>
  <c r="K303" i="25"/>
  <c r="K192" i="25"/>
  <c r="K208" i="25"/>
  <c r="K224" i="25"/>
  <c r="K240" i="25"/>
  <c r="K256" i="25"/>
  <c r="K272" i="25"/>
  <c r="K288" i="25"/>
  <c r="K304" i="25"/>
  <c r="J195" i="25"/>
  <c r="J211" i="25"/>
  <c r="J227" i="25"/>
  <c r="J243" i="25"/>
  <c r="J259" i="25"/>
  <c r="J275" i="25"/>
  <c r="J291" i="25"/>
  <c r="G126" i="25"/>
  <c r="G185" i="25"/>
  <c r="G150" i="25"/>
  <c r="G156" i="25"/>
  <c r="G174" i="25"/>
  <c r="G194" i="25"/>
  <c r="J188" i="25"/>
  <c r="J204" i="25"/>
  <c r="J220" i="25"/>
  <c r="J236" i="25"/>
  <c r="J252" i="25"/>
  <c r="J268" i="25"/>
  <c r="J284" i="25"/>
  <c r="J300" i="25"/>
  <c r="G172" i="25"/>
  <c r="G151" i="25"/>
  <c r="G91" i="25"/>
  <c r="G116" i="25"/>
  <c r="J197" i="25"/>
  <c r="J213" i="25"/>
  <c r="J229" i="25"/>
  <c r="J245" i="25"/>
  <c r="J261" i="25"/>
  <c r="J277" i="25"/>
  <c r="J293" i="25"/>
  <c r="G187" i="25"/>
  <c r="G175" i="25"/>
  <c r="G122" i="25"/>
  <c r="J194" i="25"/>
  <c r="J210" i="25"/>
  <c r="J226" i="25"/>
  <c r="J242" i="25"/>
  <c r="J258" i="25"/>
  <c r="J274" i="25"/>
  <c r="J290" i="25"/>
  <c r="G132" i="25"/>
  <c r="G101" i="25"/>
  <c r="G92" i="25"/>
  <c r="G159" i="25"/>
  <c r="G193" i="25"/>
  <c r="G192" i="25"/>
  <c r="G216" i="25"/>
  <c r="K201" i="25"/>
  <c r="K217" i="25"/>
  <c r="K233" i="25"/>
  <c r="K249" i="25"/>
  <c r="K265" i="25"/>
  <c r="K281" i="25"/>
  <c r="K297" i="25"/>
  <c r="K198" i="25"/>
  <c r="K214" i="25"/>
  <c r="K230" i="25"/>
  <c r="K246" i="25"/>
  <c r="K262" i="25"/>
  <c r="K278" i="25"/>
  <c r="K294" i="25"/>
  <c r="K195" i="25"/>
  <c r="K211" i="25"/>
  <c r="K227" i="25"/>
  <c r="K243" i="25"/>
  <c r="K259" i="25"/>
  <c r="K275" i="25"/>
  <c r="K291" i="25"/>
  <c r="K196" i="25"/>
  <c r="K212" i="25"/>
  <c r="K228" i="25"/>
  <c r="K244" i="25"/>
  <c r="K260" i="25"/>
  <c r="K276" i="25"/>
  <c r="K292" i="25"/>
  <c r="J199" i="25"/>
  <c r="J215" i="25"/>
  <c r="J231" i="25"/>
  <c r="J247" i="25"/>
  <c r="J263" i="25"/>
  <c r="J279" i="25"/>
  <c r="J295" i="25"/>
  <c r="G154" i="25"/>
  <c r="G89" i="25"/>
  <c r="G119" i="25"/>
  <c r="G158" i="25"/>
  <c r="G198" i="25"/>
  <c r="J192" i="25"/>
  <c r="J208" i="25"/>
  <c r="J224" i="25"/>
  <c r="J240" i="25"/>
  <c r="J256" i="25"/>
  <c r="J272" i="25"/>
  <c r="J288" i="25"/>
  <c r="J304" i="25"/>
  <c r="G114" i="25"/>
  <c r="G128" i="25"/>
  <c r="J201" i="25"/>
  <c r="J217" i="25"/>
  <c r="J233" i="25"/>
  <c r="J249" i="25"/>
  <c r="J265" i="25"/>
  <c r="J281" i="25"/>
  <c r="J297" i="25"/>
  <c r="G72" i="25"/>
  <c r="G167" i="25"/>
  <c r="G124" i="25"/>
  <c r="G169" i="25"/>
  <c r="J198" i="25"/>
  <c r="J214" i="25"/>
  <c r="J230" i="25"/>
  <c r="J246" i="25"/>
  <c r="J262" i="25"/>
  <c r="J278" i="25"/>
  <c r="J294" i="25"/>
  <c r="G83" i="25"/>
  <c r="G148" i="25"/>
  <c r="G136" i="25"/>
  <c r="G149" i="25"/>
  <c r="G98" i="25"/>
  <c r="G171" i="25"/>
  <c r="G197" i="25"/>
  <c r="G178" i="25"/>
  <c r="G200" i="25"/>
  <c r="G220" i="25"/>
  <c r="G236" i="25"/>
  <c r="G252" i="25"/>
  <c r="G268" i="25"/>
  <c r="G284" i="25"/>
  <c r="K189" i="25"/>
  <c r="K205" i="25"/>
  <c r="K221" i="25"/>
  <c r="K237" i="25"/>
  <c r="K253" i="25"/>
  <c r="K269" i="25"/>
  <c r="K285" i="25"/>
  <c r="K301" i="25"/>
  <c r="K202" i="25"/>
  <c r="K218" i="25"/>
  <c r="K234" i="25"/>
  <c r="K250" i="25"/>
  <c r="K266" i="25"/>
  <c r="K282" i="25"/>
  <c r="K298" i="25"/>
  <c r="K199" i="25"/>
  <c r="K215" i="25"/>
  <c r="K231" i="25"/>
  <c r="K247" i="25"/>
  <c r="K263" i="25"/>
  <c r="K279" i="25"/>
  <c r="K295" i="25"/>
  <c r="K200" i="25"/>
  <c r="K216" i="25"/>
  <c r="K232" i="25"/>
  <c r="K248" i="25"/>
  <c r="K264" i="25"/>
  <c r="K280" i="25"/>
  <c r="K296" i="25"/>
  <c r="J203" i="25"/>
  <c r="J219" i="25"/>
  <c r="J235" i="25"/>
  <c r="J251" i="25"/>
  <c r="J267" i="25"/>
  <c r="J283" i="25"/>
  <c r="J299" i="25"/>
  <c r="G85" i="25"/>
  <c r="G160" i="25"/>
  <c r="G184" i="25"/>
  <c r="G97" i="25"/>
  <c r="G170" i="25"/>
  <c r="G135" i="25"/>
  <c r="G202" i="25"/>
  <c r="J196" i="25"/>
  <c r="J212" i="25"/>
  <c r="J228" i="25"/>
  <c r="J244" i="25"/>
  <c r="J260" i="25"/>
  <c r="J276" i="25"/>
  <c r="J292" i="25"/>
  <c r="G120" i="25"/>
  <c r="G186" i="25"/>
  <c r="G67" i="25"/>
  <c r="J189" i="25"/>
  <c r="J205" i="25"/>
  <c r="J221" i="25"/>
  <c r="J237" i="25"/>
  <c r="J253" i="25"/>
  <c r="J269" i="25"/>
  <c r="J285" i="25"/>
  <c r="J301" i="25"/>
  <c r="G102" i="25"/>
  <c r="G137" i="25"/>
  <c r="G140" i="25"/>
  <c r="G87" i="25"/>
  <c r="J202" i="25"/>
  <c r="J218" i="25"/>
  <c r="J234" i="25"/>
  <c r="J250" i="25"/>
  <c r="J266" i="25"/>
  <c r="J282" i="25"/>
  <c r="J298" i="25"/>
  <c r="G162" i="25"/>
  <c r="G183" i="25"/>
  <c r="G123" i="25"/>
  <c r="G157" i="25"/>
  <c r="G86" i="25"/>
  <c r="G181" i="25"/>
  <c r="G164" i="25"/>
  <c r="G201" i="25"/>
  <c r="G173" i="25"/>
  <c r="G208" i="25"/>
  <c r="G248" i="25"/>
  <c r="G280" i="25"/>
  <c r="G304" i="25"/>
  <c r="F187" i="25"/>
  <c r="F175" i="25"/>
  <c r="F122" i="25"/>
  <c r="F147" i="25"/>
  <c r="F176" i="25"/>
  <c r="F196" i="25"/>
  <c r="F212" i="25"/>
  <c r="F228" i="25"/>
  <c r="G130" i="25"/>
  <c r="G213" i="25"/>
  <c r="G229" i="25"/>
  <c r="G245" i="25"/>
  <c r="G261" i="25"/>
  <c r="G277" i="25"/>
  <c r="G293" i="25"/>
  <c r="F153" i="25"/>
  <c r="F162" i="25"/>
  <c r="F183" i="25"/>
  <c r="F123" i="25"/>
  <c r="F157" i="25"/>
  <c r="F86" i="25"/>
  <c r="F181" i="25"/>
  <c r="F164" i="25"/>
  <c r="F201" i="25"/>
  <c r="F217" i="25"/>
  <c r="G176" i="25"/>
  <c r="G210" i="25"/>
  <c r="G226" i="25"/>
  <c r="G242" i="25"/>
  <c r="G258" i="25"/>
  <c r="G274" i="25"/>
  <c r="G290" i="25"/>
  <c r="F154" i="25"/>
  <c r="F89" i="25"/>
  <c r="G177" i="25"/>
  <c r="G199" i="25"/>
  <c r="G219" i="25"/>
  <c r="G235" i="25"/>
  <c r="G251" i="25"/>
  <c r="G267" i="25"/>
  <c r="G283" i="25"/>
  <c r="G299" i="25"/>
  <c r="F111" i="25"/>
  <c r="F68" i="25"/>
  <c r="F94" i="25"/>
  <c r="F114" i="25"/>
  <c r="F128" i="25"/>
  <c r="F182" i="25"/>
  <c r="F191" i="25"/>
  <c r="F207" i="25"/>
  <c r="F223" i="25"/>
  <c r="F119" i="25"/>
  <c r="F226" i="25"/>
  <c r="F245" i="25"/>
  <c r="F261" i="25"/>
  <c r="F277" i="25"/>
  <c r="F293" i="25"/>
  <c r="F218" i="25"/>
  <c r="F242" i="25"/>
  <c r="F258" i="25"/>
  <c r="F274" i="25"/>
  <c r="F290" i="25"/>
  <c r="F206" i="25"/>
  <c r="F239" i="25"/>
  <c r="F255" i="25"/>
  <c r="F271" i="25"/>
  <c r="F287" i="25"/>
  <c r="F303" i="25"/>
  <c r="F240" i="25"/>
  <c r="F272" i="25"/>
  <c r="F304" i="25"/>
  <c r="F260" i="25"/>
  <c r="F292" i="25"/>
  <c r="F121" i="25"/>
  <c r="F199" i="25"/>
  <c r="F198" i="25"/>
  <c r="F269" i="25"/>
  <c r="F135" i="25"/>
  <c r="F266" i="25"/>
  <c r="F155" i="25"/>
  <c r="F263" i="25"/>
  <c r="F174" i="25"/>
  <c r="F264" i="25"/>
  <c r="G224" i="25"/>
  <c r="G256" i="25"/>
  <c r="G288" i="25"/>
  <c r="F72" i="25"/>
  <c r="F167" i="25"/>
  <c r="F124" i="25"/>
  <c r="F169" i="25"/>
  <c r="F178" i="25"/>
  <c r="F142" i="25"/>
  <c r="F200" i="25"/>
  <c r="F216" i="25"/>
  <c r="G145" i="25"/>
  <c r="G195" i="25"/>
  <c r="G217" i="25"/>
  <c r="G233" i="25"/>
  <c r="G249" i="25"/>
  <c r="G265" i="25"/>
  <c r="G281" i="25"/>
  <c r="G297" i="25"/>
  <c r="F100" i="25"/>
  <c r="F47" i="25"/>
  <c r="F165" i="25"/>
  <c r="F138" i="25"/>
  <c r="F179" i="25"/>
  <c r="F90" i="25"/>
  <c r="F163" i="25"/>
  <c r="F189" i="25"/>
  <c r="F205" i="25"/>
  <c r="F221" i="25"/>
  <c r="G188" i="25"/>
  <c r="G214" i="25"/>
  <c r="G230" i="25"/>
  <c r="G246" i="25"/>
  <c r="G262" i="25"/>
  <c r="G278" i="25"/>
  <c r="G294" i="25"/>
  <c r="F112" i="25"/>
  <c r="F82" i="25"/>
  <c r="F113" i="25"/>
  <c r="F85" i="25"/>
  <c r="F160" i="25"/>
  <c r="F184" i="25"/>
  <c r="F97" i="25"/>
  <c r="G182" i="25"/>
  <c r="G207" i="25"/>
  <c r="G223" i="25"/>
  <c r="G239" i="25"/>
  <c r="G255" i="25"/>
  <c r="G271" i="25"/>
  <c r="G287" i="25"/>
  <c r="G303" i="25"/>
  <c r="F120" i="25"/>
  <c r="F186" i="25"/>
  <c r="F67" i="25"/>
  <c r="F145" i="25"/>
  <c r="F141" i="25"/>
  <c r="F195" i="25"/>
  <c r="F211" i="25"/>
  <c r="F227" i="25"/>
  <c r="F158" i="25"/>
  <c r="F233" i="25"/>
  <c r="F249" i="25"/>
  <c r="F265" i="25"/>
  <c r="F281" i="25"/>
  <c r="F297" i="25"/>
  <c r="F170" i="25"/>
  <c r="F229" i="25"/>
  <c r="F246" i="25"/>
  <c r="F262" i="25"/>
  <c r="F278" i="25"/>
  <c r="F294" i="25"/>
  <c r="F222" i="25"/>
  <c r="F243" i="25"/>
  <c r="F259" i="25"/>
  <c r="F275" i="25"/>
  <c r="F291" i="25"/>
  <c r="F156" i="25"/>
  <c r="F225" i="25"/>
  <c r="F276" i="25"/>
  <c r="F88" i="25"/>
  <c r="F161" i="25"/>
  <c r="F231" i="25"/>
  <c r="F253" i="25"/>
  <c r="F301" i="25"/>
  <c r="F250" i="25"/>
  <c r="F298" i="25"/>
  <c r="F247" i="25"/>
  <c r="F295" i="25"/>
  <c r="F248" i="25"/>
  <c r="F296" i="25"/>
  <c r="G232" i="25"/>
  <c r="G264" i="25"/>
  <c r="G296" i="25"/>
  <c r="F139" i="25"/>
  <c r="F102" i="25"/>
  <c r="F137" i="25"/>
  <c r="F140" i="25"/>
  <c r="F87" i="25"/>
  <c r="F168" i="25"/>
  <c r="F188" i="25"/>
  <c r="F204" i="25"/>
  <c r="F220" i="25"/>
  <c r="G143" i="25"/>
  <c r="G203" i="25"/>
  <c r="G221" i="25"/>
  <c r="G237" i="25"/>
  <c r="G253" i="25"/>
  <c r="G269" i="25"/>
  <c r="G285" i="25"/>
  <c r="G301" i="25"/>
  <c r="F93" i="25"/>
  <c r="F132" i="25"/>
  <c r="F101" i="25"/>
  <c r="F92" i="25"/>
  <c r="F159" i="25"/>
  <c r="F193" i="25"/>
  <c r="F209" i="25"/>
  <c r="G147" i="25"/>
  <c r="G196" i="25"/>
  <c r="G218" i="25"/>
  <c r="G234" i="25"/>
  <c r="G250" i="25"/>
  <c r="G266" i="25"/>
  <c r="G282" i="25"/>
  <c r="G298" i="25"/>
  <c r="F125" i="25"/>
  <c r="F166" i="25"/>
  <c r="F129" i="25"/>
  <c r="F180" i="25"/>
  <c r="F96" i="25"/>
  <c r="G161" i="25"/>
  <c r="G211" i="25"/>
  <c r="G227" i="25"/>
  <c r="G243" i="25"/>
  <c r="G259" i="25"/>
  <c r="G275" i="25"/>
  <c r="G291" i="25"/>
  <c r="G240" i="25"/>
  <c r="G272" i="25"/>
  <c r="G300" i="25"/>
  <c r="F115" i="25"/>
  <c r="F117" i="25"/>
  <c r="F74" i="25"/>
  <c r="F146" i="25"/>
  <c r="F131" i="25"/>
  <c r="F173" i="25"/>
  <c r="F192" i="25"/>
  <c r="F208" i="25"/>
  <c r="F224" i="25"/>
  <c r="G141" i="25"/>
  <c r="G209" i="25"/>
  <c r="G225" i="25"/>
  <c r="G241" i="25"/>
  <c r="G257" i="25"/>
  <c r="G273" i="25"/>
  <c r="G289" i="25"/>
  <c r="G305" i="25"/>
  <c r="F83" i="25"/>
  <c r="F148" i="25"/>
  <c r="F136" i="25"/>
  <c r="F149" i="25"/>
  <c r="F98" i="25"/>
  <c r="F171" i="25"/>
  <c r="F197" i="25"/>
  <c r="F213" i="25"/>
  <c r="G168" i="25"/>
  <c r="G204" i="25"/>
  <c r="G222" i="25"/>
  <c r="G238" i="25"/>
  <c r="G254" i="25"/>
  <c r="G270" i="25"/>
  <c r="G286" i="25"/>
  <c r="G302" i="25"/>
  <c r="F126" i="25"/>
  <c r="F185" i="25"/>
  <c r="F150" i="25"/>
  <c r="G191" i="25"/>
  <c r="G215" i="25"/>
  <c r="G231" i="25"/>
  <c r="G247" i="25"/>
  <c r="G263" i="25"/>
  <c r="G279" i="25"/>
  <c r="G295" i="25"/>
  <c r="F172" i="25"/>
  <c r="F151" i="25"/>
  <c r="F91" i="25"/>
  <c r="F116" i="25"/>
  <c r="F143" i="25"/>
  <c r="F130" i="25"/>
  <c r="F203" i="25"/>
  <c r="F219" i="25"/>
  <c r="F214" i="25"/>
  <c r="F241" i="25"/>
  <c r="F257" i="25"/>
  <c r="F273" i="25"/>
  <c r="F289" i="25"/>
  <c r="F305" i="25"/>
  <c r="F202" i="25"/>
  <c r="F238" i="25"/>
  <c r="F254" i="25"/>
  <c r="F270" i="25"/>
  <c r="F286" i="25"/>
  <c r="F302" i="25"/>
  <c r="F190" i="25"/>
  <c r="F235" i="25"/>
  <c r="F251" i="25"/>
  <c r="F267" i="25"/>
  <c r="F283" i="25"/>
  <c r="F299" i="25"/>
  <c r="F194" i="25"/>
  <c r="F236" i="25"/>
  <c r="F252" i="25"/>
  <c r="F268" i="25"/>
  <c r="F284" i="25"/>
  <c r="F300" i="25"/>
  <c r="F210" i="25"/>
  <c r="F256" i="25"/>
  <c r="F288" i="25"/>
  <c r="F244" i="25"/>
  <c r="F133" i="25"/>
  <c r="F177" i="25"/>
  <c r="F215" i="25"/>
  <c r="F237" i="25"/>
  <c r="F285" i="25"/>
  <c r="F234" i="25"/>
  <c r="F282" i="25"/>
  <c r="F230" i="25"/>
  <c r="F279" i="25"/>
  <c r="F232" i="25"/>
  <c r="F280" i="25"/>
  <c r="G115" i="25"/>
  <c r="G100" i="25"/>
  <c r="G117" i="25"/>
  <c r="CV270" i="1"/>
  <c r="CX270" i="1" s="1"/>
  <c r="DB270" i="1" s="1"/>
  <c r="CL270" i="1"/>
  <c r="CK270" i="1"/>
  <c r="CJ270" i="1"/>
  <c r="CI270" i="1"/>
  <c r="CV266" i="1"/>
  <c r="CX266" i="1" s="1"/>
  <c r="CW266" i="1" s="1"/>
  <c r="CL266" i="1"/>
  <c r="CK266" i="1"/>
  <c r="CJ266" i="1"/>
  <c r="CI266" i="1"/>
  <c r="CV240" i="1"/>
  <c r="CX240" i="1" s="1"/>
  <c r="DD240" i="1" s="1"/>
  <c r="DF240" i="1" s="1"/>
  <c r="CL240" i="1"/>
  <c r="CK240" i="1"/>
  <c r="CJ240" i="1"/>
  <c r="CI240" i="1"/>
  <c r="CV236" i="1"/>
  <c r="CX236" i="1" s="1"/>
  <c r="CW236" i="1" s="1"/>
  <c r="CL236" i="1"/>
  <c r="CK236" i="1"/>
  <c r="CJ236" i="1"/>
  <c r="CI236" i="1"/>
  <c r="CV232" i="1"/>
  <c r="CX232" i="1" s="1"/>
  <c r="DB232" i="1" s="1"/>
  <c r="CL232" i="1"/>
  <c r="CK232" i="1"/>
  <c r="CJ232" i="1"/>
  <c r="CI232" i="1"/>
  <c r="CV228" i="1"/>
  <c r="CX228" i="1" s="1"/>
  <c r="CW228" i="1" s="1"/>
  <c r="CL228" i="1"/>
  <c r="CK228" i="1"/>
  <c r="CJ228" i="1"/>
  <c r="CI228" i="1"/>
  <c r="CV224" i="1"/>
  <c r="CX224" i="1" s="1"/>
  <c r="CZ224" i="1" s="1"/>
  <c r="CL224" i="1"/>
  <c r="CK224" i="1"/>
  <c r="CJ224" i="1"/>
  <c r="CI224" i="1"/>
  <c r="CV220" i="1"/>
  <c r="CX220" i="1" s="1"/>
  <c r="CW220" i="1" s="1"/>
  <c r="CL220" i="1"/>
  <c r="CK220" i="1"/>
  <c r="CJ220" i="1"/>
  <c r="CI220" i="1"/>
  <c r="CV216" i="1"/>
  <c r="CX216" i="1" s="1"/>
  <c r="DB216" i="1" s="1"/>
  <c r="CL216" i="1"/>
  <c r="CK216" i="1"/>
  <c r="CJ216" i="1"/>
  <c r="CI216" i="1"/>
  <c r="CV212" i="1"/>
  <c r="CX212" i="1" s="1"/>
  <c r="CW212" i="1" s="1"/>
  <c r="CL212" i="1"/>
  <c r="CK212" i="1"/>
  <c r="CJ212" i="1"/>
  <c r="CI212" i="1"/>
  <c r="CV208" i="1"/>
  <c r="CX208" i="1" s="1"/>
  <c r="CZ208" i="1" s="1"/>
  <c r="CL208" i="1"/>
  <c r="CK208" i="1"/>
  <c r="CJ208" i="1"/>
  <c r="CI208" i="1"/>
  <c r="CV204" i="1"/>
  <c r="CX204" i="1" s="1"/>
  <c r="CW204" i="1" s="1"/>
  <c r="CL204" i="1"/>
  <c r="CK204" i="1"/>
  <c r="CJ204" i="1"/>
  <c r="CI204" i="1"/>
  <c r="CV200" i="1"/>
  <c r="CX200" i="1" s="1"/>
  <c r="CZ200" i="1" s="1"/>
  <c r="CL200" i="1"/>
  <c r="CK200" i="1"/>
  <c r="CJ200" i="1"/>
  <c r="CI200" i="1"/>
  <c r="CV196" i="1"/>
  <c r="CX196" i="1" s="1"/>
  <c r="CW196" i="1" s="1"/>
  <c r="CL196" i="1"/>
  <c r="CK196" i="1"/>
  <c r="CJ196" i="1"/>
  <c r="CI196" i="1"/>
  <c r="CV192" i="1"/>
  <c r="CX192" i="1" s="1"/>
  <c r="CZ192" i="1" s="1"/>
  <c r="CL192" i="1"/>
  <c r="CK192" i="1"/>
  <c r="CJ192" i="1"/>
  <c r="CI192" i="1"/>
  <c r="CV188" i="1"/>
  <c r="CX188" i="1" s="1"/>
  <c r="CW188" i="1" s="1"/>
  <c r="CL188" i="1"/>
  <c r="CK188" i="1"/>
  <c r="CJ188" i="1"/>
  <c r="CI188" i="1"/>
  <c r="CV184" i="1"/>
  <c r="CX184" i="1" s="1"/>
  <c r="DB184" i="1" s="1"/>
  <c r="CL184" i="1"/>
  <c r="CK184" i="1"/>
  <c r="CJ184" i="1"/>
  <c r="CI184" i="1"/>
  <c r="CV180" i="1"/>
  <c r="CX180" i="1" s="1"/>
  <c r="CW180" i="1" s="1"/>
  <c r="CL180" i="1"/>
  <c r="CK180" i="1"/>
  <c r="CJ180" i="1"/>
  <c r="CI180" i="1"/>
  <c r="CV176" i="1"/>
  <c r="CX176" i="1" s="1"/>
  <c r="CL176" i="1"/>
  <c r="CK176" i="1"/>
  <c r="CJ176" i="1"/>
  <c r="CI176" i="1"/>
  <c r="CV172" i="1"/>
  <c r="CX172" i="1" s="1"/>
  <c r="CW172" i="1" s="1"/>
  <c r="CL172" i="1"/>
  <c r="CK172" i="1"/>
  <c r="CJ172" i="1"/>
  <c r="CI172" i="1"/>
  <c r="CV168" i="1"/>
  <c r="CX168" i="1" s="1"/>
  <c r="DB168" i="1" s="1"/>
  <c r="CL168" i="1"/>
  <c r="CK168" i="1"/>
  <c r="CJ168" i="1"/>
  <c r="CI168" i="1"/>
  <c r="CV164" i="1"/>
  <c r="CX164" i="1" s="1"/>
  <c r="CW164" i="1" s="1"/>
  <c r="CL164" i="1"/>
  <c r="CK164" i="1"/>
  <c r="CJ164" i="1"/>
  <c r="CI164" i="1"/>
  <c r="CV160" i="1"/>
  <c r="CX160" i="1" s="1"/>
  <c r="DB160" i="1" s="1"/>
  <c r="CL160" i="1"/>
  <c r="CK160" i="1"/>
  <c r="CJ160" i="1"/>
  <c r="CI160" i="1"/>
  <c r="CV156" i="1"/>
  <c r="CX156" i="1" s="1"/>
  <c r="CW156" i="1" s="1"/>
  <c r="CL156" i="1"/>
  <c r="CK156" i="1"/>
  <c r="CJ156" i="1"/>
  <c r="CI156" i="1"/>
  <c r="CV152" i="1"/>
  <c r="CX152" i="1" s="1"/>
  <c r="DB152" i="1" s="1"/>
  <c r="CL152" i="1"/>
  <c r="CK152" i="1"/>
  <c r="CJ152" i="1"/>
  <c r="CI152" i="1"/>
  <c r="CV148" i="1"/>
  <c r="CX148" i="1" s="1"/>
  <c r="CW148" i="1" s="1"/>
  <c r="CL148" i="1"/>
  <c r="CK148" i="1"/>
  <c r="CJ148" i="1"/>
  <c r="CI148" i="1"/>
  <c r="CV144" i="1"/>
  <c r="CX144" i="1" s="1"/>
  <c r="DD144" i="1" s="1"/>
  <c r="DF144" i="1" s="1"/>
  <c r="CL144" i="1"/>
  <c r="CK144" i="1"/>
  <c r="CJ144" i="1"/>
  <c r="CI144" i="1"/>
  <c r="CV140" i="1"/>
  <c r="CX140" i="1" s="1"/>
  <c r="CW140" i="1" s="1"/>
  <c r="CL140" i="1"/>
  <c r="CK140" i="1"/>
  <c r="CJ140" i="1"/>
  <c r="CI140" i="1"/>
  <c r="CV136" i="1"/>
  <c r="CX136" i="1" s="1"/>
  <c r="DB136" i="1" s="1"/>
  <c r="CL136" i="1"/>
  <c r="CK136" i="1"/>
  <c r="CJ136" i="1"/>
  <c r="CI136" i="1"/>
  <c r="CV132" i="1"/>
  <c r="CX132" i="1" s="1"/>
  <c r="CW132" i="1" s="1"/>
  <c r="CL132" i="1"/>
  <c r="CK132" i="1"/>
  <c r="CJ132" i="1"/>
  <c r="CI132" i="1"/>
  <c r="CV269" i="1"/>
  <c r="CX269" i="1" s="1"/>
  <c r="DB269" i="1" s="1"/>
  <c r="CL269" i="1"/>
  <c r="CK269" i="1"/>
  <c r="CJ269" i="1"/>
  <c r="CI269" i="1"/>
  <c r="CV265" i="1"/>
  <c r="CX265" i="1" s="1"/>
  <c r="DB265" i="1" s="1"/>
  <c r="CL265" i="1"/>
  <c r="CK265" i="1"/>
  <c r="CJ265" i="1"/>
  <c r="CI265" i="1"/>
  <c r="CV243" i="1"/>
  <c r="CX243" i="1" s="1"/>
  <c r="CZ243" i="1" s="1"/>
  <c r="CL243" i="1"/>
  <c r="CK243" i="1"/>
  <c r="CJ243" i="1"/>
  <c r="CI243" i="1"/>
  <c r="CV239" i="1"/>
  <c r="CX239" i="1" s="1"/>
  <c r="CZ239" i="1" s="1"/>
  <c r="CL239" i="1"/>
  <c r="CK239" i="1"/>
  <c r="CJ239" i="1"/>
  <c r="CI239" i="1"/>
  <c r="CV235" i="1"/>
  <c r="CX235" i="1" s="1"/>
  <c r="DD235" i="1" s="1"/>
  <c r="DH235" i="1" s="1"/>
  <c r="CL235" i="1"/>
  <c r="CK235" i="1"/>
  <c r="CJ235" i="1"/>
  <c r="CI235" i="1"/>
  <c r="CV231" i="1"/>
  <c r="CX231" i="1" s="1"/>
  <c r="CZ231" i="1" s="1"/>
  <c r="CL231" i="1"/>
  <c r="CK231" i="1"/>
  <c r="CJ231" i="1"/>
  <c r="CI231" i="1"/>
  <c r="CV227" i="1"/>
  <c r="CX227" i="1" s="1"/>
  <c r="DD227" i="1" s="1"/>
  <c r="DH227" i="1" s="1"/>
  <c r="CL227" i="1"/>
  <c r="CK227" i="1"/>
  <c r="CJ227" i="1"/>
  <c r="CI227" i="1"/>
  <c r="CV223" i="1"/>
  <c r="CX223" i="1" s="1"/>
  <c r="CZ223" i="1" s="1"/>
  <c r="CL223" i="1"/>
  <c r="CK223" i="1"/>
  <c r="CJ223" i="1"/>
  <c r="CI223" i="1"/>
  <c r="CV219" i="1"/>
  <c r="CX219" i="1" s="1"/>
  <c r="CZ219" i="1" s="1"/>
  <c r="CL219" i="1"/>
  <c r="CK219" i="1"/>
  <c r="CJ219" i="1"/>
  <c r="CI219" i="1"/>
  <c r="CV215" i="1"/>
  <c r="CX215" i="1" s="1"/>
  <c r="DB215" i="1" s="1"/>
  <c r="CL215" i="1"/>
  <c r="CK215" i="1"/>
  <c r="CJ215" i="1"/>
  <c r="CI215" i="1"/>
  <c r="CV211" i="1"/>
  <c r="CX211" i="1" s="1"/>
  <c r="CZ211" i="1" s="1"/>
  <c r="CL211" i="1"/>
  <c r="CK211" i="1"/>
  <c r="CJ211" i="1"/>
  <c r="CI211" i="1"/>
  <c r="CV207" i="1"/>
  <c r="CX207" i="1" s="1"/>
  <c r="CZ207" i="1" s="1"/>
  <c r="CL207" i="1"/>
  <c r="CK207" i="1"/>
  <c r="CJ207" i="1"/>
  <c r="CI207" i="1"/>
  <c r="CV203" i="1"/>
  <c r="CX203" i="1" s="1"/>
  <c r="CL203" i="1"/>
  <c r="CK203" i="1"/>
  <c r="CJ203" i="1"/>
  <c r="CI203" i="1"/>
  <c r="CV199" i="1"/>
  <c r="CX199" i="1" s="1"/>
  <c r="CZ199" i="1" s="1"/>
  <c r="CL199" i="1"/>
  <c r="CK199" i="1"/>
  <c r="CJ199" i="1"/>
  <c r="CI199" i="1"/>
  <c r="CV195" i="1"/>
  <c r="CX195" i="1" s="1"/>
  <c r="CZ195" i="1" s="1"/>
  <c r="CL195" i="1"/>
  <c r="CK195" i="1"/>
  <c r="CJ195" i="1"/>
  <c r="CI195" i="1"/>
  <c r="CV191" i="1"/>
  <c r="CX191" i="1" s="1"/>
  <c r="CZ191" i="1" s="1"/>
  <c r="CL191" i="1"/>
  <c r="CK191" i="1"/>
  <c r="CJ191" i="1"/>
  <c r="CI191" i="1"/>
  <c r="CV187" i="1"/>
  <c r="CX187" i="1" s="1"/>
  <c r="CZ187" i="1" s="1"/>
  <c r="CL187" i="1"/>
  <c r="CK187" i="1"/>
  <c r="CJ187" i="1"/>
  <c r="CI187" i="1"/>
  <c r="CV183" i="1"/>
  <c r="CX183" i="1" s="1"/>
  <c r="CZ183" i="1" s="1"/>
  <c r="CL183" i="1"/>
  <c r="CK183" i="1"/>
  <c r="CJ183" i="1"/>
  <c r="CI183" i="1"/>
  <c r="CV179" i="1"/>
  <c r="CX179" i="1" s="1"/>
  <c r="CZ179" i="1" s="1"/>
  <c r="CL179" i="1"/>
  <c r="CK179" i="1"/>
  <c r="CJ179" i="1"/>
  <c r="CI179" i="1"/>
  <c r="CV175" i="1"/>
  <c r="CX175" i="1" s="1"/>
  <c r="CZ175" i="1" s="1"/>
  <c r="CL175" i="1"/>
  <c r="CK175" i="1"/>
  <c r="CJ175" i="1"/>
  <c r="CI175" i="1"/>
  <c r="CV171" i="1"/>
  <c r="CX171" i="1" s="1"/>
  <c r="CZ171" i="1" s="1"/>
  <c r="CL171" i="1"/>
  <c r="CK171" i="1"/>
  <c r="CJ171" i="1"/>
  <c r="CI171" i="1"/>
  <c r="CV167" i="1"/>
  <c r="CX167" i="1" s="1"/>
  <c r="DB167" i="1" s="1"/>
  <c r="CL167" i="1"/>
  <c r="CK167" i="1"/>
  <c r="CJ167" i="1"/>
  <c r="CI167" i="1"/>
  <c r="CV163" i="1"/>
  <c r="CX163" i="1" s="1"/>
  <c r="CL163" i="1"/>
  <c r="CK163" i="1"/>
  <c r="CJ163" i="1"/>
  <c r="CI163" i="1"/>
  <c r="CV159" i="1"/>
  <c r="CX159" i="1" s="1"/>
  <c r="CZ159" i="1" s="1"/>
  <c r="CL159" i="1"/>
  <c r="CK159" i="1"/>
  <c r="CJ159" i="1"/>
  <c r="CI159" i="1"/>
  <c r="CV155" i="1"/>
  <c r="CX155" i="1" s="1"/>
  <c r="CZ155" i="1" s="1"/>
  <c r="CL155" i="1"/>
  <c r="CK155" i="1"/>
  <c r="CJ155" i="1"/>
  <c r="CI155" i="1"/>
  <c r="CV151" i="1"/>
  <c r="CX151" i="1" s="1"/>
  <c r="DB151" i="1" s="1"/>
  <c r="CL151" i="1"/>
  <c r="CK151" i="1"/>
  <c r="CJ151" i="1"/>
  <c r="CI151" i="1"/>
  <c r="CV147" i="1"/>
  <c r="CX147" i="1" s="1"/>
  <c r="CZ147" i="1" s="1"/>
  <c r="CL147" i="1"/>
  <c r="CK147" i="1"/>
  <c r="CJ147" i="1"/>
  <c r="CI147" i="1"/>
  <c r="CV143" i="1"/>
  <c r="CX143" i="1" s="1"/>
  <c r="CZ143" i="1" s="1"/>
  <c r="CL143" i="1"/>
  <c r="CK143" i="1"/>
  <c r="CJ143" i="1"/>
  <c r="CI143" i="1"/>
  <c r="CV139" i="1"/>
  <c r="CX139" i="1" s="1"/>
  <c r="DB139" i="1" s="1"/>
  <c r="CL139" i="1"/>
  <c r="CK139" i="1"/>
  <c r="CJ139" i="1"/>
  <c r="CI139" i="1"/>
  <c r="CV135" i="1"/>
  <c r="CX135" i="1" s="1"/>
  <c r="CZ135" i="1" s="1"/>
  <c r="CL135" i="1"/>
  <c r="CK135" i="1"/>
  <c r="CJ135" i="1"/>
  <c r="CI135" i="1"/>
  <c r="CV131" i="1"/>
  <c r="CX131" i="1" s="1"/>
  <c r="DB131" i="1" s="1"/>
  <c r="CL131" i="1"/>
  <c r="CK131" i="1"/>
  <c r="CJ131" i="1"/>
  <c r="CI131" i="1"/>
  <c r="CV91" i="1"/>
  <c r="CX91" i="1" s="1"/>
  <c r="CZ91" i="1" s="1"/>
  <c r="CL91" i="1"/>
  <c r="CK91" i="1"/>
  <c r="CJ91" i="1"/>
  <c r="CI91" i="1"/>
  <c r="CV268" i="1"/>
  <c r="CX268" i="1" s="1"/>
  <c r="CW268" i="1" s="1"/>
  <c r="CL268" i="1"/>
  <c r="CK268" i="1"/>
  <c r="CJ268" i="1"/>
  <c r="CI268" i="1"/>
  <c r="CV264" i="1"/>
  <c r="CX264" i="1" s="1"/>
  <c r="CL264" i="1"/>
  <c r="CK264" i="1"/>
  <c r="CJ264" i="1"/>
  <c r="CI264" i="1"/>
  <c r="CV242" i="1"/>
  <c r="CX242" i="1" s="1"/>
  <c r="CW242" i="1" s="1"/>
  <c r="CL242" i="1"/>
  <c r="CK242" i="1"/>
  <c r="CJ242" i="1"/>
  <c r="CI242" i="1"/>
  <c r="CV238" i="1"/>
  <c r="CX238" i="1" s="1"/>
  <c r="CZ238" i="1" s="1"/>
  <c r="CL238" i="1"/>
  <c r="CK238" i="1"/>
  <c r="CJ238" i="1"/>
  <c r="CI238" i="1"/>
  <c r="CV234" i="1"/>
  <c r="CX234" i="1" s="1"/>
  <c r="CW234" i="1" s="1"/>
  <c r="CL234" i="1"/>
  <c r="CK234" i="1"/>
  <c r="CJ234" i="1"/>
  <c r="CI234" i="1"/>
  <c r="CV230" i="1"/>
  <c r="CX230" i="1" s="1"/>
  <c r="DB230" i="1" s="1"/>
  <c r="CL230" i="1"/>
  <c r="CK230" i="1"/>
  <c r="CJ230" i="1"/>
  <c r="CI230" i="1"/>
  <c r="CV226" i="1"/>
  <c r="CX226" i="1" s="1"/>
  <c r="CW226" i="1" s="1"/>
  <c r="CL226" i="1"/>
  <c r="CK226" i="1"/>
  <c r="CJ226" i="1"/>
  <c r="CI226" i="1"/>
  <c r="CV222" i="1"/>
  <c r="CX222" i="1" s="1"/>
  <c r="DB222" i="1" s="1"/>
  <c r="CL222" i="1"/>
  <c r="CK222" i="1"/>
  <c r="CJ222" i="1"/>
  <c r="CI222" i="1"/>
  <c r="CV218" i="1"/>
  <c r="CX218" i="1" s="1"/>
  <c r="CW218" i="1" s="1"/>
  <c r="CL218" i="1"/>
  <c r="CK218" i="1"/>
  <c r="CJ218" i="1"/>
  <c r="CI218" i="1"/>
  <c r="CV214" i="1"/>
  <c r="CX214" i="1" s="1"/>
  <c r="DB214" i="1" s="1"/>
  <c r="CL214" i="1"/>
  <c r="CK214" i="1"/>
  <c r="CJ214" i="1"/>
  <c r="CI214" i="1"/>
  <c r="CV210" i="1"/>
  <c r="CX210" i="1" s="1"/>
  <c r="CW210" i="1" s="1"/>
  <c r="CL210" i="1"/>
  <c r="CK210" i="1"/>
  <c r="CJ210" i="1"/>
  <c r="CI210" i="1"/>
  <c r="CV206" i="1"/>
  <c r="CX206" i="1" s="1"/>
  <c r="CZ206" i="1" s="1"/>
  <c r="CL206" i="1"/>
  <c r="CK206" i="1"/>
  <c r="CJ206" i="1"/>
  <c r="CI206" i="1"/>
  <c r="CV202" i="1"/>
  <c r="CX202" i="1" s="1"/>
  <c r="CW202" i="1" s="1"/>
  <c r="CL202" i="1"/>
  <c r="CK202" i="1"/>
  <c r="CJ202" i="1"/>
  <c r="CI202" i="1"/>
  <c r="CV198" i="1"/>
  <c r="CX198" i="1" s="1"/>
  <c r="CZ198" i="1" s="1"/>
  <c r="CL198" i="1"/>
  <c r="CK198" i="1"/>
  <c r="CJ198" i="1"/>
  <c r="CI198" i="1"/>
  <c r="CV194" i="1"/>
  <c r="CX194" i="1" s="1"/>
  <c r="CW194" i="1" s="1"/>
  <c r="CL194" i="1"/>
  <c r="CK194" i="1"/>
  <c r="CJ194" i="1"/>
  <c r="CI194" i="1"/>
  <c r="CV190" i="1"/>
  <c r="CX190" i="1" s="1"/>
  <c r="DB190" i="1" s="1"/>
  <c r="CL190" i="1"/>
  <c r="CK190" i="1"/>
  <c r="CJ190" i="1"/>
  <c r="CI190" i="1"/>
  <c r="CV186" i="1"/>
  <c r="CX186" i="1" s="1"/>
  <c r="CW186" i="1" s="1"/>
  <c r="CL186" i="1"/>
  <c r="CK186" i="1"/>
  <c r="CJ186" i="1"/>
  <c r="CI186" i="1"/>
  <c r="CV182" i="1"/>
  <c r="CX182" i="1" s="1"/>
  <c r="CL182" i="1"/>
  <c r="CK182" i="1"/>
  <c r="CJ182" i="1"/>
  <c r="CI182" i="1"/>
  <c r="CV178" i="1"/>
  <c r="CX178" i="1" s="1"/>
  <c r="CW178" i="1" s="1"/>
  <c r="CL178" i="1"/>
  <c r="CK178" i="1"/>
  <c r="CJ178" i="1"/>
  <c r="CI178" i="1"/>
  <c r="CV174" i="1"/>
  <c r="CX174" i="1" s="1"/>
  <c r="CZ174" i="1" s="1"/>
  <c r="CL174" i="1"/>
  <c r="CK174" i="1"/>
  <c r="CJ174" i="1"/>
  <c r="CI174" i="1"/>
  <c r="CV170" i="1"/>
  <c r="CX170" i="1" s="1"/>
  <c r="CW170" i="1" s="1"/>
  <c r="CL170" i="1"/>
  <c r="CK170" i="1"/>
  <c r="CJ170" i="1"/>
  <c r="CI170" i="1"/>
  <c r="CV166" i="1"/>
  <c r="CX166" i="1" s="1"/>
  <c r="DB166" i="1" s="1"/>
  <c r="CL166" i="1"/>
  <c r="CK166" i="1"/>
  <c r="CJ166" i="1"/>
  <c r="CI166" i="1"/>
  <c r="CV162" i="1"/>
  <c r="CX162" i="1" s="1"/>
  <c r="CW162" i="1" s="1"/>
  <c r="CL162" i="1"/>
  <c r="CK162" i="1"/>
  <c r="CJ162" i="1"/>
  <c r="CI162" i="1"/>
  <c r="CV158" i="1"/>
  <c r="CX158" i="1" s="1"/>
  <c r="DB158" i="1" s="1"/>
  <c r="CL158" i="1"/>
  <c r="CK158" i="1"/>
  <c r="CJ158" i="1"/>
  <c r="CI158" i="1"/>
  <c r="CV154" i="1"/>
  <c r="CX154" i="1" s="1"/>
  <c r="CW154" i="1" s="1"/>
  <c r="CL154" i="1"/>
  <c r="CK154" i="1"/>
  <c r="CJ154" i="1"/>
  <c r="CI154" i="1"/>
  <c r="CV150" i="1"/>
  <c r="CX150" i="1" s="1"/>
  <c r="DB150" i="1" s="1"/>
  <c r="CL150" i="1"/>
  <c r="CK150" i="1"/>
  <c r="CJ150" i="1"/>
  <c r="CI150" i="1"/>
  <c r="CV146" i="1"/>
  <c r="CX146" i="1" s="1"/>
  <c r="CW146" i="1" s="1"/>
  <c r="CL146" i="1"/>
  <c r="CK146" i="1"/>
  <c r="CJ146" i="1"/>
  <c r="CI146" i="1"/>
  <c r="CV142" i="1"/>
  <c r="CX142" i="1" s="1"/>
  <c r="CZ142" i="1" s="1"/>
  <c r="CL142" i="1"/>
  <c r="CK142" i="1"/>
  <c r="CJ142" i="1"/>
  <c r="CI142" i="1"/>
  <c r="CV138" i="1"/>
  <c r="CX138" i="1" s="1"/>
  <c r="CW138" i="1" s="1"/>
  <c r="CL138" i="1"/>
  <c r="CK138" i="1"/>
  <c r="CJ138" i="1"/>
  <c r="CI138" i="1"/>
  <c r="CV134" i="1"/>
  <c r="CX134" i="1" s="1"/>
  <c r="DB134" i="1" s="1"/>
  <c r="CL134" i="1"/>
  <c r="CK134" i="1"/>
  <c r="CJ134" i="1"/>
  <c r="CI134" i="1"/>
  <c r="CV130" i="1"/>
  <c r="CX130" i="1" s="1"/>
  <c r="CW130" i="1" s="1"/>
  <c r="CL130" i="1"/>
  <c r="CK130" i="1"/>
  <c r="CJ130" i="1"/>
  <c r="CI130" i="1"/>
  <c r="CV271" i="1"/>
  <c r="CX271" i="1" s="1"/>
  <c r="CL271" i="1"/>
  <c r="CK271" i="1"/>
  <c r="CJ271" i="1"/>
  <c r="CI271" i="1"/>
  <c r="CV267" i="1"/>
  <c r="CX267" i="1" s="1"/>
  <c r="CW267" i="1" s="1"/>
  <c r="CL267" i="1"/>
  <c r="CK267" i="1"/>
  <c r="CJ267" i="1"/>
  <c r="CI267" i="1"/>
  <c r="CV241" i="1"/>
  <c r="CX241" i="1" s="1"/>
  <c r="CZ241" i="1" s="1"/>
  <c r="CL241" i="1"/>
  <c r="CK241" i="1"/>
  <c r="CJ241" i="1"/>
  <c r="CI241" i="1"/>
  <c r="CV237" i="1"/>
  <c r="CX237" i="1" s="1"/>
  <c r="CW237" i="1" s="1"/>
  <c r="CL237" i="1"/>
  <c r="CK237" i="1"/>
  <c r="CJ237" i="1"/>
  <c r="CI237" i="1"/>
  <c r="CV233" i="1"/>
  <c r="CX233" i="1" s="1"/>
  <c r="CZ233" i="1" s="1"/>
  <c r="CL233" i="1"/>
  <c r="CK233" i="1"/>
  <c r="CJ233" i="1"/>
  <c r="CI233" i="1"/>
  <c r="CV229" i="1"/>
  <c r="CX229" i="1" s="1"/>
  <c r="CW229" i="1" s="1"/>
  <c r="CL229" i="1"/>
  <c r="CK229" i="1"/>
  <c r="CJ229" i="1"/>
  <c r="CI229" i="1"/>
  <c r="CV225" i="1"/>
  <c r="CX225" i="1" s="1"/>
  <c r="DD225" i="1" s="1"/>
  <c r="DF225" i="1" s="1"/>
  <c r="CL225" i="1"/>
  <c r="CK225" i="1"/>
  <c r="CJ225" i="1"/>
  <c r="CI225" i="1"/>
  <c r="CV221" i="1"/>
  <c r="CX221" i="1" s="1"/>
  <c r="CW221" i="1" s="1"/>
  <c r="CL221" i="1"/>
  <c r="CK221" i="1"/>
  <c r="CJ221" i="1"/>
  <c r="CI221" i="1"/>
  <c r="CV217" i="1"/>
  <c r="CX217" i="1" s="1"/>
  <c r="CZ217" i="1" s="1"/>
  <c r="CL217" i="1"/>
  <c r="CK217" i="1"/>
  <c r="CJ217" i="1"/>
  <c r="CI217" i="1"/>
  <c r="CV213" i="1"/>
  <c r="CX213" i="1" s="1"/>
  <c r="CW213" i="1" s="1"/>
  <c r="CL213" i="1"/>
  <c r="CK213" i="1"/>
  <c r="CJ213" i="1"/>
  <c r="CI213" i="1"/>
  <c r="CV209" i="1"/>
  <c r="CX209" i="1" s="1"/>
  <c r="DD209" i="1" s="1"/>
  <c r="DF209" i="1" s="1"/>
  <c r="CL209" i="1"/>
  <c r="CK209" i="1"/>
  <c r="CJ209" i="1"/>
  <c r="CI209" i="1"/>
  <c r="CV205" i="1"/>
  <c r="CX205" i="1" s="1"/>
  <c r="CW205" i="1" s="1"/>
  <c r="CL205" i="1"/>
  <c r="CK205" i="1"/>
  <c r="CJ205" i="1"/>
  <c r="CI205" i="1"/>
  <c r="CV201" i="1"/>
  <c r="CX201" i="1" s="1"/>
  <c r="CL201" i="1"/>
  <c r="CK201" i="1"/>
  <c r="CJ201" i="1"/>
  <c r="CI201" i="1"/>
  <c r="CV197" i="1"/>
  <c r="CX197" i="1" s="1"/>
  <c r="CW197" i="1" s="1"/>
  <c r="CL197" i="1"/>
  <c r="CK197" i="1"/>
  <c r="CJ197" i="1"/>
  <c r="CI197" i="1"/>
  <c r="CV193" i="1"/>
  <c r="CX193" i="1" s="1"/>
  <c r="CZ193" i="1" s="1"/>
  <c r="CL193" i="1"/>
  <c r="CK193" i="1"/>
  <c r="CJ193" i="1"/>
  <c r="CI193" i="1"/>
  <c r="CV189" i="1"/>
  <c r="CX189" i="1" s="1"/>
  <c r="CW189" i="1" s="1"/>
  <c r="CL189" i="1"/>
  <c r="CK189" i="1"/>
  <c r="CJ189" i="1"/>
  <c r="CI189" i="1"/>
  <c r="CV185" i="1"/>
  <c r="CX185" i="1" s="1"/>
  <c r="CL185" i="1"/>
  <c r="CK185" i="1"/>
  <c r="CJ185" i="1"/>
  <c r="CI185" i="1"/>
  <c r="CV181" i="1"/>
  <c r="CX181" i="1" s="1"/>
  <c r="CW181" i="1" s="1"/>
  <c r="CL181" i="1"/>
  <c r="CK181" i="1"/>
  <c r="CJ181" i="1"/>
  <c r="CI181" i="1"/>
  <c r="CV177" i="1"/>
  <c r="CX177" i="1" s="1"/>
  <c r="CZ177" i="1" s="1"/>
  <c r="CL177" i="1"/>
  <c r="CK177" i="1"/>
  <c r="CJ177" i="1"/>
  <c r="CI177" i="1"/>
  <c r="CV173" i="1"/>
  <c r="CX173" i="1" s="1"/>
  <c r="CW173" i="1" s="1"/>
  <c r="CL173" i="1"/>
  <c r="CK173" i="1"/>
  <c r="CJ173" i="1"/>
  <c r="CI173" i="1"/>
  <c r="CV169" i="1"/>
  <c r="CX169" i="1" s="1"/>
  <c r="CZ169" i="1" s="1"/>
  <c r="CL169" i="1"/>
  <c r="CK169" i="1"/>
  <c r="CJ169" i="1"/>
  <c r="CI169" i="1"/>
  <c r="CV165" i="1"/>
  <c r="CX165" i="1" s="1"/>
  <c r="CW165" i="1" s="1"/>
  <c r="CL165" i="1"/>
  <c r="CK165" i="1"/>
  <c r="CJ165" i="1"/>
  <c r="CI165" i="1"/>
  <c r="CV161" i="1"/>
  <c r="CX161" i="1" s="1"/>
  <c r="DD161" i="1" s="1"/>
  <c r="DH161" i="1" s="1"/>
  <c r="CL161" i="1"/>
  <c r="CK161" i="1"/>
  <c r="CJ161" i="1"/>
  <c r="CI161" i="1"/>
  <c r="CV157" i="1"/>
  <c r="CX157" i="1" s="1"/>
  <c r="CW157" i="1" s="1"/>
  <c r="CL157" i="1"/>
  <c r="CK157" i="1"/>
  <c r="CJ157" i="1"/>
  <c r="CI157" i="1"/>
  <c r="CV153" i="1"/>
  <c r="CX153" i="1" s="1"/>
  <c r="CZ153" i="1" s="1"/>
  <c r="CL153" i="1"/>
  <c r="CK153" i="1"/>
  <c r="CJ153" i="1"/>
  <c r="CI153" i="1"/>
  <c r="CV149" i="1"/>
  <c r="CX149" i="1" s="1"/>
  <c r="CW149" i="1" s="1"/>
  <c r="CL149" i="1"/>
  <c r="CK149" i="1"/>
  <c r="CJ149" i="1"/>
  <c r="CI149" i="1"/>
  <c r="CV145" i="1"/>
  <c r="CX145" i="1" s="1"/>
  <c r="DD145" i="1" s="1"/>
  <c r="DH145" i="1" s="1"/>
  <c r="CL145" i="1"/>
  <c r="CK145" i="1"/>
  <c r="CJ145" i="1"/>
  <c r="CI145" i="1"/>
  <c r="CV141" i="1"/>
  <c r="CX141" i="1" s="1"/>
  <c r="CW141" i="1" s="1"/>
  <c r="CL141" i="1"/>
  <c r="CK141" i="1"/>
  <c r="CJ141" i="1"/>
  <c r="CI141" i="1"/>
  <c r="CV137" i="1"/>
  <c r="CX137" i="1" s="1"/>
  <c r="CZ137" i="1" s="1"/>
  <c r="CL137" i="1"/>
  <c r="CK137" i="1"/>
  <c r="CJ137" i="1"/>
  <c r="CI137" i="1"/>
  <c r="CV133" i="1"/>
  <c r="CX133" i="1" s="1"/>
  <c r="CW133" i="1" s="1"/>
  <c r="CL133" i="1"/>
  <c r="CK133" i="1"/>
  <c r="CJ133" i="1"/>
  <c r="CI133" i="1"/>
  <c r="CV129" i="1"/>
  <c r="CX129" i="1" s="1"/>
  <c r="CZ129" i="1" s="1"/>
  <c r="CL129" i="1"/>
  <c r="CK129" i="1"/>
  <c r="CJ129" i="1"/>
  <c r="CI129" i="1"/>
  <c r="AQ1269" i="7"/>
  <c r="AQ1051" i="7"/>
  <c r="AQ1114" i="7"/>
  <c r="AQ1174" i="7"/>
  <c r="AQ1206" i="7"/>
  <c r="AQ1023" i="7"/>
  <c r="AQ1227" i="7"/>
  <c r="AQ1170" i="7"/>
  <c r="AQ1066" i="7"/>
  <c r="AQ1121" i="7"/>
  <c r="AQ1185" i="7"/>
  <c r="AQ1235" i="7"/>
  <c r="AQ1054" i="7"/>
  <c r="AQ1109" i="7"/>
  <c r="AQ1177" i="7"/>
  <c r="AQ1037" i="7"/>
  <c r="AQ1101" i="7"/>
  <c r="AQ1156" i="7"/>
  <c r="AQ1216" i="7"/>
  <c r="AQ1033" i="7"/>
  <c r="AQ1097" i="7"/>
  <c r="AQ1152" i="7"/>
  <c r="AQ1035" i="7"/>
  <c r="AQ1076" i="7"/>
  <c r="AQ1131" i="7"/>
  <c r="AQ1195" i="7"/>
  <c r="AQ1241" i="7"/>
  <c r="AQ1072" i="7"/>
  <c r="AQ1127" i="7"/>
  <c r="AQ1191" i="7"/>
  <c r="AQ1063" i="7"/>
  <c r="AQ1122" i="7"/>
  <c r="AQ1178" i="7"/>
  <c r="AQ1210" i="7"/>
  <c r="AQ1047" i="7"/>
  <c r="AQ1110" i="7"/>
  <c r="AQ1027" i="7"/>
  <c r="AQ1074" i="7"/>
  <c r="AQ1129" i="7"/>
  <c r="AQ1193" i="7"/>
  <c r="AQ1239" i="7"/>
  <c r="AQ1062" i="7"/>
  <c r="AQ1117" i="7"/>
  <c r="AQ1181" i="7"/>
  <c r="AQ1045" i="7"/>
  <c r="AQ1225" i="7"/>
  <c r="AQ1164" i="7"/>
  <c r="AQ1220" i="7"/>
  <c r="AQ1041" i="7"/>
  <c r="AQ1105" i="7"/>
  <c r="AQ1160" i="7"/>
  <c r="AQ1020" i="7"/>
  <c r="AQ1084" i="7"/>
  <c r="AQ1139" i="7"/>
  <c r="AQ1203" i="7"/>
  <c r="AQ1039" i="7"/>
  <c r="AQ1080" i="7"/>
  <c r="AQ1135" i="7"/>
  <c r="AQ1199" i="7"/>
  <c r="AQ1071" i="7"/>
  <c r="AQ1130" i="7"/>
  <c r="AQ1182" i="7"/>
  <c r="AQ1214" i="7"/>
  <c r="AQ1067" i="7"/>
  <c r="AQ1118" i="7"/>
  <c r="AQ1055" i="7"/>
  <c r="AQ1082" i="7"/>
  <c r="AQ1137" i="7"/>
  <c r="AQ1201" i="7"/>
  <c r="AQ1019" i="7"/>
  <c r="AQ1070" i="7"/>
  <c r="AQ1125" i="7"/>
  <c r="AQ1189" i="7"/>
  <c r="AQ1053" i="7"/>
  <c r="AQ1108" i="7"/>
  <c r="AQ1172" i="7"/>
  <c r="AQ1230" i="7"/>
  <c r="AQ1049" i="7"/>
  <c r="AQ1243" i="7"/>
  <c r="AQ1168" i="7"/>
  <c r="AQ1028" i="7"/>
  <c r="AQ1092" i="7"/>
  <c r="AQ1147" i="7"/>
  <c r="AQ1207" i="7"/>
  <c r="AQ1024" i="7"/>
  <c r="AQ1088" i="7"/>
  <c r="AQ1143" i="7"/>
  <c r="AQ1211" i="7"/>
  <c r="AQ1079" i="7"/>
  <c r="AQ1138" i="7"/>
  <c r="AQ1186" i="7"/>
  <c r="AQ1218" i="7"/>
  <c r="AQ1075" i="7"/>
  <c r="AQ1126" i="7"/>
  <c r="AQ1022" i="7"/>
  <c r="AQ1090" i="7"/>
  <c r="AQ1145" i="7"/>
  <c r="AQ1205" i="7"/>
  <c r="AQ1059" i="7"/>
  <c r="AQ1078" i="7"/>
  <c r="AQ1133" i="7"/>
  <c r="AQ1197" i="7"/>
  <c r="AQ1061" i="7"/>
  <c r="AQ1116" i="7"/>
  <c r="AQ1180" i="7"/>
  <c r="AQ1234" i="7"/>
  <c r="AQ1057" i="7"/>
  <c r="AQ1112" i="7"/>
  <c r="AQ1176" i="7"/>
  <c r="AQ1036" i="7"/>
  <c r="AQ1100" i="7"/>
  <c r="AQ1155" i="7"/>
  <c r="AQ1215" i="7"/>
  <c r="AQ1032" i="7"/>
  <c r="AQ1096" i="7"/>
  <c r="AQ1151" i="7"/>
  <c r="AQ1091" i="7"/>
  <c r="AQ1146" i="7"/>
  <c r="AQ1190" i="7"/>
  <c r="AQ1222" i="7"/>
  <c r="AQ1083" i="7"/>
  <c r="AQ1134" i="7"/>
  <c r="AQ1030" i="7"/>
  <c r="AQ1098" i="7"/>
  <c r="AQ1153" i="7"/>
  <c r="AQ1213" i="7"/>
  <c r="AQ1026" i="7"/>
  <c r="AQ1086" i="7"/>
  <c r="AQ1141" i="7"/>
  <c r="AQ1209" i="7"/>
  <c r="AQ1069" i="7"/>
  <c r="AQ1124" i="7"/>
  <c r="AQ1188" i="7"/>
  <c r="AQ1238" i="7"/>
  <c r="AQ1065" i="7"/>
  <c r="AQ1120" i="7"/>
  <c r="AQ1184" i="7"/>
  <c r="AQ1044" i="7"/>
  <c r="AQ1224" i="7"/>
  <c r="AQ1163" i="7"/>
  <c r="AQ1219" i="7"/>
  <c r="AQ1040" i="7"/>
  <c r="AQ1104" i="7"/>
  <c r="AQ1159" i="7"/>
  <c r="AQ1099" i="7"/>
  <c r="AQ1154" i="7"/>
  <c r="AQ1194" i="7"/>
  <c r="AQ1232" i="7"/>
  <c r="AQ1087" i="7"/>
  <c r="AQ1142" i="7"/>
  <c r="AQ1038" i="7"/>
  <c r="AQ1106" i="7"/>
  <c r="AQ1161" i="7"/>
  <c r="AQ1217" i="7"/>
  <c r="AQ1034" i="7"/>
  <c r="AQ1094" i="7"/>
  <c r="AQ1149" i="7"/>
  <c r="AQ1031" i="7"/>
  <c r="AQ1077" i="7"/>
  <c r="AQ1132" i="7"/>
  <c r="AQ1196" i="7"/>
  <c r="AQ1242" i="7"/>
  <c r="AQ1073" i="7"/>
  <c r="AQ1128" i="7"/>
  <c r="AQ1192" i="7"/>
  <c r="AQ1052" i="7"/>
  <c r="AQ1107" i="7"/>
  <c r="AQ1171" i="7"/>
  <c r="AQ1229" i="7"/>
  <c r="AQ1048" i="7"/>
  <c r="AQ1228" i="7"/>
  <c r="AQ1167" i="7"/>
  <c r="AQ1223" i="7"/>
  <c r="AQ1162" i="7"/>
  <c r="AQ1198" i="7"/>
  <c r="AQ1236" i="7"/>
  <c r="AQ1095" i="7"/>
  <c r="AQ1150" i="7"/>
  <c r="AQ1050" i="7"/>
  <c r="AQ1244" i="7"/>
  <c r="AQ1169" i="7"/>
  <c r="AQ1221" i="7"/>
  <c r="AQ1042" i="7"/>
  <c r="AQ1102" i="7"/>
  <c r="AQ1157" i="7"/>
  <c r="AQ1021" i="7"/>
  <c r="AQ1085" i="7"/>
  <c r="AQ1140" i="7"/>
  <c r="AQ1204" i="7"/>
  <c r="AQ1043" i="7"/>
  <c r="AQ1081" i="7"/>
  <c r="AQ1136" i="7"/>
  <c r="AQ1200" i="7"/>
  <c r="AQ1064" i="7"/>
  <c r="AQ1115" i="7"/>
  <c r="AQ1179" i="7"/>
  <c r="AQ1233" i="7"/>
  <c r="AQ1056" i="7"/>
  <c r="AQ1111" i="7"/>
  <c r="AQ1175" i="7"/>
  <c r="AQ1245" i="7"/>
  <c r="AQ1166" i="7"/>
  <c r="AQ1202" i="7"/>
  <c r="AQ1240" i="7"/>
  <c r="AQ1103" i="7"/>
  <c r="AQ1158" i="7"/>
  <c r="AQ1058" i="7"/>
  <c r="AQ1113" i="7"/>
  <c r="AQ1173" i="7"/>
  <c r="AQ1231" i="7"/>
  <c r="AQ1046" i="7"/>
  <c r="AQ1226" i="7"/>
  <c r="AQ1165" i="7"/>
  <c r="AQ1029" i="7"/>
  <c r="AQ1093" i="7"/>
  <c r="AQ1148" i="7"/>
  <c r="AQ1208" i="7"/>
  <c r="AQ1025" i="7"/>
  <c r="AQ1089" i="7"/>
  <c r="AQ1144" i="7"/>
  <c r="AQ1212" i="7"/>
  <c r="AQ1068" i="7"/>
  <c r="AQ1123" i="7"/>
  <c r="AQ1187" i="7"/>
  <c r="AQ1237" i="7"/>
  <c r="AQ1060" i="7"/>
  <c r="AQ1119" i="7"/>
  <c r="AQ1183" i="7"/>
  <c r="AQ1251" i="7"/>
  <c r="AQ1256" i="7"/>
  <c r="AQ1011" i="7"/>
  <c r="AQ1016" i="7"/>
  <c r="AQ1248" i="7"/>
  <c r="AQ1253" i="7"/>
  <c r="AQ1008" i="7"/>
  <c r="AQ1013" i="7"/>
  <c r="AQ1018" i="7"/>
  <c r="AQ1250" i="7"/>
  <c r="AQ1255" i="7"/>
  <c r="AQ1010" i="7"/>
  <c r="AQ1015" i="7"/>
  <c r="AQ1247" i="7"/>
  <c r="AQ1252" i="7"/>
  <c r="AQ1267" i="7"/>
  <c r="AQ1012" i="7"/>
  <c r="AQ1017" i="7"/>
  <c r="AQ1249" i="7"/>
  <c r="AQ1254" i="7"/>
  <c r="AQ1009" i="7"/>
  <c r="AQ1014" i="7"/>
  <c r="AQ1246" i="7"/>
  <c r="A13" i="11"/>
  <c r="CG271" i="1"/>
  <c r="CQ271" i="1"/>
  <c r="CF271" i="1"/>
  <c r="CG267" i="1"/>
  <c r="CQ267" i="1"/>
  <c r="CF267" i="1"/>
  <c r="CG241" i="1"/>
  <c r="CQ241" i="1"/>
  <c r="CF241" i="1"/>
  <c r="CQ237" i="1"/>
  <c r="CF237" i="1"/>
  <c r="CG237" i="1"/>
  <c r="CG233" i="1"/>
  <c r="CQ233" i="1"/>
  <c r="CF233" i="1"/>
  <c r="CG229" i="1"/>
  <c r="CQ229" i="1"/>
  <c r="CF229" i="1"/>
  <c r="CG225" i="1"/>
  <c r="CQ225" i="1"/>
  <c r="CF225" i="1"/>
  <c r="CG221" i="1"/>
  <c r="CQ221" i="1"/>
  <c r="CF221" i="1"/>
  <c r="CG217" i="1"/>
  <c r="CQ217" i="1"/>
  <c r="CF217" i="1"/>
  <c r="CG213" i="1"/>
  <c r="CQ213" i="1"/>
  <c r="CF213" i="1"/>
  <c r="CG209" i="1"/>
  <c r="CQ209" i="1"/>
  <c r="CF209" i="1"/>
  <c r="CG205" i="1"/>
  <c r="CQ205" i="1"/>
  <c r="CF205" i="1"/>
  <c r="CG201" i="1"/>
  <c r="CQ201" i="1"/>
  <c r="CF201" i="1"/>
  <c r="CG197" i="1"/>
  <c r="CQ197" i="1"/>
  <c r="CF197" i="1"/>
  <c r="CG193" i="1"/>
  <c r="CQ193" i="1"/>
  <c r="CF193" i="1"/>
  <c r="CQ189" i="1"/>
  <c r="CF189" i="1"/>
  <c r="CG189" i="1"/>
  <c r="CQ185" i="1"/>
  <c r="CF185" i="1"/>
  <c r="CG185" i="1"/>
  <c r="CQ181" i="1"/>
  <c r="CF181" i="1"/>
  <c r="CG181" i="1"/>
  <c r="CQ177" i="1"/>
  <c r="CF177" i="1"/>
  <c r="CG177" i="1"/>
  <c r="CQ173" i="1"/>
  <c r="CF173" i="1"/>
  <c r="CG173" i="1"/>
  <c r="CQ169" i="1"/>
  <c r="CF169" i="1"/>
  <c r="CG169" i="1"/>
  <c r="CQ165" i="1"/>
  <c r="CF165" i="1"/>
  <c r="CG165" i="1"/>
  <c r="CQ161" i="1"/>
  <c r="CF161" i="1"/>
  <c r="CG161" i="1"/>
  <c r="CQ157" i="1"/>
  <c r="CF157" i="1"/>
  <c r="CG157" i="1"/>
  <c r="CG153" i="1"/>
  <c r="CQ153" i="1"/>
  <c r="CF153" i="1"/>
  <c r="CG149" i="1"/>
  <c r="CQ149" i="1"/>
  <c r="CF149" i="1"/>
  <c r="CG145" i="1"/>
  <c r="CQ145" i="1"/>
  <c r="CF145" i="1"/>
  <c r="CG141" i="1"/>
  <c r="CQ141" i="1"/>
  <c r="CF141" i="1"/>
  <c r="CG137" i="1"/>
  <c r="CQ137" i="1"/>
  <c r="CF137" i="1"/>
  <c r="CG133" i="1"/>
  <c r="CQ133" i="1"/>
  <c r="CF133" i="1"/>
  <c r="CG129" i="1"/>
  <c r="CQ129" i="1"/>
  <c r="CF129" i="1"/>
  <c r="CQ270" i="1"/>
  <c r="CF270" i="1"/>
  <c r="CG270" i="1"/>
  <c r="CQ266" i="1"/>
  <c r="CF266" i="1"/>
  <c r="CG266" i="1"/>
  <c r="CQ240" i="1"/>
  <c r="CF240" i="1"/>
  <c r="CG240" i="1"/>
  <c r="CG236" i="1"/>
  <c r="CQ236" i="1"/>
  <c r="CF236" i="1"/>
  <c r="CQ232" i="1"/>
  <c r="CF232" i="1"/>
  <c r="CG232" i="1"/>
  <c r="CG228" i="1"/>
  <c r="CQ228" i="1"/>
  <c r="CF228" i="1"/>
  <c r="CQ224" i="1"/>
  <c r="CF224" i="1"/>
  <c r="CG224" i="1"/>
  <c r="CQ220" i="1"/>
  <c r="CF220" i="1"/>
  <c r="CG220" i="1"/>
  <c r="CQ216" i="1"/>
  <c r="CF216" i="1"/>
  <c r="CG216" i="1"/>
  <c r="CQ212" i="1"/>
  <c r="CG212" i="1"/>
  <c r="CF212" i="1"/>
  <c r="CQ208" i="1"/>
  <c r="CF208" i="1"/>
  <c r="CG208" i="1"/>
  <c r="CQ204" i="1"/>
  <c r="CF204" i="1"/>
  <c r="CG204" i="1"/>
  <c r="CG200" i="1"/>
  <c r="CQ200" i="1"/>
  <c r="CF200" i="1"/>
  <c r="CG196" i="1"/>
  <c r="CQ196" i="1"/>
  <c r="CF196" i="1"/>
  <c r="CQ192" i="1"/>
  <c r="CF192" i="1"/>
  <c r="CG192" i="1"/>
  <c r="CG188" i="1"/>
  <c r="CQ188" i="1"/>
  <c r="CF188" i="1"/>
  <c r="CG184" i="1"/>
  <c r="CQ184" i="1"/>
  <c r="CF184" i="1"/>
  <c r="CG180" i="1"/>
  <c r="CQ180" i="1"/>
  <c r="CF180" i="1"/>
  <c r="CG176" i="1"/>
  <c r="CQ176" i="1"/>
  <c r="CF176" i="1"/>
  <c r="CG172" i="1"/>
  <c r="CQ172" i="1"/>
  <c r="CF172" i="1"/>
  <c r="CG168" i="1"/>
  <c r="CQ168" i="1"/>
  <c r="CF168" i="1"/>
  <c r="CG164" i="1"/>
  <c r="CQ164" i="1"/>
  <c r="CF164" i="1"/>
  <c r="CG160" i="1"/>
  <c r="CQ160" i="1"/>
  <c r="CF160" i="1"/>
  <c r="CG156" i="1"/>
  <c r="CQ156" i="1"/>
  <c r="CF156" i="1"/>
  <c r="CG152" i="1"/>
  <c r="CQ152" i="1"/>
  <c r="CF152" i="1"/>
  <c r="CG148" i="1"/>
  <c r="CQ148" i="1"/>
  <c r="CF148" i="1"/>
  <c r="CG144" i="1"/>
  <c r="CQ144" i="1"/>
  <c r="CF144" i="1"/>
  <c r="CG140" i="1"/>
  <c r="CQ140" i="1"/>
  <c r="CF140" i="1"/>
  <c r="CG136" i="1"/>
  <c r="CQ136" i="1"/>
  <c r="CF136" i="1"/>
  <c r="CG132" i="1"/>
  <c r="CQ132" i="1"/>
  <c r="CF132" i="1"/>
  <c r="CG269" i="1"/>
  <c r="CQ269" i="1"/>
  <c r="CF269" i="1"/>
  <c r="CG265" i="1"/>
  <c r="CQ265" i="1"/>
  <c r="CF265" i="1"/>
  <c r="CG243" i="1"/>
  <c r="CF243" i="1"/>
  <c r="CQ243" i="1"/>
  <c r="CG239" i="1"/>
  <c r="CQ239" i="1"/>
  <c r="CF239" i="1"/>
  <c r="CG235" i="1"/>
  <c r="CQ235" i="1"/>
  <c r="CF235" i="1"/>
  <c r="CG231" i="1"/>
  <c r="CQ231" i="1"/>
  <c r="CF231" i="1"/>
  <c r="CQ227" i="1"/>
  <c r="CF227" i="1"/>
  <c r="CG227" i="1"/>
  <c r="CQ223" i="1"/>
  <c r="CF223" i="1"/>
  <c r="CG223" i="1"/>
  <c r="CG219" i="1"/>
  <c r="CQ219" i="1"/>
  <c r="CF219" i="1"/>
  <c r="CQ215" i="1"/>
  <c r="CF215" i="1"/>
  <c r="CG215" i="1"/>
  <c r="CQ211" i="1"/>
  <c r="CG211" i="1"/>
  <c r="CF211" i="1"/>
  <c r="CG207" i="1"/>
  <c r="CQ207" i="1"/>
  <c r="CF207" i="1"/>
  <c r="CG203" i="1"/>
  <c r="CQ203" i="1"/>
  <c r="CF203" i="1"/>
  <c r="CG199" i="1"/>
  <c r="CQ199" i="1"/>
  <c r="CF199" i="1"/>
  <c r="CG195" i="1"/>
  <c r="CQ195" i="1"/>
  <c r="CF195" i="1"/>
  <c r="CG191" i="1"/>
  <c r="CQ191" i="1"/>
  <c r="CF191" i="1"/>
  <c r="CG187" i="1"/>
  <c r="CQ187" i="1"/>
  <c r="CF187" i="1"/>
  <c r="CG183" i="1"/>
  <c r="CQ183" i="1"/>
  <c r="CF183" i="1"/>
  <c r="CG179" i="1"/>
  <c r="CQ179" i="1"/>
  <c r="CF179" i="1"/>
  <c r="CG175" i="1"/>
  <c r="CQ175" i="1"/>
  <c r="CF175" i="1"/>
  <c r="CG171" i="1"/>
  <c r="CQ171" i="1"/>
  <c r="CF171" i="1"/>
  <c r="CG167" i="1"/>
  <c r="CQ167" i="1"/>
  <c r="CF167" i="1"/>
  <c r="CG163" i="1"/>
  <c r="CQ163" i="1"/>
  <c r="CF163" i="1"/>
  <c r="CG159" i="1"/>
  <c r="CQ159" i="1"/>
  <c r="CF159" i="1"/>
  <c r="CG155" i="1"/>
  <c r="CQ155" i="1"/>
  <c r="CF155" i="1"/>
  <c r="CG151" i="1"/>
  <c r="CQ151" i="1"/>
  <c r="CF151" i="1"/>
  <c r="CG147" i="1"/>
  <c r="CQ147" i="1"/>
  <c r="CF147" i="1"/>
  <c r="CG143" i="1"/>
  <c r="CQ143" i="1"/>
  <c r="CF143" i="1"/>
  <c r="CG139" i="1"/>
  <c r="CQ139" i="1"/>
  <c r="CF139" i="1"/>
  <c r="CG135" i="1"/>
  <c r="CQ135" i="1"/>
  <c r="CF135" i="1"/>
  <c r="CG131" i="1"/>
  <c r="CQ131" i="1"/>
  <c r="CF131" i="1"/>
  <c r="CG91" i="1"/>
  <c r="CQ91" i="1"/>
  <c r="CF91" i="1"/>
  <c r="CG268" i="1"/>
  <c r="CQ268" i="1"/>
  <c r="CF268" i="1"/>
  <c r="CQ264" i="1"/>
  <c r="CG264" i="1"/>
  <c r="CF264" i="1"/>
  <c r="CG242" i="1"/>
  <c r="CF242" i="1"/>
  <c r="CQ242" i="1"/>
  <c r="CQ238" i="1"/>
  <c r="CF238" i="1"/>
  <c r="CG238" i="1"/>
  <c r="CQ234" i="1"/>
  <c r="CF234" i="1"/>
  <c r="CG234" i="1"/>
  <c r="CQ230" i="1"/>
  <c r="CF230" i="1"/>
  <c r="CG230" i="1"/>
  <c r="CG226" i="1"/>
  <c r="CQ226" i="1"/>
  <c r="CF226" i="1"/>
  <c r="CG222" i="1"/>
  <c r="CQ222" i="1"/>
  <c r="CF222" i="1"/>
  <c r="CQ218" i="1"/>
  <c r="CF218" i="1"/>
  <c r="CG218" i="1"/>
  <c r="CQ214" i="1"/>
  <c r="CF214" i="1"/>
  <c r="CG214" i="1"/>
  <c r="CG210" i="1"/>
  <c r="CQ210" i="1"/>
  <c r="CF210" i="1"/>
  <c r="CG206" i="1"/>
  <c r="CQ206" i="1"/>
  <c r="CF206" i="1"/>
  <c r="CQ202" i="1"/>
  <c r="CF202" i="1"/>
  <c r="CG202" i="1"/>
  <c r="CQ198" i="1"/>
  <c r="CF198" i="1"/>
  <c r="CG198" i="1"/>
  <c r="CQ194" i="1"/>
  <c r="CF194" i="1"/>
  <c r="CG194" i="1"/>
  <c r="CQ190" i="1"/>
  <c r="CF190" i="1"/>
  <c r="CG190" i="1"/>
  <c r="CG186" i="1"/>
  <c r="CQ186" i="1"/>
  <c r="CF186" i="1"/>
  <c r="CG182" i="1"/>
  <c r="CQ182" i="1"/>
  <c r="CF182" i="1"/>
  <c r="CQ178" i="1"/>
  <c r="CG178" i="1"/>
  <c r="CF178" i="1"/>
  <c r="CG174" i="1"/>
  <c r="CQ174" i="1"/>
  <c r="CF174" i="1"/>
  <c r="CG170" i="1"/>
  <c r="CQ170" i="1"/>
  <c r="CF170" i="1"/>
  <c r="CG166" i="1"/>
  <c r="CQ166" i="1"/>
  <c r="CF166" i="1"/>
  <c r="CG162" i="1"/>
  <c r="CQ162" i="1"/>
  <c r="CF162" i="1"/>
  <c r="CG158" i="1"/>
  <c r="CQ158" i="1"/>
  <c r="CF158" i="1"/>
  <c r="CG154" i="1"/>
  <c r="CQ154" i="1"/>
  <c r="CF154" i="1"/>
  <c r="CQ150" i="1"/>
  <c r="CF150" i="1"/>
  <c r="CG150" i="1"/>
  <c r="CQ146" i="1"/>
  <c r="CF146" i="1"/>
  <c r="CG146" i="1"/>
  <c r="CQ142" i="1"/>
  <c r="CF142" i="1"/>
  <c r="CG142" i="1"/>
  <c r="CQ138" i="1"/>
  <c r="CF138" i="1"/>
  <c r="CG138" i="1"/>
  <c r="CQ134" i="1"/>
  <c r="CF134" i="1"/>
  <c r="CG134" i="1"/>
  <c r="CQ130" i="1"/>
  <c r="CF130" i="1"/>
  <c r="CG130" i="1"/>
  <c r="I204" i="25" l="1"/>
  <c r="E179" i="25"/>
  <c r="I220" i="25"/>
  <c r="E131" i="25"/>
  <c r="I236" i="25"/>
  <c r="E206" i="25"/>
  <c r="I305" i="25"/>
  <c r="I252" i="25"/>
  <c r="E276" i="25"/>
  <c r="E163" i="25"/>
  <c r="E212" i="25"/>
  <c r="E126" i="25"/>
  <c r="E150" i="25"/>
  <c r="E96" i="25"/>
  <c r="E90" i="25"/>
  <c r="E165" i="25"/>
  <c r="E116" i="25"/>
  <c r="I254" i="25"/>
  <c r="E192" i="25"/>
  <c r="E132" i="25"/>
  <c r="I270" i="25"/>
  <c r="E185" i="25"/>
  <c r="E142" i="25"/>
  <c r="E205" i="25"/>
  <c r="I229" i="25"/>
  <c r="E100" i="25"/>
  <c r="I268" i="25"/>
  <c r="I296" i="25"/>
  <c r="I299" i="25"/>
  <c r="I226" i="25"/>
  <c r="E271" i="25"/>
  <c r="E255" i="25"/>
  <c r="E287" i="25"/>
  <c r="E303" i="25"/>
  <c r="E239" i="25"/>
  <c r="I201" i="25"/>
  <c r="I222" i="25"/>
  <c r="I277" i="25"/>
  <c r="E98" i="25"/>
  <c r="E148" i="25"/>
  <c r="E159" i="25"/>
  <c r="E101" i="25"/>
  <c r="E268" i="25"/>
  <c r="E208" i="25"/>
  <c r="E136" i="25"/>
  <c r="E193" i="25"/>
  <c r="E175" i="25"/>
  <c r="E174" i="25"/>
  <c r="E197" i="25"/>
  <c r="E83" i="25"/>
  <c r="I194" i="25"/>
  <c r="I238" i="25"/>
  <c r="E92" i="25"/>
  <c r="I206" i="25"/>
  <c r="E189" i="25"/>
  <c r="E292" i="25"/>
  <c r="E146" i="25"/>
  <c r="I283" i="25"/>
  <c r="I264" i="25"/>
  <c r="I275" i="25"/>
  <c r="I210" i="25"/>
  <c r="I265" i="25"/>
  <c r="I197" i="25"/>
  <c r="E259" i="25"/>
  <c r="E247" i="25"/>
  <c r="Z178" i="1"/>
  <c r="DK178" i="1" s="1"/>
  <c r="BW91" i="1"/>
  <c r="Z203" i="1"/>
  <c r="DN203" i="1" s="1"/>
  <c r="O129" i="1"/>
  <c r="O145" i="1"/>
  <c r="Z154" i="1"/>
  <c r="DN154" i="1" s="1"/>
  <c r="Z186" i="1"/>
  <c r="DN186" i="1" s="1"/>
  <c r="Z238" i="1"/>
  <c r="DN238" i="1" s="1"/>
  <c r="Z268" i="1"/>
  <c r="DK268" i="1" s="1"/>
  <c r="Z266" i="1"/>
  <c r="DK266" i="1" s="1"/>
  <c r="O161" i="1"/>
  <c r="Z221" i="1"/>
  <c r="DO221" i="1" s="1"/>
  <c r="Z215" i="1"/>
  <c r="DL215" i="1" s="1"/>
  <c r="Z156" i="1"/>
  <c r="DL156" i="1" s="1"/>
  <c r="Z172" i="1"/>
  <c r="DL172" i="1" s="1"/>
  <c r="Z208" i="1"/>
  <c r="DK208" i="1" s="1"/>
  <c r="Z153" i="1"/>
  <c r="DM153" i="1" s="1"/>
  <c r="Z134" i="1"/>
  <c r="DO134" i="1" s="1"/>
  <c r="Z150" i="1"/>
  <c r="DN150" i="1" s="1"/>
  <c r="Z162" i="1"/>
  <c r="DO162" i="1" s="1"/>
  <c r="Z198" i="1"/>
  <c r="DL198" i="1" s="1"/>
  <c r="Z264" i="1"/>
  <c r="DO264" i="1" s="1"/>
  <c r="Z143" i="1"/>
  <c r="DM143" i="1" s="1"/>
  <c r="BW175" i="1"/>
  <c r="Z191" i="1"/>
  <c r="DM191" i="1" s="1"/>
  <c r="Z207" i="1"/>
  <c r="DL207" i="1" s="1"/>
  <c r="Z136" i="1"/>
  <c r="DL136" i="1" s="1"/>
  <c r="Z152" i="1"/>
  <c r="DK152" i="1" s="1"/>
  <c r="Z200" i="1"/>
  <c r="DN200" i="1" s="1"/>
  <c r="Z220" i="1"/>
  <c r="DM220" i="1" s="1"/>
  <c r="Z229" i="1"/>
  <c r="DN229" i="1" s="1"/>
  <c r="Z139" i="1"/>
  <c r="DK139" i="1" s="1"/>
  <c r="Z164" i="1"/>
  <c r="DN164" i="1" s="1"/>
  <c r="BW216" i="1"/>
  <c r="Z142" i="1"/>
  <c r="DL142" i="1" s="1"/>
  <c r="Z190" i="1"/>
  <c r="DL190" i="1" s="1"/>
  <c r="Z228" i="1"/>
  <c r="DL228" i="1" s="1"/>
  <c r="Z232" i="1"/>
  <c r="DO232" i="1" s="1"/>
  <c r="Z170" i="1"/>
  <c r="DO170" i="1" s="1"/>
  <c r="BW183" i="1"/>
  <c r="Z131" i="1"/>
  <c r="DK131" i="1" s="1"/>
  <c r="Z188" i="1"/>
  <c r="DK188" i="1" s="1"/>
  <c r="AU224" i="1"/>
  <c r="AX224" i="1" s="1"/>
  <c r="Z236" i="1"/>
  <c r="DO236" i="1" s="1"/>
  <c r="Z233" i="1"/>
  <c r="DO233" i="1" s="1"/>
  <c r="I242" i="25"/>
  <c r="I233" i="25"/>
  <c r="E263" i="25"/>
  <c r="E141" i="25"/>
  <c r="E182" i="25"/>
  <c r="E149" i="25"/>
  <c r="E224" i="25"/>
  <c r="E250" i="25"/>
  <c r="I281" i="25"/>
  <c r="I196" i="25"/>
  <c r="I272" i="25"/>
  <c r="I293" i="25"/>
  <c r="I223" i="25"/>
  <c r="DB207" i="1"/>
  <c r="I304" i="25"/>
  <c r="I261" i="25"/>
  <c r="I191" i="25"/>
  <c r="I289" i="25"/>
  <c r="E171" i="25"/>
  <c r="I228" i="25"/>
  <c r="E191" i="25"/>
  <c r="E204" i="25"/>
  <c r="E156" i="25"/>
  <c r="I230" i="25"/>
  <c r="CZ204" i="1"/>
  <c r="DB178" i="1"/>
  <c r="DB165" i="1"/>
  <c r="DB197" i="1"/>
  <c r="DD236" i="1"/>
  <c r="DH236" i="1" s="1"/>
  <c r="CZ133" i="1"/>
  <c r="DD178" i="1"/>
  <c r="DF178" i="1" s="1"/>
  <c r="I244" i="25"/>
  <c r="I234" i="25"/>
  <c r="I253" i="25"/>
  <c r="E214" i="25"/>
  <c r="DB224" i="1"/>
  <c r="I250" i="25"/>
  <c r="DD202" i="1"/>
  <c r="DH202" i="1" s="1"/>
  <c r="CZ140" i="1"/>
  <c r="DD229" i="1"/>
  <c r="DF229" i="1" s="1"/>
  <c r="DD210" i="1"/>
  <c r="DF210" i="1" s="1"/>
  <c r="DD147" i="1"/>
  <c r="DH147" i="1" s="1"/>
  <c r="CZ216" i="1"/>
  <c r="DB213" i="1"/>
  <c r="CZ162" i="1"/>
  <c r="CZ181" i="1"/>
  <c r="CZ130" i="1"/>
  <c r="CZ213" i="1"/>
  <c r="DD267" i="1"/>
  <c r="DF267" i="1" s="1"/>
  <c r="DB154" i="1"/>
  <c r="DD173" i="1"/>
  <c r="DF173" i="1" s="1"/>
  <c r="CZ197" i="1"/>
  <c r="CZ210" i="1"/>
  <c r="DD141" i="1"/>
  <c r="DH141" i="1" s="1"/>
  <c r="DB237" i="1"/>
  <c r="DD146" i="1"/>
  <c r="DF146" i="1" s="1"/>
  <c r="DB183" i="1"/>
  <c r="DD205" i="1"/>
  <c r="DH205" i="1" s="1"/>
  <c r="DD226" i="1"/>
  <c r="DF226" i="1" s="1"/>
  <c r="DB268" i="1"/>
  <c r="CZ218" i="1"/>
  <c r="DB141" i="1"/>
  <c r="DB188" i="1"/>
  <c r="CZ226" i="1"/>
  <c r="CZ151" i="1"/>
  <c r="DB223" i="1"/>
  <c r="I301" i="25"/>
  <c r="I218" i="25"/>
  <c r="E267" i="25"/>
  <c r="I214" i="25"/>
  <c r="I297" i="25"/>
  <c r="I288" i="25"/>
  <c r="I245" i="25"/>
  <c r="I188" i="25"/>
  <c r="I190" i="25"/>
  <c r="I273" i="25"/>
  <c r="I212" i="25"/>
  <c r="I246" i="25"/>
  <c r="E227" i="25"/>
  <c r="E117" i="25"/>
  <c r="E298" i="25"/>
  <c r="DB202" i="1"/>
  <c r="CZ161" i="1"/>
  <c r="CZ138" i="1"/>
  <c r="CZ215" i="1"/>
  <c r="DB157" i="1"/>
  <c r="DB205" i="1"/>
  <c r="DB170" i="1"/>
  <c r="DD148" i="1"/>
  <c r="DF148" i="1" s="1"/>
  <c r="DB266" i="1"/>
  <c r="CZ154" i="1"/>
  <c r="CZ234" i="1"/>
  <c r="CZ265" i="1"/>
  <c r="DD218" i="1"/>
  <c r="DH218" i="1" s="1"/>
  <c r="DB91" i="1"/>
  <c r="DD164" i="1"/>
  <c r="DH164" i="1" s="1"/>
  <c r="DD138" i="1"/>
  <c r="DH138" i="1" s="1"/>
  <c r="DB221" i="1"/>
  <c r="DB164" i="1"/>
  <c r="DD234" i="1"/>
  <c r="DF234" i="1" s="1"/>
  <c r="DB173" i="1"/>
  <c r="DD186" i="1"/>
  <c r="DF186" i="1" s="1"/>
  <c r="CZ178" i="1"/>
  <c r="DD189" i="1"/>
  <c r="DF189" i="1" s="1"/>
  <c r="DB229" i="1"/>
  <c r="DB146" i="1"/>
  <c r="DB186" i="1"/>
  <c r="DD212" i="1"/>
  <c r="DF212" i="1" s="1"/>
  <c r="CZ225" i="1"/>
  <c r="CZ186" i="1"/>
  <c r="DD133" i="1"/>
  <c r="DF133" i="1" s="1"/>
  <c r="DD197" i="1"/>
  <c r="DF197" i="1" s="1"/>
  <c r="DD237" i="1"/>
  <c r="DH237" i="1" s="1"/>
  <c r="DD154" i="1"/>
  <c r="DF154" i="1" s="1"/>
  <c r="DB194" i="1"/>
  <c r="DB234" i="1"/>
  <c r="DD220" i="1"/>
  <c r="DH220" i="1" s="1"/>
  <c r="CZ222" i="1"/>
  <c r="DB219" i="1"/>
  <c r="DB156" i="1"/>
  <c r="CZ149" i="1"/>
  <c r="CZ152" i="1"/>
  <c r="CZ220" i="1"/>
  <c r="DB159" i="1"/>
  <c r="DB220" i="1"/>
  <c r="DD130" i="1"/>
  <c r="DH130" i="1" s="1"/>
  <c r="CZ229" i="1"/>
  <c r="CZ190" i="1"/>
  <c r="CZ156" i="1"/>
  <c r="DD177" i="1"/>
  <c r="DF177" i="1" s="1"/>
  <c r="DB210" i="1"/>
  <c r="DB239" i="1"/>
  <c r="DD172" i="1"/>
  <c r="DF172" i="1" s="1"/>
  <c r="CZ242" i="1"/>
  <c r="CZ167" i="1"/>
  <c r="CZ236" i="1"/>
  <c r="DD181" i="1"/>
  <c r="DF181" i="1" s="1"/>
  <c r="DD162" i="1"/>
  <c r="DH162" i="1" s="1"/>
  <c r="DB172" i="1"/>
  <c r="CZ146" i="1"/>
  <c r="DD149" i="1"/>
  <c r="DH149" i="1" s="1"/>
  <c r="DD242" i="1"/>
  <c r="DH242" i="1" s="1"/>
  <c r="DB175" i="1"/>
  <c r="CZ165" i="1"/>
  <c r="CZ194" i="1"/>
  <c r="CZ160" i="1"/>
  <c r="DB149" i="1"/>
  <c r="DB130" i="1"/>
  <c r="DB242" i="1"/>
  <c r="DD228" i="1"/>
  <c r="DF228" i="1" s="1"/>
  <c r="CZ267" i="1"/>
  <c r="CZ158" i="1"/>
  <c r="CZ202" i="1"/>
  <c r="CZ268" i="1"/>
  <c r="CZ269" i="1"/>
  <c r="CZ172" i="1"/>
  <c r="CZ270" i="1"/>
  <c r="DD157" i="1"/>
  <c r="DF157" i="1" s="1"/>
  <c r="DB181" i="1"/>
  <c r="DD213" i="1"/>
  <c r="DF213" i="1" s="1"/>
  <c r="DD241" i="1"/>
  <c r="DH241" i="1" s="1"/>
  <c r="DB162" i="1"/>
  <c r="DD194" i="1"/>
  <c r="DF194" i="1" s="1"/>
  <c r="DB218" i="1"/>
  <c r="DD268" i="1"/>
  <c r="DH268" i="1" s="1"/>
  <c r="DB191" i="1"/>
  <c r="DD140" i="1"/>
  <c r="DH140" i="1" s="1"/>
  <c r="DB180" i="1"/>
  <c r="DB228" i="1"/>
  <c r="CZ184" i="1"/>
  <c r="CZ170" i="1"/>
  <c r="CZ188" i="1"/>
  <c r="DB133" i="1"/>
  <c r="DD165" i="1"/>
  <c r="DH165" i="1" s="1"/>
  <c r="DB189" i="1"/>
  <c r="DD221" i="1"/>
  <c r="DH221" i="1" s="1"/>
  <c r="DB267" i="1"/>
  <c r="DB138" i="1"/>
  <c r="DD170" i="1"/>
  <c r="DF170" i="1" s="1"/>
  <c r="DB198" i="1"/>
  <c r="DB226" i="1"/>
  <c r="DB143" i="1"/>
  <c r="DD156" i="1"/>
  <c r="DH156" i="1" s="1"/>
  <c r="DD204" i="1"/>
  <c r="DH204" i="1" s="1"/>
  <c r="DB236" i="1"/>
  <c r="I269" i="25"/>
  <c r="I198" i="25"/>
  <c r="E173" i="25"/>
  <c r="E135" i="25"/>
  <c r="I202" i="25"/>
  <c r="E87" i="25"/>
  <c r="I285" i="25"/>
  <c r="E280" i="25"/>
  <c r="E266" i="25"/>
  <c r="E222" i="25"/>
  <c r="E207" i="25"/>
  <c r="E295" i="25"/>
  <c r="E213" i="25"/>
  <c r="M216" i="25"/>
  <c r="A216" i="25" s="1"/>
  <c r="M263" i="25"/>
  <c r="A263" i="25" s="1"/>
  <c r="M218" i="25"/>
  <c r="A218" i="25" s="1"/>
  <c r="M301" i="25"/>
  <c r="A301" i="25" s="1"/>
  <c r="M228" i="25"/>
  <c r="A228" i="25" s="1"/>
  <c r="M275" i="25"/>
  <c r="A275" i="25" s="1"/>
  <c r="M230" i="25"/>
  <c r="A230" i="25" s="1"/>
  <c r="M304" i="25"/>
  <c r="A304" i="25" s="1"/>
  <c r="M223" i="25"/>
  <c r="A223" i="25" s="1"/>
  <c r="M261" i="25"/>
  <c r="A261" i="25" s="1"/>
  <c r="M204" i="25"/>
  <c r="A204" i="25" s="1"/>
  <c r="M251" i="25"/>
  <c r="A251" i="25" s="1"/>
  <c r="M206" i="25"/>
  <c r="A206" i="25" s="1"/>
  <c r="M289" i="25"/>
  <c r="A289" i="25" s="1"/>
  <c r="M200" i="25"/>
  <c r="A200" i="25" s="1"/>
  <c r="M247" i="25"/>
  <c r="A247" i="25" s="1"/>
  <c r="M202" i="25"/>
  <c r="A202" i="25" s="1"/>
  <c r="M285" i="25"/>
  <c r="A285" i="25" s="1"/>
  <c r="M212" i="25"/>
  <c r="A212" i="25" s="1"/>
  <c r="M259" i="25"/>
  <c r="A259" i="25" s="1"/>
  <c r="M214" i="25"/>
  <c r="A214" i="25" s="1"/>
  <c r="M297" i="25"/>
  <c r="A297" i="25" s="1"/>
  <c r="M288" i="25"/>
  <c r="A288" i="25" s="1"/>
  <c r="M207" i="25"/>
  <c r="A207" i="25" s="1"/>
  <c r="M290" i="25"/>
  <c r="A290" i="25" s="1"/>
  <c r="M245" i="25"/>
  <c r="A245" i="25" s="1"/>
  <c r="M188" i="25"/>
  <c r="A188" i="25" s="1"/>
  <c r="M235" i="25"/>
  <c r="A235" i="25" s="1"/>
  <c r="M190" i="25"/>
  <c r="A190" i="25" s="1"/>
  <c r="M273" i="25"/>
  <c r="A273" i="25" s="1"/>
  <c r="M231" i="25"/>
  <c r="A231" i="25" s="1"/>
  <c r="M269" i="25"/>
  <c r="A269" i="25" s="1"/>
  <c r="M196" i="25"/>
  <c r="A196" i="25" s="1"/>
  <c r="M243" i="25"/>
  <c r="A243" i="25" s="1"/>
  <c r="M198" i="25"/>
  <c r="A198" i="25" s="1"/>
  <c r="M281" i="25"/>
  <c r="A281" i="25" s="1"/>
  <c r="M272" i="25"/>
  <c r="A272" i="25" s="1"/>
  <c r="M191" i="25"/>
  <c r="A191" i="25" s="1"/>
  <c r="M274" i="25"/>
  <c r="A274" i="25" s="1"/>
  <c r="M229" i="25"/>
  <c r="A229" i="25" s="1"/>
  <c r="M300" i="25"/>
  <c r="A300" i="25" s="1"/>
  <c r="M219" i="25"/>
  <c r="A219" i="25" s="1"/>
  <c r="M302" i="25"/>
  <c r="A302" i="25" s="1"/>
  <c r="M257" i="25"/>
  <c r="A257" i="25" s="1"/>
  <c r="M296" i="25"/>
  <c r="A296" i="25" s="1"/>
  <c r="M215" i="25"/>
  <c r="A215" i="25" s="1"/>
  <c r="M298" i="25"/>
  <c r="A298" i="25" s="1"/>
  <c r="M253" i="25"/>
  <c r="A253" i="25" s="1"/>
  <c r="M227" i="25"/>
  <c r="A227" i="25" s="1"/>
  <c r="M265" i="25"/>
  <c r="A265" i="25" s="1"/>
  <c r="M256" i="25"/>
  <c r="A256" i="25" s="1"/>
  <c r="M303" i="25"/>
  <c r="A303" i="25" s="1"/>
  <c r="M258" i="25"/>
  <c r="A258" i="25" s="1"/>
  <c r="M213" i="25"/>
  <c r="A213" i="25" s="1"/>
  <c r="M284" i="25"/>
  <c r="A284" i="25" s="1"/>
  <c r="M203" i="25"/>
  <c r="A203" i="25" s="1"/>
  <c r="M286" i="25"/>
  <c r="A286" i="25" s="1"/>
  <c r="M241" i="25"/>
  <c r="A241" i="25" s="1"/>
  <c r="M280" i="25"/>
  <c r="A280" i="25" s="1"/>
  <c r="M199" i="25"/>
  <c r="A199" i="25" s="1"/>
  <c r="M282" i="25"/>
  <c r="A282" i="25" s="1"/>
  <c r="M237" i="25"/>
  <c r="A237" i="25" s="1"/>
  <c r="M292" i="25"/>
  <c r="A292" i="25" s="1"/>
  <c r="M211" i="25"/>
  <c r="A211" i="25" s="1"/>
  <c r="M294" i="25"/>
  <c r="A294" i="25" s="1"/>
  <c r="M249" i="25"/>
  <c r="A249" i="25" s="1"/>
  <c r="M240" i="25"/>
  <c r="A240" i="25" s="1"/>
  <c r="M287" i="25"/>
  <c r="A287" i="25" s="1"/>
  <c r="M242" i="25"/>
  <c r="A242" i="25" s="1"/>
  <c r="M197" i="25"/>
  <c r="A197" i="25" s="1"/>
  <c r="M268" i="25"/>
  <c r="A268" i="25" s="1"/>
  <c r="M270" i="25"/>
  <c r="A270" i="25" s="1"/>
  <c r="M225" i="25"/>
  <c r="A225" i="25" s="1"/>
  <c r="M264" i="25"/>
  <c r="A264" i="25" s="1"/>
  <c r="M266" i="25"/>
  <c r="A266" i="25" s="1"/>
  <c r="M221" i="25"/>
  <c r="A221" i="25" s="1"/>
  <c r="M276" i="25"/>
  <c r="A276" i="25" s="1"/>
  <c r="M195" i="25"/>
  <c r="A195" i="25" s="1"/>
  <c r="M278" i="25"/>
  <c r="A278" i="25" s="1"/>
  <c r="M233" i="25"/>
  <c r="A233" i="25" s="1"/>
  <c r="M224" i="25"/>
  <c r="A224" i="25" s="1"/>
  <c r="M271" i="25"/>
  <c r="A271" i="25" s="1"/>
  <c r="M226" i="25"/>
  <c r="A226" i="25" s="1"/>
  <c r="M252" i="25"/>
  <c r="A252" i="25" s="1"/>
  <c r="M299" i="25"/>
  <c r="A299" i="25" s="1"/>
  <c r="M254" i="25"/>
  <c r="A254" i="25" s="1"/>
  <c r="M209" i="25"/>
  <c r="A209" i="25" s="1"/>
  <c r="M248" i="25"/>
  <c r="A248" i="25" s="1"/>
  <c r="M295" i="25"/>
  <c r="A295" i="25" s="1"/>
  <c r="M250" i="25"/>
  <c r="A250" i="25" s="1"/>
  <c r="M205" i="25"/>
  <c r="A205" i="25" s="1"/>
  <c r="M260" i="25"/>
  <c r="A260" i="25" s="1"/>
  <c r="M262" i="25"/>
  <c r="A262" i="25" s="1"/>
  <c r="M217" i="25"/>
  <c r="A217" i="25" s="1"/>
  <c r="M208" i="25"/>
  <c r="A208" i="25" s="1"/>
  <c r="M255" i="25"/>
  <c r="A255" i="25" s="1"/>
  <c r="M210" i="25"/>
  <c r="A210" i="25" s="1"/>
  <c r="M293" i="25"/>
  <c r="A293" i="25" s="1"/>
  <c r="M236" i="25"/>
  <c r="A236" i="25" s="1"/>
  <c r="M283" i="25"/>
  <c r="A283" i="25" s="1"/>
  <c r="M238" i="25"/>
  <c r="A238" i="25" s="1"/>
  <c r="M193" i="25"/>
  <c r="A193" i="25" s="1"/>
  <c r="M232" i="25"/>
  <c r="A232" i="25" s="1"/>
  <c r="M279" i="25"/>
  <c r="A279" i="25" s="1"/>
  <c r="M234" i="25"/>
  <c r="A234" i="25" s="1"/>
  <c r="M189" i="25"/>
  <c r="A189" i="25" s="1"/>
  <c r="M244" i="25"/>
  <c r="A244" i="25" s="1"/>
  <c r="M291" i="25"/>
  <c r="A291" i="25" s="1"/>
  <c r="M246" i="25"/>
  <c r="A246" i="25" s="1"/>
  <c r="M201" i="25"/>
  <c r="A201" i="25" s="1"/>
  <c r="M192" i="25"/>
  <c r="A192" i="25" s="1"/>
  <c r="M239" i="25"/>
  <c r="A239" i="25" s="1"/>
  <c r="M194" i="25"/>
  <c r="A194" i="25" s="1"/>
  <c r="M277" i="25"/>
  <c r="A277" i="25" s="1"/>
  <c r="M220" i="25"/>
  <c r="A220" i="25" s="1"/>
  <c r="M267" i="25"/>
  <c r="A267" i="25" s="1"/>
  <c r="M222" i="25"/>
  <c r="A222" i="25" s="1"/>
  <c r="M305" i="25"/>
  <c r="A305" i="25" s="1"/>
  <c r="E275" i="25"/>
  <c r="E169" i="25"/>
  <c r="E181" i="25"/>
  <c r="E115" i="25"/>
  <c r="E281" i="25"/>
  <c r="E223" i="25"/>
  <c r="I280" i="25"/>
  <c r="E289" i="25"/>
  <c r="E231" i="25"/>
  <c r="E273" i="25"/>
  <c r="E240" i="25"/>
  <c r="E243" i="25"/>
  <c r="E296" i="25"/>
  <c r="E265" i="25"/>
  <c r="E277" i="25"/>
  <c r="E211" i="25"/>
  <c r="E218" i="25"/>
  <c r="E183" i="25"/>
  <c r="E188" i="25"/>
  <c r="E229" i="25"/>
  <c r="E254" i="25"/>
  <c r="E301" i="25"/>
  <c r="E290" i="25"/>
  <c r="E246" i="25"/>
  <c r="E258" i="25"/>
  <c r="E161" i="25"/>
  <c r="E286" i="25"/>
  <c r="E278" i="25"/>
  <c r="CZ131" i="1"/>
  <c r="CZ235" i="1"/>
  <c r="CZ144" i="1"/>
  <c r="CZ168" i="1"/>
  <c r="CZ232" i="1"/>
  <c r="DB200" i="1"/>
  <c r="CW169" i="1"/>
  <c r="DB169" i="1"/>
  <c r="DD169" i="1"/>
  <c r="DH169" i="1" s="1"/>
  <c r="CW185" i="1"/>
  <c r="DB185" i="1"/>
  <c r="DD185" i="1"/>
  <c r="DH185" i="1" s="1"/>
  <c r="CW201" i="1"/>
  <c r="DB201" i="1"/>
  <c r="DD201" i="1"/>
  <c r="DF201" i="1" s="1"/>
  <c r="CW271" i="1"/>
  <c r="DB271" i="1"/>
  <c r="DD271" i="1"/>
  <c r="DF271" i="1" s="1"/>
  <c r="CW166" i="1"/>
  <c r="DD166" i="1"/>
  <c r="DH166" i="1" s="1"/>
  <c r="CW182" i="1"/>
  <c r="DD182" i="1"/>
  <c r="DF182" i="1" s="1"/>
  <c r="CW230" i="1"/>
  <c r="DD230" i="1"/>
  <c r="DF230" i="1" s="1"/>
  <c r="CW264" i="1"/>
  <c r="DD264" i="1"/>
  <c r="DH264" i="1" s="1"/>
  <c r="CZ201" i="1"/>
  <c r="CZ166" i="1"/>
  <c r="CZ230" i="1"/>
  <c r="DB182" i="1"/>
  <c r="DB264" i="1"/>
  <c r="CW129" i="1"/>
  <c r="DB129" i="1"/>
  <c r="CW145" i="1"/>
  <c r="DB145" i="1"/>
  <c r="CW161" i="1"/>
  <c r="DB161" i="1"/>
  <c r="CW177" i="1"/>
  <c r="DB177" i="1"/>
  <c r="CW193" i="1"/>
  <c r="DB193" i="1"/>
  <c r="CW209" i="1"/>
  <c r="DB209" i="1"/>
  <c r="CW225" i="1"/>
  <c r="DB225" i="1"/>
  <c r="CW241" i="1"/>
  <c r="DB241" i="1"/>
  <c r="CW142" i="1"/>
  <c r="DD142" i="1"/>
  <c r="DH142" i="1" s="1"/>
  <c r="CW158" i="1"/>
  <c r="DD158" i="1"/>
  <c r="DH158" i="1" s="1"/>
  <c r="CW174" i="1"/>
  <c r="DD174" i="1"/>
  <c r="DF174" i="1" s="1"/>
  <c r="CW190" i="1"/>
  <c r="DD190" i="1"/>
  <c r="DF190" i="1" s="1"/>
  <c r="CW206" i="1"/>
  <c r="DD206" i="1"/>
  <c r="DH206" i="1" s="1"/>
  <c r="CW222" i="1"/>
  <c r="DD222" i="1"/>
  <c r="DH222" i="1" s="1"/>
  <c r="CW238" i="1"/>
  <c r="DD238" i="1"/>
  <c r="DF238" i="1" s="1"/>
  <c r="CW91" i="1"/>
  <c r="DD91" i="1"/>
  <c r="DH91" i="1" s="1"/>
  <c r="CW139" i="1"/>
  <c r="DD139" i="1"/>
  <c r="DH139" i="1" s="1"/>
  <c r="CW155" i="1"/>
  <c r="DD155" i="1"/>
  <c r="DF155" i="1" s="1"/>
  <c r="DB155" i="1"/>
  <c r="CW171" i="1"/>
  <c r="DB171" i="1"/>
  <c r="CW187" i="1"/>
  <c r="DB187" i="1"/>
  <c r="DD187" i="1"/>
  <c r="DH187" i="1" s="1"/>
  <c r="CW203" i="1"/>
  <c r="DD203" i="1"/>
  <c r="DH203" i="1" s="1"/>
  <c r="DB203" i="1"/>
  <c r="CW219" i="1"/>
  <c r="DD219" i="1"/>
  <c r="DH219" i="1" s="1"/>
  <c r="CW235" i="1"/>
  <c r="DB235" i="1"/>
  <c r="CW269" i="1"/>
  <c r="DD269" i="1"/>
  <c r="DF269" i="1" s="1"/>
  <c r="CW137" i="1"/>
  <c r="DB137" i="1"/>
  <c r="DD137" i="1"/>
  <c r="DH137" i="1" s="1"/>
  <c r="CW153" i="1"/>
  <c r="DB153" i="1"/>
  <c r="DD153" i="1"/>
  <c r="DF153" i="1" s="1"/>
  <c r="CW217" i="1"/>
  <c r="DB217" i="1"/>
  <c r="DD217" i="1"/>
  <c r="DF217" i="1" s="1"/>
  <c r="CW233" i="1"/>
  <c r="DB233" i="1"/>
  <c r="DD233" i="1"/>
  <c r="DF233" i="1" s="1"/>
  <c r="CW134" i="1"/>
  <c r="DD134" i="1"/>
  <c r="DH134" i="1" s="1"/>
  <c r="CW150" i="1"/>
  <c r="DD150" i="1"/>
  <c r="DF150" i="1" s="1"/>
  <c r="CW198" i="1"/>
  <c r="DD198" i="1"/>
  <c r="DH198" i="1" s="1"/>
  <c r="CW214" i="1"/>
  <c r="DD214" i="1"/>
  <c r="DH214" i="1" s="1"/>
  <c r="CW131" i="1"/>
  <c r="DD131" i="1"/>
  <c r="DH131" i="1" s="1"/>
  <c r="CW147" i="1"/>
  <c r="DB147" i="1"/>
  <c r="CW163" i="1"/>
  <c r="DB163" i="1"/>
  <c r="DD163" i="1"/>
  <c r="DF163" i="1" s="1"/>
  <c r="CW179" i="1"/>
  <c r="DD179" i="1"/>
  <c r="DH179" i="1" s="1"/>
  <c r="DB179" i="1"/>
  <c r="CW195" i="1"/>
  <c r="DD195" i="1"/>
  <c r="DF195" i="1" s="1"/>
  <c r="CW211" i="1"/>
  <c r="DB211" i="1"/>
  <c r="DD211" i="1"/>
  <c r="DH211" i="1" s="1"/>
  <c r="CW227" i="1"/>
  <c r="DB227" i="1"/>
  <c r="CW243" i="1"/>
  <c r="DB243" i="1"/>
  <c r="CW144" i="1"/>
  <c r="DB144" i="1"/>
  <c r="CW160" i="1"/>
  <c r="DD160" i="1"/>
  <c r="DH160" i="1" s="1"/>
  <c r="CW176" i="1"/>
  <c r="DB176" i="1"/>
  <c r="DD176" i="1"/>
  <c r="DF176" i="1" s="1"/>
  <c r="CW192" i="1"/>
  <c r="DD192" i="1"/>
  <c r="DH192" i="1" s="1"/>
  <c r="DB192" i="1"/>
  <c r="CW208" i="1"/>
  <c r="DD208" i="1"/>
  <c r="DF208" i="1" s="1"/>
  <c r="CW224" i="1"/>
  <c r="DD224" i="1"/>
  <c r="DF224" i="1" s="1"/>
  <c r="CW240" i="1"/>
  <c r="DB240" i="1"/>
  <c r="CZ134" i="1"/>
  <c r="CZ150" i="1"/>
  <c r="CZ182" i="1"/>
  <c r="CZ214" i="1"/>
  <c r="CZ264" i="1"/>
  <c r="CZ145" i="1"/>
  <c r="CZ185" i="1"/>
  <c r="CZ209" i="1"/>
  <c r="CZ271" i="1"/>
  <c r="CZ139" i="1"/>
  <c r="CZ163" i="1"/>
  <c r="CZ203" i="1"/>
  <c r="CZ227" i="1"/>
  <c r="CZ136" i="1"/>
  <c r="CZ176" i="1"/>
  <c r="CZ240" i="1"/>
  <c r="DD129" i="1"/>
  <c r="DH129" i="1" s="1"/>
  <c r="DD193" i="1"/>
  <c r="DH193" i="1" s="1"/>
  <c r="DB142" i="1"/>
  <c r="DB174" i="1"/>
  <c r="DB206" i="1"/>
  <c r="DB238" i="1"/>
  <c r="DD171" i="1"/>
  <c r="DF171" i="1" s="1"/>
  <c r="DB195" i="1"/>
  <c r="DD243" i="1"/>
  <c r="DH243" i="1" s="1"/>
  <c r="DB208" i="1"/>
  <c r="E253" i="25"/>
  <c r="CW135" i="1"/>
  <c r="DD135" i="1"/>
  <c r="DH135" i="1" s="1"/>
  <c r="CW183" i="1"/>
  <c r="DD183" i="1"/>
  <c r="DH183" i="1" s="1"/>
  <c r="CW199" i="1"/>
  <c r="DD199" i="1"/>
  <c r="DF199" i="1" s="1"/>
  <c r="CW231" i="1"/>
  <c r="DD231" i="1"/>
  <c r="DF231" i="1" s="1"/>
  <c r="E285" i="25"/>
  <c r="E201" i="25"/>
  <c r="E157" i="25"/>
  <c r="DB135" i="1"/>
  <c r="DB199" i="1"/>
  <c r="DB231" i="1"/>
  <c r="DD132" i="1"/>
  <c r="DF132" i="1" s="1"/>
  <c r="DB140" i="1"/>
  <c r="DB148" i="1"/>
  <c r="DD188" i="1"/>
  <c r="DF188" i="1" s="1"/>
  <c r="DD196" i="1"/>
  <c r="DF196" i="1" s="1"/>
  <c r="DB204" i="1"/>
  <c r="DB212" i="1"/>
  <c r="CW136" i="1"/>
  <c r="DD136" i="1"/>
  <c r="DF136" i="1" s="1"/>
  <c r="CW152" i="1"/>
  <c r="DD152" i="1"/>
  <c r="DH152" i="1" s="1"/>
  <c r="CW168" i="1"/>
  <c r="DD168" i="1"/>
  <c r="DH168" i="1" s="1"/>
  <c r="CW184" i="1"/>
  <c r="DD184" i="1"/>
  <c r="DF184" i="1" s="1"/>
  <c r="CW200" i="1"/>
  <c r="DD200" i="1"/>
  <c r="DH200" i="1" s="1"/>
  <c r="CW216" i="1"/>
  <c r="DD216" i="1"/>
  <c r="DH216" i="1" s="1"/>
  <c r="CW232" i="1"/>
  <c r="DD232" i="1"/>
  <c r="DF232" i="1" s="1"/>
  <c r="CW270" i="1"/>
  <c r="DD270" i="1"/>
  <c r="DH270" i="1" s="1"/>
  <c r="CZ141" i="1"/>
  <c r="CZ157" i="1"/>
  <c r="CZ173" i="1"/>
  <c r="CZ189" i="1"/>
  <c r="CZ205" i="1"/>
  <c r="CZ221" i="1"/>
  <c r="CZ237" i="1"/>
  <c r="CZ132" i="1"/>
  <c r="CZ148" i="1"/>
  <c r="CZ164" i="1"/>
  <c r="CZ180" i="1"/>
  <c r="CZ196" i="1"/>
  <c r="CZ212" i="1"/>
  <c r="CZ228" i="1"/>
  <c r="CZ266" i="1"/>
  <c r="DB132" i="1"/>
  <c r="DD180" i="1"/>
  <c r="DF180" i="1" s="1"/>
  <c r="DB196" i="1"/>
  <c r="DD266" i="1"/>
  <c r="DH266" i="1" s="1"/>
  <c r="CW143" i="1"/>
  <c r="DD143" i="1"/>
  <c r="DF143" i="1" s="1"/>
  <c r="CW159" i="1"/>
  <c r="DD159" i="1"/>
  <c r="DF159" i="1" s="1"/>
  <c r="CW175" i="1"/>
  <c r="DD175" i="1"/>
  <c r="DH175" i="1" s="1"/>
  <c r="CW191" i="1"/>
  <c r="DD191" i="1"/>
  <c r="DH191" i="1" s="1"/>
  <c r="CW207" i="1"/>
  <c r="DD207" i="1"/>
  <c r="DF207" i="1" s="1"/>
  <c r="CW223" i="1"/>
  <c r="DD223" i="1"/>
  <c r="DH223" i="1" s="1"/>
  <c r="CW239" i="1"/>
  <c r="DD239" i="1"/>
  <c r="DH239" i="1" s="1"/>
  <c r="E241" i="25"/>
  <c r="E137" i="25"/>
  <c r="E233" i="25"/>
  <c r="E245" i="25"/>
  <c r="CW151" i="1"/>
  <c r="DD151" i="1"/>
  <c r="DF151" i="1" s="1"/>
  <c r="CW167" i="1"/>
  <c r="DD167" i="1"/>
  <c r="DF167" i="1" s="1"/>
  <c r="CW215" i="1"/>
  <c r="DD215" i="1"/>
  <c r="DH215" i="1" s="1"/>
  <c r="CW265" i="1"/>
  <c r="DD265" i="1"/>
  <c r="DF265" i="1" s="1"/>
  <c r="I291" i="25"/>
  <c r="E237" i="25"/>
  <c r="E256" i="25"/>
  <c r="E257" i="25"/>
  <c r="E249" i="25"/>
  <c r="E261" i="25"/>
  <c r="E270" i="25"/>
  <c r="E291" i="25"/>
  <c r="E234" i="25"/>
  <c r="E209" i="25"/>
  <c r="E143" i="25"/>
  <c r="E168" i="25"/>
  <c r="E262" i="25"/>
  <c r="E199" i="25"/>
  <c r="E274" i="25"/>
  <c r="E210" i="25"/>
  <c r="E164" i="25"/>
  <c r="E123" i="25"/>
  <c r="E293" i="25"/>
  <c r="E102" i="25"/>
  <c r="E67" i="25"/>
  <c r="E202" i="25"/>
  <c r="E85" i="25"/>
  <c r="E284" i="25"/>
  <c r="E220" i="25"/>
  <c r="E167" i="25"/>
  <c r="E260" i="25"/>
  <c r="E121" i="25"/>
  <c r="E190" i="25"/>
  <c r="E180" i="25"/>
  <c r="E300" i="25"/>
  <c r="E282" i="25"/>
  <c r="E232" i="25"/>
  <c r="E221" i="25"/>
  <c r="E195" i="25"/>
  <c r="E288" i="25"/>
  <c r="E264" i="25"/>
  <c r="E251" i="25"/>
  <c r="E177" i="25"/>
  <c r="E196" i="25"/>
  <c r="E304" i="25"/>
  <c r="E186" i="25"/>
  <c r="E97" i="25"/>
  <c r="E200" i="25"/>
  <c r="E128" i="25"/>
  <c r="E198" i="25"/>
  <c r="E216" i="25"/>
  <c r="E187" i="25"/>
  <c r="E91" i="25"/>
  <c r="E244" i="25"/>
  <c r="E88" i="25"/>
  <c r="E155" i="25"/>
  <c r="E129" i="25"/>
  <c r="E302" i="25"/>
  <c r="E238" i="25"/>
  <c r="E294" i="25"/>
  <c r="E230" i="25"/>
  <c r="E145" i="25"/>
  <c r="E226" i="25"/>
  <c r="E299" i="25"/>
  <c r="E235" i="25"/>
  <c r="E242" i="25"/>
  <c r="E217" i="25"/>
  <c r="E86" i="25"/>
  <c r="E162" i="25"/>
  <c r="E130" i="25"/>
  <c r="E176" i="25"/>
  <c r="E140" i="25"/>
  <c r="E120" i="25"/>
  <c r="E170" i="25"/>
  <c r="E184" i="25"/>
  <c r="E252" i="25"/>
  <c r="E178" i="25"/>
  <c r="E72" i="25"/>
  <c r="E114" i="25"/>
  <c r="E158" i="25"/>
  <c r="E89" i="25"/>
  <c r="E151" i="25"/>
  <c r="E194" i="25"/>
  <c r="E228" i="25"/>
  <c r="E166" i="25"/>
  <c r="E279" i="25"/>
  <c r="E215" i="25"/>
  <c r="E305" i="25"/>
  <c r="E203" i="25"/>
  <c r="E225" i="25"/>
  <c r="E297" i="25"/>
  <c r="E269" i="25"/>
  <c r="E272" i="25"/>
  <c r="E283" i="25"/>
  <c r="E219" i="25"/>
  <c r="E147" i="25"/>
  <c r="E248" i="25"/>
  <c r="E160" i="25"/>
  <c r="E236" i="25"/>
  <c r="E124" i="25"/>
  <c r="E119" i="25"/>
  <c r="E154" i="25"/>
  <c r="E122" i="25"/>
  <c r="E172" i="25"/>
  <c r="E138" i="25"/>
  <c r="E133" i="25"/>
  <c r="I217" i="25"/>
  <c r="I207" i="25"/>
  <c r="I239" i="25"/>
  <c r="I203" i="25"/>
  <c r="I235" i="25"/>
  <c r="I219" i="25"/>
  <c r="I213" i="25"/>
  <c r="I267" i="25"/>
  <c r="I195" i="25"/>
  <c r="I227" i="25"/>
  <c r="I189" i="25"/>
  <c r="I221" i="25"/>
  <c r="I256" i="25"/>
  <c r="I215" i="25"/>
  <c r="I248" i="25"/>
  <c r="I211" i="25"/>
  <c r="I243" i="25"/>
  <c r="H284" i="25"/>
  <c r="H252" i="25"/>
  <c r="H220" i="25"/>
  <c r="H289" i="25"/>
  <c r="H257" i="25"/>
  <c r="H225" i="25"/>
  <c r="I205" i="25"/>
  <c r="I237" i="25"/>
  <c r="H290" i="25"/>
  <c r="H258" i="25"/>
  <c r="H226" i="25"/>
  <c r="I274" i="25"/>
  <c r="H295" i="25"/>
  <c r="H263" i="25"/>
  <c r="H231" i="25"/>
  <c r="H199" i="25"/>
  <c r="I199" i="25"/>
  <c r="I231" i="25"/>
  <c r="I259" i="25"/>
  <c r="H296" i="25"/>
  <c r="H264" i="25"/>
  <c r="H232" i="25"/>
  <c r="H200" i="25"/>
  <c r="I300" i="25"/>
  <c r="H301" i="25"/>
  <c r="H269" i="25"/>
  <c r="H237" i="25"/>
  <c r="H205" i="25"/>
  <c r="H188" i="25"/>
  <c r="I209" i="25"/>
  <c r="I241" i="25"/>
  <c r="I192" i="25"/>
  <c r="I224" i="25"/>
  <c r="I260" i="25"/>
  <c r="I247" i="25"/>
  <c r="H286" i="25"/>
  <c r="H254" i="25"/>
  <c r="H222" i="25"/>
  <c r="I278" i="25"/>
  <c r="H291" i="25"/>
  <c r="H259" i="25"/>
  <c r="H227" i="25"/>
  <c r="I271" i="25"/>
  <c r="I303" i="25"/>
  <c r="H192" i="25"/>
  <c r="H276" i="25"/>
  <c r="H244" i="25"/>
  <c r="H212" i="25"/>
  <c r="H281" i="25"/>
  <c r="H249" i="25"/>
  <c r="H217" i="25"/>
  <c r="I266" i="25"/>
  <c r="H282" i="25"/>
  <c r="H250" i="25"/>
  <c r="H218" i="25"/>
  <c r="I282" i="25"/>
  <c r="H287" i="25"/>
  <c r="H255" i="25"/>
  <c r="H223" i="25"/>
  <c r="I257" i="25"/>
  <c r="H288" i="25"/>
  <c r="H256" i="25"/>
  <c r="H224" i="25"/>
  <c r="I276" i="25"/>
  <c r="H293" i="25"/>
  <c r="H261" i="25"/>
  <c r="H229" i="25"/>
  <c r="H197" i="25"/>
  <c r="I200" i="25"/>
  <c r="I232" i="25"/>
  <c r="I258" i="25"/>
  <c r="H278" i="25"/>
  <c r="H246" i="25"/>
  <c r="H214" i="25"/>
  <c r="I286" i="25"/>
  <c r="H283" i="25"/>
  <c r="H251" i="25"/>
  <c r="H219" i="25"/>
  <c r="I279" i="25"/>
  <c r="H191" i="25"/>
  <c r="H193" i="25"/>
  <c r="H300" i="25"/>
  <c r="H268" i="25"/>
  <c r="H236" i="25"/>
  <c r="H204" i="25"/>
  <c r="H305" i="25"/>
  <c r="H273" i="25"/>
  <c r="H241" i="25"/>
  <c r="H209" i="25"/>
  <c r="H196" i="25"/>
  <c r="I263" i="25"/>
  <c r="H274" i="25"/>
  <c r="H242" i="25"/>
  <c r="H210" i="25"/>
  <c r="I290" i="25"/>
  <c r="H279" i="25"/>
  <c r="H247" i="25"/>
  <c r="H215" i="25"/>
  <c r="I255" i="25"/>
  <c r="H280" i="25"/>
  <c r="H248" i="25"/>
  <c r="H216" i="25"/>
  <c r="I284" i="25"/>
  <c r="H285" i="25"/>
  <c r="H253" i="25"/>
  <c r="H221" i="25"/>
  <c r="I193" i="25"/>
  <c r="I225" i="25"/>
  <c r="I251" i="25"/>
  <c r="I208" i="25"/>
  <c r="I240" i="25"/>
  <c r="H302" i="25"/>
  <c r="H270" i="25"/>
  <c r="H238" i="25"/>
  <c r="H206" i="25"/>
  <c r="I294" i="25"/>
  <c r="H275" i="25"/>
  <c r="H243" i="25"/>
  <c r="H211" i="25"/>
  <c r="I287" i="25"/>
  <c r="H189" i="25"/>
  <c r="H195" i="25"/>
  <c r="H292" i="25"/>
  <c r="H260" i="25"/>
  <c r="H228" i="25"/>
  <c r="H297" i="25"/>
  <c r="H265" i="25"/>
  <c r="H233" i="25"/>
  <c r="H201" i="25"/>
  <c r="H298" i="25"/>
  <c r="H266" i="25"/>
  <c r="H234" i="25"/>
  <c r="H202" i="25"/>
  <c r="I298" i="25"/>
  <c r="H303" i="25"/>
  <c r="H271" i="25"/>
  <c r="H239" i="25"/>
  <c r="H207" i="25"/>
  <c r="H190" i="25"/>
  <c r="H304" i="25"/>
  <c r="H272" i="25"/>
  <c r="H240" i="25"/>
  <c r="H208" i="25"/>
  <c r="I292" i="25"/>
  <c r="H277" i="25"/>
  <c r="H245" i="25"/>
  <c r="H213" i="25"/>
  <c r="I262" i="25"/>
  <c r="I216" i="25"/>
  <c r="I249" i="25"/>
  <c r="H294" i="25"/>
  <c r="H262" i="25"/>
  <c r="H230" i="25"/>
  <c r="H198" i="25"/>
  <c r="I302" i="25"/>
  <c r="H299" i="25"/>
  <c r="H267" i="25"/>
  <c r="H235" i="25"/>
  <c r="H203" i="25"/>
  <c r="I295" i="25"/>
  <c r="H194" i="25"/>
  <c r="CV255" i="1"/>
  <c r="CX255" i="1" s="1"/>
  <c r="CL255" i="1"/>
  <c r="CK255" i="1"/>
  <c r="CJ255" i="1"/>
  <c r="CI255" i="1"/>
  <c r="CV260" i="1"/>
  <c r="CX260" i="1" s="1"/>
  <c r="CL260" i="1"/>
  <c r="CK260" i="1"/>
  <c r="CJ260" i="1"/>
  <c r="CI260" i="1"/>
  <c r="CV261" i="1"/>
  <c r="CX261" i="1" s="1"/>
  <c r="DB261" i="1" s="1"/>
  <c r="CL261" i="1"/>
  <c r="CK261" i="1"/>
  <c r="CJ261" i="1"/>
  <c r="CI261" i="1"/>
  <c r="CV258" i="1"/>
  <c r="CX258" i="1" s="1"/>
  <c r="CL258" i="1"/>
  <c r="CK258" i="1"/>
  <c r="CJ258" i="1"/>
  <c r="CI258" i="1"/>
  <c r="CV245" i="1"/>
  <c r="CX245" i="1" s="1"/>
  <c r="CW245" i="1" s="1"/>
  <c r="CL245" i="1"/>
  <c r="CK245" i="1"/>
  <c r="CJ245" i="1"/>
  <c r="CI245" i="1"/>
  <c r="CV253" i="1"/>
  <c r="CX253" i="1" s="1"/>
  <c r="CL253" i="1"/>
  <c r="CK253" i="1"/>
  <c r="CJ253" i="1"/>
  <c r="CI253" i="1"/>
  <c r="CV250" i="1"/>
  <c r="CX250" i="1" s="1"/>
  <c r="CL250" i="1"/>
  <c r="CK250" i="1"/>
  <c r="CJ250" i="1"/>
  <c r="CI250" i="1"/>
  <c r="CV251" i="1"/>
  <c r="CX251" i="1" s="1"/>
  <c r="CL251" i="1"/>
  <c r="CK251" i="1"/>
  <c r="CJ251" i="1"/>
  <c r="CI251" i="1"/>
  <c r="CV248" i="1"/>
  <c r="CX248" i="1" s="1"/>
  <c r="DB248" i="1" s="1"/>
  <c r="CL248" i="1"/>
  <c r="CK248" i="1"/>
  <c r="CJ248" i="1"/>
  <c r="CI248" i="1"/>
  <c r="CV259" i="1"/>
  <c r="CX259" i="1" s="1"/>
  <c r="CL259" i="1"/>
  <c r="CK259" i="1"/>
  <c r="CJ259" i="1"/>
  <c r="CI259" i="1"/>
  <c r="CV256" i="1"/>
  <c r="CX256" i="1" s="1"/>
  <c r="CL256" i="1"/>
  <c r="CK256" i="1"/>
  <c r="CJ256" i="1"/>
  <c r="CI256" i="1"/>
  <c r="CV257" i="1"/>
  <c r="CX257" i="1" s="1"/>
  <c r="CL257" i="1"/>
  <c r="CK257" i="1"/>
  <c r="CJ257" i="1"/>
  <c r="CI257" i="1"/>
  <c r="CV254" i="1"/>
  <c r="CX254" i="1" s="1"/>
  <c r="CL254" i="1"/>
  <c r="CK254" i="1"/>
  <c r="CJ254" i="1"/>
  <c r="CI254" i="1"/>
  <c r="CV262" i="1"/>
  <c r="CX262" i="1" s="1"/>
  <c r="CL262" i="1"/>
  <c r="CK262" i="1"/>
  <c r="CJ262" i="1"/>
  <c r="CI262" i="1"/>
  <c r="CV249" i="1"/>
  <c r="CX249" i="1" s="1"/>
  <c r="CL249" i="1"/>
  <c r="CK249" i="1"/>
  <c r="CJ249" i="1"/>
  <c r="CI249" i="1"/>
  <c r="CV246" i="1"/>
  <c r="CX246" i="1" s="1"/>
  <c r="CL246" i="1"/>
  <c r="CK246" i="1"/>
  <c r="CJ246" i="1"/>
  <c r="CI246" i="1"/>
  <c r="CV247" i="1"/>
  <c r="CX247" i="1" s="1"/>
  <c r="DD247" i="1" s="1"/>
  <c r="DF247" i="1" s="1"/>
  <c r="CL247" i="1"/>
  <c r="CK247" i="1"/>
  <c r="CJ247" i="1"/>
  <c r="CI247" i="1"/>
  <c r="CV244" i="1"/>
  <c r="CX244" i="1" s="1"/>
  <c r="CL244" i="1"/>
  <c r="CK244" i="1"/>
  <c r="CJ244" i="1"/>
  <c r="CI244" i="1"/>
  <c r="CV252" i="1"/>
  <c r="CX252" i="1" s="1"/>
  <c r="CL252" i="1"/>
  <c r="CK252" i="1"/>
  <c r="CJ252" i="1"/>
  <c r="CI252" i="1"/>
  <c r="CG246" i="1"/>
  <c r="CF247" i="1"/>
  <c r="CQ246" i="1"/>
  <c r="CF246" i="1"/>
  <c r="CF248" i="1"/>
  <c r="DF227" i="1"/>
  <c r="CF252" i="1"/>
  <c r="CF245" i="1"/>
  <c r="DF235" i="1"/>
  <c r="DH225" i="1"/>
  <c r="DF145" i="1"/>
  <c r="DH209" i="1"/>
  <c r="DF161" i="1"/>
  <c r="DH144" i="1"/>
  <c r="CQ245" i="1"/>
  <c r="DH240" i="1"/>
  <c r="CQ251" i="1"/>
  <c r="CG248" i="1"/>
  <c r="CF250" i="1"/>
  <c r="CQ250" i="1"/>
  <c r="CF251" i="1"/>
  <c r="CG253" i="1"/>
  <c r="CF253" i="1"/>
  <c r="CG250" i="1"/>
  <c r="CG251" i="1"/>
  <c r="CQ248" i="1"/>
  <c r="CG245" i="1"/>
  <c r="CQ253" i="1"/>
  <c r="CQ247" i="1"/>
  <c r="CQ252" i="1"/>
  <c r="CG249" i="1"/>
  <c r="CG247" i="1"/>
  <c r="CQ244" i="1"/>
  <c r="CG252" i="1"/>
  <c r="CF249" i="1"/>
  <c r="AU264" i="1"/>
  <c r="AX264" i="1" s="1"/>
  <c r="O138" i="1"/>
  <c r="Z138" i="1"/>
  <c r="O163" i="1"/>
  <c r="Z163" i="1"/>
  <c r="O187" i="1"/>
  <c r="Z187" i="1"/>
  <c r="O235" i="1"/>
  <c r="Z235" i="1"/>
  <c r="O140" i="1"/>
  <c r="Z140" i="1"/>
  <c r="O160" i="1"/>
  <c r="Z160" i="1"/>
  <c r="O176" i="1"/>
  <c r="Z176" i="1"/>
  <c r="O216" i="1"/>
  <c r="Z216" i="1"/>
  <c r="O270" i="1"/>
  <c r="Z270" i="1"/>
  <c r="O141" i="1"/>
  <c r="Z141" i="1"/>
  <c r="O165" i="1"/>
  <c r="Z165" i="1"/>
  <c r="O181" i="1"/>
  <c r="Z181" i="1"/>
  <c r="O213" i="1"/>
  <c r="Z213" i="1"/>
  <c r="O202" i="1"/>
  <c r="Z202" i="1"/>
  <c r="O206" i="1"/>
  <c r="Z206" i="1"/>
  <c r="O218" i="1"/>
  <c r="Z218" i="1"/>
  <c r="O226" i="1"/>
  <c r="Z226" i="1"/>
  <c r="O230" i="1"/>
  <c r="Z230" i="1"/>
  <c r="O166" i="1"/>
  <c r="Z166" i="1"/>
  <c r="O182" i="1"/>
  <c r="Z182" i="1"/>
  <c r="O214" i="1"/>
  <c r="Z214" i="1"/>
  <c r="BW159" i="1"/>
  <c r="Z159" i="1"/>
  <c r="O179" i="1"/>
  <c r="Z179" i="1"/>
  <c r="O183" i="1"/>
  <c r="Z183" i="1"/>
  <c r="O199" i="1"/>
  <c r="Z199" i="1"/>
  <c r="O211" i="1"/>
  <c r="Z211" i="1"/>
  <c r="O219" i="1"/>
  <c r="Z219" i="1"/>
  <c r="Z231" i="1"/>
  <c r="O243" i="1"/>
  <c r="Z243" i="1"/>
  <c r="O265" i="1"/>
  <c r="Z265" i="1"/>
  <c r="O192" i="1"/>
  <c r="Z192" i="1"/>
  <c r="O137" i="1"/>
  <c r="Z137" i="1"/>
  <c r="O177" i="1"/>
  <c r="Z177" i="1"/>
  <c r="O201" i="1"/>
  <c r="Z201" i="1"/>
  <c r="O209" i="1"/>
  <c r="Z209" i="1"/>
  <c r="O241" i="1"/>
  <c r="Z241" i="1"/>
  <c r="O267" i="1"/>
  <c r="Z267" i="1"/>
  <c r="Z129" i="1"/>
  <c r="O130" i="1"/>
  <c r="Z130" i="1"/>
  <c r="O146" i="1"/>
  <c r="Z146" i="1"/>
  <c r="O194" i="1"/>
  <c r="Z194" i="1"/>
  <c r="O234" i="1"/>
  <c r="Z234" i="1"/>
  <c r="O242" i="1"/>
  <c r="Z242" i="1"/>
  <c r="O135" i="1"/>
  <c r="Z135" i="1"/>
  <c r="O151" i="1"/>
  <c r="Z151" i="1"/>
  <c r="O155" i="1"/>
  <c r="Z155" i="1"/>
  <c r="O171" i="1"/>
  <c r="Z171" i="1"/>
  <c r="O175" i="1"/>
  <c r="Z175" i="1"/>
  <c r="O195" i="1"/>
  <c r="Z195" i="1"/>
  <c r="Z227" i="1"/>
  <c r="O132" i="1"/>
  <c r="Z132" i="1"/>
  <c r="O148" i="1"/>
  <c r="Z148" i="1"/>
  <c r="O168" i="1"/>
  <c r="Z168" i="1"/>
  <c r="O184" i="1"/>
  <c r="Z184" i="1"/>
  <c r="O196" i="1"/>
  <c r="Z196" i="1"/>
  <c r="O212" i="1"/>
  <c r="Z212" i="1"/>
  <c r="O133" i="1"/>
  <c r="Z133" i="1"/>
  <c r="O149" i="1"/>
  <c r="Z149" i="1"/>
  <c r="O157" i="1"/>
  <c r="Z157" i="1"/>
  <c r="O173" i="1"/>
  <c r="Z173" i="1"/>
  <c r="O189" i="1"/>
  <c r="Z189" i="1"/>
  <c r="O197" i="1"/>
  <c r="Z197" i="1"/>
  <c r="O205" i="1"/>
  <c r="Z205" i="1"/>
  <c r="O217" i="1"/>
  <c r="Z217" i="1"/>
  <c r="O225" i="1"/>
  <c r="Z225" i="1"/>
  <c r="O237" i="1"/>
  <c r="Z237" i="1"/>
  <c r="CQ249" i="1"/>
  <c r="CG244" i="1"/>
  <c r="Z145" i="1"/>
  <c r="O158" i="1"/>
  <c r="Z158" i="1"/>
  <c r="O174" i="1"/>
  <c r="Z174" i="1"/>
  <c r="O210" i="1"/>
  <c r="Z210" i="1"/>
  <c r="O222" i="1"/>
  <c r="Z222" i="1"/>
  <c r="O91" i="1"/>
  <c r="Z91" i="1"/>
  <c r="O147" i="1"/>
  <c r="Z147" i="1"/>
  <c r="O167" i="1"/>
  <c r="Z167" i="1"/>
  <c r="O223" i="1"/>
  <c r="Z223" i="1"/>
  <c r="BW239" i="1"/>
  <c r="Z239" i="1"/>
  <c r="O269" i="1"/>
  <c r="Z269" i="1"/>
  <c r="O144" i="1"/>
  <c r="Z144" i="1"/>
  <c r="AU180" i="1"/>
  <c r="AX180" i="1" s="1"/>
  <c r="Z180" i="1"/>
  <c r="O204" i="1"/>
  <c r="Z204" i="1"/>
  <c r="O224" i="1"/>
  <c r="Z224" i="1"/>
  <c r="O240" i="1"/>
  <c r="Z240" i="1"/>
  <c r="O169" i="1"/>
  <c r="Z169" i="1"/>
  <c r="O185" i="1"/>
  <c r="Z185" i="1"/>
  <c r="O193" i="1"/>
  <c r="Z193" i="1"/>
  <c r="O271" i="1"/>
  <c r="Z271" i="1"/>
  <c r="Z161" i="1"/>
  <c r="BW167" i="1"/>
  <c r="BW223" i="1"/>
  <c r="CF244" i="1"/>
  <c r="CG255" i="1"/>
  <c r="CQ255" i="1"/>
  <c r="CF255" i="1"/>
  <c r="CQ259" i="1"/>
  <c r="CF259" i="1"/>
  <c r="CG259" i="1"/>
  <c r="CG256" i="1"/>
  <c r="CQ256" i="1"/>
  <c r="CF256" i="1"/>
  <c r="CG260" i="1"/>
  <c r="CQ260" i="1"/>
  <c r="CF260" i="1"/>
  <c r="CG257" i="1"/>
  <c r="CF257" i="1"/>
  <c r="CQ257" i="1"/>
  <c r="CG261" i="1"/>
  <c r="CQ261" i="1"/>
  <c r="CF261" i="1"/>
  <c r="CG254" i="1"/>
  <c r="CQ254" i="1"/>
  <c r="CF254" i="1"/>
  <c r="CG258" i="1"/>
  <c r="CQ258" i="1"/>
  <c r="CF258" i="1"/>
  <c r="CG262" i="1"/>
  <c r="CQ262" i="1"/>
  <c r="CF262" i="1"/>
  <c r="M11" i="1"/>
  <c r="D184" i="23"/>
  <c r="D183" i="23"/>
  <c r="D182" i="23"/>
  <c r="D181" i="23"/>
  <c r="D180" i="23"/>
  <c r="D179" i="23"/>
  <c r="D178" i="23"/>
  <c r="D177" i="23"/>
  <c r="D176" i="23"/>
  <c r="D175" i="23"/>
  <c r="D174" i="23"/>
  <c r="D173" i="23"/>
  <c r="D172" i="23"/>
  <c r="D171" i="23"/>
  <c r="D199" i="23"/>
  <c r="D198" i="23"/>
  <c r="D197" i="23"/>
  <c r="D196" i="23"/>
  <c r="D195" i="23"/>
  <c r="D194" i="23"/>
  <c r="D193" i="23"/>
  <c r="D192" i="23"/>
  <c r="D191" i="23"/>
  <c r="D190" i="23"/>
  <c r="D189" i="23"/>
  <c r="D188" i="23"/>
  <c r="D187" i="23"/>
  <c r="D186" i="23"/>
  <c r="D185" i="23"/>
  <c r="D170" i="23"/>
  <c r="D169" i="23"/>
  <c r="D168" i="23"/>
  <c r="D167" i="23"/>
  <c r="D166" i="23"/>
  <c r="D165" i="23"/>
  <c r="D164" i="23"/>
  <c r="D163" i="23"/>
  <c r="D162" i="23"/>
  <c r="D161" i="23"/>
  <c r="D160" i="23"/>
  <c r="D159" i="23"/>
  <c r="D158" i="23"/>
  <c r="D157" i="23"/>
  <c r="D156" i="23"/>
  <c r="D155" i="23"/>
  <c r="D154" i="23"/>
  <c r="D153" i="23"/>
  <c r="D152" i="23"/>
  <c r="D151" i="23"/>
  <c r="D150" i="23"/>
  <c r="D149" i="23"/>
  <c r="D148" i="23"/>
  <c r="D147" i="23"/>
  <c r="D146" i="23"/>
  <c r="D145" i="23"/>
  <c r="D144" i="23"/>
  <c r="D143" i="23"/>
  <c r="D142" i="23"/>
  <c r="D141" i="23"/>
  <c r="D140" i="23"/>
  <c r="D139" i="23"/>
  <c r="D138" i="23"/>
  <c r="D137" i="23"/>
  <c r="D136" i="23"/>
  <c r="D135" i="23"/>
  <c r="D134" i="23"/>
  <c r="D133" i="23"/>
  <c r="D132" i="23"/>
  <c r="D131" i="23"/>
  <c r="D130" i="23"/>
  <c r="D129" i="23"/>
  <c r="D128" i="23"/>
  <c r="D127" i="23"/>
  <c r="D126" i="23"/>
  <c r="D125" i="23"/>
  <c r="D124" i="23"/>
  <c r="D123" i="23"/>
  <c r="D122" i="23"/>
  <c r="D121" i="23"/>
  <c r="D120" i="23"/>
  <c r="D119" i="23"/>
  <c r="D118" i="23"/>
  <c r="D117" i="23"/>
  <c r="D116" i="23"/>
  <c r="D115" i="23"/>
  <c r="D15" i="23"/>
  <c r="D19" i="23"/>
  <c r="D200" i="23"/>
  <c r="D114" i="23"/>
  <c r="D113" i="23"/>
  <c r="D112" i="23"/>
  <c r="D111" i="23"/>
  <c r="D110" i="23"/>
  <c r="D109" i="23"/>
  <c r="D108" i="23"/>
  <c r="D107" i="23"/>
  <c r="D106" i="23"/>
  <c r="D105" i="23"/>
  <c r="D104" i="23"/>
  <c r="D103" i="23"/>
  <c r="D102" i="23"/>
  <c r="D101" i="23"/>
  <c r="D100" i="23"/>
  <c r="D99" i="23"/>
  <c r="D98" i="23"/>
  <c r="D97" i="23"/>
  <c r="D96" i="23"/>
  <c r="D95" i="23"/>
  <c r="D94" i="23"/>
  <c r="D93" i="23"/>
  <c r="D92" i="23"/>
  <c r="D91" i="23"/>
  <c r="D90" i="23"/>
  <c r="D89" i="23"/>
  <c r="D88" i="23"/>
  <c r="D87" i="23"/>
  <c r="D86" i="23"/>
  <c r="D85" i="23"/>
  <c r="D84" i="23"/>
  <c r="D83" i="23"/>
  <c r="D82" i="23"/>
  <c r="D81" i="23"/>
  <c r="D80" i="23"/>
  <c r="D79" i="23"/>
  <c r="D78" i="23"/>
  <c r="D77" i="23"/>
  <c r="D76" i="23"/>
  <c r="D75" i="23"/>
  <c r="D74" i="23"/>
  <c r="D73" i="23"/>
  <c r="D72" i="23"/>
  <c r="D71" i="23"/>
  <c r="D70" i="23"/>
  <c r="D69" i="23"/>
  <c r="D68" i="23"/>
  <c r="D67" i="23"/>
  <c r="D66" i="23"/>
  <c r="D65" i="23"/>
  <c r="D64" i="23"/>
  <c r="D63" i="23"/>
  <c r="D62" i="23"/>
  <c r="D61" i="23"/>
  <c r="D60" i="23"/>
  <c r="D59" i="23"/>
  <c r="D58" i="23"/>
  <c r="D57" i="23"/>
  <c r="D56" i="23"/>
  <c r="D55" i="23"/>
  <c r="D54" i="23"/>
  <c r="D53" i="23"/>
  <c r="D52" i="23"/>
  <c r="D51" i="23"/>
  <c r="D50" i="23"/>
  <c r="D49" i="23"/>
  <c r="D48" i="23"/>
  <c r="D47" i="23"/>
  <c r="D46" i="23"/>
  <c r="D45" i="23"/>
  <c r="D44" i="23"/>
  <c r="D43" i="23"/>
  <c r="D42" i="23"/>
  <c r="D41" i="23"/>
  <c r="D40" i="23"/>
  <c r="D39" i="23"/>
  <c r="D38" i="23"/>
  <c r="D37" i="23"/>
  <c r="D36" i="23"/>
  <c r="D35" i="23"/>
  <c r="D34" i="23"/>
  <c r="D33" i="23"/>
  <c r="D32" i="23"/>
  <c r="D31" i="23"/>
  <c r="D30" i="23"/>
  <c r="D16" i="23"/>
  <c r="D21" i="23"/>
  <c r="JG213" i="23"/>
  <c r="D213" i="23" s="1"/>
  <c r="D22" i="23"/>
  <c r="D17" i="23"/>
  <c r="D18" i="23"/>
  <c r="D23" i="23"/>
  <c r="D20" i="23"/>
  <c r="D201" i="23"/>
  <c r="D29" i="23"/>
  <c r="D28" i="23"/>
  <c r="D27" i="23"/>
  <c r="D26" i="23"/>
  <c r="D25" i="23"/>
  <c r="D24" i="23"/>
  <c r="JG212" i="23"/>
  <c r="D212" i="23" s="1"/>
  <c r="BW267" i="1"/>
  <c r="BW214" i="1"/>
  <c r="AU214" i="1"/>
  <c r="AX214" i="1" s="1"/>
  <c r="AU239" i="1"/>
  <c r="AW239" i="1" s="1"/>
  <c r="AU163" i="1"/>
  <c r="AX163" i="1" s="1"/>
  <c r="BW179" i="1"/>
  <c r="AU154" i="1"/>
  <c r="AX154" i="1" s="1"/>
  <c r="O154" i="1"/>
  <c r="AU170" i="1"/>
  <c r="AW170" i="1" s="1"/>
  <c r="O170" i="1"/>
  <c r="BW178" i="1"/>
  <c r="O178" i="1"/>
  <c r="AU186" i="1"/>
  <c r="AW186" i="1" s="1"/>
  <c r="O186" i="1"/>
  <c r="AU265" i="1"/>
  <c r="AW265" i="1" s="1"/>
  <c r="AU269" i="1"/>
  <c r="AX269" i="1" s="1"/>
  <c r="AU156" i="1"/>
  <c r="AT156" i="1" s="1"/>
  <c r="O156" i="1"/>
  <c r="O172" i="1"/>
  <c r="BW266" i="1"/>
  <c r="O266" i="1"/>
  <c r="BW153" i="1"/>
  <c r="O153" i="1"/>
  <c r="BW229" i="1"/>
  <c r="O229" i="1"/>
  <c r="O134" i="1"/>
  <c r="O150" i="1"/>
  <c r="O198" i="1"/>
  <c r="AU268" i="1"/>
  <c r="AW268" i="1" s="1"/>
  <c r="O268" i="1"/>
  <c r="O131" i="1"/>
  <c r="O159" i="1"/>
  <c r="BW191" i="1"/>
  <c r="O191" i="1"/>
  <c r="O239" i="1"/>
  <c r="BW265" i="1"/>
  <c r="BW269" i="1"/>
  <c r="O188" i="1"/>
  <c r="AU200" i="1"/>
  <c r="AX200" i="1" s="1"/>
  <c r="O200" i="1"/>
  <c r="AU221" i="1"/>
  <c r="AX221" i="1" s="1"/>
  <c r="O221" i="1"/>
  <c r="AU162" i="1"/>
  <c r="AW162" i="1" s="1"/>
  <c r="O162" i="1"/>
  <c r="O238" i="1"/>
  <c r="AU143" i="1"/>
  <c r="AX143" i="1" s="1"/>
  <c r="O143" i="1"/>
  <c r="BW203" i="1"/>
  <c r="O203" i="1"/>
  <c r="BW215" i="1"/>
  <c r="O215" i="1"/>
  <c r="O164" i="1"/>
  <c r="O208" i="1"/>
  <c r="AU232" i="1"/>
  <c r="AW232" i="1" s="1"/>
  <c r="O232" i="1"/>
  <c r="O142" i="1"/>
  <c r="O190" i="1"/>
  <c r="BW264" i="1"/>
  <c r="O264" i="1"/>
  <c r="O139" i="1"/>
  <c r="O207" i="1"/>
  <c r="AU227" i="1"/>
  <c r="AX227" i="1" s="1"/>
  <c r="O227" i="1"/>
  <c r="AU231" i="1"/>
  <c r="AT231" i="1" s="1"/>
  <c r="O231" i="1"/>
  <c r="AU136" i="1"/>
  <c r="AT136" i="1" s="1"/>
  <c r="O136" i="1"/>
  <c r="AU152" i="1"/>
  <c r="AT152" i="1" s="1"/>
  <c r="O152" i="1"/>
  <c r="O180" i="1"/>
  <c r="O220" i="1"/>
  <c r="AU228" i="1"/>
  <c r="AX228" i="1" s="1"/>
  <c r="O228" i="1"/>
  <c r="BW236" i="1"/>
  <c r="O236" i="1"/>
  <c r="AU205" i="1"/>
  <c r="AX205" i="1" s="1"/>
  <c r="O233" i="1"/>
  <c r="AU208" i="1"/>
  <c r="AT208" i="1" s="1"/>
  <c r="BW232" i="1"/>
  <c r="AU164" i="1"/>
  <c r="AT164" i="1" s="1"/>
  <c r="AU220" i="1"/>
  <c r="AX220" i="1" s="1"/>
  <c r="AU172" i="1"/>
  <c r="AT172" i="1" s="1"/>
  <c r="AU215" i="1"/>
  <c r="AT215" i="1" s="1"/>
  <c r="AU188" i="1"/>
  <c r="AW188" i="1" s="1"/>
  <c r="AU134" i="1"/>
  <c r="AT134" i="1" s="1"/>
  <c r="AU142" i="1"/>
  <c r="AT142" i="1" s="1"/>
  <c r="AU150" i="1"/>
  <c r="AX150" i="1" s="1"/>
  <c r="AU178" i="1"/>
  <c r="AW178" i="1" s="1"/>
  <c r="CR182" i="1"/>
  <c r="CS182" i="1"/>
  <c r="CR186" i="1"/>
  <c r="CS186" i="1"/>
  <c r="BW186" i="1"/>
  <c r="CR194" i="1"/>
  <c r="CS194" i="1"/>
  <c r="CR202" i="1"/>
  <c r="CS202" i="1"/>
  <c r="CR210" i="1"/>
  <c r="CS210" i="1"/>
  <c r="CR214" i="1"/>
  <c r="CS214" i="1"/>
  <c r="CR151" i="1"/>
  <c r="CS151" i="1"/>
  <c r="BW151" i="1"/>
  <c r="CR171" i="1"/>
  <c r="CS171" i="1"/>
  <c r="CR175" i="1"/>
  <c r="CS175" i="1"/>
  <c r="CR148" i="1"/>
  <c r="CS148" i="1"/>
  <c r="CR152" i="1"/>
  <c r="CS152" i="1"/>
  <c r="CR216" i="1"/>
  <c r="CS216" i="1"/>
  <c r="CR220" i="1"/>
  <c r="CS220" i="1"/>
  <c r="CR232" i="1"/>
  <c r="CS232" i="1"/>
  <c r="AU236" i="1"/>
  <c r="AW236" i="1" s="1"/>
  <c r="AU266" i="1"/>
  <c r="AT266" i="1" s="1"/>
  <c r="CR141" i="1"/>
  <c r="CS141" i="1"/>
  <c r="CR161" i="1"/>
  <c r="CS161" i="1"/>
  <c r="CR177" i="1"/>
  <c r="CS177" i="1"/>
  <c r="CR201" i="1"/>
  <c r="CS201" i="1"/>
  <c r="CR225" i="1"/>
  <c r="CS225" i="1"/>
  <c r="CR229" i="1"/>
  <c r="CS229" i="1"/>
  <c r="CR237" i="1"/>
  <c r="CS237" i="1"/>
  <c r="CR241" i="1"/>
  <c r="CS241" i="1"/>
  <c r="CR267" i="1"/>
  <c r="CS267" i="1"/>
  <c r="CR190" i="1"/>
  <c r="CS190" i="1"/>
  <c r="CR198" i="1"/>
  <c r="CS198" i="1"/>
  <c r="CR206" i="1"/>
  <c r="CS206" i="1"/>
  <c r="CR226" i="1"/>
  <c r="CS226" i="1"/>
  <c r="CR230" i="1"/>
  <c r="CS230" i="1"/>
  <c r="CR238" i="1"/>
  <c r="CS238" i="1"/>
  <c r="CR242" i="1"/>
  <c r="CS242" i="1"/>
  <c r="BW242" i="1"/>
  <c r="CR91" i="1"/>
  <c r="CS91" i="1"/>
  <c r="CR131" i="1"/>
  <c r="CS131" i="1"/>
  <c r="AU151" i="1"/>
  <c r="AX151" i="1" s="1"/>
  <c r="AU171" i="1"/>
  <c r="CR179" i="1"/>
  <c r="CS179" i="1"/>
  <c r="CR183" i="1"/>
  <c r="CS183" i="1"/>
  <c r="CR195" i="1"/>
  <c r="CS195" i="1"/>
  <c r="CR265" i="1"/>
  <c r="CS265" i="1"/>
  <c r="CR269" i="1"/>
  <c r="CS269" i="1"/>
  <c r="CR140" i="1"/>
  <c r="CS140" i="1"/>
  <c r="CR144" i="1"/>
  <c r="CS144" i="1"/>
  <c r="CR160" i="1"/>
  <c r="CS160" i="1"/>
  <c r="CR168" i="1"/>
  <c r="CS168" i="1"/>
  <c r="CR176" i="1"/>
  <c r="CS176" i="1"/>
  <c r="CR184" i="1"/>
  <c r="CS184" i="1"/>
  <c r="CR204" i="1"/>
  <c r="CS204" i="1"/>
  <c r="CR224" i="1"/>
  <c r="CS224" i="1"/>
  <c r="CR137" i="1"/>
  <c r="CS137" i="1"/>
  <c r="CR153" i="1"/>
  <c r="CS153" i="1"/>
  <c r="CR157" i="1"/>
  <c r="CS157" i="1"/>
  <c r="CR173" i="1"/>
  <c r="CS173" i="1"/>
  <c r="CR189" i="1"/>
  <c r="CS189" i="1"/>
  <c r="CR197" i="1"/>
  <c r="CS197" i="1"/>
  <c r="CR213" i="1"/>
  <c r="CS213" i="1"/>
  <c r="AU229" i="1"/>
  <c r="AW229" i="1" s="1"/>
  <c r="CR233" i="1"/>
  <c r="CS233" i="1"/>
  <c r="CR130" i="1"/>
  <c r="CS130" i="1"/>
  <c r="CR138" i="1"/>
  <c r="CS138" i="1"/>
  <c r="CR146" i="1"/>
  <c r="CS146" i="1"/>
  <c r="AU198" i="1"/>
  <c r="AX198" i="1" s="1"/>
  <c r="AU206" i="1"/>
  <c r="CR222" i="1"/>
  <c r="CS222" i="1"/>
  <c r="AU226" i="1"/>
  <c r="AW226" i="1" s="1"/>
  <c r="CR135" i="1"/>
  <c r="CS135" i="1"/>
  <c r="BW135" i="1"/>
  <c r="CR139" i="1"/>
  <c r="CS139" i="1"/>
  <c r="CR155" i="1"/>
  <c r="CS155" i="1"/>
  <c r="CR159" i="1"/>
  <c r="CS159" i="1"/>
  <c r="CR187" i="1"/>
  <c r="CS187" i="1"/>
  <c r="CR191" i="1"/>
  <c r="CS191" i="1"/>
  <c r="CR199" i="1"/>
  <c r="CS199" i="1"/>
  <c r="BW199" i="1"/>
  <c r="CR203" i="1"/>
  <c r="CS203" i="1"/>
  <c r="CR207" i="1"/>
  <c r="CS207" i="1"/>
  <c r="CR211" i="1"/>
  <c r="CS211" i="1"/>
  <c r="CR219" i="1"/>
  <c r="CS219" i="1"/>
  <c r="CR223" i="1"/>
  <c r="CS223" i="1"/>
  <c r="CR132" i="1"/>
  <c r="CS132" i="1"/>
  <c r="CR136" i="1"/>
  <c r="CS136" i="1"/>
  <c r="AU144" i="1"/>
  <c r="CR156" i="1"/>
  <c r="CS156" i="1"/>
  <c r="CR164" i="1"/>
  <c r="CS164" i="1"/>
  <c r="CR172" i="1"/>
  <c r="CS172" i="1"/>
  <c r="CR180" i="1"/>
  <c r="CS180" i="1"/>
  <c r="CR188" i="1"/>
  <c r="CS188" i="1"/>
  <c r="CR192" i="1"/>
  <c r="CS192" i="1"/>
  <c r="CR208" i="1"/>
  <c r="CS208" i="1"/>
  <c r="CR212" i="1"/>
  <c r="CS212" i="1"/>
  <c r="CR228" i="1"/>
  <c r="CS228" i="1"/>
  <c r="BW228" i="1"/>
  <c r="CR133" i="1"/>
  <c r="CS133" i="1"/>
  <c r="CR149" i="1"/>
  <c r="CS149" i="1"/>
  <c r="CR169" i="1"/>
  <c r="CS169" i="1"/>
  <c r="CR185" i="1"/>
  <c r="CS185" i="1"/>
  <c r="CR193" i="1"/>
  <c r="CS193" i="1"/>
  <c r="CR209" i="1"/>
  <c r="CS209" i="1"/>
  <c r="CR221" i="1"/>
  <c r="CS221" i="1"/>
  <c r="CR271" i="1"/>
  <c r="CS271" i="1"/>
  <c r="CR134" i="1"/>
  <c r="CS134" i="1"/>
  <c r="CR142" i="1"/>
  <c r="CS142" i="1"/>
  <c r="CR150" i="1"/>
  <c r="CS150" i="1"/>
  <c r="CR154" i="1"/>
  <c r="CS154" i="1"/>
  <c r="BW154" i="1"/>
  <c r="CR158" i="1"/>
  <c r="CS158" i="1"/>
  <c r="CR162" i="1"/>
  <c r="CS162" i="1"/>
  <c r="BW162" i="1"/>
  <c r="CR166" i="1"/>
  <c r="CS166" i="1"/>
  <c r="CR170" i="1"/>
  <c r="CS170" i="1"/>
  <c r="BW170" i="1"/>
  <c r="CR174" i="1"/>
  <c r="CS174" i="1"/>
  <c r="CR178" i="1"/>
  <c r="CS178" i="1"/>
  <c r="CR218" i="1"/>
  <c r="CS218" i="1"/>
  <c r="CR234" i="1"/>
  <c r="CS234" i="1"/>
  <c r="CR264" i="1"/>
  <c r="CS264" i="1"/>
  <c r="CR268" i="1"/>
  <c r="CS268" i="1"/>
  <c r="AU135" i="1"/>
  <c r="CR143" i="1"/>
  <c r="CS143" i="1"/>
  <c r="BW143" i="1"/>
  <c r="CR147" i="1"/>
  <c r="CS147" i="1"/>
  <c r="AU155" i="1"/>
  <c r="AX155" i="1" s="1"/>
  <c r="CR163" i="1"/>
  <c r="CS163" i="1"/>
  <c r="CR167" i="1"/>
  <c r="CS167" i="1"/>
  <c r="AU187" i="1"/>
  <c r="AX187" i="1" s="1"/>
  <c r="AU199" i="1"/>
  <c r="AT199" i="1" s="1"/>
  <c r="AU207" i="1"/>
  <c r="AW207" i="1" s="1"/>
  <c r="CR215" i="1"/>
  <c r="CS215" i="1"/>
  <c r="AU219" i="1"/>
  <c r="AT219" i="1" s="1"/>
  <c r="CR227" i="1"/>
  <c r="CS227" i="1"/>
  <c r="CR231" i="1"/>
  <c r="CS231" i="1"/>
  <c r="CR235" i="1"/>
  <c r="CS235" i="1"/>
  <c r="CR239" i="1"/>
  <c r="CS239" i="1"/>
  <c r="CR243" i="1"/>
  <c r="CS243" i="1"/>
  <c r="BW243" i="1"/>
  <c r="CR196" i="1"/>
  <c r="CS196" i="1"/>
  <c r="CR200" i="1"/>
  <c r="CS200" i="1"/>
  <c r="CR236" i="1"/>
  <c r="CS236" i="1"/>
  <c r="CR240" i="1"/>
  <c r="CS240" i="1"/>
  <c r="CR266" i="1"/>
  <c r="CS266" i="1"/>
  <c r="CR270" i="1"/>
  <c r="CS270" i="1"/>
  <c r="CR129" i="1"/>
  <c r="CS129" i="1"/>
  <c r="CR145" i="1"/>
  <c r="CS145" i="1"/>
  <c r="AU153" i="1"/>
  <c r="AT153" i="1" s="1"/>
  <c r="CR165" i="1"/>
  <c r="CS165" i="1"/>
  <c r="CR181" i="1"/>
  <c r="CS181" i="1"/>
  <c r="CR205" i="1"/>
  <c r="CS205" i="1"/>
  <c r="CR217" i="1"/>
  <c r="CS217" i="1"/>
  <c r="BW130" i="1"/>
  <c r="BW138" i="1"/>
  <c r="BW146" i="1"/>
  <c r="BW194" i="1"/>
  <c r="BW202" i="1"/>
  <c r="BW210" i="1"/>
  <c r="BW218" i="1"/>
  <c r="AU222" i="1"/>
  <c r="BW230" i="1"/>
  <c r="BW234" i="1"/>
  <c r="BW132" i="1"/>
  <c r="BW140" i="1"/>
  <c r="BW148" i="1"/>
  <c r="BW160" i="1"/>
  <c r="BW168" i="1"/>
  <c r="BW176" i="1"/>
  <c r="BW184" i="1"/>
  <c r="BW192" i="1"/>
  <c r="BW196" i="1"/>
  <c r="BW204" i="1"/>
  <c r="AU212" i="1"/>
  <c r="BW240" i="1"/>
  <c r="BW270" i="1"/>
  <c r="AU129" i="1"/>
  <c r="BW133" i="1"/>
  <c r="AU137" i="1"/>
  <c r="BW141" i="1"/>
  <c r="AU145" i="1"/>
  <c r="BW149" i="1"/>
  <c r="AU157" i="1"/>
  <c r="BW161" i="1"/>
  <c r="AU165" i="1"/>
  <c r="BW169" i="1"/>
  <c r="AU173" i="1"/>
  <c r="BW177" i="1"/>
  <c r="AU181" i="1"/>
  <c r="BW185" i="1"/>
  <c r="AU189" i="1"/>
  <c r="AU193" i="1"/>
  <c r="BW197" i="1"/>
  <c r="AU201" i="1"/>
  <c r="AU209" i="1"/>
  <c r="BW209" i="1"/>
  <c r="AU217" i="1"/>
  <c r="BW221" i="1"/>
  <c r="AU225" i="1"/>
  <c r="AU233" i="1"/>
  <c r="BW233" i="1"/>
  <c r="AU237" i="1"/>
  <c r="AU241" i="1"/>
  <c r="AU130" i="1"/>
  <c r="BW134" i="1"/>
  <c r="AU138" i="1"/>
  <c r="BW142" i="1"/>
  <c r="AU146" i="1"/>
  <c r="BW150" i="1"/>
  <c r="AU158" i="1"/>
  <c r="BW158" i="1"/>
  <c r="AU166" i="1"/>
  <c r="BW166" i="1"/>
  <c r="AU174" i="1"/>
  <c r="BW174" i="1"/>
  <c r="AU182" i="1"/>
  <c r="BW182" i="1"/>
  <c r="AU190" i="1"/>
  <c r="BW190" i="1"/>
  <c r="AU194" i="1"/>
  <c r="BW198" i="1"/>
  <c r="AU202" i="1"/>
  <c r="BW206" i="1"/>
  <c r="AU210" i="1"/>
  <c r="AU218" i="1"/>
  <c r="BW226" i="1"/>
  <c r="AU230" i="1"/>
  <c r="AU234" i="1"/>
  <c r="AU238" i="1"/>
  <c r="BW238" i="1"/>
  <c r="AU242" i="1"/>
  <c r="BW268" i="1"/>
  <c r="AU91" i="1"/>
  <c r="AU131" i="1"/>
  <c r="BW131" i="1"/>
  <c r="AU139" i="1"/>
  <c r="BW139" i="1"/>
  <c r="AU147" i="1"/>
  <c r="BW147" i="1"/>
  <c r="BW155" i="1"/>
  <c r="AU159" i="1"/>
  <c r="BW163" i="1"/>
  <c r="AU167" i="1"/>
  <c r="BW171" i="1"/>
  <c r="AU175" i="1"/>
  <c r="AU179" i="1"/>
  <c r="AU183" i="1"/>
  <c r="BW187" i="1"/>
  <c r="AU191" i="1"/>
  <c r="AU195" i="1"/>
  <c r="BW195" i="1"/>
  <c r="BW207" i="1"/>
  <c r="AU211" i="1"/>
  <c r="BW211" i="1"/>
  <c r="BW219" i="1"/>
  <c r="AU223" i="1"/>
  <c r="BW227" i="1"/>
  <c r="BW231" i="1"/>
  <c r="BW235" i="1"/>
  <c r="AU243" i="1"/>
  <c r="AU132" i="1"/>
  <c r="BW136" i="1"/>
  <c r="AU140" i="1"/>
  <c r="BW144" i="1"/>
  <c r="AU148" i="1"/>
  <c r="BW152" i="1"/>
  <c r="BW156" i="1"/>
  <c r="AU160" i="1"/>
  <c r="BW164" i="1"/>
  <c r="AU168" i="1"/>
  <c r="BW172" i="1"/>
  <c r="AU176" i="1"/>
  <c r="BW180" i="1"/>
  <c r="AU184" i="1"/>
  <c r="BW188" i="1"/>
  <c r="AU192" i="1"/>
  <c r="AU196" i="1"/>
  <c r="BW200" i="1"/>
  <c r="AU204" i="1"/>
  <c r="BW208" i="1"/>
  <c r="BW212" i="1"/>
  <c r="BW220" i="1"/>
  <c r="BW224" i="1"/>
  <c r="AU240" i="1"/>
  <c r="AU270" i="1"/>
  <c r="BW129" i="1"/>
  <c r="AU133" i="1"/>
  <c r="BW137" i="1"/>
  <c r="AU141" i="1"/>
  <c r="BW145" i="1"/>
  <c r="AU149" i="1"/>
  <c r="BW157" i="1"/>
  <c r="AU161" i="1"/>
  <c r="BW165" i="1"/>
  <c r="AU169" i="1"/>
  <c r="BW173" i="1"/>
  <c r="AU177" i="1"/>
  <c r="BW181" i="1"/>
  <c r="AU185" i="1"/>
  <c r="BW189" i="1"/>
  <c r="BW193" i="1"/>
  <c r="AU197" i="1"/>
  <c r="BW201" i="1"/>
  <c r="BW205" i="1"/>
  <c r="AU213" i="1"/>
  <c r="BW217" i="1"/>
  <c r="BW225" i="1"/>
  <c r="BW237" i="1"/>
  <c r="BW241" i="1"/>
  <c r="AU267" i="1"/>
  <c r="AU271" i="1"/>
  <c r="BW271" i="1"/>
  <c r="BW222" i="1"/>
  <c r="AU203" i="1"/>
  <c r="AU235" i="1"/>
  <c r="AU216" i="1"/>
  <c r="BW213" i="1"/>
  <c r="AO1269" i="7"/>
  <c r="AH1269" i="7"/>
  <c r="AS1269" i="7" s="1"/>
  <c r="Y1269" i="7"/>
  <c r="AA1269" i="7" s="1"/>
  <c r="P1269" i="7"/>
  <c r="H1269" i="7"/>
  <c r="G1269" i="7"/>
  <c r="AA207" i="1" l="1"/>
  <c r="Q228" i="1"/>
  <c r="Q191" i="1"/>
  <c r="Q156" i="1"/>
  <c r="Q271" i="1"/>
  <c r="Q204" i="1"/>
  <c r="Q91" i="1"/>
  <c r="Q155" i="1"/>
  <c r="Q199" i="1"/>
  <c r="Q226" i="1"/>
  <c r="Q165" i="1"/>
  <c r="Q187" i="1"/>
  <c r="Q236" i="1"/>
  <c r="Q220" i="1"/>
  <c r="Q136" i="1"/>
  <c r="Q227" i="1"/>
  <c r="Q139" i="1"/>
  <c r="Q142" i="1"/>
  <c r="Q164" i="1"/>
  <c r="Q162" i="1"/>
  <c r="Q200" i="1"/>
  <c r="Q159" i="1"/>
  <c r="Q198" i="1"/>
  <c r="Q178" i="1"/>
  <c r="Q154" i="1"/>
  <c r="Q193" i="1"/>
  <c r="Q169" i="1"/>
  <c r="Q224" i="1"/>
  <c r="Q269" i="1"/>
  <c r="Q223" i="1"/>
  <c r="Q147" i="1"/>
  <c r="Q222" i="1"/>
  <c r="Q174" i="1"/>
  <c r="Q195" i="1"/>
  <c r="Q171" i="1"/>
  <c r="Q151" i="1"/>
  <c r="Q242" i="1"/>
  <c r="Q194" i="1"/>
  <c r="Q130" i="1"/>
  <c r="Q211" i="1"/>
  <c r="Q183" i="1"/>
  <c r="Q182" i="1"/>
  <c r="Q230" i="1"/>
  <c r="Q218" i="1"/>
  <c r="Q202" i="1"/>
  <c r="Q181" i="1"/>
  <c r="Q141" i="1"/>
  <c r="Q216" i="1"/>
  <c r="Q160" i="1"/>
  <c r="Q235" i="1"/>
  <c r="Q163" i="1"/>
  <c r="Q145" i="1"/>
  <c r="Q233" i="1"/>
  <c r="Q207" i="1"/>
  <c r="Q268" i="1"/>
  <c r="Q240" i="1"/>
  <c r="Q158" i="1"/>
  <c r="Q234" i="1"/>
  <c r="Q214" i="1"/>
  <c r="Q213" i="1"/>
  <c r="Q140" i="1"/>
  <c r="Q180" i="1"/>
  <c r="Q264" i="1"/>
  <c r="Q232" i="1"/>
  <c r="Q215" i="1"/>
  <c r="Q143" i="1"/>
  <c r="Q239" i="1"/>
  <c r="Q131" i="1"/>
  <c r="Q150" i="1"/>
  <c r="Q153" i="1"/>
  <c r="Q172" i="1"/>
  <c r="Q225" i="1"/>
  <c r="Q205" i="1"/>
  <c r="Q189" i="1"/>
  <c r="Q157" i="1"/>
  <c r="Q133" i="1"/>
  <c r="Q196" i="1"/>
  <c r="Q168" i="1"/>
  <c r="Q132" i="1"/>
  <c r="Q241" i="1"/>
  <c r="Q201" i="1"/>
  <c r="Q137" i="1"/>
  <c r="Q265" i="1"/>
  <c r="Q129" i="1"/>
  <c r="Q152" i="1"/>
  <c r="Q188" i="1"/>
  <c r="Q186" i="1"/>
  <c r="Q185" i="1"/>
  <c r="Q167" i="1"/>
  <c r="Q135" i="1"/>
  <c r="Q219" i="1"/>
  <c r="Q166" i="1"/>
  <c r="Q270" i="1"/>
  <c r="Q138" i="1"/>
  <c r="Q161" i="1"/>
  <c r="Q231" i="1"/>
  <c r="Q221" i="1"/>
  <c r="Q134" i="1"/>
  <c r="Q170" i="1"/>
  <c r="Q144" i="1"/>
  <c r="Q210" i="1"/>
  <c r="Q175" i="1"/>
  <c r="Q146" i="1"/>
  <c r="Q179" i="1"/>
  <c r="Q206" i="1"/>
  <c r="Q176" i="1"/>
  <c r="Q190" i="1"/>
  <c r="Q208" i="1"/>
  <c r="Q203" i="1"/>
  <c r="Q238" i="1"/>
  <c r="Q229" i="1"/>
  <c r="Q266" i="1"/>
  <c r="Q237" i="1"/>
  <c r="Q217" i="1"/>
  <c r="Q197" i="1"/>
  <c r="Q173" i="1"/>
  <c r="Q149" i="1"/>
  <c r="Q212" i="1"/>
  <c r="Q184" i="1"/>
  <c r="Q148" i="1"/>
  <c r="Q267" i="1"/>
  <c r="Q209" i="1"/>
  <c r="Q177" i="1"/>
  <c r="Q192" i="1"/>
  <c r="Q243" i="1"/>
  <c r="AA131" i="1"/>
  <c r="AA152" i="1"/>
  <c r="DO152" i="1"/>
  <c r="AA162" i="1"/>
  <c r="AW224" i="1"/>
  <c r="AY224" i="1" s="1"/>
  <c r="AZ224" i="1" s="1"/>
  <c r="AA143" i="1"/>
  <c r="AA229" i="1"/>
  <c r="AA186" i="1"/>
  <c r="AA232" i="1"/>
  <c r="AA172" i="1"/>
  <c r="AA198" i="1"/>
  <c r="DL232" i="1"/>
  <c r="DL229" i="1"/>
  <c r="AA266" i="1"/>
  <c r="AA164" i="1"/>
  <c r="AA134" i="1"/>
  <c r="DL164" i="1"/>
  <c r="DM198" i="1"/>
  <c r="DN215" i="1"/>
  <c r="DM142" i="1"/>
  <c r="AA142" i="1"/>
  <c r="DL162" i="1"/>
  <c r="AA221" i="1"/>
  <c r="AT224" i="1"/>
  <c r="DK221" i="1"/>
  <c r="DN143" i="1"/>
  <c r="DK172" i="1"/>
  <c r="DK143" i="1"/>
  <c r="DO172" i="1"/>
  <c r="DO186" i="1"/>
  <c r="DO229" i="1"/>
  <c r="DL134" i="1"/>
  <c r="DO131" i="1"/>
  <c r="DO266" i="1"/>
  <c r="DK164" i="1"/>
  <c r="DN207" i="1"/>
  <c r="DO164" i="1"/>
  <c r="DM134" i="1"/>
  <c r="DL131" i="1"/>
  <c r="DL266" i="1"/>
  <c r="DK207" i="1"/>
  <c r="DM164" i="1"/>
  <c r="DK134" i="1"/>
  <c r="DN134" i="1"/>
  <c r="DN131" i="1"/>
  <c r="DM131" i="1"/>
  <c r="DN266" i="1"/>
  <c r="DM266" i="1"/>
  <c r="DO207" i="1"/>
  <c r="DM207" i="1"/>
  <c r="AA190" i="1"/>
  <c r="DK200" i="1"/>
  <c r="DM190" i="1"/>
  <c r="DL221" i="1"/>
  <c r="DL152" i="1"/>
  <c r="DN142" i="1"/>
  <c r="DN162" i="1"/>
  <c r="DM221" i="1"/>
  <c r="DN221" i="1"/>
  <c r="DM152" i="1"/>
  <c r="DK142" i="1"/>
  <c r="DM162" i="1"/>
  <c r="DN152" i="1"/>
  <c r="DO142" i="1"/>
  <c r="DK162" i="1"/>
  <c r="AA203" i="1"/>
  <c r="AA150" i="1"/>
  <c r="AA136" i="1"/>
  <c r="AA188" i="1"/>
  <c r="DO220" i="1"/>
  <c r="AA154" i="1"/>
  <c r="DM154" i="1"/>
  <c r="DK154" i="1"/>
  <c r="DM228" i="1"/>
  <c r="DK156" i="1"/>
  <c r="DO154" i="1"/>
  <c r="DN228" i="1"/>
  <c r="AA264" i="1"/>
  <c r="AA220" i="1"/>
  <c r="DO156" i="1"/>
  <c r="DL154" i="1"/>
  <c r="DK228" i="1"/>
  <c r="DL264" i="1"/>
  <c r="AA233" i="1"/>
  <c r="DM156" i="1"/>
  <c r="DO228" i="1"/>
  <c r="DM264" i="1"/>
  <c r="AA228" i="1"/>
  <c r="AA156" i="1"/>
  <c r="DN156" i="1"/>
  <c r="DL233" i="1"/>
  <c r="DN264" i="1"/>
  <c r="DN220" i="1"/>
  <c r="DM233" i="1"/>
  <c r="DK264" i="1"/>
  <c r="DK220" i="1"/>
  <c r="DN233" i="1"/>
  <c r="DO238" i="1"/>
  <c r="DN170" i="1"/>
  <c r="DK191" i="1"/>
  <c r="AA191" i="1"/>
  <c r="DL268" i="1"/>
  <c r="DO178" i="1"/>
  <c r="DL153" i="1"/>
  <c r="DO153" i="1"/>
  <c r="DL220" i="1"/>
  <c r="DO268" i="1"/>
  <c r="DK233" i="1"/>
  <c r="DM232" i="1"/>
  <c r="DM236" i="1"/>
  <c r="DK186" i="1"/>
  <c r="DO188" i="1"/>
  <c r="DK203" i="1"/>
  <c r="DM136" i="1"/>
  <c r="DL188" i="1"/>
  <c r="DO203" i="1"/>
  <c r="DN136" i="1"/>
  <c r="DL203" i="1"/>
  <c r="DK136" i="1"/>
  <c r="DM203" i="1"/>
  <c r="DK150" i="1"/>
  <c r="DO136" i="1"/>
  <c r="DO150" i="1"/>
  <c r="DM188" i="1"/>
  <c r="DL150" i="1"/>
  <c r="DN188" i="1"/>
  <c r="DM150" i="1"/>
  <c r="AA208" i="1"/>
  <c r="DO208" i="1"/>
  <c r="DK238" i="1"/>
  <c r="DL170" i="1"/>
  <c r="DM186" i="1"/>
  <c r="DK229" i="1"/>
  <c r="DL238" i="1"/>
  <c r="DN139" i="1"/>
  <c r="AA170" i="1"/>
  <c r="DM172" i="1"/>
  <c r="DM238" i="1"/>
  <c r="DO139" i="1"/>
  <c r="DL186" i="1"/>
  <c r="DN232" i="1"/>
  <c r="DM229" i="1"/>
  <c r="DO143" i="1"/>
  <c r="AA238" i="1"/>
  <c r="DL208" i="1"/>
  <c r="DN172" i="1"/>
  <c r="DL139" i="1"/>
  <c r="DK232" i="1"/>
  <c r="DL143" i="1"/>
  <c r="DM208" i="1"/>
  <c r="DM170" i="1"/>
  <c r="DM139" i="1"/>
  <c r="AA139" i="1"/>
  <c r="DN208" i="1"/>
  <c r="DK170" i="1"/>
  <c r="AA178" i="1"/>
  <c r="AA215" i="1"/>
  <c r="DO200" i="1"/>
  <c r="DK190" i="1"/>
  <c r="DN190" i="1"/>
  <c r="DK198" i="1"/>
  <c r="DN198" i="1"/>
  <c r="DN236" i="1"/>
  <c r="DM268" i="1"/>
  <c r="DN153" i="1"/>
  <c r="DK215" i="1"/>
  <c r="DO191" i="1"/>
  <c r="DL178" i="1"/>
  <c r="AA268" i="1"/>
  <c r="DH212" i="1"/>
  <c r="DI212" i="1" s="1"/>
  <c r="DM200" i="1"/>
  <c r="DL200" i="1"/>
  <c r="DO190" i="1"/>
  <c r="DO198" i="1"/>
  <c r="DK236" i="1"/>
  <c r="DN268" i="1"/>
  <c r="DK153" i="1"/>
  <c r="DO215" i="1"/>
  <c r="DL191" i="1"/>
  <c r="DM178" i="1"/>
  <c r="DN178" i="1"/>
  <c r="AA236" i="1"/>
  <c r="AA200" i="1"/>
  <c r="AA153" i="1"/>
  <c r="DL236" i="1"/>
  <c r="DM215" i="1"/>
  <c r="DN191" i="1"/>
  <c r="AU257" i="1"/>
  <c r="AX257" i="1" s="1"/>
  <c r="Z253" i="1"/>
  <c r="DM253" i="1" s="1"/>
  <c r="AU250" i="1"/>
  <c r="AW250" i="1" s="1"/>
  <c r="BB250" i="1" s="1"/>
  <c r="BW262" i="1"/>
  <c r="O245" i="1"/>
  <c r="BW261" i="1"/>
  <c r="Z259" i="1"/>
  <c r="DN259" i="1" s="1"/>
  <c r="O249" i="1"/>
  <c r="Z252" i="1"/>
  <c r="AA252" i="1" s="1"/>
  <c r="O248" i="1"/>
  <c r="O246" i="1"/>
  <c r="Z254" i="1"/>
  <c r="DK254" i="1" s="1"/>
  <c r="AU244" i="1"/>
  <c r="AW244" i="1" s="1"/>
  <c r="BD244" i="1" s="1"/>
  <c r="Z247" i="1"/>
  <c r="DK247" i="1" s="1"/>
  <c r="Z251" i="1"/>
  <c r="DN251" i="1" s="1"/>
  <c r="DF162" i="1"/>
  <c r="DI162" i="1" s="1"/>
  <c r="DH234" i="1"/>
  <c r="DI234" i="1" s="1"/>
  <c r="DH178" i="1"/>
  <c r="DI178" i="1" s="1"/>
  <c r="DH176" i="1"/>
  <c r="DI176" i="1" s="1"/>
  <c r="DH210" i="1"/>
  <c r="DI210" i="1" s="1"/>
  <c r="DF236" i="1"/>
  <c r="DI236" i="1" s="1"/>
  <c r="DH195" i="1"/>
  <c r="DI195" i="1" s="1"/>
  <c r="DH197" i="1"/>
  <c r="DI197" i="1" s="1"/>
  <c r="DF268" i="1"/>
  <c r="DI268" i="1" s="1"/>
  <c r="DI145" i="1"/>
  <c r="DH265" i="1"/>
  <c r="DI265" i="1" s="1"/>
  <c r="DI209" i="1"/>
  <c r="DF202" i="1"/>
  <c r="DI202" i="1" s="1"/>
  <c r="DH170" i="1"/>
  <c r="DI170" i="1" s="1"/>
  <c r="DH232" i="1"/>
  <c r="DI232" i="1" s="1"/>
  <c r="DH269" i="1"/>
  <c r="DI269" i="1" s="1"/>
  <c r="DI161" i="1"/>
  <c r="DH167" i="1"/>
  <c r="DI167" i="1" s="1"/>
  <c r="DF169" i="1"/>
  <c r="DI169" i="1" s="1"/>
  <c r="DH163" i="1"/>
  <c r="DI163" i="1" s="1"/>
  <c r="DH172" i="1"/>
  <c r="DI172" i="1" s="1"/>
  <c r="DH228" i="1"/>
  <c r="DI228" i="1" s="1"/>
  <c r="DI235" i="1"/>
  <c r="DF242" i="1"/>
  <c r="DI242" i="1" s="1"/>
  <c r="DF141" i="1"/>
  <c r="DI141" i="1" s="1"/>
  <c r="DH207" i="1"/>
  <c r="DI207" i="1" s="1"/>
  <c r="DH177" i="1"/>
  <c r="DI177" i="1" s="1"/>
  <c r="DH173" i="1"/>
  <c r="DI173" i="1" s="1"/>
  <c r="DF221" i="1"/>
  <c r="DI221" i="1" s="1"/>
  <c r="DF205" i="1"/>
  <c r="DI205" i="1" s="1"/>
  <c r="DF147" i="1"/>
  <c r="DI147" i="1" s="1"/>
  <c r="DI227" i="1"/>
  <c r="DH190" i="1"/>
  <c r="DI190" i="1" s="1"/>
  <c r="DF223" i="1"/>
  <c r="DI223" i="1" s="1"/>
  <c r="DH146" i="1"/>
  <c r="DI146" i="1" s="1"/>
  <c r="DH226" i="1"/>
  <c r="DI226" i="1" s="1"/>
  <c r="DH133" i="1"/>
  <c r="DI133" i="1" s="1"/>
  <c r="DF152" i="1"/>
  <c r="DI152" i="1" s="1"/>
  <c r="DH229" i="1"/>
  <c r="DI229" i="1" s="1"/>
  <c r="DF216" i="1"/>
  <c r="DI216" i="1" s="1"/>
  <c r="DF129" i="1"/>
  <c r="DI129" i="1" s="1"/>
  <c r="DH159" i="1"/>
  <c r="DI159" i="1" s="1"/>
  <c r="DF204" i="1"/>
  <c r="DI204" i="1" s="1"/>
  <c r="DH199" i="1"/>
  <c r="DI199" i="1" s="1"/>
  <c r="DF164" i="1"/>
  <c r="DI164" i="1" s="1"/>
  <c r="DF239" i="1"/>
  <c r="DI239" i="1" s="1"/>
  <c r="DF142" i="1"/>
  <c r="DI142" i="1" s="1"/>
  <c r="DF264" i="1"/>
  <c r="DI264" i="1" s="1"/>
  <c r="DF192" i="1"/>
  <c r="DI192" i="1" s="1"/>
  <c r="DH150" i="1"/>
  <c r="DI150" i="1" s="1"/>
  <c r="DF139" i="1"/>
  <c r="DI139" i="1" s="1"/>
  <c r="DH201" i="1"/>
  <c r="DI201" i="1" s="1"/>
  <c r="DF241" i="1"/>
  <c r="DI241" i="1" s="1"/>
  <c r="DF220" i="1"/>
  <c r="DI220" i="1" s="1"/>
  <c r="DF237" i="1"/>
  <c r="DI237" i="1" s="1"/>
  <c r="DH217" i="1"/>
  <c r="DI217" i="1" s="1"/>
  <c r="DH267" i="1"/>
  <c r="DI267" i="1" s="1"/>
  <c r="DH188" i="1"/>
  <c r="DI188" i="1" s="1"/>
  <c r="DH213" i="1"/>
  <c r="DI213" i="1" s="1"/>
  <c r="DH231" i="1"/>
  <c r="DI231" i="1" s="1"/>
  <c r="DF193" i="1"/>
  <c r="DI193" i="1" s="1"/>
  <c r="DH151" i="1"/>
  <c r="DI151" i="1" s="1"/>
  <c r="DH189" i="1"/>
  <c r="DI189" i="1" s="1"/>
  <c r="DF206" i="1"/>
  <c r="DI206" i="1" s="1"/>
  <c r="DH186" i="1"/>
  <c r="DI186" i="1" s="1"/>
  <c r="DF166" i="1"/>
  <c r="DI166" i="1" s="1"/>
  <c r="DF138" i="1"/>
  <c r="DI138" i="1" s="1"/>
  <c r="DH155" i="1"/>
  <c r="DI155" i="1" s="1"/>
  <c r="DF137" i="1"/>
  <c r="DI137" i="1" s="1"/>
  <c r="DF165" i="1"/>
  <c r="DI165" i="1" s="1"/>
  <c r="DI225" i="1"/>
  <c r="DF203" i="1"/>
  <c r="DI203" i="1" s="1"/>
  <c r="DH196" i="1"/>
  <c r="DI196" i="1" s="1"/>
  <c r="DF130" i="1"/>
  <c r="DI130" i="1" s="1"/>
  <c r="DF91" i="1"/>
  <c r="DI91" i="1" s="1"/>
  <c r="DH194" i="1"/>
  <c r="DI194" i="1" s="1"/>
  <c r="DH157" i="1"/>
  <c r="DI157" i="1" s="1"/>
  <c r="DF156" i="1"/>
  <c r="DI156" i="1" s="1"/>
  <c r="DF185" i="1"/>
  <c r="DI185" i="1" s="1"/>
  <c r="DH132" i="1"/>
  <c r="DI132" i="1" s="1"/>
  <c r="DH181" i="1"/>
  <c r="DI181" i="1" s="1"/>
  <c r="DH230" i="1"/>
  <c r="DI230" i="1" s="1"/>
  <c r="DF140" i="1"/>
  <c r="DI140" i="1" s="1"/>
  <c r="DF211" i="1"/>
  <c r="DI211" i="1" s="1"/>
  <c r="DH233" i="1"/>
  <c r="DI233" i="1" s="1"/>
  <c r="DF198" i="1"/>
  <c r="DI198" i="1" s="1"/>
  <c r="DF149" i="1"/>
  <c r="DI149" i="1" s="1"/>
  <c r="DH154" i="1"/>
  <c r="DI154" i="1" s="1"/>
  <c r="DF222" i="1"/>
  <c r="DI222" i="1" s="1"/>
  <c r="DF135" i="1"/>
  <c r="DI135" i="1" s="1"/>
  <c r="DF158" i="1"/>
  <c r="DI158" i="1" s="1"/>
  <c r="DH148" i="1"/>
  <c r="DI148" i="1" s="1"/>
  <c r="DF218" i="1"/>
  <c r="DI218" i="1" s="1"/>
  <c r="DF187" i="1"/>
  <c r="DI187" i="1" s="1"/>
  <c r="DH174" i="1"/>
  <c r="DI174" i="1" s="1"/>
  <c r="DH271" i="1"/>
  <c r="DI271" i="1" s="1"/>
  <c r="DF175" i="1"/>
  <c r="DI175" i="1" s="1"/>
  <c r="DH184" i="1"/>
  <c r="DI184" i="1" s="1"/>
  <c r="DF134" i="1"/>
  <c r="DI134" i="1" s="1"/>
  <c r="DF270" i="1"/>
  <c r="DI270" i="1" s="1"/>
  <c r="DF168" i="1"/>
  <c r="DI168" i="1" s="1"/>
  <c r="DF266" i="1"/>
  <c r="DI266" i="1" s="1"/>
  <c r="DH238" i="1"/>
  <c r="DI238" i="1" s="1"/>
  <c r="DF191" i="1"/>
  <c r="DI191" i="1" s="1"/>
  <c r="DI144" i="1"/>
  <c r="DF183" i="1"/>
  <c r="DI183" i="1" s="1"/>
  <c r="DF214" i="1"/>
  <c r="DI214" i="1" s="1"/>
  <c r="DF131" i="1"/>
  <c r="DI131" i="1" s="1"/>
  <c r="DH224" i="1"/>
  <c r="DI224" i="1" s="1"/>
  <c r="DF243" i="1"/>
  <c r="DI243" i="1" s="1"/>
  <c r="DI240" i="1"/>
  <c r="DF160" i="1"/>
  <c r="DI160" i="1" s="1"/>
  <c r="DH208" i="1"/>
  <c r="DI208" i="1" s="1"/>
  <c r="DH180" i="1"/>
  <c r="DI180" i="1" s="1"/>
  <c r="DH153" i="1"/>
  <c r="DI153" i="1" s="1"/>
  <c r="DH171" i="1"/>
  <c r="DI171" i="1" s="1"/>
  <c r="DF219" i="1"/>
  <c r="DI219" i="1" s="1"/>
  <c r="DF179" i="1"/>
  <c r="DI179" i="1" s="1"/>
  <c r="DF200" i="1"/>
  <c r="DI200" i="1" s="1"/>
  <c r="DF215" i="1"/>
  <c r="DI215" i="1" s="1"/>
  <c r="DH182" i="1"/>
  <c r="DI182" i="1" s="1"/>
  <c r="DH136" i="1"/>
  <c r="DI136" i="1" s="1"/>
  <c r="DH143" i="1"/>
  <c r="DI143" i="1" s="1"/>
  <c r="DB245" i="1"/>
  <c r="CZ248" i="1"/>
  <c r="CZ245" i="1"/>
  <c r="DD245" i="1"/>
  <c r="DH245" i="1" s="1"/>
  <c r="DB252" i="1"/>
  <c r="CW252" i="1"/>
  <c r="DB249" i="1"/>
  <c r="CW249" i="1"/>
  <c r="DB256" i="1"/>
  <c r="CW256" i="1"/>
  <c r="DB250" i="1"/>
  <c r="CW250" i="1"/>
  <c r="CZ261" i="1"/>
  <c r="CW261" i="1"/>
  <c r="DB244" i="1"/>
  <c r="CW244" i="1"/>
  <c r="DB262" i="1"/>
  <c r="CW262" i="1"/>
  <c r="DB259" i="1"/>
  <c r="CW259" i="1"/>
  <c r="DB253" i="1"/>
  <c r="CW253" i="1"/>
  <c r="DD260" i="1"/>
  <c r="DH260" i="1" s="1"/>
  <c r="CW260" i="1"/>
  <c r="CZ247" i="1"/>
  <c r="CW247" i="1"/>
  <c r="DB254" i="1"/>
  <c r="CW254" i="1"/>
  <c r="DD248" i="1"/>
  <c r="DH248" i="1" s="1"/>
  <c r="CW248" i="1"/>
  <c r="DB246" i="1"/>
  <c r="CW246" i="1"/>
  <c r="CZ257" i="1"/>
  <c r="CW257" i="1"/>
  <c r="CZ251" i="1"/>
  <c r="CW251" i="1"/>
  <c r="DB258" i="1"/>
  <c r="CW258" i="1"/>
  <c r="DB255" i="1"/>
  <c r="CW255" i="1"/>
  <c r="CZ259" i="1"/>
  <c r="DD257" i="1"/>
  <c r="DH257" i="1" s="1"/>
  <c r="CZ246" i="1"/>
  <c r="DD251" i="1"/>
  <c r="DH251" i="1" s="1"/>
  <c r="CZ258" i="1"/>
  <c r="DD258" i="1"/>
  <c r="DF258" i="1" s="1"/>
  <c r="DD246" i="1"/>
  <c r="DH246" i="1" s="1"/>
  <c r="DB257" i="1"/>
  <c r="DB251" i="1"/>
  <c r="DD255" i="1"/>
  <c r="DF255" i="1" s="1"/>
  <c r="CZ255" i="1"/>
  <c r="CZ254" i="1"/>
  <c r="DB247" i="1"/>
  <c r="DD254" i="1"/>
  <c r="DH254" i="1" s="1"/>
  <c r="CZ250" i="1"/>
  <c r="CZ249" i="1"/>
  <c r="DD261" i="1"/>
  <c r="DH261" i="1" s="1"/>
  <c r="DD249" i="1"/>
  <c r="DH249" i="1" s="1"/>
  <c r="DD250" i="1"/>
  <c r="DF250" i="1" s="1"/>
  <c r="DB260" i="1"/>
  <c r="DD259" i="1"/>
  <c r="DH259" i="1" s="1"/>
  <c r="AA271" i="1"/>
  <c r="DL271" i="1"/>
  <c r="DO271" i="1"/>
  <c r="DK271" i="1"/>
  <c r="DN271" i="1"/>
  <c r="DM271" i="1"/>
  <c r="AA185" i="1"/>
  <c r="DO185" i="1"/>
  <c r="DK185" i="1"/>
  <c r="DM185" i="1"/>
  <c r="DL185" i="1"/>
  <c r="DN185" i="1"/>
  <c r="AA240" i="1"/>
  <c r="DO240" i="1"/>
  <c r="DK240" i="1"/>
  <c r="DN240" i="1"/>
  <c r="DM240" i="1"/>
  <c r="DL240" i="1"/>
  <c r="AA204" i="1"/>
  <c r="DL204" i="1"/>
  <c r="DO204" i="1"/>
  <c r="DK204" i="1"/>
  <c r="DN204" i="1"/>
  <c r="DM204" i="1"/>
  <c r="AA144" i="1"/>
  <c r="DL144" i="1"/>
  <c r="DO144" i="1"/>
  <c r="DK144" i="1"/>
  <c r="DN144" i="1"/>
  <c r="DM144" i="1"/>
  <c r="AA269" i="1"/>
  <c r="DN269" i="1"/>
  <c r="DM269" i="1"/>
  <c r="DL269" i="1"/>
  <c r="DK269" i="1"/>
  <c r="DO269" i="1"/>
  <c r="AA223" i="1"/>
  <c r="DL223" i="1"/>
  <c r="DO223" i="1"/>
  <c r="DK223" i="1"/>
  <c r="DN223" i="1"/>
  <c r="DM223" i="1"/>
  <c r="AA147" i="1"/>
  <c r="DM147" i="1"/>
  <c r="DL147" i="1"/>
  <c r="DO147" i="1"/>
  <c r="DK147" i="1"/>
  <c r="DN147" i="1"/>
  <c r="AA91" i="1"/>
  <c r="DO91" i="1"/>
  <c r="DK91" i="1"/>
  <c r="DN91" i="1"/>
  <c r="DM91" i="1"/>
  <c r="DL91" i="1"/>
  <c r="AA222" i="1"/>
  <c r="DM222" i="1"/>
  <c r="DL222" i="1"/>
  <c r="DO222" i="1"/>
  <c r="DK222" i="1"/>
  <c r="DN222" i="1"/>
  <c r="AA174" i="1"/>
  <c r="DN174" i="1"/>
  <c r="DL174" i="1"/>
  <c r="DO174" i="1"/>
  <c r="DK174" i="1"/>
  <c r="DM174" i="1"/>
  <c r="AA145" i="1"/>
  <c r="DO145" i="1"/>
  <c r="DK145" i="1"/>
  <c r="DN145" i="1"/>
  <c r="DM145" i="1"/>
  <c r="DL145" i="1"/>
  <c r="AA237" i="1"/>
  <c r="DN237" i="1"/>
  <c r="DM237" i="1"/>
  <c r="DL237" i="1"/>
  <c r="DK237" i="1"/>
  <c r="DO237" i="1"/>
  <c r="AA217" i="1"/>
  <c r="DN217" i="1"/>
  <c r="DM217" i="1"/>
  <c r="DL217" i="1"/>
  <c r="DO217" i="1"/>
  <c r="DK217" i="1"/>
  <c r="AA197" i="1"/>
  <c r="DO197" i="1"/>
  <c r="DK197" i="1"/>
  <c r="DN197" i="1"/>
  <c r="DM197" i="1"/>
  <c r="DL197" i="1"/>
  <c r="AA173" i="1"/>
  <c r="DO173" i="1"/>
  <c r="DK173" i="1"/>
  <c r="DM173" i="1"/>
  <c r="DL173" i="1"/>
  <c r="DN173" i="1"/>
  <c r="AA149" i="1"/>
  <c r="DO149" i="1"/>
  <c r="DK149" i="1"/>
  <c r="DN149" i="1"/>
  <c r="DM149" i="1"/>
  <c r="DL149" i="1"/>
  <c r="AA212" i="1"/>
  <c r="DO212" i="1"/>
  <c r="DK212" i="1"/>
  <c r="DN212" i="1"/>
  <c r="DM212" i="1"/>
  <c r="DL212" i="1"/>
  <c r="AA184" i="1"/>
  <c r="DL184" i="1"/>
  <c r="DN184" i="1"/>
  <c r="DM184" i="1"/>
  <c r="DK184" i="1"/>
  <c r="DO184" i="1"/>
  <c r="AA148" i="1"/>
  <c r="DL148" i="1"/>
  <c r="DO148" i="1"/>
  <c r="DK148" i="1"/>
  <c r="DN148" i="1"/>
  <c r="DM148" i="1"/>
  <c r="AA227" i="1"/>
  <c r="DL227" i="1"/>
  <c r="DO227" i="1"/>
  <c r="DK227" i="1"/>
  <c r="DN227" i="1"/>
  <c r="DM227" i="1"/>
  <c r="AA241" i="1"/>
  <c r="DN241" i="1"/>
  <c r="DM241" i="1"/>
  <c r="DL241" i="1"/>
  <c r="DO241" i="1"/>
  <c r="DK241" i="1"/>
  <c r="AA201" i="1"/>
  <c r="DO201" i="1"/>
  <c r="DK201" i="1"/>
  <c r="DN201" i="1"/>
  <c r="DM201" i="1"/>
  <c r="DL201" i="1"/>
  <c r="AA137" i="1"/>
  <c r="DO137" i="1"/>
  <c r="DK137" i="1"/>
  <c r="DN137" i="1"/>
  <c r="DM137" i="1"/>
  <c r="DL137" i="1"/>
  <c r="AA192" i="1"/>
  <c r="DL192" i="1"/>
  <c r="DO192" i="1"/>
  <c r="DK192" i="1"/>
  <c r="DN192" i="1"/>
  <c r="DM192" i="1"/>
  <c r="AA265" i="1"/>
  <c r="DN265" i="1"/>
  <c r="DM265" i="1"/>
  <c r="DL265" i="1"/>
  <c r="DO265" i="1"/>
  <c r="DK265" i="1"/>
  <c r="AA231" i="1"/>
  <c r="DL231" i="1"/>
  <c r="DO231" i="1"/>
  <c r="DK231" i="1"/>
  <c r="DN231" i="1"/>
  <c r="DM231" i="1"/>
  <c r="AA181" i="1"/>
  <c r="DO181" i="1"/>
  <c r="DK181" i="1"/>
  <c r="DM181" i="1"/>
  <c r="DL181" i="1"/>
  <c r="DN181" i="1"/>
  <c r="AA141" i="1"/>
  <c r="DO141" i="1"/>
  <c r="DK141" i="1"/>
  <c r="DN141" i="1"/>
  <c r="DM141" i="1"/>
  <c r="DL141" i="1"/>
  <c r="AA270" i="1"/>
  <c r="DM270" i="1"/>
  <c r="DL270" i="1"/>
  <c r="DO270" i="1"/>
  <c r="DK270" i="1"/>
  <c r="DN270" i="1"/>
  <c r="AA176" i="1"/>
  <c r="DL176" i="1"/>
  <c r="DN176" i="1"/>
  <c r="DM176" i="1"/>
  <c r="DO176" i="1"/>
  <c r="DK176" i="1"/>
  <c r="AA140" i="1"/>
  <c r="DL140" i="1"/>
  <c r="DO140" i="1"/>
  <c r="DK140" i="1"/>
  <c r="DN140" i="1"/>
  <c r="DM140" i="1"/>
  <c r="AA235" i="1"/>
  <c r="DL235" i="1"/>
  <c r="DO235" i="1"/>
  <c r="DK235" i="1"/>
  <c r="DN235" i="1"/>
  <c r="DM235" i="1"/>
  <c r="AA163" i="1"/>
  <c r="DM163" i="1"/>
  <c r="DO163" i="1"/>
  <c r="DK163" i="1"/>
  <c r="DN163" i="1"/>
  <c r="DL163" i="1"/>
  <c r="AA195" i="1"/>
  <c r="DM195" i="1"/>
  <c r="DL195" i="1"/>
  <c r="DO195" i="1"/>
  <c r="DK195" i="1"/>
  <c r="DN195" i="1"/>
  <c r="AA171" i="1"/>
  <c r="DM171" i="1"/>
  <c r="DO171" i="1"/>
  <c r="DK171" i="1"/>
  <c r="DN171" i="1"/>
  <c r="DL171" i="1"/>
  <c r="AA151" i="1"/>
  <c r="DM151" i="1"/>
  <c r="DL151" i="1"/>
  <c r="DO151" i="1"/>
  <c r="DK151" i="1"/>
  <c r="DN151" i="1"/>
  <c r="AA242" i="1"/>
  <c r="DM242" i="1"/>
  <c r="DL242" i="1"/>
  <c r="DO242" i="1"/>
  <c r="DK242" i="1"/>
  <c r="DN242" i="1"/>
  <c r="AA194" i="1"/>
  <c r="DN194" i="1"/>
  <c r="DM194" i="1"/>
  <c r="DL194" i="1"/>
  <c r="DO194" i="1"/>
  <c r="DK194" i="1"/>
  <c r="AA130" i="1"/>
  <c r="DN130" i="1"/>
  <c r="DM130" i="1"/>
  <c r="DL130" i="1"/>
  <c r="DO130" i="1"/>
  <c r="DK130" i="1"/>
  <c r="AA219" i="1"/>
  <c r="DL219" i="1"/>
  <c r="DO219" i="1"/>
  <c r="DK219" i="1"/>
  <c r="DN219" i="1"/>
  <c r="DM219" i="1"/>
  <c r="AA199" i="1"/>
  <c r="DM199" i="1"/>
  <c r="DL199" i="1"/>
  <c r="DO199" i="1"/>
  <c r="DK199" i="1"/>
  <c r="DN199" i="1"/>
  <c r="AA179" i="1"/>
  <c r="DM179" i="1"/>
  <c r="DO179" i="1"/>
  <c r="DK179" i="1"/>
  <c r="DN179" i="1"/>
  <c r="DL179" i="1"/>
  <c r="AA182" i="1"/>
  <c r="DN182" i="1"/>
  <c r="DL182" i="1"/>
  <c r="DO182" i="1"/>
  <c r="DK182" i="1"/>
  <c r="DM182" i="1"/>
  <c r="AA230" i="1"/>
  <c r="DM230" i="1"/>
  <c r="DL230" i="1"/>
  <c r="DO230" i="1"/>
  <c r="DK230" i="1"/>
  <c r="DN230" i="1"/>
  <c r="AA218" i="1"/>
  <c r="DM218" i="1"/>
  <c r="DL218" i="1"/>
  <c r="DO218" i="1"/>
  <c r="DK218" i="1"/>
  <c r="DN218" i="1"/>
  <c r="AA202" i="1"/>
  <c r="DN202" i="1"/>
  <c r="DM202" i="1"/>
  <c r="DL202" i="1"/>
  <c r="DO202" i="1"/>
  <c r="DK202" i="1"/>
  <c r="AA161" i="1"/>
  <c r="DO161" i="1"/>
  <c r="DK161" i="1"/>
  <c r="DM161" i="1"/>
  <c r="DL161" i="1"/>
  <c r="DN161" i="1"/>
  <c r="AA193" i="1"/>
  <c r="DO193" i="1"/>
  <c r="DK193" i="1"/>
  <c r="DN193" i="1"/>
  <c r="DM193" i="1"/>
  <c r="DL193" i="1"/>
  <c r="AA169" i="1"/>
  <c r="DO169" i="1"/>
  <c r="DK169" i="1"/>
  <c r="DM169" i="1"/>
  <c r="DL169" i="1"/>
  <c r="DN169" i="1"/>
  <c r="AA224" i="1"/>
  <c r="DO224" i="1"/>
  <c r="DK224" i="1"/>
  <c r="DN224" i="1"/>
  <c r="DM224" i="1"/>
  <c r="DL224" i="1"/>
  <c r="AA180" i="1"/>
  <c r="DL180" i="1"/>
  <c r="DN180" i="1"/>
  <c r="DM180" i="1"/>
  <c r="DO180" i="1"/>
  <c r="DK180" i="1"/>
  <c r="AA239" i="1"/>
  <c r="DL239" i="1"/>
  <c r="DO239" i="1"/>
  <c r="DK239" i="1"/>
  <c r="DN239" i="1"/>
  <c r="DM239" i="1"/>
  <c r="AA167" i="1"/>
  <c r="DM167" i="1"/>
  <c r="DO167" i="1"/>
  <c r="DK167" i="1"/>
  <c r="DN167" i="1"/>
  <c r="DL167" i="1"/>
  <c r="AA210" i="1"/>
  <c r="DM210" i="1"/>
  <c r="DL210" i="1"/>
  <c r="DO210" i="1"/>
  <c r="DK210" i="1"/>
  <c r="DN210" i="1"/>
  <c r="AA158" i="1"/>
  <c r="DN158" i="1"/>
  <c r="DL158" i="1"/>
  <c r="DO158" i="1"/>
  <c r="DK158" i="1"/>
  <c r="DM158" i="1"/>
  <c r="AA225" i="1"/>
  <c r="DN225" i="1"/>
  <c r="DM225" i="1"/>
  <c r="DL225" i="1"/>
  <c r="DO225" i="1"/>
  <c r="DK225" i="1"/>
  <c r="AA205" i="1"/>
  <c r="DN205" i="1"/>
  <c r="DM205" i="1"/>
  <c r="DL205" i="1"/>
  <c r="DK205" i="1"/>
  <c r="DO205" i="1"/>
  <c r="AA189" i="1"/>
  <c r="DO189" i="1"/>
  <c r="DK189" i="1"/>
  <c r="DN189" i="1"/>
  <c r="DM189" i="1"/>
  <c r="DL189" i="1"/>
  <c r="AA157" i="1"/>
  <c r="DO157" i="1"/>
  <c r="DK157" i="1"/>
  <c r="DM157" i="1"/>
  <c r="DL157" i="1"/>
  <c r="DN157" i="1"/>
  <c r="AA133" i="1"/>
  <c r="DO133" i="1"/>
  <c r="DK133" i="1"/>
  <c r="DN133" i="1"/>
  <c r="DM133" i="1"/>
  <c r="DL133" i="1"/>
  <c r="AA196" i="1"/>
  <c r="DL196" i="1"/>
  <c r="DO196" i="1"/>
  <c r="DK196" i="1"/>
  <c r="DN196" i="1"/>
  <c r="DM196" i="1"/>
  <c r="AA168" i="1"/>
  <c r="DL168" i="1"/>
  <c r="DN168" i="1"/>
  <c r="DM168" i="1"/>
  <c r="DK168" i="1"/>
  <c r="DO168" i="1"/>
  <c r="AA132" i="1"/>
  <c r="DL132" i="1"/>
  <c r="DO132" i="1"/>
  <c r="DK132" i="1"/>
  <c r="DN132" i="1"/>
  <c r="DM132" i="1"/>
  <c r="AA267" i="1"/>
  <c r="DL267" i="1"/>
  <c r="DO267" i="1"/>
  <c r="DK267" i="1"/>
  <c r="DN267" i="1"/>
  <c r="DM267" i="1"/>
  <c r="AA209" i="1"/>
  <c r="DN209" i="1"/>
  <c r="DM209" i="1"/>
  <c r="DL209" i="1"/>
  <c r="DO209" i="1"/>
  <c r="DK209" i="1"/>
  <c r="AA177" i="1"/>
  <c r="DO177" i="1"/>
  <c r="DK177" i="1"/>
  <c r="DM177" i="1"/>
  <c r="DL177" i="1"/>
  <c r="DN177" i="1"/>
  <c r="AA243" i="1"/>
  <c r="DL243" i="1"/>
  <c r="DO243" i="1"/>
  <c r="DK243" i="1"/>
  <c r="DN243" i="1"/>
  <c r="DM243" i="1"/>
  <c r="AA213" i="1"/>
  <c r="DN213" i="1"/>
  <c r="DM213" i="1"/>
  <c r="DL213" i="1"/>
  <c r="DO213" i="1"/>
  <c r="DK213" i="1"/>
  <c r="AA165" i="1"/>
  <c r="DO165" i="1"/>
  <c r="DK165" i="1"/>
  <c r="DM165" i="1"/>
  <c r="DL165" i="1"/>
  <c r="DN165" i="1"/>
  <c r="AA216" i="1"/>
  <c r="DO216" i="1"/>
  <c r="DK216" i="1"/>
  <c r="DN216" i="1"/>
  <c r="DM216" i="1"/>
  <c r="DL216" i="1"/>
  <c r="AA160" i="1"/>
  <c r="DL160" i="1"/>
  <c r="DN160" i="1"/>
  <c r="DM160" i="1"/>
  <c r="DO160" i="1"/>
  <c r="DK160" i="1"/>
  <c r="AA187" i="1"/>
  <c r="DM187" i="1"/>
  <c r="DO187" i="1"/>
  <c r="DK187" i="1"/>
  <c r="DN187" i="1"/>
  <c r="DL187" i="1"/>
  <c r="AA138" i="1"/>
  <c r="DN138" i="1"/>
  <c r="DM138" i="1"/>
  <c r="DL138" i="1"/>
  <c r="DO138" i="1"/>
  <c r="DK138" i="1"/>
  <c r="AA175" i="1"/>
  <c r="DM175" i="1"/>
  <c r="DO175" i="1"/>
  <c r="DK175" i="1"/>
  <c r="DN175" i="1"/>
  <c r="DL175" i="1"/>
  <c r="AA155" i="1"/>
  <c r="DM155" i="1"/>
  <c r="DO155" i="1"/>
  <c r="DK155" i="1"/>
  <c r="DN155" i="1"/>
  <c r="DL155" i="1"/>
  <c r="AA135" i="1"/>
  <c r="DM135" i="1"/>
  <c r="DL135" i="1"/>
  <c r="DO135" i="1"/>
  <c r="DK135" i="1"/>
  <c r="DN135" i="1"/>
  <c r="AA234" i="1"/>
  <c r="DM234" i="1"/>
  <c r="DL234" i="1"/>
  <c r="DO234" i="1"/>
  <c r="DK234" i="1"/>
  <c r="DN234" i="1"/>
  <c r="AA146" i="1"/>
  <c r="DN146" i="1"/>
  <c r="DM146" i="1"/>
  <c r="DL146" i="1"/>
  <c r="DO146" i="1"/>
  <c r="DK146" i="1"/>
  <c r="AA129" i="1"/>
  <c r="DO129" i="1"/>
  <c r="DK129" i="1"/>
  <c r="DN129" i="1"/>
  <c r="DM129" i="1"/>
  <c r="DL129" i="1"/>
  <c r="AA211" i="1"/>
  <c r="DL211" i="1"/>
  <c r="DO211" i="1"/>
  <c r="DK211" i="1"/>
  <c r="DN211" i="1"/>
  <c r="DM211" i="1"/>
  <c r="AA183" i="1"/>
  <c r="DM183" i="1"/>
  <c r="DO183" i="1"/>
  <c r="DK183" i="1"/>
  <c r="DN183" i="1"/>
  <c r="DL183" i="1"/>
  <c r="AA159" i="1"/>
  <c r="DM159" i="1"/>
  <c r="DO159" i="1"/>
  <c r="DK159" i="1"/>
  <c r="DN159" i="1"/>
  <c r="DL159" i="1"/>
  <c r="AA214" i="1"/>
  <c r="DM214" i="1"/>
  <c r="DL214" i="1"/>
  <c r="DO214" i="1"/>
  <c r="DK214" i="1"/>
  <c r="DN214" i="1"/>
  <c r="AA166" i="1"/>
  <c r="DN166" i="1"/>
  <c r="DL166" i="1"/>
  <c r="DO166" i="1"/>
  <c r="DK166" i="1"/>
  <c r="DM166" i="1"/>
  <c r="AA226" i="1"/>
  <c r="DM226" i="1"/>
  <c r="DL226" i="1"/>
  <c r="DO226" i="1"/>
  <c r="DK226" i="1"/>
  <c r="DN226" i="1"/>
  <c r="AA206" i="1"/>
  <c r="DM206" i="1"/>
  <c r="DL206" i="1"/>
  <c r="DO206" i="1"/>
  <c r="DK206" i="1"/>
  <c r="DN206" i="1"/>
  <c r="CZ244" i="1"/>
  <c r="Z246" i="1"/>
  <c r="CZ253" i="1"/>
  <c r="CZ260" i="1"/>
  <c r="CZ262" i="1"/>
  <c r="DD244" i="1"/>
  <c r="DF244" i="1" s="1"/>
  <c r="DD253" i="1"/>
  <c r="DF253" i="1" s="1"/>
  <c r="DD262" i="1"/>
  <c r="DH262" i="1" s="1"/>
  <c r="DD252" i="1"/>
  <c r="DH252" i="1" s="1"/>
  <c r="CZ252" i="1"/>
  <c r="CZ256" i="1"/>
  <c r="DD256" i="1"/>
  <c r="DF256" i="1" s="1"/>
  <c r="CR251" i="1"/>
  <c r="BW246" i="1"/>
  <c r="CS246" i="1"/>
  <c r="AU246" i="1"/>
  <c r="AW246" i="1" s="1"/>
  <c r="CR246" i="1"/>
  <c r="CS247" i="1"/>
  <c r="CS245" i="1"/>
  <c r="CR245" i="1"/>
  <c r="BW245" i="1"/>
  <c r="AU245" i="1"/>
  <c r="AX245" i="1" s="1"/>
  <c r="DH247" i="1"/>
  <c r="Z245" i="1"/>
  <c r="AU247" i="1"/>
  <c r="AW247" i="1" s="1"/>
  <c r="BW251" i="1"/>
  <c r="CR250" i="1"/>
  <c r="BW247" i="1"/>
  <c r="CS251" i="1"/>
  <c r="AU251" i="1"/>
  <c r="AW251" i="1" s="1"/>
  <c r="BD251" i="1" s="1"/>
  <c r="CR247" i="1"/>
  <c r="BW250" i="1"/>
  <c r="CS244" i="1"/>
  <c r="CS250" i="1"/>
  <c r="O250" i="1"/>
  <c r="O251" i="1"/>
  <c r="O247" i="1"/>
  <c r="Z250" i="1"/>
  <c r="Z244" i="1"/>
  <c r="CR252" i="1"/>
  <c r="BW253" i="1"/>
  <c r="Z248" i="1"/>
  <c r="AU253" i="1"/>
  <c r="AX253" i="1" s="1"/>
  <c r="CS248" i="1"/>
  <c r="AU252" i="1"/>
  <c r="AX252" i="1" s="1"/>
  <c r="O252" i="1"/>
  <c r="AU248" i="1"/>
  <c r="AT248" i="1" s="1"/>
  <c r="CS253" i="1"/>
  <c r="CR248" i="1"/>
  <c r="BW252" i="1"/>
  <c r="BW248" i="1"/>
  <c r="CR253" i="1"/>
  <c r="CS252" i="1"/>
  <c r="O253" i="1"/>
  <c r="CR244" i="1"/>
  <c r="O244" i="1"/>
  <c r="BW244" i="1"/>
  <c r="AW264" i="1"/>
  <c r="BE264" i="1" s="1"/>
  <c r="AT264" i="1"/>
  <c r="BW249" i="1"/>
  <c r="AU249" i="1"/>
  <c r="AT249" i="1" s="1"/>
  <c r="CS249" i="1"/>
  <c r="CR249" i="1"/>
  <c r="AT180" i="1"/>
  <c r="AW180" i="1"/>
  <c r="AY180" i="1" s="1"/>
  <c r="AZ180" i="1" s="1"/>
  <c r="Z249" i="1"/>
  <c r="Z260" i="1"/>
  <c r="Z262" i="1"/>
  <c r="Z258" i="1"/>
  <c r="Z255" i="1"/>
  <c r="Z257" i="1"/>
  <c r="Z261" i="1"/>
  <c r="Z256" i="1"/>
  <c r="BW254" i="1"/>
  <c r="AT163" i="1"/>
  <c r="AW163" i="1"/>
  <c r="BC163" i="1" s="1"/>
  <c r="D202" i="23"/>
  <c r="JG207" i="23"/>
  <c r="D207" i="23" s="1"/>
  <c r="D204" i="23"/>
  <c r="JG210" i="23"/>
  <c r="D210" i="23" s="1"/>
  <c r="JG211" i="23"/>
  <c r="D211" i="23" s="1"/>
  <c r="JG208" i="23"/>
  <c r="D208" i="23" s="1"/>
  <c r="JG205" i="23"/>
  <c r="D205" i="23" s="1"/>
  <c r="JG209" i="23"/>
  <c r="D209" i="23" s="1"/>
  <c r="D203" i="23"/>
  <c r="JG206" i="23"/>
  <c r="D206" i="23" s="1"/>
  <c r="AU254" i="1"/>
  <c r="AT254" i="1" s="1"/>
  <c r="AW156" i="1"/>
  <c r="BB156" i="1" s="1"/>
  <c r="BW256" i="1"/>
  <c r="AU259" i="1"/>
  <c r="AW259" i="1" s="1"/>
  <c r="AU256" i="1"/>
  <c r="AW256" i="1" s="1"/>
  <c r="AU262" i="1"/>
  <c r="AW262" i="1" s="1"/>
  <c r="AU258" i="1"/>
  <c r="AT258" i="1" s="1"/>
  <c r="BW260" i="1"/>
  <c r="BW259" i="1"/>
  <c r="BW255" i="1"/>
  <c r="AU255" i="1"/>
  <c r="AT255" i="1" s="1"/>
  <c r="AU261" i="1"/>
  <c r="AT261" i="1" s="1"/>
  <c r="BW257" i="1"/>
  <c r="AU260" i="1"/>
  <c r="AT260" i="1" s="1"/>
  <c r="BW258" i="1"/>
  <c r="CS262" i="1"/>
  <c r="O262" i="1"/>
  <c r="CR262" i="1"/>
  <c r="CS258" i="1"/>
  <c r="O258" i="1"/>
  <c r="CR258" i="1"/>
  <c r="CS254" i="1"/>
  <c r="O254" i="1"/>
  <c r="CR254" i="1"/>
  <c r="CS261" i="1"/>
  <c r="O261" i="1"/>
  <c r="CR261" i="1"/>
  <c r="CS257" i="1"/>
  <c r="O257" i="1"/>
  <c r="CR257" i="1"/>
  <c r="CS260" i="1"/>
  <c r="O260" i="1"/>
  <c r="CR260" i="1"/>
  <c r="CS256" i="1"/>
  <c r="O256" i="1"/>
  <c r="CR256" i="1"/>
  <c r="CS259" i="1"/>
  <c r="O259" i="1"/>
  <c r="CR259" i="1"/>
  <c r="CS255" i="1"/>
  <c r="O255" i="1"/>
  <c r="CR255" i="1"/>
  <c r="AT186" i="1"/>
  <c r="AT239" i="1"/>
  <c r="AT143" i="1"/>
  <c r="AX170" i="1"/>
  <c r="AY170" i="1" s="1"/>
  <c r="AZ170" i="1" s="1"/>
  <c r="AX186" i="1"/>
  <c r="AY186" i="1" s="1"/>
  <c r="AZ186" i="1" s="1"/>
  <c r="AT200" i="1"/>
  <c r="AT170" i="1"/>
  <c r="AT221" i="1"/>
  <c r="AX156" i="1"/>
  <c r="AW221" i="1"/>
  <c r="BB221" i="1" s="1"/>
  <c r="AW134" i="1"/>
  <c r="BC134" i="1" s="1"/>
  <c r="AX226" i="1"/>
  <c r="AY226" i="1" s="1"/>
  <c r="AZ226" i="1" s="1"/>
  <c r="AX239" i="1"/>
  <c r="AY239" i="1" s="1"/>
  <c r="AZ239" i="1" s="1"/>
  <c r="AT214" i="1"/>
  <c r="AW214" i="1"/>
  <c r="BC214" i="1" s="1"/>
  <c r="AT232" i="1"/>
  <c r="AT236" i="1"/>
  <c r="AW228" i="1"/>
  <c r="BD228" i="1" s="1"/>
  <c r="AW208" i="1"/>
  <c r="BF208" i="1" s="1"/>
  <c r="AX188" i="1"/>
  <c r="AY188" i="1" s="1"/>
  <c r="AZ188" i="1" s="1"/>
  <c r="AT144" i="1"/>
  <c r="AW198" i="1"/>
  <c r="BF198" i="1" s="1"/>
  <c r="AX236" i="1"/>
  <c r="AY236" i="1" s="1"/>
  <c r="AZ236" i="1" s="1"/>
  <c r="AT220" i="1"/>
  <c r="AX208" i="1"/>
  <c r="AW171" i="1"/>
  <c r="BE171" i="1" s="1"/>
  <c r="AT228" i="1"/>
  <c r="AX268" i="1"/>
  <c r="AY268" i="1" s="1"/>
  <c r="AZ268" i="1" s="1"/>
  <c r="AX134" i="1"/>
  <c r="AW200" i="1"/>
  <c r="BE200" i="1" s="1"/>
  <c r="AX229" i="1"/>
  <c r="AY229" i="1" s="1"/>
  <c r="AZ229" i="1" s="1"/>
  <c r="AW136" i="1"/>
  <c r="BF136" i="1" s="1"/>
  <c r="AX231" i="1"/>
  <c r="AX136" i="1"/>
  <c r="AW231" i="1"/>
  <c r="BB231" i="1" s="1"/>
  <c r="AX215" i="1"/>
  <c r="AX178" i="1"/>
  <c r="AY178" i="1" s="1"/>
  <c r="AZ178" i="1" s="1"/>
  <c r="AW153" i="1"/>
  <c r="BF153" i="1" s="1"/>
  <c r="AW164" i="1"/>
  <c r="BC164" i="1" s="1"/>
  <c r="AT229" i="1"/>
  <c r="AX153" i="1"/>
  <c r="AX164" i="1"/>
  <c r="AW215" i="1"/>
  <c r="BD215" i="1" s="1"/>
  <c r="AT151" i="1"/>
  <c r="AT178" i="1"/>
  <c r="AW151" i="1"/>
  <c r="BB151" i="1" s="1"/>
  <c r="AT155" i="1"/>
  <c r="AT207" i="1"/>
  <c r="AX207" i="1"/>
  <c r="AY207" i="1" s="1"/>
  <c r="AZ207" i="1" s="1"/>
  <c r="AT171" i="1"/>
  <c r="AW144" i="1"/>
  <c r="BE144" i="1" s="1"/>
  <c r="AT198" i="1"/>
  <c r="AW220" i="1"/>
  <c r="AY220" i="1" s="1"/>
  <c r="AZ220" i="1" s="1"/>
  <c r="AT188" i="1"/>
  <c r="AX144" i="1"/>
  <c r="AX171" i="1"/>
  <c r="AT268" i="1"/>
  <c r="AT226" i="1"/>
  <c r="AW199" i="1"/>
  <c r="BD199" i="1" s="1"/>
  <c r="AT269" i="1"/>
  <c r="AX232" i="1"/>
  <c r="AY232" i="1" s="1"/>
  <c r="AZ232" i="1" s="1"/>
  <c r="AX219" i="1"/>
  <c r="AX199" i="1"/>
  <c r="AW143" i="1"/>
  <c r="BB143" i="1" s="1"/>
  <c r="AX162" i="1"/>
  <c r="AY162" i="1" s="1"/>
  <c r="AZ162" i="1" s="1"/>
  <c r="AT150" i="1"/>
  <c r="AW269" i="1"/>
  <c r="BB269" i="1" s="1"/>
  <c r="AW219" i="1"/>
  <c r="BD219" i="1" s="1"/>
  <c r="AT162" i="1"/>
  <c r="AW150" i="1"/>
  <c r="BF150" i="1" s="1"/>
  <c r="AW266" i="1"/>
  <c r="BB266" i="1" s="1"/>
  <c r="AT265" i="1"/>
  <c r="AX265" i="1"/>
  <c r="AY265" i="1" s="1"/>
  <c r="AZ265" i="1" s="1"/>
  <c r="AT154" i="1"/>
  <c r="AW155" i="1"/>
  <c r="BD155" i="1" s="1"/>
  <c r="AW152" i="1"/>
  <c r="BF152" i="1" s="1"/>
  <c r="AT135" i="1"/>
  <c r="AW142" i="1"/>
  <c r="BE142" i="1" s="1"/>
  <c r="AW172" i="1"/>
  <c r="BC172" i="1" s="1"/>
  <c r="AX206" i="1"/>
  <c r="AW205" i="1"/>
  <c r="AY205" i="1" s="1"/>
  <c r="AZ205" i="1" s="1"/>
  <c r="AX266" i="1"/>
  <c r="AX172" i="1"/>
  <c r="AX152" i="1"/>
  <c r="AT227" i="1"/>
  <c r="AW187" i="1"/>
  <c r="BD187" i="1" s="1"/>
  <c r="AT187" i="1"/>
  <c r="AW135" i="1"/>
  <c r="BB135" i="1" s="1"/>
  <c r="AX142" i="1"/>
  <c r="AT205" i="1"/>
  <c r="AW227" i="1"/>
  <c r="BB227" i="1" s="1"/>
  <c r="AX135" i="1"/>
  <c r="AW206" i="1"/>
  <c r="BF206" i="1" s="1"/>
  <c r="AT206" i="1"/>
  <c r="AW154" i="1"/>
  <c r="BE154" i="1" s="1"/>
  <c r="AW203" i="1"/>
  <c r="AT203" i="1"/>
  <c r="AX203" i="1"/>
  <c r="AT213" i="1"/>
  <c r="AX213" i="1"/>
  <c r="AW213" i="1"/>
  <c r="AX169" i="1"/>
  <c r="AW169" i="1"/>
  <c r="AT169" i="1"/>
  <c r="AX133" i="1"/>
  <c r="AW133" i="1"/>
  <c r="AT133" i="1"/>
  <c r="AX204" i="1"/>
  <c r="AT204" i="1"/>
  <c r="AW204" i="1"/>
  <c r="AX160" i="1"/>
  <c r="AW160" i="1"/>
  <c r="AT160" i="1"/>
  <c r="AT140" i="1"/>
  <c r="AX140" i="1"/>
  <c r="AW140" i="1"/>
  <c r="AX223" i="1"/>
  <c r="AT223" i="1"/>
  <c r="AW223" i="1"/>
  <c r="AX211" i="1"/>
  <c r="AW211" i="1"/>
  <c r="AT211" i="1"/>
  <c r="AT179" i="1"/>
  <c r="AX179" i="1"/>
  <c r="AW179" i="1"/>
  <c r="AT167" i="1"/>
  <c r="AX167" i="1"/>
  <c r="AW167" i="1"/>
  <c r="AW147" i="1"/>
  <c r="AT147" i="1"/>
  <c r="AX147" i="1"/>
  <c r="AW190" i="1"/>
  <c r="AT190" i="1"/>
  <c r="AX190" i="1"/>
  <c r="AW166" i="1"/>
  <c r="AT166" i="1"/>
  <c r="AX166" i="1"/>
  <c r="AX130" i="1"/>
  <c r="AW130" i="1"/>
  <c r="AT130" i="1"/>
  <c r="AW241" i="1"/>
  <c r="AX241" i="1"/>
  <c r="AT241" i="1"/>
  <c r="AW233" i="1"/>
  <c r="AX233" i="1"/>
  <c r="AT233" i="1"/>
  <c r="AW209" i="1"/>
  <c r="AT209" i="1"/>
  <c r="AX209" i="1"/>
  <c r="AX193" i="1"/>
  <c r="AW193" i="1"/>
  <c r="AT193" i="1"/>
  <c r="AX173" i="1"/>
  <c r="AW173" i="1"/>
  <c r="AT173" i="1"/>
  <c r="BD188" i="1"/>
  <c r="BC188" i="1"/>
  <c r="BF188" i="1"/>
  <c r="BB188" i="1"/>
  <c r="BE188" i="1"/>
  <c r="BD268" i="1"/>
  <c r="BC268" i="1"/>
  <c r="BF268" i="1"/>
  <c r="BB268" i="1"/>
  <c r="BE268" i="1"/>
  <c r="AX177" i="1"/>
  <c r="AW177" i="1"/>
  <c r="AT177" i="1"/>
  <c r="AX141" i="1"/>
  <c r="AW141" i="1"/>
  <c r="AT141" i="1"/>
  <c r="AT192" i="1"/>
  <c r="AX192" i="1"/>
  <c r="AW192" i="1"/>
  <c r="AX168" i="1"/>
  <c r="AW168" i="1"/>
  <c r="AT168" i="1"/>
  <c r="AT148" i="1"/>
  <c r="AX148" i="1"/>
  <c r="AW148" i="1"/>
  <c r="AT175" i="1"/>
  <c r="AX175" i="1"/>
  <c r="AW175" i="1"/>
  <c r="AW242" i="1"/>
  <c r="AX242" i="1"/>
  <c r="AT242" i="1"/>
  <c r="AW234" i="1"/>
  <c r="AT234" i="1"/>
  <c r="AX234" i="1"/>
  <c r="AX218" i="1"/>
  <c r="AT218" i="1"/>
  <c r="AW218" i="1"/>
  <c r="AX194" i="1"/>
  <c r="AW194" i="1"/>
  <c r="AT194" i="1"/>
  <c r="AW174" i="1"/>
  <c r="AT174" i="1"/>
  <c r="AX174" i="1"/>
  <c r="AX138" i="1"/>
  <c r="AW138" i="1"/>
  <c r="AT138" i="1"/>
  <c r="AX237" i="1"/>
  <c r="AW237" i="1"/>
  <c r="AT237" i="1"/>
  <c r="AW217" i="1"/>
  <c r="AT217" i="1"/>
  <c r="AX217" i="1"/>
  <c r="AX201" i="1"/>
  <c r="AW201" i="1"/>
  <c r="AT201" i="1"/>
  <c r="AX181" i="1"/>
  <c r="AW181" i="1"/>
  <c r="AT181" i="1"/>
  <c r="AX129" i="1"/>
  <c r="AW129" i="1"/>
  <c r="AT129" i="1"/>
  <c r="BF170" i="1"/>
  <c r="BB170" i="1"/>
  <c r="BE170" i="1"/>
  <c r="BD170" i="1"/>
  <c r="BC170" i="1"/>
  <c r="AW271" i="1"/>
  <c r="AT271" i="1"/>
  <c r="AX271" i="1"/>
  <c r="AX197" i="1"/>
  <c r="AW197" i="1"/>
  <c r="AT197" i="1"/>
  <c r="AX185" i="1"/>
  <c r="AW185" i="1"/>
  <c r="AT185" i="1"/>
  <c r="AX149" i="1"/>
  <c r="AW149" i="1"/>
  <c r="AT149" i="1"/>
  <c r="AX270" i="1"/>
  <c r="AT270" i="1"/>
  <c r="AW270" i="1"/>
  <c r="AT240" i="1"/>
  <c r="AX240" i="1"/>
  <c r="AW240" i="1"/>
  <c r="AX176" i="1"/>
  <c r="AW176" i="1"/>
  <c r="AT176" i="1"/>
  <c r="AW195" i="1"/>
  <c r="AT195" i="1"/>
  <c r="AX195" i="1"/>
  <c r="AT183" i="1"/>
  <c r="AX183" i="1"/>
  <c r="AW183" i="1"/>
  <c r="AW131" i="1"/>
  <c r="AT131" i="1"/>
  <c r="AX131" i="1"/>
  <c r="AX91" i="1"/>
  <c r="AW91" i="1"/>
  <c r="AT91" i="1"/>
  <c r="AX202" i="1"/>
  <c r="AW202" i="1"/>
  <c r="AT202" i="1"/>
  <c r="AX146" i="1"/>
  <c r="AW146" i="1"/>
  <c r="AT146" i="1"/>
  <c r="AT225" i="1"/>
  <c r="AW225" i="1"/>
  <c r="AX225" i="1"/>
  <c r="AX189" i="1"/>
  <c r="AW189" i="1"/>
  <c r="AT189" i="1"/>
  <c r="AX157" i="1"/>
  <c r="AW157" i="1"/>
  <c r="AT157" i="1"/>
  <c r="AX137" i="1"/>
  <c r="AW137" i="1"/>
  <c r="AT137" i="1"/>
  <c r="BD236" i="1"/>
  <c r="BC236" i="1"/>
  <c r="BE236" i="1"/>
  <c r="BF236" i="1"/>
  <c r="BB236" i="1"/>
  <c r="AT212" i="1"/>
  <c r="AX212" i="1"/>
  <c r="AW212" i="1"/>
  <c r="BD207" i="1"/>
  <c r="BC207" i="1"/>
  <c r="BF207" i="1"/>
  <c r="BB207" i="1"/>
  <c r="BE207" i="1"/>
  <c r="BD226" i="1"/>
  <c r="BC226" i="1"/>
  <c r="BF226" i="1"/>
  <c r="BB226" i="1"/>
  <c r="BE226" i="1"/>
  <c r="AW222" i="1"/>
  <c r="AT222" i="1"/>
  <c r="AX222" i="1"/>
  <c r="BF186" i="1"/>
  <c r="BB186" i="1"/>
  <c r="BE186" i="1"/>
  <c r="BD186" i="1"/>
  <c r="BC186" i="1"/>
  <c r="BE229" i="1"/>
  <c r="BD229" i="1"/>
  <c r="BC229" i="1"/>
  <c r="BF229" i="1"/>
  <c r="BB229" i="1"/>
  <c r="AT216" i="1"/>
  <c r="AW216" i="1"/>
  <c r="AX216" i="1"/>
  <c r="BD265" i="1"/>
  <c r="BC265" i="1"/>
  <c r="BF265" i="1"/>
  <c r="BE265" i="1"/>
  <c r="BB265" i="1"/>
  <c r="AT235" i="1"/>
  <c r="AW235" i="1"/>
  <c r="AX235" i="1"/>
  <c r="AT267" i="1"/>
  <c r="AW267" i="1"/>
  <c r="AX267" i="1"/>
  <c r="AX161" i="1"/>
  <c r="AW161" i="1"/>
  <c r="AT161" i="1"/>
  <c r="AT196" i="1"/>
  <c r="AX196" i="1"/>
  <c r="AW196" i="1"/>
  <c r="AX184" i="1"/>
  <c r="AW184" i="1"/>
  <c r="AT184" i="1"/>
  <c r="AT132" i="1"/>
  <c r="AX132" i="1"/>
  <c r="AW132" i="1"/>
  <c r="AT243" i="1"/>
  <c r="AX243" i="1"/>
  <c r="AW243" i="1"/>
  <c r="AW191" i="1"/>
  <c r="AX191" i="1"/>
  <c r="AT191" i="1"/>
  <c r="AT159" i="1"/>
  <c r="AX159" i="1"/>
  <c r="AW159" i="1"/>
  <c r="AW139" i="1"/>
  <c r="AT139" i="1"/>
  <c r="AX139" i="1"/>
  <c r="AW238" i="1"/>
  <c r="AT238" i="1"/>
  <c r="AX238" i="1"/>
  <c r="AT230" i="1"/>
  <c r="AX230" i="1"/>
  <c r="AW230" i="1"/>
  <c r="AT210" i="1"/>
  <c r="AX210" i="1"/>
  <c r="AW210" i="1"/>
  <c r="AW182" i="1"/>
  <c r="AT182" i="1"/>
  <c r="AX182" i="1"/>
  <c r="AW158" i="1"/>
  <c r="AT158" i="1"/>
  <c r="AX158" i="1"/>
  <c r="AX165" i="1"/>
  <c r="AW165" i="1"/>
  <c r="AT165" i="1"/>
  <c r="AX145" i="1"/>
  <c r="AW145" i="1"/>
  <c r="AT145" i="1"/>
  <c r="BC232" i="1"/>
  <c r="BE232" i="1"/>
  <c r="BB232" i="1"/>
  <c r="BF232" i="1"/>
  <c r="BD232" i="1"/>
  <c r="BF239" i="1"/>
  <c r="BB239" i="1"/>
  <c r="BD239" i="1"/>
  <c r="BC239" i="1"/>
  <c r="BE239" i="1"/>
  <c r="BF178" i="1"/>
  <c r="BB178" i="1"/>
  <c r="BE178" i="1"/>
  <c r="BD178" i="1"/>
  <c r="BC178" i="1"/>
  <c r="BF162" i="1"/>
  <c r="BB162" i="1"/>
  <c r="BE162" i="1"/>
  <c r="BD162" i="1"/>
  <c r="BC162" i="1"/>
  <c r="Z1269" i="7"/>
  <c r="X1269" i="7"/>
  <c r="AS217" i="23"/>
  <c r="AD217" i="23"/>
  <c r="AF217" i="23"/>
  <c r="H217" i="23"/>
  <c r="AR217" i="23"/>
  <c r="AG217" i="23"/>
  <c r="JA217" i="23"/>
  <c r="I217" i="23"/>
  <c r="AP217" i="23"/>
  <c r="AJ217" i="23"/>
  <c r="L217" i="23"/>
  <c r="K217" i="23"/>
  <c r="BD217" i="23"/>
  <c r="IX217" i="23"/>
  <c r="IZ217" i="23"/>
  <c r="AK217" i="23"/>
  <c r="AV217" i="23"/>
  <c r="AT217" i="23"/>
  <c r="F217" i="23"/>
  <c r="Z217" i="23"/>
  <c r="BF217" i="23"/>
  <c r="AQ217" i="23"/>
  <c r="N217" i="23"/>
  <c r="U217" i="23"/>
  <c r="AB217" i="23"/>
  <c r="IV217" i="23"/>
  <c r="BE217" i="23"/>
  <c r="G217" i="23"/>
  <c r="T217" i="23"/>
  <c r="R217" i="23"/>
  <c r="AO217" i="23"/>
  <c r="AM217" i="23"/>
  <c r="E217" i="23"/>
  <c r="AX217" i="23"/>
  <c r="AN217" i="23"/>
  <c r="J217" i="23"/>
  <c r="AA217" i="23"/>
  <c r="X217" i="23"/>
  <c r="P217" i="23"/>
  <c r="M217" i="23"/>
  <c r="V217" i="23"/>
  <c r="Q217" i="23"/>
  <c r="AL217" i="23"/>
  <c r="JD217" i="23"/>
  <c r="AZ217" i="23"/>
  <c r="W217" i="23"/>
  <c r="S217" i="23"/>
  <c r="AC217" i="23"/>
  <c r="AH217" i="23"/>
  <c r="AU217" i="23"/>
  <c r="JB217" i="23"/>
  <c r="BA217" i="23"/>
  <c r="IW217" i="23"/>
  <c r="BB217" i="23"/>
  <c r="BC217" i="23"/>
  <c r="AW217" i="23"/>
  <c r="Y217" i="23"/>
  <c r="IU217" i="23"/>
  <c r="AE217" i="23"/>
  <c r="O217" i="23"/>
  <c r="AY217" i="23"/>
  <c r="IY217" i="23"/>
  <c r="AI217" i="23"/>
  <c r="JC217" i="23"/>
  <c r="Q244" i="1" l="1"/>
  <c r="Q251" i="1"/>
  <c r="Q245" i="1"/>
  <c r="Q250" i="1"/>
  <c r="Q249" i="1"/>
  <c r="Q253" i="1"/>
  <c r="Q252" i="1"/>
  <c r="Q246" i="1"/>
  <c r="Q247" i="1"/>
  <c r="Q248" i="1"/>
  <c r="AA259" i="1"/>
  <c r="BC224" i="1"/>
  <c r="BD224" i="1"/>
  <c r="BB224" i="1"/>
  <c r="BE224" i="1"/>
  <c r="BF224" i="1"/>
  <c r="BF244" i="1"/>
  <c r="DM251" i="1"/>
  <c r="DO259" i="1"/>
  <c r="DL251" i="1"/>
  <c r="BE250" i="1"/>
  <c r="DK251" i="1"/>
  <c r="AW257" i="1"/>
  <c r="AY257" i="1" s="1"/>
  <c r="AZ257" i="1" s="1"/>
  <c r="DO251" i="1"/>
  <c r="DK259" i="1"/>
  <c r="DL259" i="1"/>
  <c r="DN252" i="1"/>
  <c r="AT257" i="1"/>
  <c r="DM259" i="1"/>
  <c r="DO254" i="1"/>
  <c r="DL254" i="1"/>
  <c r="DM254" i="1"/>
  <c r="AA254" i="1"/>
  <c r="DN254" i="1"/>
  <c r="AA251" i="1"/>
  <c r="DN247" i="1"/>
  <c r="DO253" i="1"/>
  <c r="AA247" i="1"/>
  <c r="DN253" i="1"/>
  <c r="BC250" i="1"/>
  <c r="BF250" i="1"/>
  <c r="DO247" i="1"/>
  <c r="BD250" i="1"/>
  <c r="AT250" i="1"/>
  <c r="AX250" i="1"/>
  <c r="AY250" i="1" s="1"/>
  <c r="AZ250" i="1" s="1"/>
  <c r="DM247" i="1"/>
  <c r="DL247" i="1"/>
  <c r="BB244" i="1"/>
  <c r="DK252" i="1"/>
  <c r="DK253" i="1"/>
  <c r="AA253" i="1"/>
  <c r="BC244" i="1"/>
  <c r="AX244" i="1"/>
  <c r="AY244" i="1" s="1"/>
  <c r="AZ244" i="1" s="1"/>
  <c r="DL252" i="1"/>
  <c r="DO252" i="1"/>
  <c r="DL253" i="1"/>
  <c r="BE244" i="1"/>
  <c r="AT244" i="1"/>
  <c r="DM252" i="1"/>
  <c r="F1262" i="7"/>
  <c r="F1260" i="7"/>
  <c r="F1265" i="7"/>
  <c r="F1259" i="7"/>
  <c r="F1263" i="7"/>
  <c r="F1258" i="7"/>
  <c r="F1261" i="7"/>
  <c r="F1264" i="7"/>
  <c r="F1266" i="7"/>
  <c r="DI247" i="1"/>
  <c r="DF245" i="1"/>
  <c r="DI245" i="1" s="1"/>
  <c r="DF261" i="1"/>
  <c r="DI261" i="1" s="1"/>
  <c r="DF259" i="1"/>
  <c r="DI259" i="1" s="1"/>
  <c r="DF260" i="1"/>
  <c r="DI260" i="1" s="1"/>
  <c r="DH250" i="1"/>
  <c r="DI250" i="1" s="1"/>
  <c r="DF246" i="1"/>
  <c r="DI246" i="1" s="1"/>
  <c r="DF254" i="1"/>
  <c r="DI254" i="1" s="1"/>
  <c r="DF248" i="1"/>
  <c r="DI248" i="1" s="1"/>
  <c r="DF257" i="1"/>
  <c r="DI257" i="1" s="1"/>
  <c r="DH255" i="1"/>
  <c r="DI255" i="1" s="1"/>
  <c r="DF249" i="1"/>
  <c r="DI249" i="1" s="1"/>
  <c r="DH258" i="1"/>
  <c r="DI258" i="1" s="1"/>
  <c r="DF251" i="1"/>
  <c r="DI251" i="1" s="1"/>
  <c r="DH256" i="1"/>
  <c r="DI256" i="1" s="1"/>
  <c r="DH253" i="1"/>
  <c r="DI253" i="1" s="1"/>
  <c r="DH244" i="1"/>
  <c r="DI244" i="1" s="1"/>
  <c r="AA257" i="1"/>
  <c r="DN257" i="1"/>
  <c r="DM257" i="1"/>
  <c r="DL257" i="1"/>
  <c r="DO257" i="1"/>
  <c r="DK257" i="1"/>
  <c r="AA249" i="1"/>
  <c r="DN249" i="1"/>
  <c r="DM249" i="1"/>
  <c r="DL249" i="1"/>
  <c r="DO249" i="1"/>
  <c r="DK249" i="1"/>
  <c r="AA250" i="1"/>
  <c r="DM250" i="1"/>
  <c r="DL250" i="1"/>
  <c r="DO250" i="1"/>
  <c r="DK250" i="1"/>
  <c r="DN250" i="1"/>
  <c r="AA256" i="1"/>
  <c r="DO256" i="1"/>
  <c r="DK256" i="1"/>
  <c r="DN256" i="1"/>
  <c r="DM256" i="1"/>
  <c r="DL256" i="1"/>
  <c r="AA255" i="1"/>
  <c r="DL255" i="1"/>
  <c r="DO255" i="1"/>
  <c r="DK255" i="1"/>
  <c r="DN255" i="1"/>
  <c r="DM255" i="1"/>
  <c r="AA261" i="1"/>
  <c r="DN261" i="1"/>
  <c r="DM261" i="1"/>
  <c r="DL261" i="1"/>
  <c r="DO261" i="1"/>
  <c r="DK261" i="1"/>
  <c r="AA258" i="1"/>
  <c r="DM258" i="1"/>
  <c r="DL258" i="1"/>
  <c r="DO258" i="1"/>
  <c r="DK258" i="1"/>
  <c r="DN258" i="1"/>
  <c r="AA262" i="1"/>
  <c r="DM262" i="1"/>
  <c r="DL262" i="1"/>
  <c r="DO262" i="1"/>
  <c r="DK262" i="1"/>
  <c r="DN262" i="1"/>
  <c r="DF252" i="1"/>
  <c r="DI252" i="1" s="1"/>
  <c r="AA260" i="1"/>
  <c r="DO260" i="1"/>
  <c r="DK260" i="1"/>
  <c r="DN260" i="1"/>
  <c r="DM260" i="1"/>
  <c r="DL260" i="1"/>
  <c r="AA248" i="1"/>
  <c r="DO248" i="1"/>
  <c r="DK248" i="1"/>
  <c r="DN248" i="1"/>
  <c r="DM248" i="1"/>
  <c r="DL248" i="1"/>
  <c r="AA244" i="1"/>
  <c r="DO244" i="1"/>
  <c r="DK244" i="1"/>
  <c r="DN244" i="1"/>
  <c r="DM244" i="1"/>
  <c r="DL244" i="1"/>
  <c r="AA245" i="1"/>
  <c r="DN245" i="1"/>
  <c r="DM245" i="1"/>
  <c r="DL245" i="1"/>
  <c r="DO245" i="1"/>
  <c r="DK245" i="1"/>
  <c r="AA246" i="1"/>
  <c r="DM246" i="1"/>
  <c r="DL246" i="1"/>
  <c r="DO246" i="1"/>
  <c r="DK246" i="1"/>
  <c r="DN246" i="1"/>
  <c r="DF262" i="1"/>
  <c r="DI262" i="1" s="1"/>
  <c r="AX246" i="1"/>
  <c r="AY246" i="1" s="1"/>
  <c r="AZ246" i="1" s="1"/>
  <c r="AT246" i="1"/>
  <c r="AT245" i="1"/>
  <c r="AW245" i="1"/>
  <c r="BC245" i="1" s="1"/>
  <c r="AX247" i="1"/>
  <c r="AY247" i="1" s="1"/>
  <c r="AZ247" i="1" s="1"/>
  <c r="AT251" i="1"/>
  <c r="BC251" i="1"/>
  <c r="BE251" i="1"/>
  <c r="AT247" i="1"/>
  <c r="BF251" i="1"/>
  <c r="BB251" i="1"/>
  <c r="AX251" i="1"/>
  <c r="AY251" i="1" s="1"/>
  <c r="AZ251" i="1" s="1"/>
  <c r="AW248" i="1"/>
  <c r="BD248" i="1" s="1"/>
  <c r="AX248" i="1"/>
  <c r="AT253" i="1"/>
  <c r="AW253" i="1"/>
  <c r="BC253" i="1" s="1"/>
  <c r="AY264" i="1"/>
  <c r="AZ264" i="1" s="1"/>
  <c r="AT252" i="1"/>
  <c r="AW252" i="1"/>
  <c r="BD252" i="1" s="1"/>
  <c r="BB264" i="1"/>
  <c r="BF264" i="1"/>
  <c r="BC264" i="1"/>
  <c r="BD264" i="1"/>
  <c r="AX249" i="1"/>
  <c r="AW249" i="1"/>
  <c r="BC249" i="1" s="1"/>
  <c r="F1127" i="7"/>
  <c r="F1068" i="7"/>
  <c r="F1077" i="7"/>
  <c r="F1112" i="7"/>
  <c r="F1098" i="7"/>
  <c r="F1035" i="7"/>
  <c r="F1080" i="7"/>
  <c r="F1183" i="7"/>
  <c r="F1062" i="7"/>
  <c r="F1065" i="7"/>
  <c r="F1063" i="7"/>
  <c r="F1155" i="7"/>
  <c r="F1131" i="7"/>
  <c r="F1228" i="7"/>
  <c r="F1102" i="7"/>
  <c r="F1200" i="7"/>
  <c r="F1151" i="7"/>
  <c r="F1231" i="7"/>
  <c r="F1172" i="7"/>
  <c r="F1207" i="7"/>
  <c r="F1245" i="7"/>
  <c r="F1233" i="7"/>
  <c r="F1123" i="7"/>
  <c r="F1237" i="7"/>
  <c r="F1038" i="7"/>
  <c r="F1008" i="7"/>
  <c r="F1084" i="7"/>
  <c r="F1220" i="7"/>
  <c r="F1166" i="7"/>
  <c r="F1165" i="7"/>
  <c r="F1052" i="7"/>
  <c r="F1229" i="7"/>
  <c r="F1116" i="7"/>
  <c r="F1076" i="7"/>
  <c r="F1041" i="7"/>
  <c r="F1221" i="7"/>
  <c r="F1026" i="7"/>
  <c r="F1213" i="7"/>
  <c r="F1009" i="7"/>
  <c r="F1053" i="7"/>
  <c r="F1217" i="7"/>
  <c r="F1049" i="7"/>
  <c r="F1246" i="7"/>
  <c r="F1072" i="7"/>
  <c r="F1206" i="7"/>
  <c r="F1105" i="7"/>
  <c r="F1190" i="7"/>
  <c r="F1017" i="7"/>
  <c r="F1097" i="7"/>
  <c r="F1036" i="7"/>
  <c r="F1247" i="7"/>
  <c r="F1234" i="7"/>
  <c r="F1235" i="7"/>
  <c r="F1079" i="7"/>
  <c r="F1126" i="7"/>
  <c r="F1137" i="7"/>
  <c r="F1149" i="7"/>
  <c r="F1089" i="7"/>
  <c r="F1156" i="7"/>
  <c r="F1029" i="7"/>
  <c r="F1173" i="7"/>
  <c r="F1125" i="7"/>
  <c r="F1033" i="7"/>
  <c r="F1093" i="7"/>
  <c r="F1251" i="7"/>
  <c r="F1195" i="7"/>
  <c r="F1108" i="7"/>
  <c r="F1067" i="7"/>
  <c r="F1090" i="7"/>
  <c r="F1132" i="7"/>
  <c r="F1198" i="7"/>
  <c r="F1114" i="7"/>
  <c r="F1128" i="7"/>
  <c r="F1044" i="7"/>
  <c r="F1109" i="7"/>
  <c r="F1011" i="7"/>
  <c r="F1224" i="7"/>
  <c r="F1219" i="7"/>
  <c r="F1226" i="7"/>
  <c r="F1039" i="7"/>
  <c r="F1148" i="7"/>
  <c r="F1175" i="7"/>
  <c r="F1022" i="7"/>
  <c r="F1085" i="7"/>
  <c r="F1101" i="7"/>
  <c r="F1248" i="7"/>
  <c r="F1087" i="7"/>
  <c r="F1083" i="7"/>
  <c r="F1216" i="7"/>
  <c r="F1199" i="7"/>
  <c r="F1107" i="7"/>
  <c r="F1140" i="7"/>
  <c r="F1267" i="7"/>
  <c r="F1042" i="7"/>
  <c r="F1215" i="7"/>
  <c r="F1171" i="7"/>
  <c r="F1135" i="7"/>
  <c r="F1124" i="7"/>
  <c r="F1144" i="7"/>
  <c r="F1117" i="7"/>
  <c r="F1214" i="7"/>
  <c r="F1164" i="7"/>
  <c r="F1045" i="7"/>
  <c r="F1179" i="7"/>
  <c r="F1244" i="7"/>
  <c r="F1223" i="7"/>
  <c r="F1255" i="7"/>
  <c r="F1170" i="7"/>
  <c r="F1212" i="7"/>
  <c r="F1012" i="7"/>
  <c r="F1136" i="7"/>
  <c r="F1142" i="7"/>
  <c r="F1095" i="7"/>
  <c r="F1078" i="7"/>
  <c r="F1073" i="7"/>
  <c r="F1037" i="7"/>
  <c r="F1146" i="7"/>
  <c r="F1192" i="7"/>
  <c r="F1119" i="7"/>
  <c r="F1185" i="7"/>
  <c r="F1163" i="7"/>
  <c r="F1194" i="7"/>
  <c r="F1091" i="7"/>
  <c r="F1227" i="7"/>
  <c r="F1256" i="7"/>
  <c r="F1240" i="7"/>
  <c r="F1111" i="7"/>
  <c r="F1014" i="7"/>
  <c r="F1019" i="7"/>
  <c r="F1129" i="7"/>
  <c r="F1211" i="7"/>
  <c r="F1205" i="7"/>
  <c r="F1018" i="7"/>
  <c r="F1153" i="7"/>
  <c r="F1147" i="7"/>
  <c r="F1230" i="7"/>
  <c r="F1157" i="7"/>
  <c r="F1186" i="7"/>
  <c r="F1162" i="7"/>
  <c r="F1030" i="7"/>
  <c r="F1138" i="7"/>
  <c r="F1020" i="7"/>
  <c r="F1204" i="7"/>
  <c r="F1253" i="7"/>
  <c r="F1099" i="7"/>
  <c r="F1064" i="7"/>
  <c r="F1168" i="7"/>
  <c r="F1055" i="7"/>
  <c r="F1054" i="7"/>
  <c r="F1208" i="7"/>
  <c r="F1051" i="7"/>
  <c r="F1182" i="7"/>
  <c r="F1232" i="7"/>
  <c r="F1145" i="7"/>
  <c r="F1178" i="7"/>
  <c r="F1081" i="7"/>
  <c r="F1133" i="7"/>
  <c r="F1143" i="7"/>
  <c r="F1209" i="7"/>
  <c r="F1202" i="7"/>
  <c r="F1074" i="7"/>
  <c r="F1082" i="7"/>
  <c r="F1122" i="7"/>
  <c r="F1057" i="7"/>
  <c r="F1103" i="7"/>
  <c r="F1013" i="7"/>
  <c r="F1238" i="7"/>
  <c r="F1088" i="7"/>
  <c r="F1225" i="7"/>
  <c r="F1106" i="7"/>
  <c r="F1016" i="7"/>
  <c r="F1193" i="7"/>
  <c r="F1181" i="7"/>
  <c r="F1096" i="7"/>
  <c r="F1048" i="7"/>
  <c r="F1010" i="7"/>
  <c r="F1154" i="7"/>
  <c r="F1222" i="7"/>
  <c r="F1201" i="7"/>
  <c r="F1047" i="7"/>
  <c r="F1100" i="7"/>
  <c r="F1187" i="7"/>
  <c r="F1139" i="7"/>
  <c r="F1169" i="7"/>
  <c r="F1086" i="7"/>
  <c r="F1024" i="7"/>
  <c r="F1180" i="7"/>
  <c r="F1159" i="7"/>
  <c r="F1254" i="7"/>
  <c r="F1040" i="7"/>
  <c r="F1184" i="7"/>
  <c r="F1167" i="7"/>
  <c r="F1241" i="7"/>
  <c r="F1032" i="7"/>
  <c r="F1239" i="7"/>
  <c r="F1113" i="7"/>
  <c r="F1252" i="7"/>
  <c r="F1046" i="7"/>
  <c r="F1110" i="7"/>
  <c r="F1141" i="7"/>
  <c r="F1021" i="7"/>
  <c r="F1191" i="7"/>
  <c r="F1121" i="7"/>
  <c r="F1031" i="7"/>
  <c r="F1043" i="7"/>
  <c r="F1243" i="7"/>
  <c r="F1197" i="7"/>
  <c r="F1070" i="7"/>
  <c r="F1023" i="7"/>
  <c r="F1015" i="7"/>
  <c r="F1150" i="7"/>
  <c r="F1161" i="7"/>
  <c r="F1242" i="7"/>
  <c r="F1236" i="7"/>
  <c r="F1058" i="7"/>
  <c r="F1130" i="7"/>
  <c r="F1027" i="7"/>
  <c r="F1034" i="7"/>
  <c r="F1050" i="7"/>
  <c r="F1075" i="7"/>
  <c r="F1196" i="7"/>
  <c r="F1203" i="7"/>
  <c r="F1160" i="7"/>
  <c r="F1104" i="7"/>
  <c r="F1025" i="7"/>
  <c r="F1174" i="7"/>
  <c r="F1061" i="7"/>
  <c r="F1028" i="7"/>
  <c r="F1060" i="7"/>
  <c r="F1158" i="7"/>
  <c r="F1189" i="7"/>
  <c r="F1059" i="7"/>
  <c r="F1066" i="7"/>
  <c r="F1176" i="7"/>
  <c r="F1152" i="7"/>
  <c r="F1115" i="7"/>
  <c r="F1069" i="7"/>
  <c r="F1210" i="7"/>
  <c r="F1120" i="7"/>
  <c r="F1071" i="7"/>
  <c r="F1134" i="7"/>
  <c r="F1118" i="7"/>
  <c r="F1177" i="7"/>
  <c r="F1092" i="7"/>
  <c r="F1250" i="7"/>
  <c r="F1094" i="7"/>
  <c r="F1056" i="7"/>
  <c r="F1218" i="7"/>
  <c r="F1188" i="7"/>
  <c r="BB180" i="1"/>
  <c r="BC180" i="1"/>
  <c r="BD180" i="1"/>
  <c r="BE180" i="1"/>
  <c r="BF180" i="1"/>
  <c r="AT262" i="1"/>
  <c r="AY163" i="1"/>
  <c r="AZ163" i="1" s="1"/>
  <c r="BD163" i="1"/>
  <c r="BB163" i="1"/>
  <c r="BE163" i="1"/>
  <c r="BF163" i="1"/>
  <c r="BF156" i="1"/>
  <c r="BC156" i="1"/>
  <c r="BE156" i="1"/>
  <c r="BD156" i="1"/>
  <c r="AY156" i="1"/>
  <c r="AZ156" i="1" s="1"/>
  <c r="AW255" i="1"/>
  <c r="BE255" i="1" s="1"/>
  <c r="AY171" i="1"/>
  <c r="AZ171" i="1" s="1"/>
  <c r="AW254" i="1"/>
  <c r="BE254" i="1" s="1"/>
  <c r="AX255" i="1"/>
  <c r="AX256" i="1"/>
  <c r="AY256" i="1" s="1"/>
  <c r="AZ256" i="1" s="1"/>
  <c r="AT256" i="1"/>
  <c r="AY266" i="1"/>
  <c r="AZ266" i="1" s="1"/>
  <c r="AW260" i="1"/>
  <c r="BF260" i="1" s="1"/>
  <c r="AX254" i="1"/>
  <c r="AX259" i="1"/>
  <c r="AY259" i="1" s="1"/>
  <c r="AZ259" i="1" s="1"/>
  <c r="AX261" i="1"/>
  <c r="AT259" i="1"/>
  <c r="AW261" i="1"/>
  <c r="BD261" i="1" s="1"/>
  <c r="AX260" i="1"/>
  <c r="AX262" i="1"/>
  <c r="AY262" i="1" s="1"/>
  <c r="AZ262" i="1" s="1"/>
  <c r="AX258" i="1"/>
  <c r="AW258" i="1"/>
  <c r="BE258" i="1" s="1"/>
  <c r="Q255" i="1"/>
  <c r="Q259" i="1"/>
  <c r="BE259" i="1"/>
  <c r="BF259" i="1"/>
  <c r="BB259" i="1"/>
  <c r="BD259" i="1"/>
  <c r="BC259" i="1"/>
  <c r="Q256" i="1"/>
  <c r="BD256" i="1"/>
  <c r="BE256" i="1"/>
  <c r="BF256" i="1"/>
  <c r="BC256" i="1"/>
  <c r="BB256" i="1"/>
  <c r="Q260" i="1"/>
  <c r="Q257" i="1"/>
  <c r="Q261" i="1"/>
  <c r="Q254" i="1"/>
  <c r="Q258" i="1"/>
  <c r="Q262" i="1"/>
  <c r="BE262" i="1"/>
  <c r="BD262" i="1"/>
  <c r="BC262" i="1"/>
  <c r="BF262" i="1"/>
  <c r="BB262" i="1"/>
  <c r="BD220" i="1"/>
  <c r="BE220" i="1"/>
  <c r="BC136" i="1"/>
  <c r="BF143" i="1"/>
  <c r="BE134" i="1"/>
  <c r="BE199" i="1"/>
  <c r="BF231" i="1"/>
  <c r="BF221" i="1"/>
  <c r="BE228" i="1"/>
  <c r="AY221" i="1"/>
  <c r="AZ221" i="1" s="1"/>
  <c r="BF214" i="1"/>
  <c r="BB214" i="1"/>
  <c r="BC221" i="1"/>
  <c r="BD221" i="1"/>
  <c r="AY214" i="1"/>
  <c r="AZ214" i="1" s="1"/>
  <c r="BD214" i="1"/>
  <c r="BE221" i="1"/>
  <c r="BD198" i="1"/>
  <c r="BE214" i="1"/>
  <c r="BC198" i="1"/>
  <c r="AY228" i="1"/>
  <c r="AZ228" i="1" s="1"/>
  <c r="BD208" i="1"/>
  <c r="BC208" i="1"/>
  <c r="BD164" i="1"/>
  <c r="AY215" i="1"/>
  <c r="AZ215" i="1" s="1"/>
  <c r="BB220" i="1"/>
  <c r="BF220" i="1"/>
  <c r="BC220" i="1"/>
  <c r="BC215" i="1"/>
  <c r="BF171" i="1"/>
  <c r="BC135" i="1"/>
  <c r="BC171" i="1"/>
  <c r="BF200" i="1"/>
  <c r="BD136" i="1"/>
  <c r="AY134" i="1"/>
  <c r="AZ134" i="1" s="1"/>
  <c r="BE231" i="1"/>
  <c r="BB134" i="1"/>
  <c r="BF135" i="1"/>
  <c r="BC231" i="1"/>
  <c r="BF134" i="1"/>
  <c r="BD171" i="1"/>
  <c r="BB136" i="1"/>
  <c r="BE136" i="1"/>
  <c r="BD231" i="1"/>
  <c r="BD150" i="1"/>
  <c r="BC150" i="1"/>
  <c r="BC143" i="1"/>
  <c r="BB187" i="1"/>
  <c r="BD134" i="1"/>
  <c r="BB171" i="1"/>
  <c r="BB219" i="1"/>
  <c r="BE208" i="1"/>
  <c r="BB208" i="1"/>
  <c r="BE164" i="1"/>
  <c r="BB215" i="1"/>
  <c r="BE219" i="1"/>
  <c r="BF219" i="1"/>
  <c r="BC200" i="1"/>
  <c r="AY200" i="1"/>
  <c r="AZ200" i="1" s="1"/>
  <c r="BE215" i="1"/>
  <c r="BF215" i="1"/>
  <c r="BC219" i="1"/>
  <c r="BD200" i="1"/>
  <c r="BB200" i="1"/>
  <c r="AY208" i="1"/>
  <c r="AZ208" i="1" s="1"/>
  <c r="BB164" i="1"/>
  <c r="AY164" i="1"/>
  <c r="AZ164" i="1" s="1"/>
  <c r="BF164" i="1"/>
  <c r="AY219" i="1"/>
  <c r="AZ219" i="1" s="1"/>
  <c r="AY136" i="1"/>
  <c r="AZ136" i="1" s="1"/>
  <c r="BF227" i="1"/>
  <c r="BF205" i="1"/>
  <c r="BC152" i="1"/>
  <c r="AY150" i="1"/>
  <c r="AZ150" i="1" s="1"/>
  <c r="AY231" i="1"/>
  <c r="AZ231" i="1" s="1"/>
  <c r="BE198" i="1"/>
  <c r="BB228" i="1"/>
  <c r="AY198" i="1"/>
  <c r="AZ198" i="1" s="1"/>
  <c r="BB198" i="1"/>
  <c r="BC228" i="1"/>
  <c r="BF228" i="1"/>
  <c r="BC151" i="1"/>
  <c r="BD172" i="1"/>
  <c r="BF151" i="1"/>
  <c r="BC153" i="1"/>
  <c r="BD151" i="1"/>
  <c r="BE153" i="1"/>
  <c r="BD153" i="1"/>
  <c r="BE151" i="1"/>
  <c r="BB153" i="1"/>
  <c r="AY153" i="1"/>
  <c r="AZ153" i="1" s="1"/>
  <c r="AY151" i="1"/>
  <c r="AZ151" i="1" s="1"/>
  <c r="BB155" i="1"/>
  <c r="BF144" i="1"/>
  <c r="BE155" i="1"/>
  <c r="BF154" i="1"/>
  <c r="BF155" i="1"/>
  <c r="BC144" i="1"/>
  <c r="AY144" i="1"/>
  <c r="AZ144" i="1" s="1"/>
  <c r="BC154" i="1"/>
  <c r="AY154" i="1"/>
  <c r="AZ154" i="1" s="1"/>
  <c r="AY155" i="1"/>
  <c r="AZ155" i="1" s="1"/>
  <c r="BC155" i="1"/>
  <c r="BD144" i="1"/>
  <c r="BD154" i="1"/>
  <c r="BB144" i="1"/>
  <c r="BB154" i="1"/>
  <c r="AY206" i="1"/>
  <c r="AZ206" i="1" s="1"/>
  <c r="BE150" i="1"/>
  <c r="BD143" i="1"/>
  <c r="BE187" i="1"/>
  <c r="BC206" i="1"/>
  <c r="BB199" i="1"/>
  <c r="BD227" i="1"/>
  <c r="BC227" i="1"/>
  <c r="AY227" i="1"/>
  <c r="AZ227" i="1" s="1"/>
  <c r="AY199" i="1"/>
  <c r="AZ199" i="1" s="1"/>
  <c r="AY143" i="1"/>
  <c r="AZ143" i="1" s="1"/>
  <c r="BB150" i="1"/>
  <c r="BE143" i="1"/>
  <c r="BD206" i="1"/>
  <c r="BC199" i="1"/>
  <c r="BF199" i="1"/>
  <c r="BE227" i="1"/>
  <c r="BB206" i="1"/>
  <c r="BE206" i="1"/>
  <c r="BE205" i="1"/>
  <c r="BF269" i="1"/>
  <c r="BB142" i="1"/>
  <c r="AY269" i="1"/>
  <c r="AZ269" i="1" s="1"/>
  <c r="AY142" i="1"/>
  <c r="AZ142" i="1" s="1"/>
  <c r="BE172" i="1"/>
  <c r="BF142" i="1"/>
  <c r="BB172" i="1"/>
  <c r="BD266" i="1"/>
  <c r="BD269" i="1"/>
  <c r="BC269" i="1"/>
  <c r="BD142" i="1"/>
  <c r="BC142" i="1"/>
  <c r="BF172" i="1"/>
  <c r="BE269" i="1"/>
  <c r="BD135" i="1"/>
  <c r="BE135" i="1"/>
  <c r="AY172" i="1"/>
  <c r="AZ172" i="1" s="1"/>
  <c r="BF187" i="1"/>
  <c r="BE266" i="1"/>
  <c r="BD152" i="1"/>
  <c r="AY152" i="1"/>
  <c r="AZ152" i="1" s="1"/>
  <c r="BC205" i="1"/>
  <c r="BC187" i="1"/>
  <c r="BF266" i="1"/>
  <c r="BC266" i="1"/>
  <c r="AY187" i="1"/>
  <c r="AZ187" i="1" s="1"/>
  <c r="BB152" i="1"/>
  <c r="BE152" i="1"/>
  <c r="BD205" i="1"/>
  <c r="BB205" i="1"/>
  <c r="AY135" i="1"/>
  <c r="AZ135" i="1" s="1"/>
  <c r="AY233" i="1"/>
  <c r="AZ233" i="1" s="1"/>
  <c r="AY148" i="1"/>
  <c r="AZ148" i="1" s="1"/>
  <c r="AY169" i="1"/>
  <c r="AZ169" i="1" s="1"/>
  <c r="AY213" i="1"/>
  <c r="AZ213" i="1" s="1"/>
  <c r="AY271" i="1"/>
  <c r="AZ271" i="1" s="1"/>
  <c r="AY222" i="1"/>
  <c r="AZ222" i="1" s="1"/>
  <c r="AY177" i="1"/>
  <c r="AZ177" i="1" s="1"/>
  <c r="AY149" i="1"/>
  <c r="AZ149" i="1" s="1"/>
  <c r="AY209" i="1"/>
  <c r="AZ209" i="1" s="1"/>
  <c r="AY131" i="1"/>
  <c r="AZ131" i="1" s="1"/>
  <c r="AY183" i="1"/>
  <c r="AZ183" i="1" s="1"/>
  <c r="AY91" i="1"/>
  <c r="AZ91" i="1" s="1"/>
  <c r="AY240" i="1"/>
  <c r="AZ240" i="1" s="1"/>
  <c r="AY235" i="1"/>
  <c r="AZ235" i="1" s="1"/>
  <c r="AY185" i="1"/>
  <c r="AZ185" i="1" s="1"/>
  <c r="AY141" i="1"/>
  <c r="AZ141" i="1" s="1"/>
  <c r="AY145" i="1"/>
  <c r="AZ145" i="1" s="1"/>
  <c r="AY230" i="1"/>
  <c r="AZ230" i="1" s="1"/>
  <c r="AY202" i="1"/>
  <c r="AZ202" i="1" s="1"/>
  <c r="AY195" i="1"/>
  <c r="AZ195" i="1" s="1"/>
  <c r="AY147" i="1"/>
  <c r="AZ147" i="1" s="1"/>
  <c r="AY212" i="1"/>
  <c r="AZ212" i="1" s="1"/>
  <c r="AY238" i="1"/>
  <c r="AZ238" i="1" s="1"/>
  <c r="AY139" i="1"/>
  <c r="AZ139" i="1" s="1"/>
  <c r="AY194" i="1"/>
  <c r="AZ194" i="1" s="1"/>
  <c r="AY173" i="1"/>
  <c r="AZ173" i="1" s="1"/>
  <c r="AY211" i="1"/>
  <c r="AZ211" i="1" s="1"/>
  <c r="AY267" i="1"/>
  <c r="AZ267" i="1" s="1"/>
  <c r="AY137" i="1"/>
  <c r="AZ137" i="1" s="1"/>
  <c r="AY217" i="1"/>
  <c r="AZ217" i="1" s="1"/>
  <c r="BS162" i="1"/>
  <c r="AY157" i="1"/>
  <c r="AZ157" i="1" s="1"/>
  <c r="AY201" i="1"/>
  <c r="AZ201" i="1" s="1"/>
  <c r="AY193" i="1"/>
  <c r="AZ193" i="1" s="1"/>
  <c r="AY140" i="1"/>
  <c r="AZ140" i="1" s="1"/>
  <c r="AY158" i="1"/>
  <c r="AZ158" i="1" s="1"/>
  <c r="AY159" i="1"/>
  <c r="AZ159" i="1" s="1"/>
  <c r="AY184" i="1"/>
  <c r="AZ184" i="1" s="1"/>
  <c r="AY174" i="1"/>
  <c r="AZ174" i="1" s="1"/>
  <c r="AY192" i="1"/>
  <c r="AZ192" i="1" s="1"/>
  <c r="AY190" i="1"/>
  <c r="AZ190" i="1" s="1"/>
  <c r="BS236" i="1"/>
  <c r="AY270" i="1"/>
  <c r="AZ270" i="1" s="1"/>
  <c r="AY175" i="1"/>
  <c r="AZ175" i="1" s="1"/>
  <c r="AY130" i="1"/>
  <c r="AZ130" i="1" s="1"/>
  <c r="AY182" i="1"/>
  <c r="AZ182" i="1" s="1"/>
  <c r="AY146" i="1"/>
  <c r="AZ146" i="1" s="1"/>
  <c r="AY166" i="1"/>
  <c r="AZ166" i="1" s="1"/>
  <c r="BC165" i="1"/>
  <c r="BF165" i="1"/>
  <c r="BB165" i="1"/>
  <c r="BE165" i="1"/>
  <c r="BD165" i="1"/>
  <c r="BF182" i="1"/>
  <c r="BB182" i="1"/>
  <c r="BE182" i="1"/>
  <c r="BD182" i="1"/>
  <c r="BC182" i="1"/>
  <c r="BE230" i="1"/>
  <c r="BC230" i="1"/>
  <c r="BB230" i="1"/>
  <c r="BF230" i="1"/>
  <c r="BD230" i="1"/>
  <c r="AY191" i="1"/>
  <c r="AZ191" i="1" s="1"/>
  <c r="AY243" i="1"/>
  <c r="AZ243" i="1" s="1"/>
  <c r="AY196" i="1"/>
  <c r="AZ196" i="1" s="1"/>
  <c r="AY161" i="1"/>
  <c r="AZ161" i="1" s="1"/>
  <c r="BE267" i="1"/>
  <c r="BD267" i="1"/>
  <c r="BF267" i="1"/>
  <c r="BB267" i="1"/>
  <c r="BC267" i="1"/>
  <c r="AY216" i="1"/>
  <c r="AZ216" i="1" s="1"/>
  <c r="BE212" i="1"/>
  <c r="BD212" i="1"/>
  <c r="BC212" i="1"/>
  <c r="BB212" i="1"/>
  <c r="BF212" i="1"/>
  <c r="BC157" i="1"/>
  <c r="BF157" i="1"/>
  <c r="BB157" i="1"/>
  <c r="BE157" i="1"/>
  <c r="BD157" i="1"/>
  <c r="BC146" i="1"/>
  <c r="BF146" i="1"/>
  <c r="BB146" i="1"/>
  <c r="BE146" i="1"/>
  <c r="BD146" i="1"/>
  <c r="BD91" i="1"/>
  <c r="BC91" i="1"/>
  <c r="BF91" i="1"/>
  <c r="BB91" i="1"/>
  <c r="BE91" i="1"/>
  <c r="BE183" i="1"/>
  <c r="BD183" i="1"/>
  <c r="BC183" i="1"/>
  <c r="BF183" i="1"/>
  <c r="BB183" i="1"/>
  <c r="BF195" i="1"/>
  <c r="BB195" i="1"/>
  <c r="BE195" i="1"/>
  <c r="BD195" i="1"/>
  <c r="BC195" i="1"/>
  <c r="AY129" i="1"/>
  <c r="AZ129" i="1" s="1"/>
  <c r="AY218" i="1"/>
  <c r="AZ218" i="1" s="1"/>
  <c r="AY234" i="1"/>
  <c r="AZ234" i="1" s="1"/>
  <c r="BE175" i="1"/>
  <c r="BD175" i="1"/>
  <c r="BC175" i="1"/>
  <c r="BF175" i="1"/>
  <c r="BB175" i="1"/>
  <c r="BS268" i="1"/>
  <c r="BF233" i="1"/>
  <c r="BB233" i="1"/>
  <c r="BD233" i="1"/>
  <c r="BC233" i="1"/>
  <c r="BE233" i="1"/>
  <c r="BF190" i="1"/>
  <c r="BB190" i="1"/>
  <c r="BE190" i="1"/>
  <c r="BD190" i="1"/>
  <c r="BC190" i="1"/>
  <c r="BF147" i="1"/>
  <c r="BB147" i="1"/>
  <c r="BE147" i="1"/>
  <c r="BD147" i="1"/>
  <c r="BC147" i="1"/>
  <c r="AY179" i="1"/>
  <c r="AZ179" i="1" s="1"/>
  <c r="BD211" i="1"/>
  <c r="BC211" i="1"/>
  <c r="BF211" i="1"/>
  <c r="BB211" i="1"/>
  <c r="BE211" i="1"/>
  <c r="BE140" i="1"/>
  <c r="BD140" i="1"/>
  <c r="BC140" i="1"/>
  <c r="BF140" i="1"/>
  <c r="BB140" i="1"/>
  <c r="BC169" i="1"/>
  <c r="BF169" i="1"/>
  <c r="BB169" i="1"/>
  <c r="BE169" i="1"/>
  <c r="BD169" i="1"/>
  <c r="BD213" i="1"/>
  <c r="BE213" i="1"/>
  <c r="BC213" i="1"/>
  <c r="BB213" i="1"/>
  <c r="BF213" i="1"/>
  <c r="AY203" i="1"/>
  <c r="AZ203" i="1" s="1"/>
  <c r="BD145" i="1"/>
  <c r="BC145" i="1"/>
  <c r="BF145" i="1"/>
  <c r="BB145" i="1"/>
  <c r="BE145" i="1"/>
  <c r="BF139" i="1"/>
  <c r="BB139" i="1"/>
  <c r="BE139" i="1"/>
  <c r="BD139" i="1"/>
  <c r="BC139" i="1"/>
  <c r="BE196" i="1"/>
  <c r="BD196" i="1"/>
  <c r="BC196" i="1"/>
  <c r="BF196" i="1"/>
  <c r="BB196" i="1"/>
  <c r="BC161" i="1"/>
  <c r="BF161" i="1"/>
  <c r="BB161" i="1"/>
  <c r="BE161" i="1"/>
  <c r="BD161" i="1"/>
  <c r="BE235" i="1"/>
  <c r="BD235" i="1"/>
  <c r="BF235" i="1"/>
  <c r="BB235" i="1"/>
  <c r="BC235" i="1"/>
  <c r="BS229" i="1"/>
  <c r="BS186" i="1"/>
  <c r="AY225" i="1"/>
  <c r="AZ225" i="1" s="1"/>
  <c r="AY176" i="1"/>
  <c r="AZ176" i="1" s="1"/>
  <c r="BC270" i="1"/>
  <c r="BE270" i="1"/>
  <c r="BD270" i="1"/>
  <c r="BF270" i="1"/>
  <c r="BB270" i="1"/>
  <c r="AY197" i="1"/>
  <c r="AZ197" i="1" s="1"/>
  <c r="BF271" i="1"/>
  <c r="BB271" i="1"/>
  <c r="BE271" i="1"/>
  <c r="BD271" i="1"/>
  <c r="BC271" i="1"/>
  <c r="BD129" i="1"/>
  <c r="BC129" i="1"/>
  <c r="BF129" i="1"/>
  <c r="BB129" i="1"/>
  <c r="BE129" i="1"/>
  <c r="AY181" i="1"/>
  <c r="AZ181" i="1" s="1"/>
  <c r="BD217" i="1"/>
  <c r="BF217" i="1"/>
  <c r="BB217" i="1"/>
  <c r="BE217" i="1"/>
  <c r="BC217" i="1"/>
  <c r="AY237" i="1"/>
  <c r="AZ237" i="1" s="1"/>
  <c r="AY138" i="1"/>
  <c r="AZ138" i="1" s="1"/>
  <c r="AY242" i="1"/>
  <c r="AZ242" i="1" s="1"/>
  <c r="AY168" i="1"/>
  <c r="AZ168" i="1" s="1"/>
  <c r="BS188" i="1"/>
  <c r="AY241" i="1"/>
  <c r="AZ241" i="1" s="1"/>
  <c r="AY167" i="1"/>
  <c r="AZ167" i="1" s="1"/>
  <c r="BC204" i="1"/>
  <c r="BE204" i="1"/>
  <c r="BD204" i="1"/>
  <c r="BF204" i="1"/>
  <c r="BB204" i="1"/>
  <c r="AY204" i="1"/>
  <c r="AZ204" i="1" s="1"/>
  <c r="BS239" i="1"/>
  <c r="BS232" i="1"/>
  <c r="AY210" i="1"/>
  <c r="AZ210" i="1" s="1"/>
  <c r="BE159" i="1"/>
  <c r="BD159" i="1"/>
  <c r="BC159" i="1"/>
  <c r="BF159" i="1"/>
  <c r="BB159" i="1"/>
  <c r="BF191" i="1"/>
  <c r="BB191" i="1"/>
  <c r="BC191" i="1"/>
  <c r="BE191" i="1"/>
  <c r="BD191" i="1"/>
  <c r="BE243" i="1"/>
  <c r="BB243" i="1"/>
  <c r="BF243" i="1"/>
  <c r="BD243" i="1"/>
  <c r="BC243" i="1"/>
  <c r="AY132" i="1"/>
  <c r="AZ132" i="1" s="1"/>
  <c r="BD184" i="1"/>
  <c r="BC184" i="1"/>
  <c r="BF184" i="1"/>
  <c r="BB184" i="1"/>
  <c r="BE184" i="1"/>
  <c r="BS265" i="1"/>
  <c r="BD222" i="1"/>
  <c r="BF222" i="1"/>
  <c r="BC222" i="1"/>
  <c r="BB222" i="1"/>
  <c r="BE222" i="1"/>
  <c r="BS226" i="1"/>
  <c r="BS207" i="1"/>
  <c r="BD137" i="1"/>
  <c r="BC137" i="1"/>
  <c r="BF137" i="1"/>
  <c r="BB137" i="1"/>
  <c r="BE137" i="1"/>
  <c r="AY189" i="1"/>
  <c r="AZ189" i="1" s="1"/>
  <c r="BC202" i="1"/>
  <c r="BF202" i="1"/>
  <c r="BB202" i="1"/>
  <c r="BE202" i="1"/>
  <c r="BD202" i="1"/>
  <c r="BF131" i="1"/>
  <c r="BB131" i="1"/>
  <c r="BE131" i="1"/>
  <c r="BD131" i="1"/>
  <c r="BC131" i="1"/>
  <c r="BD176" i="1"/>
  <c r="BC176" i="1"/>
  <c r="BF176" i="1"/>
  <c r="BB176" i="1"/>
  <c r="BE176" i="1"/>
  <c r="BD197" i="1"/>
  <c r="BC197" i="1"/>
  <c r="BF197" i="1"/>
  <c r="BB197" i="1"/>
  <c r="BE197" i="1"/>
  <c r="BS170" i="1"/>
  <c r="BC181" i="1"/>
  <c r="BF181" i="1"/>
  <c r="BB181" i="1"/>
  <c r="BE181" i="1"/>
  <c r="BD181" i="1"/>
  <c r="BC237" i="1"/>
  <c r="BF237" i="1"/>
  <c r="BB237" i="1"/>
  <c r="BE237" i="1"/>
  <c r="BD237" i="1"/>
  <c r="BC138" i="1"/>
  <c r="BF138" i="1"/>
  <c r="BB138" i="1"/>
  <c r="BE138" i="1"/>
  <c r="BD138" i="1"/>
  <c r="BD168" i="1"/>
  <c r="BC168" i="1"/>
  <c r="BF168" i="1"/>
  <c r="BB168" i="1"/>
  <c r="BE168" i="1"/>
  <c r="BF209" i="1"/>
  <c r="BB209" i="1"/>
  <c r="BE209" i="1"/>
  <c r="BD209" i="1"/>
  <c r="BC209" i="1"/>
  <c r="BC130" i="1"/>
  <c r="BF130" i="1"/>
  <c r="BB130" i="1"/>
  <c r="BE130" i="1"/>
  <c r="BD130" i="1"/>
  <c r="BE167" i="1"/>
  <c r="BD167" i="1"/>
  <c r="BC167" i="1"/>
  <c r="BF167" i="1"/>
  <c r="BB167" i="1"/>
  <c r="BE179" i="1"/>
  <c r="BD179" i="1"/>
  <c r="BB179" i="1"/>
  <c r="BF179" i="1"/>
  <c r="BC179" i="1"/>
  <c r="BC247" i="1"/>
  <c r="BE247" i="1"/>
  <c r="BD247" i="1"/>
  <c r="BB247" i="1"/>
  <c r="BF247" i="1"/>
  <c r="AY160" i="1"/>
  <c r="AZ160" i="1" s="1"/>
  <c r="AY133" i="1"/>
  <c r="AZ133" i="1" s="1"/>
  <c r="BS178" i="1"/>
  <c r="AY165" i="1"/>
  <c r="AZ165" i="1" s="1"/>
  <c r="BF158" i="1"/>
  <c r="BB158" i="1"/>
  <c r="BE158" i="1"/>
  <c r="BD158" i="1"/>
  <c r="BC158" i="1"/>
  <c r="BE210" i="1"/>
  <c r="BD210" i="1"/>
  <c r="BC210" i="1"/>
  <c r="BF210" i="1"/>
  <c r="BB210" i="1"/>
  <c r="BF238" i="1"/>
  <c r="BB238" i="1"/>
  <c r="BE238" i="1"/>
  <c r="BD238" i="1"/>
  <c r="BC238" i="1"/>
  <c r="BE132" i="1"/>
  <c r="BD132" i="1"/>
  <c r="BC132" i="1"/>
  <c r="BF132" i="1"/>
  <c r="BB132" i="1"/>
  <c r="BE216" i="1"/>
  <c r="BF216" i="1"/>
  <c r="BB216" i="1"/>
  <c r="BD216" i="1"/>
  <c r="BC216" i="1"/>
  <c r="BC189" i="1"/>
  <c r="BF189" i="1"/>
  <c r="BB189" i="1"/>
  <c r="BE189" i="1"/>
  <c r="BD189" i="1"/>
  <c r="BE225" i="1"/>
  <c r="BD225" i="1"/>
  <c r="BF225" i="1"/>
  <c r="BB225" i="1"/>
  <c r="BC225" i="1"/>
  <c r="BE240" i="1"/>
  <c r="BC240" i="1"/>
  <c r="BB240" i="1"/>
  <c r="BF240" i="1"/>
  <c r="BD240" i="1"/>
  <c r="BD149" i="1"/>
  <c r="BC149" i="1"/>
  <c r="BF149" i="1"/>
  <c r="BB149" i="1"/>
  <c r="BE149" i="1"/>
  <c r="BC185" i="1"/>
  <c r="BF185" i="1"/>
  <c r="BB185" i="1"/>
  <c r="BE185" i="1"/>
  <c r="BD185" i="1"/>
  <c r="BD201" i="1"/>
  <c r="BC201" i="1"/>
  <c r="BF201" i="1"/>
  <c r="BB201" i="1"/>
  <c r="BE201" i="1"/>
  <c r="BF174" i="1"/>
  <c r="BB174" i="1"/>
  <c r="BE174" i="1"/>
  <c r="BD174" i="1"/>
  <c r="BC174" i="1"/>
  <c r="BC194" i="1"/>
  <c r="BF194" i="1"/>
  <c r="BB194" i="1"/>
  <c r="BE194" i="1"/>
  <c r="BD194" i="1"/>
  <c r="BC218" i="1"/>
  <c r="BE218" i="1"/>
  <c r="BD218" i="1"/>
  <c r="BF218" i="1"/>
  <c r="BB218" i="1"/>
  <c r="BF234" i="1"/>
  <c r="BB234" i="1"/>
  <c r="BE234" i="1"/>
  <c r="BC234" i="1"/>
  <c r="BD234" i="1"/>
  <c r="BF242" i="1"/>
  <c r="BB242" i="1"/>
  <c r="BE242" i="1"/>
  <c r="BD242" i="1"/>
  <c r="BC242" i="1"/>
  <c r="BE148" i="1"/>
  <c r="BD148" i="1"/>
  <c r="BC148" i="1"/>
  <c r="BF148" i="1"/>
  <c r="BB148" i="1"/>
  <c r="BE192" i="1"/>
  <c r="BC192" i="1"/>
  <c r="BF192" i="1"/>
  <c r="BB192" i="1"/>
  <c r="BD192" i="1"/>
  <c r="BD141" i="1"/>
  <c r="BC141" i="1"/>
  <c r="BF141" i="1"/>
  <c r="BB141" i="1"/>
  <c r="BE141" i="1"/>
  <c r="BC177" i="1"/>
  <c r="BF177" i="1"/>
  <c r="BB177" i="1"/>
  <c r="BE177" i="1"/>
  <c r="BD177" i="1"/>
  <c r="BC173" i="1"/>
  <c r="BF173" i="1"/>
  <c r="BB173" i="1"/>
  <c r="BE173" i="1"/>
  <c r="BD173" i="1"/>
  <c r="BD193" i="1"/>
  <c r="BC193" i="1"/>
  <c r="BF193" i="1"/>
  <c r="BB193" i="1"/>
  <c r="BE193" i="1"/>
  <c r="BD241" i="1"/>
  <c r="BF241" i="1"/>
  <c r="BB241" i="1"/>
  <c r="BC241" i="1"/>
  <c r="BE241" i="1"/>
  <c r="BF166" i="1"/>
  <c r="BB166" i="1"/>
  <c r="BE166" i="1"/>
  <c r="BD166" i="1"/>
  <c r="BC166" i="1"/>
  <c r="BD246" i="1"/>
  <c r="BC246" i="1"/>
  <c r="BB246" i="1"/>
  <c r="BE246" i="1"/>
  <c r="BF246" i="1"/>
  <c r="BC223" i="1"/>
  <c r="BB223" i="1"/>
  <c r="BE223" i="1"/>
  <c r="BD223" i="1"/>
  <c r="BF223" i="1"/>
  <c r="AY223" i="1"/>
  <c r="AZ223" i="1" s="1"/>
  <c r="BD160" i="1"/>
  <c r="BC160" i="1"/>
  <c r="BF160" i="1"/>
  <c r="BB160" i="1"/>
  <c r="BE160" i="1"/>
  <c r="BD133" i="1"/>
  <c r="BC133" i="1"/>
  <c r="BF133" i="1"/>
  <c r="BB133" i="1"/>
  <c r="BE133" i="1"/>
  <c r="BD203" i="1"/>
  <c r="BF203" i="1"/>
  <c r="BB203" i="1"/>
  <c r="BE203" i="1"/>
  <c r="BC203" i="1"/>
  <c r="BD257" i="1" l="1"/>
  <c r="BS224" i="1"/>
  <c r="BE257" i="1"/>
  <c r="BB257" i="1"/>
  <c r="BF257" i="1"/>
  <c r="BC257" i="1"/>
  <c r="BS244" i="1"/>
  <c r="BS250" i="1"/>
  <c r="BB245" i="1"/>
  <c r="BD245" i="1"/>
  <c r="BE245" i="1"/>
  <c r="AY245" i="1"/>
  <c r="AZ245" i="1" s="1"/>
  <c r="BF245" i="1"/>
  <c r="BS251" i="1"/>
  <c r="BE248" i="1"/>
  <c r="BC248" i="1"/>
  <c r="BF248" i="1"/>
  <c r="BB248" i="1"/>
  <c r="AY248" i="1"/>
  <c r="AZ248" i="1" s="1"/>
  <c r="AY253" i="1"/>
  <c r="AZ253" i="1" s="1"/>
  <c r="BF253" i="1"/>
  <c r="BD253" i="1"/>
  <c r="BB253" i="1"/>
  <c r="BE253" i="1"/>
  <c r="BB252" i="1"/>
  <c r="AY252" i="1"/>
  <c r="AZ252" i="1" s="1"/>
  <c r="BC252" i="1"/>
  <c r="BF252" i="1"/>
  <c r="BE252" i="1"/>
  <c r="BS264" i="1"/>
  <c r="BD249" i="1"/>
  <c r="BF249" i="1"/>
  <c r="BE249" i="1"/>
  <c r="BB249" i="1"/>
  <c r="AY249" i="1"/>
  <c r="AZ249" i="1" s="1"/>
  <c r="BS180" i="1"/>
  <c r="BS163" i="1"/>
  <c r="BS156" i="1"/>
  <c r="BC260" i="1"/>
  <c r="BD255" i="1"/>
  <c r="AY255" i="1"/>
  <c r="AZ255" i="1" s="1"/>
  <c r="BB255" i="1"/>
  <c r="BB260" i="1"/>
  <c r="BF255" i="1"/>
  <c r="BC255" i="1"/>
  <c r="BB258" i="1"/>
  <c r="BF258" i="1"/>
  <c r="BC258" i="1"/>
  <c r="BD258" i="1"/>
  <c r="BB254" i="1"/>
  <c r="BD254" i="1"/>
  <c r="BC254" i="1"/>
  <c r="BF254" i="1"/>
  <c r="AY254" i="1"/>
  <c r="AZ254" i="1" s="1"/>
  <c r="BF261" i="1"/>
  <c r="BB261" i="1"/>
  <c r="BE261" i="1"/>
  <c r="BC261" i="1"/>
  <c r="BD260" i="1"/>
  <c r="BE260" i="1"/>
  <c r="AY260" i="1"/>
  <c r="AZ260" i="1" s="1"/>
  <c r="AY258" i="1"/>
  <c r="AZ258" i="1" s="1"/>
  <c r="AY261" i="1"/>
  <c r="AZ261" i="1" s="1"/>
  <c r="BS262" i="1"/>
  <c r="BS256" i="1"/>
  <c r="BS259" i="1"/>
  <c r="BS221" i="1"/>
  <c r="BS214" i="1"/>
  <c r="BS198" i="1"/>
  <c r="BS220" i="1"/>
  <c r="BS215" i="1"/>
  <c r="BS136" i="1"/>
  <c r="BS171" i="1"/>
  <c r="BS219" i="1"/>
  <c r="BS208" i="1"/>
  <c r="BS134" i="1"/>
  <c r="BS231" i="1"/>
  <c r="BS200" i="1"/>
  <c r="BS164" i="1"/>
  <c r="BS187" i="1"/>
  <c r="BS153" i="1"/>
  <c r="BS228" i="1"/>
  <c r="BS151" i="1"/>
  <c r="BS150" i="1"/>
  <c r="BS205" i="1"/>
  <c r="BS206" i="1"/>
  <c r="BS144" i="1"/>
  <c r="BS155" i="1"/>
  <c r="BS269" i="1"/>
  <c r="BS172" i="1"/>
  <c r="BS154" i="1"/>
  <c r="BS143" i="1"/>
  <c r="BS199" i="1"/>
  <c r="BS227" i="1"/>
  <c r="BS142" i="1"/>
  <c r="BS266" i="1"/>
  <c r="BS135" i="1"/>
  <c r="BS152" i="1"/>
  <c r="BS160" i="1"/>
  <c r="BS237" i="1"/>
  <c r="BS196" i="1"/>
  <c r="BS225" i="1"/>
  <c r="BS185" i="1"/>
  <c r="BS210" i="1"/>
  <c r="BS176" i="1"/>
  <c r="BS149" i="1"/>
  <c r="BS167" i="1"/>
  <c r="BS146" i="1"/>
  <c r="BS217" i="1"/>
  <c r="BS246" i="1"/>
  <c r="BS218" i="1"/>
  <c r="BS158" i="1"/>
  <c r="BS243" i="1"/>
  <c r="BS157" i="1"/>
  <c r="BS182" i="1"/>
  <c r="BS165" i="1"/>
  <c r="BS192" i="1"/>
  <c r="BS148" i="1"/>
  <c r="BS139" i="1"/>
  <c r="BS140" i="1"/>
  <c r="BS195" i="1"/>
  <c r="BS223" i="1"/>
  <c r="BS173" i="1"/>
  <c r="BS194" i="1"/>
  <c r="BS247" i="1"/>
  <c r="BS138" i="1"/>
  <c r="BS197" i="1"/>
  <c r="BS137" i="1"/>
  <c r="BS184" i="1"/>
  <c r="BS204" i="1"/>
  <c r="BS235" i="1"/>
  <c r="BS145" i="1"/>
  <c r="BS175" i="1"/>
  <c r="BS183" i="1"/>
  <c r="BS91" i="1"/>
  <c r="BS212" i="1"/>
  <c r="BS267" i="1"/>
  <c r="BS230" i="1"/>
  <c r="BS166" i="1"/>
  <c r="BS132" i="1"/>
  <c r="BS238" i="1"/>
  <c r="BS130" i="1"/>
  <c r="BS168" i="1"/>
  <c r="BS202" i="1"/>
  <c r="BS159" i="1"/>
  <c r="BS271" i="1"/>
  <c r="BS169" i="1"/>
  <c r="BS211" i="1"/>
  <c r="BS147" i="1"/>
  <c r="BS190" i="1"/>
  <c r="BS233" i="1"/>
  <c r="BS241" i="1"/>
  <c r="BS193" i="1"/>
  <c r="BS177" i="1"/>
  <c r="BS141" i="1"/>
  <c r="BS242" i="1"/>
  <c r="BS174" i="1"/>
  <c r="BS201" i="1"/>
  <c r="BS240" i="1"/>
  <c r="BS189" i="1"/>
  <c r="BS129" i="1"/>
  <c r="BS270" i="1"/>
  <c r="BS203" i="1"/>
  <c r="BS133" i="1"/>
  <c r="BS234" i="1"/>
  <c r="BS216" i="1"/>
  <c r="BS179" i="1"/>
  <c r="BS209" i="1"/>
  <c r="BS181" i="1"/>
  <c r="BS131" i="1"/>
  <c r="BS222" i="1"/>
  <c r="BS191" i="1"/>
  <c r="BS161" i="1"/>
  <c r="BS213" i="1"/>
  <c r="BS257" i="1" l="1"/>
  <c r="BS245" i="1"/>
  <c r="BS248" i="1"/>
  <c r="BS253" i="1"/>
  <c r="BS252" i="1"/>
  <c r="BS249" i="1"/>
  <c r="BS255" i="1"/>
  <c r="BS258" i="1"/>
  <c r="BS254" i="1"/>
  <c r="BS261" i="1"/>
  <c r="BS260" i="1"/>
  <c r="N13" i="11" l="1"/>
  <c r="M13" i="11"/>
  <c r="W2" i="11" l="1"/>
  <c r="V2" i="11"/>
  <c r="U2" i="11"/>
  <c r="T2" i="11"/>
  <c r="S2" i="11"/>
  <c r="S10" i="11"/>
  <c r="W11" i="11"/>
  <c r="V8" i="11"/>
  <c r="S9" i="11"/>
  <c r="S7" i="11"/>
  <c r="W6" i="11"/>
  <c r="S3" i="11"/>
  <c r="S12" i="11"/>
  <c r="U6" i="11"/>
  <c r="U9" i="11"/>
  <c r="S6" i="11"/>
  <c r="U3" i="11"/>
  <c r="U10" i="11"/>
  <c r="W5" i="11"/>
  <c r="U12" i="11"/>
  <c r="T10" i="11"/>
  <c r="U5" i="11"/>
  <c r="W3" i="11"/>
  <c r="T3" i="11"/>
  <c r="W4" i="11"/>
  <c r="T9" i="11"/>
  <c r="T6" i="11"/>
  <c r="U4" i="11"/>
  <c r="V6" i="11"/>
  <c r="U8" i="11"/>
  <c r="W7" i="11"/>
  <c r="W9" i="11"/>
  <c r="T7" i="11"/>
  <c r="T5" i="11"/>
  <c r="V7" i="11"/>
  <c r="T8" i="11"/>
  <c r="T13" i="11"/>
  <c r="V12" i="11"/>
  <c r="S8" i="11"/>
  <c r="U13" i="11"/>
  <c r="W8" i="11"/>
  <c r="V9" i="11"/>
  <c r="V10" i="11"/>
  <c r="T4" i="11"/>
  <c r="U11" i="11"/>
  <c r="S5" i="11"/>
  <c r="S13" i="11"/>
  <c r="W10" i="11"/>
  <c r="V4" i="11"/>
  <c r="V5" i="11"/>
  <c r="U7" i="11"/>
  <c r="T11" i="11"/>
  <c r="V13" i="11"/>
  <c r="S11" i="11"/>
  <c r="S4" i="11"/>
  <c r="W12" i="11"/>
  <c r="T12" i="11"/>
  <c r="V3" i="11"/>
  <c r="W13" i="11"/>
  <c r="V11" i="11"/>
  <c r="X11" i="11" l="1"/>
  <c r="CO54" i="1" s="1"/>
  <c r="X6" i="11"/>
  <c r="CO58" i="1" s="1"/>
  <c r="X3" i="11"/>
  <c r="CO47" i="1" s="1"/>
  <c r="X10" i="11"/>
  <c r="CO66" i="1"/>
  <c r="X9" i="11"/>
  <c r="CO52" i="1"/>
  <c r="X8" i="11"/>
  <c r="CO56" i="1" s="1"/>
  <c r="X5" i="11"/>
  <c r="X4" i="11"/>
  <c r="CO48" i="1" s="1"/>
  <c r="X12" i="11"/>
  <c r="X7" i="11"/>
  <c r="CO49" i="1" s="1"/>
  <c r="V14" i="11"/>
  <c r="U14" i="11"/>
  <c r="T14" i="11"/>
  <c r="S14" i="11"/>
  <c r="W14" i="11"/>
  <c r="X13" i="11"/>
  <c r="K12" i="11" l="1"/>
  <c r="Z55" i="1" s="1"/>
  <c r="CO51" i="1"/>
  <c r="CO55" i="1"/>
  <c r="CO57" i="1"/>
  <c r="X14" i="11"/>
  <c r="CO258" i="1"/>
  <c r="CO262" i="1"/>
  <c r="CO259" i="1"/>
  <c r="CO261" i="1"/>
  <c r="CO256" i="1"/>
  <c r="CO254" i="1"/>
  <c r="CO257" i="1"/>
  <c r="CO263" i="1"/>
  <c r="CO255" i="1"/>
  <c r="CO260" i="1"/>
  <c r="CO11" i="1"/>
  <c r="CO270" i="1"/>
  <c r="CO244" i="1"/>
  <c r="CO228" i="1"/>
  <c r="CO212" i="1"/>
  <c r="CO196" i="1"/>
  <c r="CO180" i="1"/>
  <c r="CO164" i="1"/>
  <c r="CO148" i="1"/>
  <c r="CO132" i="1"/>
  <c r="CO116" i="1"/>
  <c r="CO100" i="1"/>
  <c r="CO84" i="1"/>
  <c r="CO265" i="1"/>
  <c r="CO239" i="1"/>
  <c r="CO223" i="1"/>
  <c r="CO207" i="1"/>
  <c r="CO191" i="1"/>
  <c r="CO175" i="1"/>
  <c r="CO159" i="1"/>
  <c r="CO143" i="1"/>
  <c r="CO127" i="1"/>
  <c r="CO123" i="1"/>
  <c r="CO107" i="1"/>
  <c r="CO91" i="1"/>
  <c r="CO75" i="1"/>
  <c r="CO272" i="1"/>
  <c r="CO246" i="1"/>
  <c r="CO230" i="1"/>
  <c r="CO214" i="1"/>
  <c r="CO198" i="1"/>
  <c r="CO182" i="1"/>
  <c r="CO166" i="1"/>
  <c r="CO150" i="1"/>
  <c r="CO134" i="1"/>
  <c r="CO118" i="1"/>
  <c r="CO102" i="1"/>
  <c r="CO86" i="1"/>
  <c r="CO249" i="1"/>
  <c r="CO233" i="1"/>
  <c r="CO217" i="1"/>
  <c r="CO201" i="1"/>
  <c r="CO185" i="1"/>
  <c r="CO169" i="1"/>
  <c r="CO153" i="1"/>
  <c r="CO137" i="1"/>
  <c r="CO109" i="1"/>
  <c r="CO93" i="1"/>
  <c r="CO77" i="1"/>
  <c r="CO248" i="1"/>
  <c r="CO232" i="1"/>
  <c r="CO216" i="1"/>
  <c r="CO200" i="1"/>
  <c r="CO184" i="1"/>
  <c r="CO168" i="1"/>
  <c r="CO152" i="1"/>
  <c r="CO136" i="1"/>
  <c r="CO120" i="1"/>
  <c r="CO104" i="1"/>
  <c r="CO88" i="1"/>
  <c r="CO269" i="1"/>
  <c r="CO243" i="1"/>
  <c r="CO227" i="1"/>
  <c r="CO211" i="1"/>
  <c r="CO195" i="1"/>
  <c r="CO179" i="1"/>
  <c r="CO163" i="1"/>
  <c r="CO147" i="1"/>
  <c r="CO131" i="1"/>
  <c r="CO111" i="1"/>
  <c r="CO95" i="1"/>
  <c r="CO79" i="1"/>
  <c r="CO250" i="1"/>
  <c r="CO234" i="1"/>
  <c r="CO218" i="1"/>
  <c r="CO202" i="1"/>
  <c r="CO186" i="1"/>
  <c r="CO170" i="1"/>
  <c r="CO154" i="1"/>
  <c r="CO138" i="1"/>
  <c r="CO122" i="1"/>
  <c r="CO106" i="1"/>
  <c r="CO90" i="1"/>
  <c r="CO74" i="1"/>
  <c r="CO253" i="1"/>
  <c r="CO237" i="1"/>
  <c r="CO221" i="1"/>
  <c r="CO205" i="1"/>
  <c r="CO189" i="1"/>
  <c r="CO173" i="1"/>
  <c r="CO157" i="1"/>
  <c r="CO141" i="1"/>
  <c r="CO125" i="1"/>
  <c r="CO113" i="1"/>
  <c r="CO97" i="1"/>
  <c r="CO81" i="1"/>
  <c r="CO252" i="1"/>
  <c r="CO236" i="1"/>
  <c r="CO220" i="1"/>
  <c r="CO204" i="1"/>
  <c r="CO188" i="1"/>
  <c r="CO172" i="1"/>
  <c r="CO156" i="1"/>
  <c r="CO140" i="1"/>
  <c r="CO124" i="1"/>
  <c r="CO108" i="1"/>
  <c r="CO92" i="1"/>
  <c r="CO76" i="1"/>
  <c r="CO247" i="1"/>
  <c r="CO231" i="1"/>
  <c r="CO215" i="1"/>
  <c r="CO199" i="1"/>
  <c r="CO183" i="1"/>
  <c r="CO167" i="1"/>
  <c r="CO151" i="1"/>
  <c r="CO135" i="1"/>
  <c r="CO115" i="1"/>
  <c r="CO99" i="1"/>
  <c r="CO83" i="1"/>
  <c r="CO264" i="1"/>
  <c r="CO238" i="1"/>
  <c r="CO222" i="1"/>
  <c r="CO206" i="1"/>
  <c r="CO190" i="1"/>
  <c r="CO174" i="1"/>
  <c r="CO158" i="1"/>
  <c r="CO142" i="1"/>
  <c r="CO126" i="1"/>
  <c r="CO110" i="1"/>
  <c r="CO94" i="1"/>
  <c r="CO78" i="1"/>
  <c r="CO267" i="1"/>
  <c r="CO241" i="1"/>
  <c r="CO225" i="1"/>
  <c r="CO209" i="1"/>
  <c r="CO193" i="1"/>
  <c r="CO177" i="1"/>
  <c r="CO161" i="1"/>
  <c r="CO145" i="1"/>
  <c r="CO129" i="1"/>
  <c r="CO117" i="1"/>
  <c r="CO101" i="1"/>
  <c r="CO85" i="1"/>
  <c r="CO266" i="1"/>
  <c r="CO240" i="1"/>
  <c r="CO224" i="1"/>
  <c r="CO208" i="1"/>
  <c r="CO192" i="1"/>
  <c r="CO176" i="1"/>
  <c r="CO160" i="1"/>
  <c r="CO144" i="1"/>
  <c r="CO128" i="1"/>
  <c r="CO112" i="1"/>
  <c r="CO96" i="1"/>
  <c r="CO80" i="1"/>
  <c r="CO251" i="1"/>
  <c r="CO235" i="1"/>
  <c r="CO219" i="1"/>
  <c r="CO203" i="1"/>
  <c r="CO187" i="1"/>
  <c r="CO171" i="1"/>
  <c r="CO155" i="1"/>
  <c r="CO139" i="1"/>
  <c r="CO119" i="1"/>
  <c r="CO103" i="1"/>
  <c r="CO87" i="1"/>
  <c r="CO268" i="1"/>
  <c r="CO242" i="1"/>
  <c r="CO226" i="1"/>
  <c r="CO210" i="1"/>
  <c r="CO194" i="1"/>
  <c r="CO178" i="1"/>
  <c r="CO162" i="1"/>
  <c r="CO146" i="1"/>
  <c r="CO130" i="1"/>
  <c r="CO114" i="1"/>
  <c r="CO98" i="1"/>
  <c r="CO82" i="1"/>
  <c r="CO271" i="1"/>
  <c r="CO245" i="1"/>
  <c r="CO229" i="1"/>
  <c r="CO213" i="1"/>
  <c r="CO197" i="1"/>
  <c r="CO181" i="1"/>
  <c r="CO165" i="1"/>
  <c r="CO149" i="1"/>
  <c r="CO133" i="1"/>
  <c r="CO121" i="1"/>
  <c r="CO105" i="1"/>
  <c r="CO89" i="1"/>
  <c r="X4" i="30" l="1"/>
  <c r="A18" i="2"/>
  <c r="A14" i="2"/>
  <c r="W77" i="15" l="1"/>
  <c r="W113" i="15" s="1"/>
  <c r="W149" i="15" s="1"/>
  <c r="W185" i="15" s="1"/>
  <c r="V77" i="15"/>
  <c r="V113" i="15" s="1"/>
  <c r="V149" i="15" s="1"/>
  <c r="V185" i="15" s="1"/>
  <c r="U77" i="15"/>
  <c r="U113" i="15" s="1"/>
  <c r="U149" i="15" s="1"/>
  <c r="U185" i="15" s="1"/>
  <c r="T77" i="15"/>
  <c r="T113" i="15" s="1"/>
  <c r="T149" i="15" s="1"/>
  <c r="T185" i="15" s="1"/>
  <c r="S77" i="15"/>
  <c r="S113" i="15" s="1"/>
  <c r="S149" i="15" s="1"/>
  <c r="S185" i="15" s="1"/>
  <c r="R77" i="15"/>
  <c r="R113" i="15" s="1"/>
  <c r="R149" i="15" s="1"/>
  <c r="R185" i="15" s="1"/>
  <c r="Q77" i="15"/>
  <c r="Q113" i="15" s="1"/>
  <c r="Q149" i="15" s="1"/>
  <c r="Q185" i="15" s="1"/>
  <c r="P77" i="15"/>
  <c r="P113" i="15" s="1"/>
  <c r="P149" i="15" s="1"/>
  <c r="P185" i="15" s="1"/>
  <c r="O77" i="15"/>
  <c r="O113" i="15" s="1"/>
  <c r="O149" i="15" s="1"/>
  <c r="O185" i="15" s="1"/>
  <c r="N77" i="15"/>
  <c r="N113" i="15" s="1"/>
  <c r="N149" i="15" s="1"/>
  <c r="N185" i="15" s="1"/>
  <c r="M77" i="15"/>
  <c r="M113" i="15" s="1"/>
  <c r="M149" i="15" s="1"/>
  <c r="M185" i="15" s="1"/>
  <c r="L77" i="15"/>
  <c r="L113" i="15" s="1"/>
  <c r="L149" i="15" s="1"/>
  <c r="L185" i="15" s="1"/>
  <c r="K77" i="15"/>
  <c r="K113" i="15" s="1"/>
  <c r="K149" i="15" s="1"/>
  <c r="K185" i="15" s="1"/>
  <c r="J77" i="15"/>
  <c r="J113" i="15" s="1"/>
  <c r="J149" i="15" s="1"/>
  <c r="J185" i="15" s="1"/>
  <c r="I77" i="15"/>
  <c r="I113" i="15" s="1"/>
  <c r="I149" i="15" s="1"/>
  <c r="I185" i="15" s="1"/>
  <c r="H77" i="15"/>
  <c r="H113" i="15" s="1"/>
  <c r="H149" i="15" s="1"/>
  <c r="H185" i="15" s="1"/>
  <c r="G77" i="15"/>
  <c r="G113" i="15" s="1"/>
  <c r="G149" i="15" s="1"/>
  <c r="G185" i="15" s="1"/>
  <c r="F77" i="15"/>
  <c r="F113" i="15" s="1"/>
  <c r="F149" i="15" s="1"/>
  <c r="F185" i="15" s="1"/>
  <c r="E77" i="15"/>
  <c r="E113" i="15" s="1"/>
  <c r="E149" i="15" s="1"/>
  <c r="E185" i="15" s="1"/>
  <c r="D77" i="15"/>
  <c r="D113" i="15" s="1"/>
  <c r="D149" i="15" s="1"/>
  <c r="D185" i="15" s="1"/>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G93" i="25" l="1"/>
  <c r="U80" i="15"/>
  <c r="Q80" i="15"/>
  <c r="M80" i="15"/>
  <c r="I80" i="15"/>
  <c r="T80" i="15"/>
  <c r="P80" i="15"/>
  <c r="L80" i="15"/>
  <c r="V80" i="15"/>
  <c r="N80" i="15"/>
  <c r="R80" i="15"/>
  <c r="J80" i="15"/>
  <c r="W80" i="15"/>
  <c r="O80" i="15"/>
  <c r="S80" i="15"/>
  <c r="K80" i="15"/>
  <c r="U84" i="15"/>
  <c r="Q84" i="15"/>
  <c r="M84" i="15"/>
  <c r="I84" i="15"/>
  <c r="E84" i="15"/>
  <c r="T84" i="15"/>
  <c r="P84" i="15"/>
  <c r="L84" i="15"/>
  <c r="H84" i="15"/>
  <c r="V84" i="15"/>
  <c r="N84" i="15"/>
  <c r="R84" i="15"/>
  <c r="J84" i="15"/>
  <c r="W84" i="15"/>
  <c r="O84" i="15"/>
  <c r="G84" i="15"/>
  <c r="S84" i="15"/>
  <c r="K84" i="15"/>
  <c r="U88" i="15"/>
  <c r="Q88" i="15"/>
  <c r="M88" i="15"/>
  <c r="I88" i="15"/>
  <c r="T88" i="15"/>
  <c r="P88" i="15"/>
  <c r="L88" i="15"/>
  <c r="H88" i="15"/>
  <c r="V88" i="15"/>
  <c r="N88" i="15"/>
  <c r="F88" i="15"/>
  <c r="S88" i="15"/>
  <c r="K88" i="15"/>
  <c r="R88" i="15"/>
  <c r="J88" i="15"/>
  <c r="W88" i="15"/>
  <c r="O88" i="15"/>
  <c r="G88" i="15"/>
  <c r="V92" i="15"/>
  <c r="R92" i="15"/>
  <c r="N92" i="15"/>
  <c r="J92" i="15"/>
  <c r="U92" i="15"/>
  <c r="Q92" i="15"/>
  <c r="M92" i="15"/>
  <c r="I92" i="15"/>
  <c r="T92" i="15"/>
  <c r="P92" i="15"/>
  <c r="L92" i="15"/>
  <c r="H92" i="15"/>
  <c r="D92" i="15"/>
  <c r="K92" i="15"/>
  <c r="W92" i="15"/>
  <c r="G92" i="15"/>
  <c r="S92" i="15"/>
  <c r="O92" i="15"/>
  <c r="V96" i="15"/>
  <c r="R96" i="15"/>
  <c r="N96" i="15"/>
  <c r="J96" i="15"/>
  <c r="F96" i="15"/>
  <c r="U96" i="15"/>
  <c r="Q96" i="15"/>
  <c r="M96" i="15"/>
  <c r="I96" i="15"/>
  <c r="T96" i="15"/>
  <c r="P96" i="15"/>
  <c r="L96" i="15"/>
  <c r="H96" i="15"/>
  <c r="K96" i="15"/>
  <c r="W96" i="15"/>
  <c r="G96" i="15"/>
  <c r="S96" i="15"/>
  <c r="O96" i="15"/>
  <c r="V100" i="15"/>
  <c r="R100" i="15"/>
  <c r="N100" i="15"/>
  <c r="J100" i="15"/>
  <c r="F100" i="15"/>
  <c r="U100" i="15"/>
  <c r="Q100" i="15"/>
  <c r="M100" i="15"/>
  <c r="I100" i="15"/>
  <c r="E100" i="15"/>
  <c r="T100" i="15"/>
  <c r="P100" i="15"/>
  <c r="L100" i="15"/>
  <c r="H100" i="15"/>
  <c r="W100" i="15"/>
  <c r="S100" i="15"/>
  <c r="K100" i="15"/>
  <c r="G100" i="15"/>
  <c r="O100" i="15"/>
  <c r="V104" i="15"/>
  <c r="R104" i="15"/>
  <c r="N104" i="15"/>
  <c r="J104" i="15"/>
  <c r="F104" i="15"/>
  <c r="U104" i="15"/>
  <c r="Q104" i="15"/>
  <c r="M104" i="15"/>
  <c r="I104" i="15"/>
  <c r="E104" i="15"/>
  <c r="T104" i="15"/>
  <c r="P104" i="15"/>
  <c r="L104" i="15"/>
  <c r="H104" i="15"/>
  <c r="D104" i="15"/>
  <c r="W104" i="15"/>
  <c r="S104" i="15"/>
  <c r="O104" i="15"/>
  <c r="K104" i="15"/>
  <c r="G104" i="15"/>
  <c r="U83" i="15"/>
  <c r="Q83" i="15"/>
  <c r="M83" i="15"/>
  <c r="I83" i="15"/>
  <c r="T83" i="15"/>
  <c r="P83" i="15"/>
  <c r="L83" i="15"/>
  <c r="H83" i="15"/>
  <c r="R83" i="15"/>
  <c r="J83" i="15"/>
  <c r="V83" i="15"/>
  <c r="N83" i="15"/>
  <c r="F83" i="15"/>
  <c r="S83" i="15"/>
  <c r="K83" i="15"/>
  <c r="W83" i="15"/>
  <c r="O83" i="15"/>
  <c r="G83" i="15"/>
  <c r="U81" i="15"/>
  <c r="Q81" i="15"/>
  <c r="M81" i="15"/>
  <c r="I81" i="15"/>
  <c r="T81" i="15"/>
  <c r="P81" i="15"/>
  <c r="L81" i="15"/>
  <c r="R81" i="15"/>
  <c r="J81" i="15"/>
  <c r="V81" i="15"/>
  <c r="N81" i="15"/>
  <c r="S81" i="15"/>
  <c r="K81" i="15"/>
  <c r="W81" i="15"/>
  <c r="O81" i="15"/>
  <c r="G81" i="15"/>
  <c r="U85" i="15"/>
  <c r="Q85" i="15"/>
  <c r="M85" i="15"/>
  <c r="I85" i="15"/>
  <c r="E85" i="15"/>
  <c r="T85" i="15"/>
  <c r="P85" i="15"/>
  <c r="L85" i="15"/>
  <c r="H85" i="15"/>
  <c r="R85" i="15"/>
  <c r="J85" i="15"/>
  <c r="V85" i="15"/>
  <c r="N85" i="15"/>
  <c r="F85" i="15"/>
  <c r="S85" i="15"/>
  <c r="K85" i="15"/>
  <c r="O85" i="15"/>
  <c r="G85" i="15"/>
  <c r="W85" i="15"/>
  <c r="U89" i="15"/>
  <c r="Q89" i="15"/>
  <c r="M89" i="15"/>
  <c r="I89" i="15"/>
  <c r="T89" i="15"/>
  <c r="P89" i="15"/>
  <c r="L89" i="15"/>
  <c r="H89" i="15"/>
  <c r="R89" i="15"/>
  <c r="J89" i="15"/>
  <c r="W89" i="15"/>
  <c r="O89" i="15"/>
  <c r="G89" i="15"/>
  <c r="V89" i="15"/>
  <c r="N89" i="15"/>
  <c r="F89" i="15"/>
  <c r="S89" i="15"/>
  <c r="K89" i="15"/>
  <c r="V93" i="15"/>
  <c r="R93" i="15"/>
  <c r="N93" i="15"/>
  <c r="J93" i="15"/>
  <c r="F93" i="15"/>
  <c r="U93" i="15"/>
  <c r="Q93" i="15"/>
  <c r="M93" i="15"/>
  <c r="I93" i="15"/>
  <c r="T93" i="15"/>
  <c r="P93" i="15"/>
  <c r="L93" i="15"/>
  <c r="H93" i="15"/>
  <c r="D93" i="15"/>
  <c r="W93" i="15"/>
  <c r="G93" i="15"/>
  <c r="S93" i="15"/>
  <c r="O93" i="15"/>
  <c r="K93" i="15"/>
  <c r="V97" i="15"/>
  <c r="R97" i="15"/>
  <c r="N97" i="15"/>
  <c r="J97" i="15"/>
  <c r="F97" i="15"/>
  <c r="U97" i="15"/>
  <c r="Q97" i="15"/>
  <c r="M97" i="15"/>
  <c r="I97" i="15"/>
  <c r="T97" i="15"/>
  <c r="P97" i="15"/>
  <c r="L97" i="15"/>
  <c r="H97" i="15"/>
  <c r="D97" i="15"/>
  <c r="W97" i="15"/>
  <c r="G97" i="15"/>
  <c r="S97" i="15"/>
  <c r="O97" i="15"/>
  <c r="K97" i="15"/>
  <c r="V101" i="15"/>
  <c r="R101" i="15"/>
  <c r="N101" i="15"/>
  <c r="J101" i="15"/>
  <c r="F101" i="15"/>
  <c r="U101" i="15"/>
  <c r="Q101" i="15"/>
  <c r="M101" i="15"/>
  <c r="I101" i="15"/>
  <c r="E101" i="15"/>
  <c r="T101" i="15"/>
  <c r="P101" i="15"/>
  <c r="L101" i="15"/>
  <c r="H101" i="15"/>
  <c r="W101" i="15"/>
  <c r="S101" i="15"/>
  <c r="O101" i="15"/>
  <c r="K101" i="15"/>
  <c r="G101" i="15"/>
  <c r="V105" i="15"/>
  <c r="R105" i="15"/>
  <c r="N105" i="15"/>
  <c r="J105" i="15"/>
  <c r="F105" i="15"/>
  <c r="U105" i="15"/>
  <c r="Q105" i="15"/>
  <c r="M105" i="15"/>
  <c r="I105" i="15"/>
  <c r="E105" i="15"/>
  <c r="T105" i="15"/>
  <c r="P105" i="15"/>
  <c r="L105" i="15"/>
  <c r="H105" i="15"/>
  <c r="D105" i="15"/>
  <c r="W105" i="15"/>
  <c r="S105" i="15"/>
  <c r="O105" i="15"/>
  <c r="K105" i="15"/>
  <c r="G105" i="15"/>
  <c r="V78" i="15"/>
  <c r="R78" i="15"/>
  <c r="N78" i="15"/>
  <c r="J78" i="15"/>
  <c r="T78" i="15"/>
  <c r="P78" i="15"/>
  <c r="L78" i="15"/>
  <c r="W78" i="15"/>
  <c r="S78" i="15"/>
  <c r="O78" i="15"/>
  <c r="K78" i="15"/>
  <c r="Q78" i="15"/>
  <c r="M78" i="15"/>
  <c r="U78" i="15"/>
  <c r="U82" i="15"/>
  <c r="Q82" i="15"/>
  <c r="M82" i="15"/>
  <c r="I82" i="15"/>
  <c r="T82" i="15"/>
  <c r="P82" i="15"/>
  <c r="L82" i="15"/>
  <c r="H82" i="15"/>
  <c r="V82" i="15"/>
  <c r="N82" i="15"/>
  <c r="F82" i="15"/>
  <c r="R82" i="15"/>
  <c r="J82" i="15"/>
  <c r="W82" i="15"/>
  <c r="O82" i="15"/>
  <c r="G82" i="15"/>
  <c r="K82" i="15"/>
  <c r="S82" i="15"/>
  <c r="U86" i="15"/>
  <c r="Q86" i="15"/>
  <c r="M86" i="15"/>
  <c r="I86" i="15"/>
  <c r="E86" i="15"/>
  <c r="T86" i="15"/>
  <c r="P86" i="15"/>
  <c r="L86" i="15"/>
  <c r="H86" i="15"/>
  <c r="V86" i="15"/>
  <c r="N86" i="15"/>
  <c r="F86" i="15"/>
  <c r="R86" i="15"/>
  <c r="J86" i="15"/>
  <c r="W86" i="15"/>
  <c r="O86" i="15"/>
  <c r="G86" i="15"/>
  <c r="S86" i="15"/>
  <c r="K86" i="15"/>
  <c r="U90" i="15"/>
  <c r="Q90" i="15"/>
  <c r="M90" i="15"/>
  <c r="I90" i="15"/>
  <c r="T90" i="15"/>
  <c r="P90" i="15"/>
  <c r="L90" i="15"/>
  <c r="H90" i="15"/>
  <c r="V90" i="15"/>
  <c r="N90" i="15"/>
  <c r="F90" i="15"/>
  <c r="S90" i="15"/>
  <c r="K90" i="15"/>
  <c r="R90" i="15"/>
  <c r="J90" i="15"/>
  <c r="W90" i="15"/>
  <c r="O90" i="15"/>
  <c r="G90" i="15"/>
  <c r="V94" i="15"/>
  <c r="R94" i="15"/>
  <c r="N94" i="15"/>
  <c r="J94" i="15"/>
  <c r="U94" i="15"/>
  <c r="Q94" i="15"/>
  <c r="M94" i="15"/>
  <c r="I94" i="15"/>
  <c r="T94" i="15"/>
  <c r="P94" i="15"/>
  <c r="L94" i="15"/>
  <c r="H94" i="15"/>
  <c r="S94" i="15"/>
  <c r="O94" i="15"/>
  <c r="K94" i="15"/>
  <c r="W94" i="15"/>
  <c r="G94" i="15"/>
  <c r="V98" i="15"/>
  <c r="R98" i="15"/>
  <c r="N98" i="15"/>
  <c r="J98" i="15"/>
  <c r="F98" i="15"/>
  <c r="U98" i="15"/>
  <c r="Q98" i="15"/>
  <c r="M98" i="15"/>
  <c r="I98" i="15"/>
  <c r="T98" i="15"/>
  <c r="P98" i="15"/>
  <c r="L98" i="15"/>
  <c r="H98" i="15"/>
  <c r="D98" i="15"/>
  <c r="S98" i="15"/>
  <c r="O98" i="15"/>
  <c r="K98" i="15"/>
  <c r="W98" i="15"/>
  <c r="G98" i="15"/>
  <c r="V102" i="15"/>
  <c r="R102" i="15"/>
  <c r="N102" i="15"/>
  <c r="J102" i="15"/>
  <c r="F102" i="15"/>
  <c r="U102" i="15"/>
  <c r="Q102" i="15"/>
  <c r="M102" i="15"/>
  <c r="I102" i="15"/>
  <c r="E102" i="15"/>
  <c r="T102" i="15"/>
  <c r="P102" i="15"/>
  <c r="L102" i="15"/>
  <c r="H102" i="15"/>
  <c r="D102" i="15"/>
  <c r="W102" i="15"/>
  <c r="S102" i="15"/>
  <c r="O102" i="15"/>
  <c r="K102" i="15"/>
  <c r="G102" i="15"/>
  <c r="V106" i="15"/>
  <c r="R106" i="15"/>
  <c r="N106" i="15"/>
  <c r="J106" i="15"/>
  <c r="F106" i="15"/>
  <c r="U106" i="15"/>
  <c r="Q106" i="15"/>
  <c r="M106" i="15"/>
  <c r="I106" i="15"/>
  <c r="E106" i="15"/>
  <c r="T106" i="15"/>
  <c r="P106" i="15"/>
  <c r="L106" i="15"/>
  <c r="H106" i="15"/>
  <c r="D106" i="15"/>
  <c r="W106" i="15"/>
  <c r="S106" i="15"/>
  <c r="O106" i="15"/>
  <c r="K106" i="15"/>
  <c r="G106" i="15"/>
  <c r="W79" i="15"/>
  <c r="S79" i="15"/>
  <c r="O79" i="15"/>
  <c r="K79" i="15"/>
  <c r="U79" i="15"/>
  <c r="Q79" i="15"/>
  <c r="M79" i="15"/>
  <c r="I79" i="15"/>
  <c r="T79" i="15"/>
  <c r="P79" i="15"/>
  <c r="L79" i="15"/>
  <c r="N79" i="15"/>
  <c r="J79" i="15"/>
  <c r="V79" i="15"/>
  <c r="R79" i="15"/>
  <c r="U87" i="15"/>
  <c r="Q87" i="15"/>
  <c r="M87" i="15"/>
  <c r="I87" i="15"/>
  <c r="T87" i="15"/>
  <c r="P87" i="15"/>
  <c r="L87" i="15"/>
  <c r="H87" i="15"/>
  <c r="R87" i="15"/>
  <c r="J87" i="15"/>
  <c r="W87" i="15"/>
  <c r="V87" i="15"/>
  <c r="N87" i="15"/>
  <c r="F87" i="15"/>
  <c r="S87" i="15"/>
  <c r="K87" i="15"/>
  <c r="G87" i="15"/>
  <c r="O87" i="15"/>
  <c r="V91" i="15"/>
  <c r="R91" i="15"/>
  <c r="N91" i="15"/>
  <c r="J91" i="15"/>
  <c r="F91" i="15"/>
  <c r="U91" i="15"/>
  <c r="Q91" i="15"/>
  <c r="M91" i="15"/>
  <c r="I91" i="15"/>
  <c r="T91" i="15"/>
  <c r="P91" i="15"/>
  <c r="L91" i="15"/>
  <c r="H91" i="15"/>
  <c r="O91" i="15"/>
  <c r="K91" i="15"/>
  <c r="W91" i="15"/>
  <c r="G91" i="15"/>
  <c r="S91" i="15"/>
  <c r="V95" i="15"/>
  <c r="R95" i="15"/>
  <c r="N95" i="15"/>
  <c r="J95" i="15"/>
  <c r="U95" i="15"/>
  <c r="Q95" i="15"/>
  <c r="M95" i="15"/>
  <c r="I95" i="15"/>
  <c r="E95" i="15"/>
  <c r="T95" i="15"/>
  <c r="P95" i="15"/>
  <c r="L95" i="15"/>
  <c r="H95" i="15"/>
  <c r="O95" i="15"/>
  <c r="K95" i="15"/>
  <c r="W95" i="15"/>
  <c r="G95" i="15"/>
  <c r="S95" i="15"/>
  <c r="V99" i="15"/>
  <c r="R99" i="15"/>
  <c r="N99" i="15"/>
  <c r="J99" i="15"/>
  <c r="F99" i="15"/>
  <c r="U99" i="15"/>
  <c r="Q99" i="15"/>
  <c r="M99" i="15"/>
  <c r="I99" i="15"/>
  <c r="T99" i="15"/>
  <c r="P99" i="15"/>
  <c r="L99" i="15"/>
  <c r="H99" i="15"/>
  <c r="D99" i="15"/>
  <c r="O99" i="15"/>
  <c r="K99" i="15"/>
  <c r="W99" i="15"/>
  <c r="G99" i="15"/>
  <c r="S99" i="15"/>
  <c r="V103" i="15"/>
  <c r="R103" i="15"/>
  <c r="N103" i="15"/>
  <c r="J103" i="15"/>
  <c r="F103" i="15"/>
  <c r="U103" i="15"/>
  <c r="Q103" i="15"/>
  <c r="M103" i="15"/>
  <c r="I103" i="15"/>
  <c r="E103" i="15"/>
  <c r="T103" i="15"/>
  <c r="P103" i="15"/>
  <c r="L103" i="15"/>
  <c r="H103" i="15"/>
  <c r="D103" i="15"/>
  <c r="W103" i="15"/>
  <c r="S103" i="15"/>
  <c r="O103" i="15"/>
  <c r="K103" i="15"/>
  <c r="G103" i="15"/>
  <c r="V107" i="15"/>
  <c r="R107" i="15"/>
  <c r="N107" i="15"/>
  <c r="J107" i="15"/>
  <c r="U107" i="15"/>
  <c r="Q107" i="15"/>
  <c r="M107" i="15"/>
  <c r="I107" i="15"/>
  <c r="E107" i="15"/>
  <c r="T107" i="15"/>
  <c r="P107" i="15"/>
  <c r="L107" i="15"/>
  <c r="W107" i="15"/>
  <c r="S107" i="15"/>
  <c r="O107" i="15"/>
  <c r="K107" i="15"/>
  <c r="C128" i="15"/>
  <c r="C164" i="15" s="1"/>
  <c r="C132" i="15"/>
  <c r="C168" i="15" s="1"/>
  <c r="C140" i="15"/>
  <c r="C117" i="15"/>
  <c r="C153" i="15" s="1"/>
  <c r="C114" i="15"/>
  <c r="C150" i="15" s="1"/>
  <c r="C122" i="15"/>
  <c r="C158" i="15" s="1"/>
  <c r="C126" i="15"/>
  <c r="C162" i="15" s="1"/>
  <c r="C130" i="15"/>
  <c r="C166" i="15" s="1"/>
  <c r="C134" i="15"/>
  <c r="C138" i="15"/>
  <c r="C174" i="15" s="1"/>
  <c r="C142" i="15"/>
  <c r="C116" i="15"/>
  <c r="C152" i="15" s="1"/>
  <c r="C124" i="15"/>
  <c r="C160" i="15" s="1"/>
  <c r="C136" i="15"/>
  <c r="C172" i="15" s="1"/>
  <c r="C123" i="15"/>
  <c r="C159" i="15" s="1"/>
  <c r="C127" i="15"/>
  <c r="C163" i="15" s="1"/>
  <c r="C131" i="15"/>
  <c r="C167" i="15" s="1"/>
  <c r="C135" i="15"/>
  <c r="C171" i="15" s="1"/>
  <c r="C139" i="15"/>
  <c r="C175" i="15" s="1"/>
  <c r="C143" i="15"/>
  <c r="C179" i="15" s="1"/>
  <c r="C121" i="15"/>
  <c r="C125" i="15"/>
  <c r="C129" i="15"/>
  <c r="C133" i="15"/>
  <c r="C137" i="15"/>
  <c r="C141" i="15"/>
  <c r="C118" i="15"/>
  <c r="C115" i="15"/>
  <c r="C151" i="15" s="1"/>
  <c r="C119" i="15"/>
  <c r="C120" i="15"/>
  <c r="F221" i="15"/>
  <c r="F293" i="15" s="1"/>
  <c r="F257" i="15"/>
  <c r="J221" i="15"/>
  <c r="J293" i="15" s="1"/>
  <c r="J257" i="15"/>
  <c r="N221" i="15"/>
  <c r="N293" i="15" s="1"/>
  <c r="N257" i="15"/>
  <c r="R221" i="15"/>
  <c r="R293" i="15" s="1"/>
  <c r="R257" i="15"/>
  <c r="V221" i="15"/>
  <c r="V293" i="15" s="1"/>
  <c r="V257" i="15"/>
  <c r="G257" i="15"/>
  <c r="G221" i="15"/>
  <c r="G293" i="15" s="1"/>
  <c r="K257" i="15"/>
  <c r="K221" i="15"/>
  <c r="K293" i="15" s="1"/>
  <c r="O257" i="15"/>
  <c r="O221" i="15"/>
  <c r="O293" i="15" s="1"/>
  <c r="S257" i="15"/>
  <c r="S221" i="15"/>
  <c r="S293" i="15" s="1"/>
  <c r="W257" i="15"/>
  <c r="W221" i="15"/>
  <c r="W293" i="15" s="1"/>
  <c r="D257" i="15"/>
  <c r="D221" i="15"/>
  <c r="D293" i="15" s="1"/>
  <c r="H257" i="15"/>
  <c r="H221" i="15"/>
  <c r="H293" i="15" s="1"/>
  <c r="L257" i="15"/>
  <c r="L221" i="15"/>
  <c r="L293" i="15" s="1"/>
  <c r="P257" i="15"/>
  <c r="P221" i="15"/>
  <c r="P293" i="15" s="1"/>
  <c r="T257" i="15"/>
  <c r="T221" i="15"/>
  <c r="T293" i="15" s="1"/>
  <c r="E257" i="15"/>
  <c r="E221" i="15"/>
  <c r="E293" i="15" s="1"/>
  <c r="I257" i="15"/>
  <c r="I221" i="15"/>
  <c r="I293" i="15" s="1"/>
  <c r="M257" i="15"/>
  <c r="M221" i="15"/>
  <c r="M293" i="15" s="1"/>
  <c r="Q257" i="15"/>
  <c r="Q221" i="15"/>
  <c r="Q293" i="15" s="1"/>
  <c r="U257" i="15"/>
  <c r="U221" i="15"/>
  <c r="U293" i="15" s="1"/>
  <c r="P36" i="15"/>
  <c r="T36" i="15"/>
  <c r="Q36" i="15"/>
  <c r="U36" i="15"/>
  <c r="N36" i="15"/>
  <c r="R36" i="15"/>
  <c r="V36" i="15"/>
  <c r="O36" i="15"/>
  <c r="S36" i="15"/>
  <c r="W36" i="15"/>
  <c r="X33" i="15"/>
  <c r="X30" i="15"/>
  <c r="X31" i="15"/>
  <c r="X32" i="15"/>
  <c r="X34" i="15"/>
  <c r="E93" i="25" l="1"/>
  <c r="U152" i="15"/>
  <c r="Q152" i="15"/>
  <c r="M152" i="15"/>
  <c r="I152" i="15"/>
  <c r="T152" i="15"/>
  <c r="P152" i="15"/>
  <c r="L152" i="15"/>
  <c r="W152" i="15"/>
  <c r="S152" i="15"/>
  <c r="O152" i="15"/>
  <c r="K152" i="15"/>
  <c r="R152" i="15"/>
  <c r="N152" i="15"/>
  <c r="J152" i="15"/>
  <c r="V152" i="15"/>
  <c r="T175" i="15"/>
  <c r="P175" i="15"/>
  <c r="L175" i="15"/>
  <c r="H175" i="15"/>
  <c r="D175" i="15"/>
  <c r="W175" i="15"/>
  <c r="S175" i="15"/>
  <c r="O175" i="15"/>
  <c r="K175" i="15"/>
  <c r="G175" i="15"/>
  <c r="V175" i="15"/>
  <c r="R175" i="15"/>
  <c r="N175" i="15"/>
  <c r="J175" i="15"/>
  <c r="F175" i="15"/>
  <c r="U175" i="15"/>
  <c r="Q175" i="15"/>
  <c r="M175" i="15"/>
  <c r="I175" i="15"/>
  <c r="E175" i="15"/>
  <c r="U162" i="15"/>
  <c r="Q162" i="15"/>
  <c r="M162" i="15"/>
  <c r="I162" i="15"/>
  <c r="T162" i="15"/>
  <c r="P162" i="15"/>
  <c r="L162" i="15"/>
  <c r="H162" i="15"/>
  <c r="W162" i="15"/>
  <c r="S162" i="15"/>
  <c r="O162" i="15"/>
  <c r="K162" i="15"/>
  <c r="G162" i="15"/>
  <c r="J162" i="15"/>
  <c r="V162" i="15"/>
  <c r="F162" i="15"/>
  <c r="R162" i="15"/>
  <c r="N162" i="15"/>
  <c r="U153" i="15"/>
  <c r="Q153" i="15"/>
  <c r="M153" i="15"/>
  <c r="I153" i="15"/>
  <c r="T153" i="15"/>
  <c r="P153" i="15"/>
  <c r="L153" i="15"/>
  <c r="W153" i="15"/>
  <c r="S153" i="15"/>
  <c r="O153" i="15"/>
  <c r="K153" i="15"/>
  <c r="G153" i="15"/>
  <c r="N153" i="15"/>
  <c r="J153" i="15"/>
  <c r="V153" i="15"/>
  <c r="R153" i="15"/>
  <c r="C154" i="15"/>
  <c r="C190" i="15" s="1"/>
  <c r="W118" i="15"/>
  <c r="S118" i="15"/>
  <c r="O118" i="15"/>
  <c r="K118" i="15"/>
  <c r="G118" i="15"/>
  <c r="V118" i="15"/>
  <c r="R118" i="15"/>
  <c r="N118" i="15"/>
  <c r="J118" i="15"/>
  <c r="F118" i="15"/>
  <c r="U118" i="15"/>
  <c r="Q118" i="15"/>
  <c r="M118" i="15"/>
  <c r="I118" i="15"/>
  <c r="T118" i="15"/>
  <c r="P118" i="15"/>
  <c r="L118" i="15"/>
  <c r="H118" i="15"/>
  <c r="W139" i="15"/>
  <c r="S139" i="15"/>
  <c r="O139" i="15"/>
  <c r="K139" i="15"/>
  <c r="G139" i="15"/>
  <c r="V139" i="15"/>
  <c r="R139" i="15"/>
  <c r="N139" i="15"/>
  <c r="J139" i="15"/>
  <c r="F139" i="15"/>
  <c r="T139" i="15"/>
  <c r="L139" i="15"/>
  <c r="D139" i="15"/>
  <c r="Q139" i="15"/>
  <c r="I139" i="15"/>
  <c r="P139" i="15"/>
  <c r="H139" i="15"/>
  <c r="U139" i="15"/>
  <c r="M139" i="15"/>
  <c r="E139" i="15"/>
  <c r="W142" i="15"/>
  <c r="S142" i="15"/>
  <c r="O142" i="15"/>
  <c r="K142" i="15"/>
  <c r="G142" i="15"/>
  <c r="V142" i="15"/>
  <c r="R142" i="15"/>
  <c r="N142" i="15"/>
  <c r="J142" i="15"/>
  <c r="F142" i="15"/>
  <c r="P142" i="15"/>
  <c r="H142" i="15"/>
  <c r="U142" i="15"/>
  <c r="M142" i="15"/>
  <c r="E142" i="15"/>
  <c r="T142" i="15"/>
  <c r="L142" i="15"/>
  <c r="D142" i="15"/>
  <c r="Q142" i="15"/>
  <c r="I142" i="15"/>
  <c r="W171" i="15"/>
  <c r="S171" i="15"/>
  <c r="O171" i="15"/>
  <c r="K171" i="15"/>
  <c r="G171" i="15"/>
  <c r="V171" i="15"/>
  <c r="R171" i="15"/>
  <c r="N171" i="15"/>
  <c r="J171" i="15"/>
  <c r="F171" i="15"/>
  <c r="U171" i="15"/>
  <c r="Q171" i="15"/>
  <c r="M171" i="15"/>
  <c r="I171" i="15"/>
  <c r="P171" i="15"/>
  <c r="L171" i="15"/>
  <c r="H171" i="15"/>
  <c r="T171" i="15"/>
  <c r="D171" i="15"/>
  <c r="C178" i="15"/>
  <c r="C214" i="15" s="1"/>
  <c r="U158" i="15"/>
  <c r="Q158" i="15"/>
  <c r="M158" i="15"/>
  <c r="I158" i="15"/>
  <c r="E158" i="15"/>
  <c r="T158" i="15"/>
  <c r="P158" i="15"/>
  <c r="L158" i="15"/>
  <c r="H158" i="15"/>
  <c r="W158" i="15"/>
  <c r="S158" i="15"/>
  <c r="O158" i="15"/>
  <c r="K158" i="15"/>
  <c r="G158" i="15"/>
  <c r="J158" i="15"/>
  <c r="V158" i="15"/>
  <c r="F158" i="15"/>
  <c r="R158" i="15"/>
  <c r="N158" i="15"/>
  <c r="U164" i="15"/>
  <c r="Q164" i="15"/>
  <c r="M164" i="15"/>
  <c r="I164" i="15"/>
  <c r="T164" i="15"/>
  <c r="P164" i="15"/>
  <c r="L164" i="15"/>
  <c r="H164" i="15"/>
  <c r="D164" i="15"/>
  <c r="W164" i="15"/>
  <c r="S164" i="15"/>
  <c r="O164" i="15"/>
  <c r="K164" i="15"/>
  <c r="G164" i="15"/>
  <c r="V164" i="15"/>
  <c r="R164" i="15"/>
  <c r="N164" i="15"/>
  <c r="J164" i="15"/>
  <c r="C156" i="15"/>
  <c r="C192" i="15" s="1"/>
  <c r="W120" i="15"/>
  <c r="S120" i="15"/>
  <c r="O120" i="15"/>
  <c r="K120" i="15"/>
  <c r="G120" i="15"/>
  <c r="V120" i="15"/>
  <c r="R120" i="15"/>
  <c r="N120" i="15"/>
  <c r="J120" i="15"/>
  <c r="P120" i="15"/>
  <c r="H120" i="15"/>
  <c r="U120" i="15"/>
  <c r="M120" i="15"/>
  <c r="E120" i="15"/>
  <c r="T120" i="15"/>
  <c r="L120" i="15"/>
  <c r="Q120" i="15"/>
  <c r="I120" i="15"/>
  <c r="C177" i="15"/>
  <c r="C213" i="15" s="1"/>
  <c r="W141" i="15"/>
  <c r="S141" i="15"/>
  <c r="O141" i="15"/>
  <c r="K141" i="15"/>
  <c r="G141" i="15"/>
  <c r="V141" i="15"/>
  <c r="R141" i="15"/>
  <c r="N141" i="15"/>
  <c r="J141" i="15"/>
  <c r="F141" i="15"/>
  <c r="T141" i="15"/>
  <c r="L141" i="15"/>
  <c r="D141" i="15"/>
  <c r="Q141" i="15"/>
  <c r="I141" i="15"/>
  <c r="P141" i="15"/>
  <c r="H141" i="15"/>
  <c r="U141" i="15"/>
  <c r="M141" i="15"/>
  <c r="E141" i="15"/>
  <c r="C161" i="15"/>
  <c r="C197" i="15" s="1"/>
  <c r="W125" i="15"/>
  <c r="S125" i="15"/>
  <c r="O125" i="15"/>
  <c r="K125" i="15"/>
  <c r="G125" i="15"/>
  <c r="V125" i="15"/>
  <c r="R125" i="15"/>
  <c r="N125" i="15"/>
  <c r="J125" i="15"/>
  <c r="F125" i="15"/>
  <c r="T125" i="15"/>
  <c r="L125" i="15"/>
  <c r="Q125" i="15"/>
  <c r="I125" i="15"/>
  <c r="P125" i="15"/>
  <c r="H125" i="15"/>
  <c r="U125" i="15"/>
  <c r="M125" i="15"/>
  <c r="W135" i="15"/>
  <c r="S135" i="15"/>
  <c r="O135" i="15"/>
  <c r="K135" i="15"/>
  <c r="G135" i="15"/>
  <c r="V135" i="15"/>
  <c r="R135" i="15"/>
  <c r="N135" i="15"/>
  <c r="J135" i="15"/>
  <c r="F135" i="15"/>
  <c r="T135" i="15"/>
  <c r="L135" i="15"/>
  <c r="D135" i="15"/>
  <c r="Q135" i="15"/>
  <c r="I135" i="15"/>
  <c r="P135" i="15"/>
  <c r="H135" i="15"/>
  <c r="U135" i="15"/>
  <c r="M135" i="15"/>
  <c r="W136" i="15"/>
  <c r="S136" i="15"/>
  <c r="O136" i="15"/>
  <c r="K136" i="15"/>
  <c r="G136" i="15"/>
  <c r="V136" i="15"/>
  <c r="R136" i="15"/>
  <c r="N136" i="15"/>
  <c r="J136" i="15"/>
  <c r="F136" i="15"/>
  <c r="P136" i="15"/>
  <c r="H136" i="15"/>
  <c r="U136" i="15"/>
  <c r="M136" i="15"/>
  <c r="E136" i="15"/>
  <c r="T136" i="15"/>
  <c r="L136" i="15"/>
  <c r="Q136" i="15"/>
  <c r="I136" i="15"/>
  <c r="W138" i="15"/>
  <c r="S138" i="15"/>
  <c r="O138" i="15"/>
  <c r="K138" i="15"/>
  <c r="G138" i="15"/>
  <c r="V138" i="15"/>
  <c r="R138" i="15"/>
  <c r="N138" i="15"/>
  <c r="J138" i="15"/>
  <c r="F138" i="15"/>
  <c r="P138" i="15"/>
  <c r="H138" i="15"/>
  <c r="U138" i="15"/>
  <c r="M138" i="15"/>
  <c r="E138" i="15"/>
  <c r="T138" i="15"/>
  <c r="L138" i="15"/>
  <c r="D138" i="15"/>
  <c r="Q138" i="15"/>
  <c r="I138" i="15"/>
  <c r="W122" i="15"/>
  <c r="S122" i="15"/>
  <c r="O122" i="15"/>
  <c r="K122" i="15"/>
  <c r="G122" i="15"/>
  <c r="V122" i="15"/>
  <c r="R122" i="15"/>
  <c r="N122" i="15"/>
  <c r="J122" i="15"/>
  <c r="F122" i="15"/>
  <c r="P122" i="15"/>
  <c r="H122" i="15"/>
  <c r="U122" i="15"/>
  <c r="M122" i="15"/>
  <c r="E122" i="15"/>
  <c r="T122" i="15"/>
  <c r="L122" i="15"/>
  <c r="Q122" i="15"/>
  <c r="I122" i="15"/>
  <c r="W132" i="15"/>
  <c r="S132" i="15"/>
  <c r="O132" i="15"/>
  <c r="K132" i="15"/>
  <c r="G132" i="15"/>
  <c r="V132" i="15"/>
  <c r="R132" i="15"/>
  <c r="N132" i="15"/>
  <c r="J132" i="15"/>
  <c r="F132" i="15"/>
  <c r="P132" i="15"/>
  <c r="H132" i="15"/>
  <c r="U132" i="15"/>
  <c r="M132" i="15"/>
  <c r="T132" i="15"/>
  <c r="L132" i="15"/>
  <c r="Q132" i="15"/>
  <c r="I132" i="15"/>
  <c r="U159" i="15"/>
  <c r="Q159" i="15"/>
  <c r="M159" i="15"/>
  <c r="I159" i="15"/>
  <c r="T159" i="15"/>
  <c r="P159" i="15"/>
  <c r="L159" i="15"/>
  <c r="H159" i="15"/>
  <c r="W159" i="15"/>
  <c r="S159" i="15"/>
  <c r="O159" i="15"/>
  <c r="K159" i="15"/>
  <c r="G159" i="15"/>
  <c r="V159" i="15"/>
  <c r="F159" i="15"/>
  <c r="R159" i="15"/>
  <c r="N159" i="15"/>
  <c r="J159" i="15"/>
  <c r="W168" i="15"/>
  <c r="S168" i="15"/>
  <c r="O168" i="15"/>
  <c r="K168" i="15"/>
  <c r="G168" i="15"/>
  <c r="V168" i="15"/>
  <c r="R168" i="15"/>
  <c r="N168" i="15"/>
  <c r="J168" i="15"/>
  <c r="F168" i="15"/>
  <c r="U168" i="15"/>
  <c r="Q168" i="15"/>
  <c r="M168" i="15"/>
  <c r="I168" i="15"/>
  <c r="L168" i="15"/>
  <c r="H168" i="15"/>
  <c r="T168" i="15"/>
  <c r="P168" i="15"/>
  <c r="W150" i="15"/>
  <c r="S150" i="15"/>
  <c r="O150" i="15"/>
  <c r="K150" i="15"/>
  <c r="V150" i="15"/>
  <c r="R150" i="15"/>
  <c r="N150" i="15"/>
  <c r="J150" i="15"/>
  <c r="U150" i="15"/>
  <c r="Q150" i="15"/>
  <c r="M150" i="15"/>
  <c r="T150" i="15"/>
  <c r="P150" i="15"/>
  <c r="L150" i="15"/>
  <c r="C165" i="15"/>
  <c r="C201" i="15" s="1"/>
  <c r="W129" i="15"/>
  <c r="S129" i="15"/>
  <c r="O129" i="15"/>
  <c r="K129" i="15"/>
  <c r="G129" i="15"/>
  <c r="V129" i="15"/>
  <c r="R129" i="15"/>
  <c r="N129" i="15"/>
  <c r="J129" i="15"/>
  <c r="F129" i="15"/>
  <c r="T129" i="15"/>
  <c r="L129" i="15"/>
  <c r="D129" i="15"/>
  <c r="Q129" i="15"/>
  <c r="I129" i="15"/>
  <c r="P129" i="15"/>
  <c r="H129" i="15"/>
  <c r="U129" i="15"/>
  <c r="M129" i="15"/>
  <c r="W123" i="15"/>
  <c r="S123" i="15"/>
  <c r="O123" i="15"/>
  <c r="K123" i="15"/>
  <c r="G123" i="15"/>
  <c r="V123" i="15"/>
  <c r="R123" i="15"/>
  <c r="N123" i="15"/>
  <c r="J123" i="15"/>
  <c r="F123" i="15"/>
  <c r="T123" i="15"/>
  <c r="L123" i="15"/>
  <c r="Q123" i="15"/>
  <c r="I123" i="15"/>
  <c r="P123" i="15"/>
  <c r="H123" i="15"/>
  <c r="U123" i="15"/>
  <c r="M123" i="15"/>
  <c r="W126" i="15"/>
  <c r="S126" i="15"/>
  <c r="O126" i="15"/>
  <c r="K126" i="15"/>
  <c r="G126" i="15"/>
  <c r="V126" i="15"/>
  <c r="R126" i="15"/>
  <c r="N126" i="15"/>
  <c r="J126" i="15"/>
  <c r="F126" i="15"/>
  <c r="P126" i="15"/>
  <c r="H126" i="15"/>
  <c r="U126" i="15"/>
  <c r="M126" i="15"/>
  <c r="T126" i="15"/>
  <c r="L126" i="15"/>
  <c r="Q126" i="15"/>
  <c r="I126" i="15"/>
  <c r="W140" i="15"/>
  <c r="S140" i="15"/>
  <c r="O140" i="15"/>
  <c r="K140" i="15"/>
  <c r="G140" i="15"/>
  <c r="V140" i="15"/>
  <c r="R140" i="15"/>
  <c r="N140" i="15"/>
  <c r="J140" i="15"/>
  <c r="F140" i="15"/>
  <c r="P140" i="15"/>
  <c r="H140" i="15"/>
  <c r="U140" i="15"/>
  <c r="M140" i="15"/>
  <c r="E140" i="15"/>
  <c r="T140" i="15"/>
  <c r="L140" i="15"/>
  <c r="D140" i="15"/>
  <c r="Q140" i="15"/>
  <c r="I140" i="15"/>
  <c r="W167" i="15"/>
  <c r="S167" i="15"/>
  <c r="O167" i="15"/>
  <c r="K167" i="15"/>
  <c r="G167" i="15"/>
  <c r="V167" i="15"/>
  <c r="R167" i="15"/>
  <c r="N167" i="15"/>
  <c r="J167" i="15"/>
  <c r="U167" i="15"/>
  <c r="Q167" i="15"/>
  <c r="M167" i="15"/>
  <c r="I167" i="15"/>
  <c r="E167" i="15"/>
  <c r="P167" i="15"/>
  <c r="L167" i="15"/>
  <c r="H167" i="15"/>
  <c r="T167" i="15"/>
  <c r="T174" i="15"/>
  <c r="P174" i="15"/>
  <c r="L174" i="15"/>
  <c r="H174" i="15"/>
  <c r="D174" i="15"/>
  <c r="W174" i="15"/>
  <c r="S174" i="15"/>
  <c r="O174" i="15"/>
  <c r="K174" i="15"/>
  <c r="G174" i="15"/>
  <c r="V174" i="15"/>
  <c r="R174" i="15"/>
  <c r="N174" i="15"/>
  <c r="J174" i="15"/>
  <c r="F174" i="15"/>
  <c r="U174" i="15"/>
  <c r="Q174" i="15"/>
  <c r="M174" i="15"/>
  <c r="I174" i="15"/>
  <c r="E174" i="15"/>
  <c r="C176" i="15"/>
  <c r="C212" i="15" s="1"/>
  <c r="U160" i="15"/>
  <c r="Q160" i="15"/>
  <c r="M160" i="15"/>
  <c r="I160" i="15"/>
  <c r="T160" i="15"/>
  <c r="P160" i="15"/>
  <c r="L160" i="15"/>
  <c r="H160" i="15"/>
  <c r="W160" i="15"/>
  <c r="S160" i="15"/>
  <c r="O160" i="15"/>
  <c r="K160" i="15"/>
  <c r="G160" i="15"/>
  <c r="R160" i="15"/>
  <c r="N160" i="15"/>
  <c r="J160" i="15"/>
  <c r="V160" i="15"/>
  <c r="F160" i="15"/>
  <c r="W119" i="15"/>
  <c r="S119" i="15"/>
  <c r="V119" i="15"/>
  <c r="T119" i="15"/>
  <c r="O119" i="15"/>
  <c r="K119" i="15"/>
  <c r="G119" i="15"/>
  <c r="R119" i="15"/>
  <c r="N119" i="15"/>
  <c r="J119" i="15"/>
  <c r="F119" i="15"/>
  <c r="Q119" i="15"/>
  <c r="M119" i="15"/>
  <c r="I119" i="15"/>
  <c r="U119" i="15"/>
  <c r="P119" i="15"/>
  <c r="L119" i="15"/>
  <c r="H119" i="15"/>
  <c r="C173" i="15"/>
  <c r="C209" i="15" s="1"/>
  <c r="W137" i="15"/>
  <c r="S137" i="15"/>
  <c r="O137" i="15"/>
  <c r="K137" i="15"/>
  <c r="G137" i="15"/>
  <c r="V137" i="15"/>
  <c r="R137" i="15"/>
  <c r="N137" i="15"/>
  <c r="J137" i="15"/>
  <c r="F137" i="15"/>
  <c r="T137" i="15"/>
  <c r="L137" i="15"/>
  <c r="Q137" i="15"/>
  <c r="I137" i="15"/>
  <c r="P137" i="15"/>
  <c r="H137" i="15"/>
  <c r="U137" i="15"/>
  <c r="M137" i="15"/>
  <c r="E137" i="15"/>
  <c r="C157" i="15"/>
  <c r="C193" i="15" s="1"/>
  <c r="W121" i="15"/>
  <c r="S121" i="15"/>
  <c r="O121" i="15"/>
  <c r="K121" i="15"/>
  <c r="G121" i="15"/>
  <c r="V121" i="15"/>
  <c r="R121" i="15"/>
  <c r="N121" i="15"/>
  <c r="J121" i="15"/>
  <c r="F121" i="15"/>
  <c r="T121" i="15"/>
  <c r="L121" i="15"/>
  <c r="Q121" i="15"/>
  <c r="I121" i="15"/>
  <c r="P121" i="15"/>
  <c r="H121" i="15"/>
  <c r="U121" i="15"/>
  <c r="M121" i="15"/>
  <c r="E121" i="15"/>
  <c r="W131" i="15"/>
  <c r="S131" i="15"/>
  <c r="O131" i="15"/>
  <c r="K131" i="15"/>
  <c r="G131" i="15"/>
  <c r="V131" i="15"/>
  <c r="R131" i="15"/>
  <c r="N131" i="15"/>
  <c r="J131" i="15"/>
  <c r="T131" i="15"/>
  <c r="L131" i="15"/>
  <c r="Q131" i="15"/>
  <c r="I131" i="15"/>
  <c r="P131" i="15"/>
  <c r="H131" i="15"/>
  <c r="U131" i="15"/>
  <c r="M131" i="15"/>
  <c r="E131" i="15"/>
  <c r="W124" i="15"/>
  <c r="S124" i="15"/>
  <c r="O124" i="15"/>
  <c r="K124" i="15"/>
  <c r="G124" i="15"/>
  <c r="V124" i="15"/>
  <c r="R124" i="15"/>
  <c r="N124" i="15"/>
  <c r="J124" i="15"/>
  <c r="F124" i="15"/>
  <c r="P124" i="15"/>
  <c r="H124" i="15"/>
  <c r="U124" i="15"/>
  <c r="M124" i="15"/>
  <c r="T124" i="15"/>
  <c r="L124" i="15"/>
  <c r="Q124" i="15"/>
  <c r="I124" i="15"/>
  <c r="W134" i="15"/>
  <c r="S134" i="15"/>
  <c r="O134" i="15"/>
  <c r="K134" i="15"/>
  <c r="G134" i="15"/>
  <c r="V134" i="15"/>
  <c r="R134" i="15"/>
  <c r="N134" i="15"/>
  <c r="J134" i="15"/>
  <c r="F134" i="15"/>
  <c r="P134" i="15"/>
  <c r="H134" i="15"/>
  <c r="U134" i="15"/>
  <c r="M134" i="15"/>
  <c r="T134" i="15"/>
  <c r="L134" i="15"/>
  <c r="D134" i="15"/>
  <c r="Q134" i="15"/>
  <c r="I134" i="15"/>
  <c r="U114" i="15"/>
  <c r="Q114" i="15"/>
  <c r="M114" i="15"/>
  <c r="T114" i="15"/>
  <c r="P114" i="15"/>
  <c r="L114" i="15"/>
  <c r="W114" i="15"/>
  <c r="S114" i="15"/>
  <c r="O114" i="15"/>
  <c r="K114" i="15"/>
  <c r="V114" i="15"/>
  <c r="R114" i="15"/>
  <c r="N114" i="15"/>
  <c r="J114" i="15"/>
  <c r="W128" i="15"/>
  <c r="S128" i="15"/>
  <c r="O128" i="15"/>
  <c r="K128" i="15"/>
  <c r="G128" i="15"/>
  <c r="V128" i="15"/>
  <c r="R128" i="15"/>
  <c r="N128" i="15"/>
  <c r="J128" i="15"/>
  <c r="P128" i="15"/>
  <c r="H128" i="15"/>
  <c r="U128" i="15"/>
  <c r="M128" i="15"/>
  <c r="T128" i="15"/>
  <c r="L128" i="15"/>
  <c r="D128" i="15"/>
  <c r="Q128" i="15"/>
  <c r="I128" i="15"/>
  <c r="T179" i="15"/>
  <c r="P179" i="15"/>
  <c r="L179" i="15"/>
  <c r="W179" i="15"/>
  <c r="S179" i="15"/>
  <c r="O179" i="15"/>
  <c r="K179" i="15"/>
  <c r="V179" i="15"/>
  <c r="R179" i="15"/>
  <c r="N179" i="15"/>
  <c r="J179" i="15"/>
  <c r="U179" i="15"/>
  <c r="Q179" i="15"/>
  <c r="M179" i="15"/>
  <c r="I179" i="15"/>
  <c r="E179" i="15"/>
  <c r="U163" i="15"/>
  <c r="Q163" i="15"/>
  <c r="M163" i="15"/>
  <c r="I163" i="15"/>
  <c r="T163" i="15"/>
  <c r="P163" i="15"/>
  <c r="L163" i="15"/>
  <c r="H163" i="15"/>
  <c r="W163" i="15"/>
  <c r="S163" i="15"/>
  <c r="O163" i="15"/>
  <c r="K163" i="15"/>
  <c r="G163" i="15"/>
  <c r="V163" i="15"/>
  <c r="F163" i="15"/>
  <c r="R163" i="15"/>
  <c r="N163" i="15"/>
  <c r="J163" i="15"/>
  <c r="W166" i="15"/>
  <c r="S166" i="15"/>
  <c r="O166" i="15"/>
  <c r="K166" i="15"/>
  <c r="G166" i="15"/>
  <c r="V166" i="15"/>
  <c r="R166" i="15"/>
  <c r="N166" i="15"/>
  <c r="J166" i="15"/>
  <c r="U166" i="15"/>
  <c r="Q166" i="15"/>
  <c r="M166" i="15"/>
  <c r="I166" i="15"/>
  <c r="T166" i="15"/>
  <c r="P166" i="15"/>
  <c r="L166" i="15"/>
  <c r="H166" i="15"/>
  <c r="T172" i="15"/>
  <c r="W172" i="15"/>
  <c r="S172" i="15"/>
  <c r="O172" i="15"/>
  <c r="K172" i="15"/>
  <c r="G172" i="15"/>
  <c r="V172" i="15"/>
  <c r="R172" i="15"/>
  <c r="N172" i="15"/>
  <c r="J172" i="15"/>
  <c r="F172" i="15"/>
  <c r="U172" i="15"/>
  <c r="Q172" i="15"/>
  <c r="M172" i="15"/>
  <c r="I172" i="15"/>
  <c r="E172" i="15"/>
  <c r="L172" i="15"/>
  <c r="H172" i="15"/>
  <c r="P172" i="15"/>
  <c r="T151" i="15"/>
  <c r="P151" i="15"/>
  <c r="L151" i="15"/>
  <c r="W151" i="15"/>
  <c r="S151" i="15"/>
  <c r="O151" i="15"/>
  <c r="K151" i="15"/>
  <c r="V151" i="15"/>
  <c r="R151" i="15"/>
  <c r="N151" i="15"/>
  <c r="J151" i="15"/>
  <c r="U151" i="15"/>
  <c r="Q151" i="15"/>
  <c r="M151" i="15"/>
  <c r="I151" i="15"/>
  <c r="V115" i="15"/>
  <c r="R115" i="15"/>
  <c r="N115" i="15"/>
  <c r="J115" i="15"/>
  <c r="U115" i="15"/>
  <c r="Q115" i="15"/>
  <c r="M115" i="15"/>
  <c r="I115" i="15"/>
  <c r="T115" i="15"/>
  <c r="P115" i="15"/>
  <c r="L115" i="15"/>
  <c r="W115" i="15"/>
  <c r="S115" i="15"/>
  <c r="O115" i="15"/>
  <c r="K115" i="15"/>
  <c r="C169" i="15"/>
  <c r="C205" i="15" s="1"/>
  <c r="W133" i="15"/>
  <c r="S133" i="15"/>
  <c r="O133" i="15"/>
  <c r="K133" i="15"/>
  <c r="G133" i="15"/>
  <c r="V133" i="15"/>
  <c r="R133" i="15"/>
  <c r="N133" i="15"/>
  <c r="J133" i="15"/>
  <c r="F133" i="15"/>
  <c r="T133" i="15"/>
  <c r="L133" i="15"/>
  <c r="D133" i="15"/>
  <c r="Q133" i="15"/>
  <c r="I133" i="15"/>
  <c r="P133" i="15"/>
  <c r="H133" i="15"/>
  <c r="U133" i="15"/>
  <c r="M133" i="15"/>
  <c r="U143" i="15"/>
  <c r="W143" i="15"/>
  <c r="S143" i="15"/>
  <c r="O143" i="15"/>
  <c r="K143" i="15"/>
  <c r="V143" i="15"/>
  <c r="R143" i="15"/>
  <c r="N143" i="15"/>
  <c r="J143" i="15"/>
  <c r="T143" i="15"/>
  <c r="L143" i="15"/>
  <c r="Q143" i="15"/>
  <c r="I143" i="15"/>
  <c r="P143" i="15"/>
  <c r="M143" i="15"/>
  <c r="E143" i="15"/>
  <c r="W127" i="15"/>
  <c r="S127" i="15"/>
  <c r="O127" i="15"/>
  <c r="K127" i="15"/>
  <c r="G127" i="15"/>
  <c r="V127" i="15"/>
  <c r="R127" i="15"/>
  <c r="N127" i="15"/>
  <c r="J127" i="15"/>
  <c r="F127" i="15"/>
  <c r="T127" i="15"/>
  <c r="L127" i="15"/>
  <c r="Q127" i="15"/>
  <c r="I127" i="15"/>
  <c r="P127" i="15"/>
  <c r="H127" i="15"/>
  <c r="U127" i="15"/>
  <c r="M127" i="15"/>
  <c r="W116" i="15"/>
  <c r="S116" i="15"/>
  <c r="O116" i="15"/>
  <c r="K116" i="15"/>
  <c r="V116" i="15"/>
  <c r="R116" i="15"/>
  <c r="N116" i="15"/>
  <c r="J116" i="15"/>
  <c r="U116" i="15"/>
  <c r="Q116" i="15"/>
  <c r="M116" i="15"/>
  <c r="I116" i="15"/>
  <c r="T116" i="15"/>
  <c r="P116" i="15"/>
  <c r="L116" i="15"/>
  <c r="W130" i="15"/>
  <c r="S130" i="15"/>
  <c r="O130" i="15"/>
  <c r="K130" i="15"/>
  <c r="G130" i="15"/>
  <c r="V130" i="15"/>
  <c r="R130" i="15"/>
  <c r="N130" i="15"/>
  <c r="J130" i="15"/>
  <c r="P130" i="15"/>
  <c r="H130" i="15"/>
  <c r="U130" i="15"/>
  <c r="M130" i="15"/>
  <c r="T130" i="15"/>
  <c r="L130" i="15"/>
  <c r="Q130" i="15"/>
  <c r="I130" i="15"/>
  <c r="W117" i="15"/>
  <c r="S117" i="15"/>
  <c r="O117" i="15"/>
  <c r="K117" i="15"/>
  <c r="G117" i="15"/>
  <c r="V117" i="15"/>
  <c r="R117" i="15"/>
  <c r="N117" i="15"/>
  <c r="J117" i="15"/>
  <c r="U117" i="15"/>
  <c r="Q117" i="15"/>
  <c r="M117" i="15"/>
  <c r="I117" i="15"/>
  <c r="T117" i="15"/>
  <c r="P117" i="15"/>
  <c r="L117" i="15"/>
  <c r="X102" i="15"/>
  <c r="C170" i="15"/>
  <c r="C155" i="15"/>
  <c r="X106" i="15"/>
  <c r="W108" i="15"/>
  <c r="O108" i="15"/>
  <c r="C186" i="15"/>
  <c r="S108" i="15"/>
  <c r="X103" i="15"/>
  <c r="X105" i="15"/>
  <c r="P108" i="15"/>
  <c r="T108" i="15"/>
  <c r="C187" i="15"/>
  <c r="C189" i="15"/>
  <c r="X104" i="15"/>
  <c r="C188" i="15"/>
  <c r="N108" i="15"/>
  <c r="V108" i="15"/>
  <c r="R108" i="15"/>
  <c r="U108" i="15"/>
  <c r="Q108" i="15"/>
  <c r="C203" i="15"/>
  <c r="C196" i="15"/>
  <c r="C199" i="15"/>
  <c r="C210" i="15"/>
  <c r="C202" i="15"/>
  <c r="C208" i="15"/>
  <c r="C211" i="15"/>
  <c r="C195" i="15"/>
  <c r="C198" i="15"/>
  <c r="C204" i="15"/>
  <c r="C215" i="15"/>
  <c r="C207" i="15"/>
  <c r="C194" i="15"/>
  <c r="C200" i="15"/>
  <c r="T194" i="15" l="1"/>
  <c r="P194" i="15"/>
  <c r="L194" i="15"/>
  <c r="H194" i="15"/>
  <c r="W194" i="15"/>
  <c r="S194" i="15"/>
  <c r="O194" i="15"/>
  <c r="K194" i="15"/>
  <c r="G194" i="15"/>
  <c r="V194" i="15"/>
  <c r="R194" i="15"/>
  <c r="N194" i="15"/>
  <c r="J194" i="15"/>
  <c r="F194" i="15"/>
  <c r="U194" i="15"/>
  <c r="Q194" i="15"/>
  <c r="M194" i="15"/>
  <c r="I194" i="15"/>
  <c r="E194" i="15"/>
  <c r="V211" i="15"/>
  <c r="R211" i="15"/>
  <c r="N211" i="15"/>
  <c r="J211" i="15"/>
  <c r="F211" i="15"/>
  <c r="U211" i="15"/>
  <c r="Q211" i="15"/>
  <c r="M211" i="15"/>
  <c r="I211" i="15"/>
  <c r="E211" i="15"/>
  <c r="T211" i="15"/>
  <c r="P211" i="15"/>
  <c r="L211" i="15"/>
  <c r="H211" i="15"/>
  <c r="D211" i="15"/>
  <c r="K211" i="15"/>
  <c r="W211" i="15"/>
  <c r="G211" i="15"/>
  <c r="S211" i="15"/>
  <c r="O211" i="15"/>
  <c r="T193" i="15"/>
  <c r="P193" i="15"/>
  <c r="L193" i="15"/>
  <c r="H193" i="15"/>
  <c r="W193" i="15"/>
  <c r="S193" i="15"/>
  <c r="O193" i="15"/>
  <c r="K193" i="15"/>
  <c r="G193" i="15"/>
  <c r="V193" i="15"/>
  <c r="R193" i="15"/>
  <c r="N193" i="15"/>
  <c r="J193" i="15"/>
  <c r="F193" i="15"/>
  <c r="U193" i="15"/>
  <c r="Q193" i="15"/>
  <c r="M193" i="15"/>
  <c r="I193" i="15"/>
  <c r="E193" i="15"/>
  <c r="T192" i="15"/>
  <c r="P192" i="15"/>
  <c r="L192" i="15"/>
  <c r="H192" i="15"/>
  <c r="W192" i="15"/>
  <c r="S192" i="15"/>
  <c r="O192" i="15"/>
  <c r="K192" i="15"/>
  <c r="G192" i="15"/>
  <c r="V192" i="15"/>
  <c r="R192" i="15"/>
  <c r="N192" i="15"/>
  <c r="J192" i="15"/>
  <c r="U192" i="15"/>
  <c r="Q192" i="15"/>
  <c r="M192" i="15"/>
  <c r="I192" i="15"/>
  <c r="E192" i="15"/>
  <c r="U155" i="15"/>
  <c r="Q155" i="15"/>
  <c r="M155" i="15"/>
  <c r="I155" i="15"/>
  <c r="T155" i="15"/>
  <c r="P155" i="15"/>
  <c r="L155" i="15"/>
  <c r="H155" i="15"/>
  <c r="W155" i="15"/>
  <c r="S155" i="15"/>
  <c r="O155" i="15"/>
  <c r="K155" i="15"/>
  <c r="G155" i="15"/>
  <c r="V155" i="15"/>
  <c r="F155" i="15"/>
  <c r="R155" i="15"/>
  <c r="N155" i="15"/>
  <c r="J155" i="15"/>
  <c r="T197" i="15"/>
  <c r="P197" i="15"/>
  <c r="L197" i="15"/>
  <c r="H197" i="15"/>
  <c r="W197" i="15"/>
  <c r="S197" i="15"/>
  <c r="O197" i="15"/>
  <c r="K197" i="15"/>
  <c r="G197" i="15"/>
  <c r="V197" i="15"/>
  <c r="R197" i="15"/>
  <c r="N197" i="15"/>
  <c r="J197" i="15"/>
  <c r="F197" i="15"/>
  <c r="U197" i="15"/>
  <c r="Q197" i="15"/>
  <c r="M197" i="15"/>
  <c r="I197" i="15"/>
  <c r="V215" i="15"/>
  <c r="R215" i="15"/>
  <c r="N215" i="15"/>
  <c r="J215" i="15"/>
  <c r="U215" i="15"/>
  <c r="Q215" i="15"/>
  <c r="M215" i="15"/>
  <c r="I215" i="15"/>
  <c r="E215" i="15"/>
  <c r="T215" i="15"/>
  <c r="P215" i="15"/>
  <c r="L215" i="15"/>
  <c r="K215" i="15"/>
  <c r="W215" i="15"/>
  <c r="S215" i="15"/>
  <c r="O215" i="15"/>
  <c r="T195" i="15"/>
  <c r="P195" i="15"/>
  <c r="L195" i="15"/>
  <c r="H195" i="15"/>
  <c r="W195" i="15"/>
  <c r="S195" i="15"/>
  <c r="O195" i="15"/>
  <c r="K195" i="15"/>
  <c r="G195" i="15"/>
  <c r="V195" i="15"/>
  <c r="R195" i="15"/>
  <c r="N195" i="15"/>
  <c r="J195" i="15"/>
  <c r="F195" i="15"/>
  <c r="U195" i="15"/>
  <c r="Q195" i="15"/>
  <c r="M195" i="15"/>
  <c r="I195" i="15"/>
  <c r="V213" i="15"/>
  <c r="R213" i="15"/>
  <c r="N213" i="15"/>
  <c r="J213" i="15"/>
  <c r="F213" i="15"/>
  <c r="U213" i="15"/>
  <c r="Q213" i="15"/>
  <c r="M213" i="15"/>
  <c r="I213" i="15"/>
  <c r="E213" i="15"/>
  <c r="T213" i="15"/>
  <c r="P213" i="15"/>
  <c r="L213" i="15"/>
  <c r="H213" i="15"/>
  <c r="D213" i="15"/>
  <c r="S213" i="15"/>
  <c r="O213" i="15"/>
  <c r="K213" i="15"/>
  <c r="W213" i="15"/>
  <c r="G213" i="15"/>
  <c r="T196" i="15"/>
  <c r="P196" i="15"/>
  <c r="L196" i="15"/>
  <c r="H196" i="15"/>
  <c r="W196" i="15"/>
  <c r="S196" i="15"/>
  <c r="O196" i="15"/>
  <c r="K196" i="15"/>
  <c r="G196" i="15"/>
  <c r="V196" i="15"/>
  <c r="R196" i="15"/>
  <c r="N196" i="15"/>
  <c r="J196" i="15"/>
  <c r="F196" i="15"/>
  <c r="U196" i="15"/>
  <c r="Q196" i="15"/>
  <c r="M196" i="15"/>
  <c r="I196" i="15"/>
  <c r="C191" i="15"/>
  <c r="C263" i="15" s="1"/>
  <c r="W187" i="15"/>
  <c r="S187" i="15"/>
  <c r="O187" i="15"/>
  <c r="K187" i="15"/>
  <c r="V187" i="15"/>
  <c r="R187" i="15"/>
  <c r="N187" i="15"/>
  <c r="J187" i="15"/>
  <c r="U187" i="15"/>
  <c r="Q187" i="15"/>
  <c r="M187" i="15"/>
  <c r="I187" i="15"/>
  <c r="T187" i="15"/>
  <c r="P187" i="15"/>
  <c r="L187" i="15"/>
  <c r="W165" i="15"/>
  <c r="S165" i="15"/>
  <c r="O165" i="15"/>
  <c r="K165" i="15"/>
  <c r="G165" i="15"/>
  <c r="V165" i="15"/>
  <c r="R165" i="15"/>
  <c r="N165" i="15"/>
  <c r="J165" i="15"/>
  <c r="F165" i="15"/>
  <c r="U165" i="15"/>
  <c r="Q165" i="15"/>
  <c r="M165" i="15"/>
  <c r="I165" i="15"/>
  <c r="H165" i="15"/>
  <c r="T165" i="15"/>
  <c r="D165" i="15"/>
  <c r="P165" i="15"/>
  <c r="L165" i="15"/>
  <c r="U161" i="15"/>
  <c r="Q161" i="15"/>
  <c r="M161" i="15"/>
  <c r="I161" i="15"/>
  <c r="T161" i="15"/>
  <c r="P161" i="15"/>
  <c r="L161" i="15"/>
  <c r="H161" i="15"/>
  <c r="W161" i="15"/>
  <c r="S161" i="15"/>
  <c r="O161" i="15"/>
  <c r="K161" i="15"/>
  <c r="G161" i="15"/>
  <c r="N161" i="15"/>
  <c r="J161" i="15"/>
  <c r="V161" i="15"/>
  <c r="F161" i="15"/>
  <c r="R161" i="15"/>
  <c r="U154" i="15"/>
  <c r="Q154" i="15"/>
  <c r="M154" i="15"/>
  <c r="I154" i="15"/>
  <c r="T154" i="15"/>
  <c r="P154" i="15"/>
  <c r="L154" i="15"/>
  <c r="H154" i="15"/>
  <c r="W154" i="15"/>
  <c r="S154" i="15"/>
  <c r="O154" i="15"/>
  <c r="K154" i="15"/>
  <c r="G154" i="15"/>
  <c r="J154" i="15"/>
  <c r="V154" i="15"/>
  <c r="F154" i="15"/>
  <c r="R154" i="15"/>
  <c r="N154" i="15"/>
  <c r="U157" i="15"/>
  <c r="Q157" i="15"/>
  <c r="M157" i="15"/>
  <c r="I157" i="15"/>
  <c r="E157" i="15"/>
  <c r="T157" i="15"/>
  <c r="P157" i="15"/>
  <c r="L157" i="15"/>
  <c r="H157" i="15"/>
  <c r="W157" i="15"/>
  <c r="S157" i="15"/>
  <c r="O157" i="15"/>
  <c r="K157" i="15"/>
  <c r="G157" i="15"/>
  <c r="N157" i="15"/>
  <c r="J157" i="15"/>
  <c r="V157" i="15"/>
  <c r="F157" i="15"/>
  <c r="R157" i="15"/>
  <c r="T177" i="15"/>
  <c r="P177" i="15"/>
  <c r="L177" i="15"/>
  <c r="H177" i="15"/>
  <c r="D177" i="15"/>
  <c r="W177" i="15"/>
  <c r="S177" i="15"/>
  <c r="O177" i="15"/>
  <c r="K177" i="15"/>
  <c r="G177" i="15"/>
  <c r="V177" i="15"/>
  <c r="R177" i="15"/>
  <c r="N177" i="15"/>
  <c r="J177" i="15"/>
  <c r="F177" i="15"/>
  <c r="U177" i="15"/>
  <c r="Q177" i="15"/>
  <c r="M177" i="15"/>
  <c r="I177" i="15"/>
  <c r="E177" i="15"/>
  <c r="V214" i="15"/>
  <c r="R214" i="15"/>
  <c r="N214" i="15"/>
  <c r="J214" i="15"/>
  <c r="F214" i="15"/>
  <c r="U214" i="15"/>
  <c r="Q214" i="15"/>
  <c r="M214" i="15"/>
  <c r="I214" i="15"/>
  <c r="E214" i="15"/>
  <c r="T214" i="15"/>
  <c r="P214" i="15"/>
  <c r="L214" i="15"/>
  <c r="H214" i="15"/>
  <c r="D214" i="15"/>
  <c r="O214" i="15"/>
  <c r="K214" i="15"/>
  <c r="W214" i="15"/>
  <c r="G214" i="15"/>
  <c r="S214" i="15"/>
  <c r="V210" i="15"/>
  <c r="R210" i="15"/>
  <c r="N210" i="15"/>
  <c r="J210" i="15"/>
  <c r="F210" i="15"/>
  <c r="U210" i="15"/>
  <c r="Q210" i="15"/>
  <c r="M210" i="15"/>
  <c r="I210" i="15"/>
  <c r="E210" i="15"/>
  <c r="T210" i="15"/>
  <c r="P210" i="15"/>
  <c r="L210" i="15"/>
  <c r="H210" i="15"/>
  <c r="D210" i="15"/>
  <c r="O210" i="15"/>
  <c r="K210" i="15"/>
  <c r="W210" i="15"/>
  <c r="G210" i="15"/>
  <c r="S210" i="15"/>
  <c r="T173" i="15"/>
  <c r="P173" i="15"/>
  <c r="L173" i="15"/>
  <c r="H173" i="15"/>
  <c r="W173" i="15"/>
  <c r="S173" i="15"/>
  <c r="O173" i="15"/>
  <c r="K173" i="15"/>
  <c r="G173" i="15"/>
  <c r="V173" i="15"/>
  <c r="R173" i="15"/>
  <c r="N173" i="15"/>
  <c r="J173" i="15"/>
  <c r="F173" i="15"/>
  <c r="U173" i="15"/>
  <c r="Q173" i="15"/>
  <c r="M173" i="15"/>
  <c r="I173" i="15"/>
  <c r="E173" i="15"/>
  <c r="U156" i="15"/>
  <c r="Q156" i="15"/>
  <c r="M156" i="15"/>
  <c r="I156" i="15"/>
  <c r="E156" i="15"/>
  <c r="T156" i="15"/>
  <c r="P156" i="15"/>
  <c r="L156" i="15"/>
  <c r="H156" i="15"/>
  <c r="W156" i="15"/>
  <c r="S156" i="15"/>
  <c r="O156" i="15"/>
  <c r="K156" i="15"/>
  <c r="G156" i="15"/>
  <c r="R156" i="15"/>
  <c r="N156" i="15"/>
  <c r="J156" i="15"/>
  <c r="V156" i="15"/>
  <c r="U204" i="15"/>
  <c r="Q204" i="15"/>
  <c r="M204" i="15"/>
  <c r="I204" i="15"/>
  <c r="T204" i="15"/>
  <c r="P204" i="15"/>
  <c r="L204" i="15"/>
  <c r="H204" i="15"/>
  <c r="W204" i="15"/>
  <c r="O204" i="15"/>
  <c r="G204" i="15"/>
  <c r="V204" i="15"/>
  <c r="N204" i="15"/>
  <c r="F204" i="15"/>
  <c r="S204" i="15"/>
  <c r="K204" i="15"/>
  <c r="R204" i="15"/>
  <c r="J204" i="15"/>
  <c r="U202" i="15"/>
  <c r="Q202" i="15"/>
  <c r="M202" i="15"/>
  <c r="I202" i="15"/>
  <c r="T202" i="15"/>
  <c r="P202" i="15"/>
  <c r="L202" i="15"/>
  <c r="H202" i="15"/>
  <c r="W202" i="15"/>
  <c r="O202" i="15"/>
  <c r="G202" i="15"/>
  <c r="V202" i="15"/>
  <c r="N202" i="15"/>
  <c r="S202" i="15"/>
  <c r="K202" i="15"/>
  <c r="R202" i="15"/>
  <c r="J202" i="15"/>
  <c r="U200" i="15"/>
  <c r="Q200" i="15"/>
  <c r="M200" i="15"/>
  <c r="I200" i="15"/>
  <c r="T200" i="15"/>
  <c r="P200" i="15"/>
  <c r="L200" i="15"/>
  <c r="H200" i="15"/>
  <c r="D200" i="15"/>
  <c r="W200" i="15"/>
  <c r="O200" i="15"/>
  <c r="G200" i="15"/>
  <c r="V200" i="15"/>
  <c r="N200" i="15"/>
  <c r="S200" i="15"/>
  <c r="K200" i="15"/>
  <c r="R200" i="15"/>
  <c r="J200" i="15"/>
  <c r="U201" i="15"/>
  <c r="Q201" i="15"/>
  <c r="M201" i="15"/>
  <c r="I201" i="15"/>
  <c r="T201" i="15"/>
  <c r="P201" i="15"/>
  <c r="L201" i="15"/>
  <c r="H201" i="15"/>
  <c r="D201" i="15"/>
  <c r="S201" i="15"/>
  <c r="K201" i="15"/>
  <c r="R201" i="15"/>
  <c r="J201" i="15"/>
  <c r="W201" i="15"/>
  <c r="O201" i="15"/>
  <c r="G201" i="15"/>
  <c r="V201" i="15"/>
  <c r="N201" i="15"/>
  <c r="F201" i="15"/>
  <c r="U208" i="15"/>
  <c r="Q208" i="15"/>
  <c r="M208" i="15"/>
  <c r="I208" i="15"/>
  <c r="E208" i="15"/>
  <c r="T208" i="15"/>
  <c r="P208" i="15"/>
  <c r="L208" i="15"/>
  <c r="H208" i="15"/>
  <c r="W208" i="15"/>
  <c r="O208" i="15"/>
  <c r="G208" i="15"/>
  <c r="V208" i="15"/>
  <c r="N208" i="15"/>
  <c r="F208" i="15"/>
  <c r="S208" i="15"/>
  <c r="K208" i="15"/>
  <c r="R208" i="15"/>
  <c r="J208" i="15"/>
  <c r="V209" i="15"/>
  <c r="R209" i="15"/>
  <c r="N209" i="15"/>
  <c r="J209" i="15"/>
  <c r="F209" i="15"/>
  <c r="U209" i="15"/>
  <c r="Q209" i="15"/>
  <c r="M209" i="15"/>
  <c r="I209" i="15"/>
  <c r="E209" i="15"/>
  <c r="T209" i="15"/>
  <c r="P209" i="15"/>
  <c r="L209" i="15"/>
  <c r="H209" i="15"/>
  <c r="S209" i="15"/>
  <c r="O209" i="15"/>
  <c r="K209" i="15"/>
  <c r="W209" i="15"/>
  <c r="G209" i="15"/>
  <c r="T190" i="15"/>
  <c r="P190" i="15"/>
  <c r="L190" i="15"/>
  <c r="H190" i="15"/>
  <c r="W190" i="15"/>
  <c r="S190" i="15"/>
  <c r="O190" i="15"/>
  <c r="K190" i="15"/>
  <c r="G190" i="15"/>
  <c r="V190" i="15"/>
  <c r="R190" i="15"/>
  <c r="N190" i="15"/>
  <c r="J190" i="15"/>
  <c r="F190" i="15"/>
  <c r="U190" i="15"/>
  <c r="Q190" i="15"/>
  <c r="M190" i="15"/>
  <c r="I190" i="15"/>
  <c r="V186" i="15"/>
  <c r="R186" i="15"/>
  <c r="N186" i="15"/>
  <c r="J186" i="15"/>
  <c r="U186" i="15"/>
  <c r="Q186" i="15"/>
  <c r="M186" i="15"/>
  <c r="T186" i="15"/>
  <c r="P186" i="15"/>
  <c r="L186" i="15"/>
  <c r="W186" i="15"/>
  <c r="S186" i="15"/>
  <c r="O186" i="15"/>
  <c r="K186" i="15"/>
  <c r="C206" i="15"/>
  <c r="C278" i="15" s="1"/>
  <c r="W170" i="15"/>
  <c r="S170" i="15"/>
  <c r="O170" i="15"/>
  <c r="K170" i="15"/>
  <c r="G170" i="15"/>
  <c r="V170" i="15"/>
  <c r="R170" i="15"/>
  <c r="N170" i="15"/>
  <c r="J170" i="15"/>
  <c r="F170" i="15"/>
  <c r="U170" i="15"/>
  <c r="Q170" i="15"/>
  <c r="M170" i="15"/>
  <c r="I170" i="15"/>
  <c r="T170" i="15"/>
  <c r="D170" i="15"/>
  <c r="P170" i="15"/>
  <c r="L170" i="15"/>
  <c r="H170" i="15"/>
  <c r="V212" i="15"/>
  <c r="R212" i="15"/>
  <c r="N212" i="15"/>
  <c r="J212" i="15"/>
  <c r="F212" i="15"/>
  <c r="U212" i="15"/>
  <c r="Q212" i="15"/>
  <c r="M212" i="15"/>
  <c r="I212" i="15"/>
  <c r="E212" i="15"/>
  <c r="T212" i="15"/>
  <c r="P212" i="15"/>
  <c r="L212" i="15"/>
  <c r="H212" i="15"/>
  <c r="D212" i="15"/>
  <c r="W212" i="15"/>
  <c r="G212" i="15"/>
  <c r="S212" i="15"/>
  <c r="O212" i="15"/>
  <c r="K212" i="15"/>
  <c r="U207" i="15"/>
  <c r="Q207" i="15"/>
  <c r="M207" i="15"/>
  <c r="I207" i="15"/>
  <c r="T207" i="15"/>
  <c r="P207" i="15"/>
  <c r="L207" i="15"/>
  <c r="H207" i="15"/>
  <c r="D207" i="15"/>
  <c r="S207" i="15"/>
  <c r="K207" i="15"/>
  <c r="R207" i="15"/>
  <c r="J207" i="15"/>
  <c r="W207" i="15"/>
  <c r="O207" i="15"/>
  <c r="G207" i="15"/>
  <c r="V207" i="15"/>
  <c r="N207" i="15"/>
  <c r="F207" i="15"/>
  <c r="U198" i="15"/>
  <c r="Q198" i="15"/>
  <c r="T198" i="15"/>
  <c r="W198" i="15"/>
  <c r="P198" i="15"/>
  <c r="L198" i="15"/>
  <c r="H198" i="15"/>
  <c r="V198" i="15"/>
  <c r="O198" i="15"/>
  <c r="K198" i="15"/>
  <c r="G198" i="15"/>
  <c r="S198" i="15"/>
  <c r="N198" i="15"/>
  <c r="J198" i="15"/>
  <c r="F198" i="15"/>
  <c r="R198" i="15"/>
  <c r="M198" i="15"/>
  <c r="I198" i="15"/>
  <c r="U205" i="15"/>
  <c r="Q205" i="15"/>
  <c r="M205" i="15"/>
  <c r="I205" i="15"/>
  <c r="T205" i="15"/>
  <c r="P205" i="15"/>
  <c r="L205" i="15"/>
  <c r="H205" i="15"/>
  <c r="D205" i="15"/>
  <c r="S205" i="15"/>
  <c r="K205" i="15"/>
  <c r="R205" i="15"/>
  <c r="J205" i="15"/>
  <c r="W205" i="15"/>
  <c r="O205" i="15"/>
  <c r="G205" i="15"/>
  <c r="V205" i="15"/>
  <c r="N205" i="15"/>
  <c r="F205" i="15"/>
  <c r="U199" i="15"/>
  <c r="Q199" i="15"/>
  <c r="M199" i="15"/>
  <c r="I199" i="15"/>
  <c r="T199" i="15"/>
  <c r="P199" i="15"/>
  <c r="L199" i="15"/>
  <c r="H199" i="15"/>
  <c r="S199" i="15"/>
  <c r="K199" i="15"/>
  <c r="R199" i="15"/>
  <c r="J199" i="15"/>
  <c r="W199" i="15"/>
  <c r="O199" i="15"/>
  <c r="G199" i="15"/>
  <c r="V199" i="15"/>
  <c r="N199" i="15"/>
  <c r="F199" i="15"/>
  <c r="U203" i="15"/>
  <c r="Q203" i="15"/>
  <c r="M203" i="15"/>
  <c r="I203" i="15"/>
  <c r="E203" i="15"/>
  <c r="T203" i="15"/>
  <c r="P203" i="15"/>
  <c r="L203" i="15"/>
  <c r="H203" i="15"/>
  <c r="S203" i="15"/>
  <c r="K203" i="15"/>
  <c r="R203" i="15"/>
  <c r="J203" i="15"/>
  <c r="W203" i="15"/>
  <c r="O203" i="15"/>
  <c r="G203" i="15"/>
  <c r="V203" i="15"/>
  <c r="N203" i="15"/>
  <c r="T188" i="15"/>
  <c r="P188" i="15"/>
  <c r="L188" i="15"/>
  <c r="W188" i="15"/>
  <c r="S188" i="15"/>
  <c r="O188" i="15"/>
  <c r="K188" i="15"/>
  <c r="V188" i="15"/>
  <c r="R188" i="15"/>
  <c r="N188" i="15"/>
  <c r="J188" i="15"/>
  <c r="U188" i="15"/>
  <c r="Q188" i="15"/>
  <c r="M188" i="15"/>
  <c r="I188" i="15"/>
  <c r="T189" i="15"/>
  <c r="P189" i="15"/>
  <c r="L189" i="15"/>
  <c r="W189" i="15"/>
  <c r="S189" i="15"/>
  <c r="O189" i="15"/>
  <c r="K189" i="15"/>
  <c r="G189" i="15"/>
  <c r="V189" i="15"/>
  <c r="R189" i="15"/>
  <c r="N189" i="15"/>
  <c r="J189" i="15"/>
  <c r="U189" i="15"/>
  <c r="Q189" i="15"/>
  <c r="M189" i="15"/>
  <c r="I189" i="15"/>
  <c r="W169" i="15"/>
  <c r="S169" i="15"/>
  <c r="O169" i="15"/>
  <c r="K169" i="15"/>
  <c r="G169" i="15"/>
  <c r="V169" i="15"/>
  <c r="R169" i="15"/>
  <c r="N169" i="15"/>
  <c r="J169" i="15"/>
  <c r="F169" i="15"/>
  <c r="U169" i="15"/>
  <c r="Q169" i="15"/>
  <c r="M169" i="15"/>
  <c r="I169" i="15"/>
  <c r="H169" i="15"/>
  <c r="T169" i="15"/>
  <c r="D169" i="15"/>
  <c r="P169" i="15"/>
  <c r="L169" i="15"/>
  <c r="T176" i="15"/>
  <c r="P176" i="15"/>
  <c r="L176" i="15"/>
  <c r="H176" i="15"/>
  <c r="D176" i="15"/>
  <c r="W176" i="15"/>
  <c r="S176" i="15"/>
  <c r="O176" i="15"/>
  <c r="K176" i="15"/>
  <c r="G176" i="15"/>
  <c r="V176" i="15"/>
  <c r="R176" i="15"/>
  <c r="N176" i="15"/>
  <c r="J176" i="15"/>
  <c r="F176" i="15"/>
  <c r="U176" i="15"/>
  <c r="Q176" i="15"/>
  <c r="M176" i="15"/>
  <c r="I176" i="15"/>
  <c r="E176" i="15"/>
  <c r="T178" i="15"/>
  <c r="P178" i="15"/>
  <c r="L178" i="15"/>
  <c r="H178" i="15"/>
  <c r="D178" i="15"/>
  <c r="W178" i="15"/>
  <c r="S178" i="15"/>
  <c r="O178" i="15"/>
  <c r="K178" i="15"/>
  <c r="G178" i="15"/>
  <c r="V178" i="15"/>
  <c r="R178" i="15"/>
  <c r="N178" i="15"/>
  <c r="J178" i="15"/>
  <c r="F178" i="15"/>
  <c r="U178" i="15"/>
  <c r="Q178" i="15"/>
  <c r="M178" i="15"/>
  <c r="I178" i="15"/>
  <c r="E178" i="15"/>
  <c r="X139" i="15"/>
  <c r="P144" i="15"/>
  <c r="U144" i="15"/>
  <c r="T144" i="15"/>
  <c r="V144" i="15"/>
  <c r="X142" i="15"/>
  <c r="X141" i="15"/>
  <c r="R144" i="15"/>
  <c r="Q144" i="15"/>
  <c r="X140" i="15"/>
  <c r="O144" i="15"/>
  <c r="N144" i="15"/>
  <c r="X138" i="15"/>
  <c r="W144" i="15"/>
  <c r="S144" i="15"/>
  <c r="C258" i="15"/>
  <c r="C222" i="15"/>
  <c r="C248" i="15"/>
  <c r="C284" i="15"/>
  <c r="C243" i="15"/>
  <c r="C279" i="15"/>
  <c r="C234" i="15"/>
  <c r="C270" i="15"/>
  <c r="C241" i="15"/>
  <c r="C277" i="15"/>
  <c r="X174" i="15"/>
  <c r="C235" i="15"/>
  <c r="C271" i="15"/>
  <c r="C223" i="15"/>
  <c r="C259" i="15"/>
  <c r="C228" i="15"/>
  <c r="C264" i="15"/>
  <c r="C233" i="15"/>
  <c r="C269" i="15"/>
  <c r="C251" i="15"/>
  <c r="C287" i="15"/>
  <c r="C231" i="15"/>
  <c r="C267" i="15"/>
  <c r="C249" i="15"/>
  <c r="C285" i="15"/>
  <c r="C232" i="15"/>
  <c r="C268" i="15"/>
  <c r="C239" i="15"/>
  <c r="C275" i="15"/>
  <c r="C266" i="15"/>
  <c r="C230" i="15"/>
  <c r="C240" i="15"/>
  <c r="C276" i="15"/>
  <c r="C247" i="15"/>
  <c r="C283" i="15"/>
  <c r="C238" i="15"/>
  <c r="C274" i="15"/>
  <c r="C229" i="15"/>
  <c r="C265" i="15"/>
  <c r="C261" i="15"/>
  <c r="C225" i="15"/>
  <c r="C226" i="15"/>
  <c r="C262" i="15"/>
  <c r="C236" i="15"/>
  <c r="C272" i="15"/>
  <c r="C250" i="15"/>
  <c r="C286" i="15"/>
  <c r="C237" i="15"/>
  <c r="C273" i="15"/>
  <c r="C244" i="15"/>
  <c r="C280" i="15"/>
  <c r="C246" i="15"/>
  <c r="C282" i="15"/>
  <c r="C245" i="15"/>
  <c r="C281" i="15"/>
  <c r="C224" i="15"/>
  <c r="C260" i="15"/>
  <c r="X175" i="15"/>
  <c r="C242" i="15" l="1"/>
  <c r="C227" i="15"/>
  <c r="K227" i="15" s="1"/>
  <c r="X178" i="15"/>
  <c r="X176" i="15"/>
  <c r="X177" i="15"/>
  <c r="T273" i="15"/>
  <c r="P273" i="15"/>
  <c r="L273" i="15"/>
  <c r="H273" i="15"/>
  <c r="D273" i="15"/>
  <c r="W273" i="15"/>
  <c r="S273" i="15"/>
  <c r="O273" i="15"/>
  <c r="K273" i="15"/>
  <c r="G273" i="15"/>
  <c r="V273" i="15"/>
  <c r="R273" i="15"/>
  <c r="N273" i="15"/>
  <c r="J273" i="15"/>
  <c r="F273" i="15"/>
  <c r="U273" i="15"/>
  <c r="Q273" i="15"/>
  <c r="M273" i="15"/>
  <c r="I273" i="15"/>
  <c r="T274" i="15"/>
  <c r="P274" i="15"/>
  <c r="L274" i="15"/>
  <c r="H274" i="15"/>
  <c r="W274" i="15"/>
  <c r="S274" i="15"/>
  <c r="O274" i="15"/>
  <c r="K274" i="15"/>
  <c r="G274" i="15"/>
  <c r="V274" i="15"/>
  <c r="R274" i="15"/>
  <c r="N274" i="15"/>
  <c r="J274" i="15"/>
  <c r="U274" i="15"/>
  <c r="Q274" i="15"/>
  <c r="M274" i="15"/>
  <c r="I274" i="15"/>
  <c r="T285" i="15"/>
  <c r="P285" i="15"/>
  <c r="L285" i="15"/>
  <c r="H285" i="15"/>
  <c r="D285" i="15"/>
  <c r="W285" i="15"/>
  <c r="S285" i="15"/>
  <c r="O285" i="15"/>
  <c r="K285" i="15"/>
  <c r="G285" i="15"/>
  <c r="V285" i="15"/>
  <c r="R285" i="15"/>
  <c r="N285" i="15"/>
  <c r="J285" i="15"/>
  <c r="F285" i="15"/>
  <c r="U285" i="15"/>
  <c r="Q285" i="15"/>
  <c r="M285" i="15"/>
  <c r="I285" i="15"/>
  <c r="E285" i="15"/>
  <c r="T278" i="15"/>
  <c r="P278" i="15"/>
  <c r="L278" i="15"/>
  <c r="H278" i="15"/>
  <c r="D278" i="15"/>
  <c r="W278" i="15"/>
  <c r="S278" i="15"/>
  <c r="O278" i="15"/>
  <c r="K278" i="15"/>
  <c r="G278" i="15"/>
  <c r="V278" i="15"/>
  <c r="R278" i="15"/>
  <c r="N278" i="15"/>
  <c r="J278" i="15"/>
  <c r="F278" i="15"/>
  <c r="U278" i="15"/>
  <c r="Q278" i="15"/>
  <c r="M278" i="15"/>
  <c r="I278" i="15"/>
  <c r="T279" i="15"/>
  <c r="P279" i="15"/>
  <c r="L279" i="15"/>
  <c r="H279" i="15"/>
  <c r="D279" i="15"/>
  <c r="W279" i="15"/>
  <c r="S279" i="15"/>
  <c r="O279" i="15"/>
  <c r="K279" i="15"/>
  <c r="G279" i="15"/>
  <c r="V279" i="15"/>
  <c r="R279" i="15"/>
  <c r="N279" i="15"/>
  <c r="J279" i="15"/>
  <c r="F279" i="15"/>
  <c r="U279" i="15"/>
  <c r="Q279" i="15"/>
  <c r="M279" i="15"/>
  <c r="I279" i="15"/>
  <c r="W237" i="15"/>
  <c r="W57" i="15" s="1"/>
  <c r="S237" i="15"/>
  <c r="S57" i="15" s="1"/>
  <c r="O237" i="15"/>
  <c r="O57" i="15" s="1"/>
  <c r="K237" i="15"/>
  <c r="K57" i="15" s="1"/>
  <c r="G237" i="15"/>
  <c r="G57" i="15" s="1"/>
  <c r="V237" i="15"/>
  <c r="V57" i="15" s="1"/>
  <c r="R237" i="15"/>
  <c r="R57" i="15" s="1"/>
  <c r="N237" i="15"/>
  <c r="N57" i="15" s="1"/>
  <c r="J237" i="15"/>
  <c r="J57" i="15" s="1"/>
  <c r="F237" i="15"/>
  <c r="F57" i="15" s="1"/>
  <c r="U237" i="15"/>
  <c r="U57" i="15" s="1"/>
  <c r="Q237" i="15"/>
  <c r="Q57" i="15" s="1"/>
  <c r="M237" i="15"/>
  <c r="M57" i="15" s="1"/>
  <c r="I237" i="15"/>
  <c r="I57" i="15" s="1"/>
  <c r="T237" i="15"/>
  <c r="T57" i="15" s="1"/>
  <c r="P237" i="15"/>
  <c r="P57" i="15" s="1"/>
  <c r="L237" i="15"/>
  <c r="L57" i="15" s="1"/>
  <c r="H237" i="15"/>
  <c r="H57" i="15" s="1"/>
  <c r="D237" i="15"/>
  <c r="D57" i="15" s="1"/>
  <c r="T281" i="15"/>
  <c r="P281" i="15"/>
  <c r="L281" i="15"/>
  <c r="H281" i="15"/>
  <c r="W281" i="15"/>
  <c r="S281" i="15"/>
  <c r="O281" i="15"/>
  <c r="K281" i="15"/>
  <c r="G281" i="15"/>
  <c r="V281" i="15"/>
  <c r="R281" i="15"/>
  <c r="N281" i="15"/>
  <c r="J281" i="15"/>
  <c r="F281" i="15"/>
  <c r="U281" i="15"/>
  <c r="Q281" i="15"/>
  <c r="M281" i="15"/>
  <c r="I281" i="15"/>
  <c r="E281" i="15"/>
  <c r="T280" i="15"/>
  <c r="P280" i="15"/>
  <c r="L280" i="15"/>
  <c r="H280" i="15"/>
  <c r="W280" i="15"/>
  <c r="S280" i="15"/>
  <c r="O280" i="15"/>
  <c r="K280" i="15"/>
  <c r="G280" i="15"/>
  <c r="V280" i="15"/>
  <c r="R280" i="15"/>
  <c r="N280" i="15"/>
  <c r="J280" i="15"/>
  <c r="F280" i="15"/>
  <c r="U280" i="15"/>
  <c r="Q280" i="15"/>
  <c r="M280" i="15"/>
  <c r="I280" i="15"/>
  <c r="E280" i="15"/>
  <c r="T262" i="15"/>
  <c r="P262" i="15"/>
  <c r="L262" i="15"/>
  <c r="H262" i="15"/>
  <c r="W262" i="15"/>
  <c r="S262" i="15"/>
  <c r="O262" i="15"/>
  <c r="K262" i="15"/>
  <c r="G262" i="15"/>
  <c r="V262" i="15"/>
  <c r="R262" i="15"/>
  <c r="N262" i="15"/>
  <c r="J262" i="15"/>
  <c r="F262" i="15"/>
  <c r="U262" i="15"/>
  <c r="Q262" i="15"/>
  <c r="M262" i="15"/>
  <c r="I262" i="15"/>
  <c r="T283" i="15"/>
  <c r="P283" i="15"/>
  <c r="L283" i="15"/>
  <c r="H283" i="15"/>
  <c r="D283" i="15"/>
  <c r="W283" i="15"/>
  <c r="S283" i="15"/>
  <c r="O283" i="15"/>
  <c r="K283" i="15"/>
  <c r="G283" i="15"/>
  <c r="V283" i="15"/>
  <c r="R283" i="15"/>
  <c r="N283" i="15"/>
  <c r="J283" i="15"/>
  <c r="F283" i="15"/>
  <c r="U283" i="15"/>
  <c r="Q283" i="15"/>
  <c r="M283" i="15"/>
  <c r="I283" i="15"/>
  <c r="E283" i="15"/>
  <c r="T268" i="15"/>
  <c r="P268" i="15"/>
  <c r="L268" i="15"/>
  <c r="H268" i="15"/>
  <c r="W268" i="15"/>
  <c r="S268" i="15"/>
  <c r="O268" i="15"/>
  <c r="K268" i="15"/>
  <c r="G268" i="15"/>
  <c r="V268" i="15"/>
  <c r="R268" i="15"/>
  <c r="N268" i="15"/>
  <c r="J268" i="15"/>
  <c r="F268" i="15"/>
  <c r="U268" i="15"/>
  <c r="Q268" i="15"/>
  <c r="M268" i="15"/>
  <c r="I268" i="15"/>
  <c r="U245" i="15"/>
  <c r="U65" i="15" s="1"/>
  <c r="Q245" i="15"/>
  <c r="Q65" i="15" s="1"/>
  <c r="M245" i="15"/>
  <c r="M65" i="15" s="1"/>
  <c r="I245" i="15"/>
  <c r="I65" i="15" s="1"/>
  <c r="E245" i="15"/>
  <c r="E65" i="15" s="1"/>
  <c r="T245" i="15"/>
  <c r="T65" i="15" s="1"/>
  <c r="P245" i="15"/>
  <c r="P65" i="15" s="1"/>
  <c r="L245" i="15"/>
  <c r="L65" i="15" s="1"/>
  <c r="H245" i="15"/>
  <c r="H65" i="15" s="1"/>
  <c r="W245" i="15"/>
  <c r="W65" i="15" s="1"/>
  <c r="S245" i="15"/>
  <c r="S65" i="15" s="1"/>
  <c r="O245" i="15"/>
  <c r="O65" i="15" s="1"/>
  <c r="K245" i="15"/>
  <c r="K65" i="15" s="1"/>
  <c r="G245" i="15"/>
  <c r="G65" i="15" s="1"/>
  <c r="V245" i="15"/>
  <c r="V65" i="15" s="1"/>
  <c r="R245" i="15"/>
  <c r="R65" i="15" s="1"/>
  <c r="N245" i="15"/>
  <c r="N65" i="15" s="1"/>
  <c r="J245" i="15"/>
  <c r="J65" i="15" s="1"/>
  <c r="F245" i="15"/>
  <c r="F65" i="15" s="1"/>
  <c r="U244" i="15"/>
  <c r="U64" i="15" s="1"/>
  <c r="Q244" i="15"/>
  <c r="Q64" i="15" s="1"/>
  <c r="M244" i="15"/>
  <c r="M64" i="15" s="1"/>
  <c r="I244" i="15"/>
  <c r="I64" i="15" s="1"/>
  <c r="E244" i="15"/>
  <c r="E64" i="15" s="1"/>
  <c r="T244" i="15"/>
  <c r="T64" i="15" s="1"/>
  <c r="P244" i="15"/>
  <c r="P64" i="15" s="1"/>
  <c r="L244" i="15"/>
  <c r="L64" i="15" s="1"/>
  <c r="H244" i="15"/>
  <c r="H64" i="15" s="1"/>
  <c r="W244" i="15"/>
  <c r="W64" i="15" s="1"/>
  <c r="S244" i="15"/>
  <c r="S64" i="15" s="1"/>
  <c r="O244" i="15"/>
  <c r="O64" i="15" s="1"/>
  <c r="K244" i="15"/>
  <c r="K64" i="15" s="1"/>
  <c r="G244" i="15"/>
  <c r="G64" i="15" s="1"/>
  <c r="V244" i="15"/>
  <c r="V64" i="15" s="1"/>
  <c r="R244" i="15"/>
  <c r="R64" i="15" s="1"/>
  <c r="N244" i="15"/>
  <c r="N64" i="15" s="1"/>
  <c r="J244" i="15"/>
  <c r="J64" i="15" s="1"/>
  <c r="F244" i="15"/>
  <c r="F64" i="15" s="1"/>
  <c r="U250" i="15"/>
  <c r="U70" i="15" s="1"/>
  <c r="Q250" i="15"/>
  <c r="Q70" i="15" s="1"/>
  <c r="M250" i="15"/>
  <c r="M70" i="15" s="1"/>
  <c r="I250" i="15"/>
  <c r="I70" i="15" s="1"/>
  <c r="E250" i="15"/>
  <c r="E70" i="15" s="1"/>
  <c r="T250" i="15"/>
  <c r="T70" i="15" s="1"/>
  <c r="P250" i="15"/>
  <c r="P70" i="15" s="1"/>
  <c r="L250" i="15"/>
  <c r="L70" i="15" s="1"/>
  <c r="H250" i="15"/>
  <c r="H70" i="15" s="1"/>
  <c r="D250" i="15"/>
  <c r="D70" i="15" s="1"/>
  <c r="W250" i="15"/>
  <c r="W70" i="15" s="1"/>
  <c r="S250" i="15"/>
  <c r="S70" i="15" s="1"/>
  <c r="O250" i="15"/>
  <c r="O70" i="15" s="1"/>
  <c r="K250" i="15"/>
  <c r="K70" i="15" s="1"/>
  <c r="G250" i="15"/>
  <c r="G70" i="15" s="1"/>
  <c r="V250" i="15"/>
  <c r="V70" i="15" s="1"/>
  <c r="R250" i="15"/>
  <c r="R70" i="15" s="1"/>
  <c r="N250" i="15"/>
  <c r="N70" i="15" s="1"/>
  <c r="J250" i="15"/>
  <c r="J70" i="15" s="1"/>
  <c r="F250" i="15"/>
  <c r="F70" i="15" s="1"/>
  <c r="W226" i="15"/>
  <c r="W46" i="15" s="1"/>
  <c r="S226" i="15"/>
  <c r="S46" i="15" s="1"/>
  <c r="O226" i="15"/>
  <c r="O46" i="15" s="1"/>
  <c r="K226" i="15"/>
  <c r="K46" i="15" s="1"/>
  <c r="G226" i="15"/>
  <c r="G46" i="15" s="1"/>
  <c r="V226" i="15"/>
  <c r="V46" i="15" s="1"/>
  <c r="R226" i="15"/>
  <c r="R46" i="15" s="1"/>
  <c r="N226" i="15"/>
  <c r="N46" i="15" s="1"/>
  <c r="J226" i="15"/>
  <c r="J46" i="15" s="1"/>
  <c r="F226" i="15"/>
  <c r="F46" i="15" s="1"/>
  <c r="U226" i="15"/>
  <c r="U46" i="15" s="1"/>
  <c r="Q226" i="15"/>
  <c r="Q46" i="15" s="1"/>
  <c r="M226" i="15"/>
  <c r="M46" i="15" s="1"/>
  <c r="I226" i="15"/>
  <c r="I46" i="15" s="1"/>
  <c r="T226" i="15"/>
  <c r="T46" i="15" s="1"/>
  <c r="P226" i="15"/>
  <c r="P46" i="15" s="1"/>
  <c r="L226" i="15"/>
  <c r="L46" i="15" s="1"/>
  <c r="H226" i="15"/>
  <c r="H46" i="15" s="1"/>
  <c r="W229" i="15"/>
  <c r="W49" i="15" s="1"/>
  <c r="S229" i="15"/>
  <c r="S49" i="15" s="1"/>
  <c r="O229" i="15"/>
  <c r="O49" i="15" s="1"/>
  <c r="K229" i="15"/>
  <c r="K49" i="15" s="1"/>
  <c r="G229" i="15"/>
  <c r="G49" i="15" s="1"/>
  <c r="V229" i="15"/>
  <c r="V49" i="15" s="1"/>
  <c r="R229" i="15"/>
  <c r="R49" i="15" s="1"/>
  <c r="N229" i="15"/>
  <c r="N49" i="15" s="1"/>
  <c r="J229" i="15"/>
  <c r="J49" i="15" s="1"/>
  <c r="F229" i="15"/>
  <c r="F49" i="15" s="1"/>
  <c r="U229" i="15"/>
  <c r="U49" i="15" s="1"/>
  <c r="Q229" i="15"/>
  <c r="Q49" i="15" s="1"/>
  <c r="M229" i="15"/>
  <c r="M49" i="15" s="1"/>
  <c r="I229" i="15"/>
  <c r="I49" i="15" s="1"/>
  <c r="E229" i="15"/>
  <c r="E49" i="15" s="1"/>
  <c r="T229" i="15"/>
  <c r="T49" i="15" s="1"/>
  <c r="P229" i="15"/>
  <c r="P49" i="15" s="1"/>
  <c r="L229" i="15"/>
  <c r="L49" i="15" s="1"/>
  <c r="H229" i="15"/>
  <c r="H49" i="15" s="1"/>
  <c r="U247" i="15"/>
  <c r="U67" i="15" s="1"/>
  <c r="Q247" i="15"/>
  <c r="Q67" i="15" s="1"/>
  <c r="M247" i="15"/>
  <c r="M67" i="15" s="1"/>
  <c r="I247" i="15"/>
  <c r="I67" i="15" s="1"/>
  <c r="E247" i="15"/>
  <c r="E67" i="15" s="1"/>
  <c r="T247" i="15"/>
  <c r="T67" i="15" s="1"/>
  <c r="P247" i="15"/>
  <c r="P67" i="15" s="1"/>
  <c r="L247" i="15"/>
  <c r="L67" i="15" s="1"/>
  <c r="H247" i="15"/>
  <c r="H67" i="15" s="1"/>
  <c r="D247" i="15"/>
  <c r="D67" i="15" s="1"/>
  <c r="W247" i="15"/>
  <c r="W67" i="15" s="1"/>
  <c r="S247" i="15"/>
  <c r="S67" i="15" s="1"/>
  <c r="O247" i="15"/>
  <c r="O67" i="15" s="1"/>
  <c r="K247" i="15"/>
  <c r="K67" i="15" s="1"/>
  <c r="G247" i="15"/>
  <c r="G67" i="15" s="1"/>
  <c r="V247" i="15"/>
  <c r="V67" i="15" s="1"/>
  <c r="R247" i="15"/>
  <c r="R67" i="15" s="1"/>
  <c r="N247" i="15"/>
  <c r="N67" i="15" s="1"/>
  <c r="J247" i="15"/>
  <c r="J67" i="15" s="1"/>
  <c r="F247" i="15"/>
  <c r="F67" i="15" s="1"/>
  <c r="T266" i="15"/>
  <c r="P266" i="15"/>
  <c r="L266" i="15"/>
  <c r="H266" i="15"/>
  <c r="W266" i="15"/>
  <c r="S266" i="15"/>
  <c r="O266" i="15"/>
  <c r="K266" i="15"/>
  <c r="G266" i="15"/>
  <c r="V266" i="15"/>
  <c r="R266" i="15"/>
  <c r="N266" i="15"/>
  <c r="J266" i="15"/>
  <c r="F266" i="15"/>
  <c r="U266" i="15"/>
  <c r="Q266" i="15"/>
  <c r="M266" i="15"/>
  <c r="I266" i="15"/>
  <c r="E266" i="15"/>
  <c r="W232" i="15"/>
  <c r="W52" i="15" s="1"/>
  <c r="S232" i="15"/>
  <c r="S52" i="15" s="1"/>
  <c r="O232" i="15"/>
  <c r="O52" i="15" s="1"/>
  <c r="K232" i="15"/>
  <c r="K52" i="15" s="1"/>
  <c r="G232" i="15"/>
  <c r="G52" i="15" s="1"/>
  <c r="V232" i="15"/>
  <c r="V52" i="15" s="1"/>
  <c r="R232" i="15"/>
  <c r="R52" i="15" s="1"/>
  <c r="N232" i="15"/>
  <c r="N52" i="15" s="1"/>
  <c r="J232" i="15"/>
  <c r="J52" i="15" s="1"/>
  <c r="F232" i="15"/>
  <c r="F52" i="15" s="1"/>
  <c r="U232" i="15"/>
  <c r="U52" i="15" s="1"/>
  <c r="Q232" i="15"/>
  <c r="Q52" i="15" s="1"/>
  <c r="M232" i="15"/>
  <c r="M52" i="15" s="1"/>
  <c r="I232" i="15"/>
  <c r="I52" i="15" s="1"/>
  <c r="T232" i="15"/>
  <c r="T52" i="15" s="1"/>
  <c r="P232" i="15"/>
  <c r="P52" i="15" s="1"/>
  <c r="L232" i="15"/>
  <c r="L52" i="15" s="1"/>
  <c r="H232" i="15"/>
  <c r="H52" i="15" s="1"/>
  <c r="W231" i="15"/>
  <c r="W51" i="15" s="1"/>
  <c r="S231" i="15"/>
  <c r="S51" i="15" s="1"/>
  <c r="O231" i="15"/>
  <c r="O51" i="15" s="1"/>
  <c r="K231" i="15"/>
  <c r="K51" i="15" s="1"/>
  <c r="G231" i="15"/>
  <c r="G51" i="15" s="1"/>
  <c r="V231" i="15"/>
  <c r="V51" i="15" s="1"/>
  <c r="R231" i="15"/>
  <c r="R51" i="15" s="1"/>
  <c r="N231" i="15"/>
  <c r="N51" i="15" s="1"/>
  <c r="J231" i="15"/>
  <c r="J51" i="15" s="1"/>
  <c r="F231" i="15"/>
  <c r="F51" i="15" s="1"/>
  <c r="U231" i="15"/>
  <c r="U51" i="15" s="1"/>
  <c r="Q231" i="15"/>
  <c r="Q51" i="15" s="1"/>
  <c r="M231" i="15"/>
  <c r="M51" i="15" s="1"/>
  <c r="I231" i="15"/>
  <c r="I51" i="15" s="1"/>
  <c r="T231" i="15"/>
  <c r="T51" i="15" s="1"/>
  <c r="P231" i="15"/>
  <c r="P51" i="15" s="1"/>
  <c r="L231" i="15"/>
  <c r="L51" i="15" s="1"/>
  <c r="H231" i="15"/>
  <c r="H51" i="15" s="1"/>
  <c r="W233" i="15"/>
  <c r="W53" i="15" s="1"/>
  <c r="S233" i="15"/>
  <c r="S53" i="15" s="1"/>
  <c r="O233" i="15"/>
  <c r="O53" i="15" s="1"/>
  <c r="K233" i="15"/>
  <c r="K53" i="15" s="1"/>
  <c r="G233" i="15"/>
  <c r="G53" i="15" s="1"/>
  <c r="V233" i="15"/>
  <c r="V53" i="15" s="1"/>
  <c r="R233" i="15"/>
  <c r="R53" i="15" s="1"/>
  <c r="N233" i="15"/>
  <c r="N53" i="15" s="1"/>
  <c r="J233" i="15"/>
  <c r="J53" i="15" s="1"/>
  <c r="F233" i="15"/>
  <c r="F53" i="15" s="1"/>
  <c r="U233" i="15"/>
  <c r="U53" i="15" s="1"/>
  <c r="Q233" i="15"/>
  <c r="Q53" i="15" s="1"/>
  <c r="M233" i="15"/>
  <c r="M53" i="15" s="1"/>
  <c r="I233" i="15"/>
  <c r="I53" i="15" s="1"/>
  <c r="T233" i="15"/>
  <c r="T53" i="15" s="1"/>
  <c r="P233" i="15"/>
  <c r="P53" i="15" s="1"/>
  <c r="L233" i="15"/>
  <c r="L53" i="15" s="1"/>
  <c r="H233" i="15"/>
  <c r="H53" i="15" s="1"/>
  <c r="V223" i="15"/>
  <c r="V43" i="15" s="1"/>
  <c r="R223" i="15"/>
  <c r="R43" i="15" s="1"/>
  <c r="N223" i="15"/>
  <c r="N43" i="15" s="1"/>
  <c r="J223" i="15"/>
  <c r="J43" i="15" s="1"/>
  <c r="U223" i="15"/>
  <c r="U43" i="15" s="1"/>
  <c r="Q223" i="15"/>
  <c r="Q43" i="15" s="1"/>
  <c r="M223" i="15"/>
  <c r="M43" i="15" s="1"/>
  <c r="I223" i="15"/>
  <c r="I43" i="15" s="1"/>
  <c r="T223" i="15"/>
  <c r="T43" i="15" s="1"/>
  <c r="P223" i="15"/>
  <c r="P43" i="15" s="1"/>
  <c r="L223" i="15"/>
  <c r="L43" i="15" s="1"/>
  <c r="W223" i="15"/>
  <c r="W43" i="15" s="1"/>
  <c r="S223" i="15"/>
  <c r="S43" i="15" s="1"/>
  <c r="O223" i="15"/>
  <c r="O43" i="15" s="1"/>
  <c r="K223" i="15"/>
  <c r="K43" i="15" s="1"/>
  <c r="T271" i="15"/>
  <c r="P271" i="15"/>
  <c r="L271" i="15"/>
  <c r="H271" i="15"/>
  <c r="W271" i="15"/>
  <c r="S271" i="15"/>
  <c r="O271" i="15"/>
  <c r="K271" i="15"/>
  <c r="G271" i="15"/>
  <c r="V271" i="15"/>
  <c r="R271" i="15"/>
  <c r="N271" i="15"/>
  <c r="J271" i="15"/>
  <c r="F271" i="15"/>
  <c r="U271" i="15"/>
  <c r="Q271" i="15"/>
  <c r="M271" i="15"/>
  <c r="I271" i="15"/>
  <c r="W234" i="15"/>
  <c r="W54" i="15" s="1"/>
  <c r="S234" i="15"/>
  <c r="S54" i="15" s="1"/>
  <c r="O234" i="15"/>
  <c r="O54" i="15" s="1"/>
  <c r="K234" i="15"/>
  <c r="K54" i="15" s="1"/>
  <c r="G234" i="15"/>
  <c r="G54" i="15" s="1"/>
  <c r="V234" i="15"/>
  <c r="V54" i="15" s="1"/>
  <c r="R234" i="15"/>
  <c r="R54" i="15" s="1"/>
  <c r="N234" i="15"/>
  <c r="N54" i="15" s="1"/>
  <c r="J234" i="15"/>
  <c r="J54" i="15" s="1"/>
  <c r="F234" i="15"/>
  <c r="F54" i="15" s="1"/>
  <c r="U234" i="15"/>
  <c r="U54" i="15" s="1"/>
  <c r="Q234" i="15"/>
  <c r="Q54" i="15" s="1"/>
  <c r="M234" i="15"/>
  <c r="M54" i="15" s="1"/>
  <c r="I234" i="15"/>
  <c r="I54" i="15" s="1"/>
  <c r="T234" i="15"/>
  <c r="T54" i="15" s="1"/>
  <c r="P234" i="15"/>
  <c r="P54" i="15" s="1"/>
  <c r="L234" i="15"/>
  <c r="L54" i="15" s="1"/>
  <c r="H234" i="15"/>
  <c r="H54" i="15" s="1"/>
  <c r="U248" i="15"/>
  <c r="U68" i="15" s="1"/>
  <c r="Q248" i="15"/>
  <c r="Q68" i="15" s="1"/>
  <c r="M248" i="15"/>
  <c r="M68" i="15" s="1"/>
  <c r="I248" i="15"/>
  <c r="I68" i="15" s="1"/>
  <c r="E248" i="15"/>
  <c r="E68" i="15" s="1"/>
  <c r="T248" i="15"/>
  <c r="T68" i="15" s="1"/>
  <c r="P248" i="15"/>
  <c r="P68" i="15" s="1"/>
  <c r="L248" i="15"/>
  <c r="L68" i="15" s="1"/>
  <c r="H248" i="15"/>
  <c r="H68" i="15" s="1"/>
  <c r="D248" i="15"/>
  <c r="D68" i="15" s="1"/>
  <c r="W248" i="15"/>
  <c r="W68" i="15" s="1"/>
  <c r="S248" i="15"/>
  <c r="S68" i="15" s="1"/>
  <c r="O248" i="15"/>
  <c r="O68" i="15" s="1"/>
  <c r="K248" i="15"/>
  <c r="K68" i="15" s="1"/>
  <c r="G248" i="15"/>
  <c r="G68" i="15" s="1"/>
  <c r="V248" i="15"/>
  <c r="V68" i="15" s="1"/>
  <c r="R248" i="15"/>
  <c r="R68" i="15" s="1"/>
  <c r="N248" i="15"/>
  <c r="N68" i="15" s="1"/>
  <c r="J248" i="15"/>
  <c r="J68" i="15" s="1"/>
  <c r="F248" i="15"/>
  <c r="F68" i="15" s="1"/>
  <c r="U222" i="15"/>
  <c r="U42" i="15" s="1"/>
  <c r="Q222" i="15"/>
  <c r="Q42" i="15" s="1"/>
  <c r="M222" i="15"/>
  <c r="M42" i="15" s="1"/>
  <c r="T222" i="15"/>
  <c r="T42" i="15" s="1"/>
  <c r="P222" i="15"/>
  <c r="P42" i="15" s="1"/>
  <c r="L222" i="15"/>
  <c r="L42" i="15" s="1"/>
  <c r="W222" i="15"/>
  <c r="W42" i="15" s="1"/>
  <c r="S222" i="15"/>
  <c r="S42" i="15" s="1"/>
  <c r="O222" i="15"/>
  <c r="O42" i="15" s="1"/>
  <c r="K222" i="15"/>
  <c r="K42" i="15" s="1"/>
  <c r="V222" i="15"/>
  <c r="V42" i="15" s="1"/>
  <c r="R222" i="15"/>
  <c r="R42" i="15" s="1"/>
  <c r="N222" i="15"/>
  <c r="N42" i="15" s="1"/>
  <c r="J222" i="15"/>
  <c r="J42" i="15" s="1"/>
  <c r="U206" i="15"/>
  <c r="Q206" i="15"/>
  <c r="M206" i="15"/>
  <c r="I206" i="15"/>
  <c r="T206" i="15"/>
  <c r="P206" i="15"/>
  <c r="L206" i="15"/>
  <c r="H206" i="15"/>
  <c r="D206" i="15"/>
  <c r="W206" i="15"/>
  <c r="O206" i="15"/>
  <c r="G206" i="15"/>
  <c r="V206" i="15"/>
  <c r="N206" i="15"/>
  <c r="F206" i="15"/>
  <c r="S206" i="15"/>
  <c r="K206" i="15"/>
  <c r="R206" i="15"/>
  <c r="J206" i="15"/>
  <c r="T260" i="15"/>
  <c r="P260" i="15"/>
  <c r="L260" i="15"/>
  <c r="W260" i="15"/>
  <c r="S260" i="15"/>
  <c r="O260" i="15"/>
  <c r="K260" i="15"/>
  <c r="V260" i="15"/>
  <c r="R260" i="15"/>
  <c r="N260" i="15"/>
  <c r="J260" i="15"/>
  <c r="U260" i="15"/>
  <c r="Q260" i="15"/>
  <c r="M260" i="15"/>
  <c r="I260" i="15"/>
  <c r="T272" i="15"/>
  <c r="P272" i="15"/>
  <c r="L272" i="15"/>
  <c r="H272" i="15"/>
  <c r="D272" i="15"/>
  <c r="W272" i="15"/>
  <c r="S272" i="15"/>
  <c r="O272" i="15"/>
  <c r="K272" i="15"/>
  <c r="G272" i="15"/>
  <c r="V272" i="15"/>
  <c r="R272" i="15"/>
  <c r="N272" i="15"/>
  <c r="J272" i="15"/>
  <c r="U272" i="15"/>
  <c r="Q272" i="15"/>
  <c r="M272" i="15"/>
  <c r="I272" i="15"/>
  <c r="T276" i="15"/>
  <c r="P276" i="15"/>
  <c r="L276" i="15"/>
  <c r="H276" i="15"/>
  <c r="W276" i="15"/>
  <c r="S276" i="15"/>
  <c r="O276" i="15"/>
  <c r="K276" i="15"/>
  <c r="G276" i="15"/>
  <c r="V276" i="15"/>
  <c r="R276" i="15"/>
  <c r="N276" i="15"/>
  <c r="J276" i="15"/>
  <c r="F276" i="15"/>
  <c r="U276" i="15"/>
  <c r="Q276" i="15"/>
  <c r="M276" i="15"/>
  <c r="I276" i="15"/>
  <c r="T287" i="15"/>
  <c r="P287" i="15"/>
  <c r="L287" i="15"/>
  <c r="W287" i="15"/>
  <c r="S287" i="15"/>
  <c r="O287" i="15"/>
  <c r="K287" i="15"/>
  <c r="V287" i="15"/>
  <c r="R287" i="15"/>
  <c r="N287" i="15"/>
  <c r="J287" i="15"/>
  <c r="U287" i="15"/>
  <c r="Q287" i="15"/>
  <c r="M287" i="15"/>
  <c r="I287" i="15"/>
  <c r="E287" i="15"/>
  <c r="W235" i="15"/>
  <c r="W55" i="15" s="1"/>
  <c r="S235" i="15"/>
  <c r="S55" i="15" s="1"/>
  <c r="O235" i="15"/>
  <c r="O55" i="15" s="1"/>
  <c r="K235" i="15"/>
  <c r="K55" i="15" s="1"/>
  <c r="G235" i="15"/>
  <c r="G55" i="15" s="1"/>
  <c r="V235" i="15"/>
  <c r="V55" i="15" s="1"/>
  <c r="R235" i="15"/>
  <c r="R55" i="15" s="1"/>
  <c r="N235" i="15"/>
  <c r="N55" i="15" s="1"/>
  <c r="J235" i="15"/>
  <c r="J55" i="15" s="1"/>
  <c r="F235" i="15"/>
  <c r="F55" i="15" s="1"/>
  <c r="U235" i="15"/>
  <c r="U55" i="15" s="1"/>
  <c r="Q235" i="15"/>
  <c r="Q55" i="15" s="1"/>
  <c r="M235" i="15"/>
  <c r="M55" i="15" s="1"/>
  <c r="I235" i="15"/>
  <c r="I55" i="15" s="1"/>
  <c r="T235" i="15"/>
  <c r="T55" i="15" s="1"/>
  <c r="P235" i="15"/>
  <c r="P55" i="15" s="1"/>
  <c r="L235" i="15"/>
  <c r="L55" i="15" s="1"/>
  <c r="H235" i="15"/>
  <c r="H55" i="15" s="1"/>
  <c r="U246" i="15"/>
  <c r="U66" i="15" s="1"/>
  <c r="Q246" i="15"/>
  <c r="Q66" i="15" s="1"/>
  <c r="M246" i="15"/>
  <c r="M66" i="15" s="1"/>
  <c r="I246" i="15"/>
  <c r="I66" i="15" s="1"/>
  <c r="E246" i="15"/>
  <c r="E66" i="15" s="1"/>
  <c r="T246" i="15"/>
  <c r="T66" i="15" s="1"/>
  <c r="P246" i="15"/>
  <c r="P66" i="15" s="1"/>
  <c r="L246" i="15"/>
  <c r="L66" i="15" s="1"/>
  <c r="H246" i="15"/>
  <c r="H66" i="15" s="1"/>
  <c r="D246" i="15"/>
  <c r="D66" i="15" s="1"/>
  <c r="W246" i="15"/>
  <c r="W66" i="15" s="1"/>
  <c r="S246" i="15"/>
  <c r="S66" i="15" s="1"/>
  <c r="O246" i="15"/>
  <c r="O66" i="15" s="1"/>
  <c r="K246" i="15"/>
  <c r="K66" i="15" s="1"/>
  <c r="G246" i="15"/>
  <c r="G66" i="15" s="1"/>
  <c r="V246" i="15"/>
  <c r="V66" i="15" s="1"/>
  <c r="R246" i="15"/>
  <c r="R66" i="15" s="1"/>
  <c r="N246" i="15"/>
  <c r="N66" i="15" s="1"/>
  <c r="J246" i="15"/>
  <c r="J66" i="15" s="1"/>
  <c r="F246" i="15"/>
  <c r="F66" i="15" s="1"/>
  <c r="W236" i="15"/>
  <c r="W56" i="15" s="1"/>
  <c r="S236" i="15"/>
  <c r="S56" i="15" s="1"/>
  <c r="O236" i="15"/>
  <c r="O56" i="15" s="1"/>
  <c r="K236" i="15"/>
  <c r="K56" i="15" s="1"/>
  <c r="G236" i="15"/>
  <c r="G56" i="15" s="1"/>
  <c r="V236" i="15"/>
  <c r="V56" i="15" s="1"/>
  <c r="R236" i="15"/>
  <c r="R56" i="15" s="1"/>
  <c r="N236" i="15"/>
  <c r="N56" i="15" s="1"/>
  <c r="J236" i="15"/>
  <c r="J56" i="15" s="1"/>
  <c r="U236" i="15"/>
  <c r="U56" i="15" s="1"/>
  <c r="Q236" i="15"/>
  <c r="Q56" i="15" s="1"/>
  <c r="M236" i="15"/>
  <c r="M56" i="15" s="1"/>
  <c r="I236" i="15"/>
  <c r="I56" i="15" s="1"/>
  <c r="T236" i="15"/>
  <c r="T56" i="15" s="1"/>
  <c r="P236" i="15"/>
  <c r="P56" i="15" s="1"/>
  <c r="L236" i="15"/>
  <c r="L56" i="15" s="1"/>
  <c r="H236" i="15"/>
  <c r="H56" i="15" s="1"/>
  <c r="D236" i="15"/>
  <c r="D56" i="15" s="1"/>
  <c r="T261" i="15"/>
  <c r="P261" i="15"/>
  <c r="L261" i="15"/>
  <c r="W261" i="15"/>
  <c r="S261" i="15"/>
  <c r="O261" i="15"/>
  <c r="K261" i="15"/>
  <c r="G261" i="15"/>
  <c r="V261" i="15"/>
  <c r="R261" i="15"/>
  <c r="N261" i="15"/>
  <c r="J261" i="15"/>
  <c r="U261" i="15"/>
  <c r="Q261" i="15"/>
  <c r="M261" i="15"/>
  <c r="I261" i="15"/>
  <c r="W238" i="15"/>
  <c r="W58" i="15" s="1"/>
  <c r="S238" i="15"/>
  <c r="S58" i="15" s="1"/>
  <c r="O238" i="15"/>
  <c r="O58" i="15" s="1"/>
  <c r="K238" i="15"/>
  <c r="K58" i="15" s="1"/>
  <c r="G238" i="15"/>
  <c r="G58" i="15" s="1"/>
  <c r="V238" i="15"/>
  <c r="V58" i="15" s="1"/>
  <c r="R238" i="15"/>
  <c r="R58" i="15" s="1"/>
  <c r="N238" i="15"/>
  <c r="N58" i="15" s="1"/>
  <c r="J238" i="15"/>
  <c r="J58" i="15" s="1"/>
  <c r="U238" i="15"/>
  <c r="U58" i="15" s="1"/>
  <c r="Q238" i="15"/>
  <c r="Q58" i="15" s="1"/>
  <c r="M238" i="15"/>
  <c r="M58" i="15" s="1"/>
  <c r="I238" i="15"/>
  <c r="I58" i="15" s="1"/>
  <c r="T238" i="15"/>
  <c r="T58" i="15" s="1"/>
  <c r="P238" i="15"/>
  <c r="P58" i="15" s="1"/>
  <c r="L238" i="15"/>
  <c r="L58" i="15" s="1"/>
  <c r="H238" i="15"/>
  <c r="H58" i="15" s="1"/>
  <c r="T240" i="15"/>
  <c r="T60" i="15" s="1"/>
  <c r="W240" i="15"/>
  <c r="W60" i="15" s="1"/>
  <c r="V240" i="15"/>
  <c r="V60" i="15" s="1"/>
  <c r="S240" i="15"/>
  <c r="S60" i="15" s="1"/>
  <c r="O240" i="15"/>
  <c r="O60" i="15" s="1"/>
  <c r="K240" i="15"/>
  <c r="K60" i="15" s="1"/>
  <c r="G240" i="15"/>
  <c r="G60" i="15" s="1"/>
  <c r="R240" i="15"/>
  <c r="R60" i="15" s="1"/>
  <c r="N240" i="15"/>
  <c r="N60" i="15" s="1"/>
  <c r="J240" i="15"/>
  <c r="J60" i="15" s="1"/>
  <c r="F240" i="15"/>
  <c r="F60" i="15" s="1"/>
  <c r="Q240" i="15"/>
  <c r="Q60" i="15" s="1"/>
  <c r="M240" i="15"/>
  <c r="M60" i="15" s="1"/>
  <c r="I240" i="15"/>
  <c r="I60" i="15" s="1"/>
  <c r="U240" i="15"/>
  <c r="U60" i="15" s="1"/>
  <c r="P240" i="15"/>
  <c r="P60" i="15" s="1"/>
  <c r="L240" i="15"/>
  <c r="L60" i="15" s="1"/>
  <c r="H240" i="15"/>
  <c r="H60" i="15" s="1"/>
  <c r="W239" i="15"/>
  <c r="W59" i="15" s="1"/>
  <c r="S239" i="15"/>
  <c r="S59" i="15" s="1"/>
  <c r="O239" i="15"/>
  <c r="O59" i="15" s="1"/>
  <c r="K239" i="15"/>
  <c r="K59" i="15" s="1"/>
  <c r="G239" i="15"/>
  <c r="G59" i="15" s="1"/>
  <c r="V239" i="15"/>
  <c r="V59" i="15" s="1"/>
  <c r="R239" i="15"/>
  <c r="R59" i="15" s="1"/>
  <c r="N239" i="15"/>
  <c r="N59" i="15" s="1"/>
  <c r="J239" i="15"/>
  <c r="J59" i="15" s="1"/>
  <c r="U239" i="15"/>
  <c r="U59" i="15" s="1"/>
  <c r="Q239" i="15"/>
  <c r="Q59" i="15" s="1"/>
  <c r="M239" i="15"/>
  <c r="M59" i="15" s="1"/>
  <c r="I239" i="15"/>
  <c r="I59" i="15" s="1"/>
  <c r="E239" i="15"/>
  <c r="E59" i="15" s="1"/>
  <c r="T239" i="15"/>
  <c r="T59" i="15" s="1"/>
  <c r="P239" i="15"/>
  <c r="P59" i="15" s="1"/>
  <c r="L239" i="15"/>
  <c r="L59" i="15" s="1"/>
  <c r="H239" i="15"/>
  <c r="H59" i="15" s="1"/>
  <c r="U249" i="15"/>
  <c r="U69" i="15" s="1"/>
  <c r="Q249" i="15"/>
  <c r="Q69" i="15" s="1"/>
  <c r="M249" i="15"/>
  <c r="M69" i="15" s="1"/>
  <c r="I249" i="15"/>
  <c r="I69" i="15" s="1"/>
  <c r="E249" i="15"/>
  <c r="E69" i="15" s="1"/>
  <c r="T249" i="15"/>
  <c r="T69" i="15" s="1"/>
  <c r="P249" i="15"/>
  <c r="P69" i="15" s="1"/>
  <c r="L249" i="15"/>
  <c r="L69" i="15" s="1"/>
  <c r="H249" i="15"/>
  <c r="H69" i="15" s="1"/>
  <c r="D249" i="15"/>
  <c r="D69" i="15" s="1"/>
  <c r="W249" i="15"/>
  <c r="W69" i="15" s="1"/>
  <c r="S249" i="15"/>
  <c r="S69" i="15" s="1"/>
  <c r="O249" i="15"/>
  <c r="O69" i="15" s="1"/>
  <c r="K249" i="15"/>
  <c r="K69" i="15" s="1"/>
  <c r="G249" i="15"/>
  <c r="G69" i="15" s="1"/>
  <c r="V249" i="15"/>
  <c r="V69" i="15" s="1"/>
  <c r="R249" i="15"/>
  <c r="R69" i="15" s="1"/>
  <c r="N249" i="15"/>
  <c r="N69" i="15" s="1"/>
  <c r="J249" i="15"/>
  <c r="J69" i="15" s="1"/>
  <c r="F249" i="15"/>
  <c r="F69" i="15" s="1"/>
  <c r="U251" i="15"/>
  <c r="U71" i="15" s="1"/>
  <c r="Q251" i="15"/>
  <c r="Q71" i="15" s="1"/>
  <c r="M251" i="15"/>
  <c r="M71" i="15" s="1"/>
  <c r="I251" i="15"/>
  <c r="I71" i="15" s="1"/>
  <c r="E251" i="15"/>
  <c r="E71" i="15" s="1"/>
  <c r="T251" i="15"/>
  <c r="T71" i="15" s="1"/>
  <c r="P251" i="15"/>
  <c r="P71" i="15" s="1"/>
  <c r="L251" i="15"/>
  <c r="L71" i="15" s="1"/>
  <c r="W251" i="15"/>
  <c r="W71" i="15" s="1"/>
  <c r="S251" i="15"/>
  <c r="S71" i="15" s="1"/>
  <c r="O251" i="15"/>
  <c r="O71" i="15" s="1"/>
  <c r="K251" i="15"/>
  <c r="K71" i="15" s="1"/>
  <c r="V251" i="15"/>
  <c r="V71" i="15" s="1"/>
  <c r="R251" i="15"/>
  <c r="R71" i="15" s="1"/>
  <c r="N251" i="15"/>
  <c r="N71" i="15" s="1"/>
  <c r="J251" i="15"/>
  <c r="J71" i="15" s="1"/>
  <c r="W228" i="15"/>
  <c r="W48" i="15" s="1"/>
  <c r="S228" i="15"/>
  <c r="S48" i="15" s="1"/>
  <c r="O228" i="15"/>
  <c r="O48" i="15" s="1"/>
  <c r="K228" i="15"/>
  <c r="K48" i="15" s="1"/>
  <c r="G228" i="15"/>
  <c r="G48" i="15" s="1"/>
  <c r="V228" i="15"/>
  <c r="V48" i="15" s="1"/>
  <c r="R228" i="15"/>
  <c r="R48" i="15" s="1"/>
  <c r="N228" i="15"/>
  <c r="N48" i="15" s="1"/>
  <c r="J228" i="15"/>
  <c r="J48" i="15" s="1"/>
  <c r="U228" i="15"/>
  <c r="U48" i="15" s="1"/>
  <c r="Q228" i="15"/>
  <c r="Q48" i="15" s="1"/>
  <c r="M228" i="15"/>
  <c r="M48" i="15" s="1"/>
  <c r="I228" i="15"/>
  <c r="I48" i="15" s="1"/>
  <c r="E228" i="15"/>
  <c r="E48" i="15" s="1"/>
  <c r="T228" i="15"/>
  <c r="T48" i="15" s="1"/>
  <c r="P228" i="15"/>
  <c r="P48" i="15" s="1"/>
  <c r="L228" i="15"/>
  <c r="L48" i="15" s="1"/>
  <c r="H228" i="15"/>
  <c r="H48" i="15" s="1"/>
  <c r="U242" i="15"/>
  <c r="Q242" i="15"/>
  <c r="M242" i="15"/>
  <c r="I242" i="15"/>
  <c r="T242" i="15"/>
  <c r="P242" i="15"/>
  <c r="L242" i="15"/>
  <c r="H242" i="15"/>
  <c r="D242" i="15"/>
  <c r="W242" i="15"/>
  <c r="S242" i="15"/>
  <c r="O242" i="15"/>
  <c r="K242" i="15"/>
  <c r="G242" i="15"/>
  <c r="V242" i="15"/>
  <c r="R242" i="15"/>
  <c r="N242" i="15"/>
  <c r="J242" i="15"/>
  <c r="F242" i="15"/>
  <c r="U241" i="15"/>
  <c r="U61" i="15" s="1"/>
  <c r="Q241" i="15"/>
  <c r="Q61" i="15" s="1"/>
  <c r="M241" i="15"/>
  <c r="M61" i="15" s="1"/>
  <c r="I241" i="15"/>
  <c r="I61" i="15" s="1"/>
  <c r="T241" i="15"/>
  <c r="T61" i="15" s="1"/>
  <c r="P241" i="15"/>
  <c r="P61" i="15" s="1"/>
  <c r="L241" i="15"/>
  <c r="L61" i="15" s="1"/>
  <c r="H241" i="15"/>
  <c r="H61" i="15" s="1"/>
  <c r="D241" i="15"/>
  <c r="D61" i="15" s="1"/>
  <c r="W241" i="15"/>
  <c r="W61" i="15" s="1"/>
  <c r="S241" i="15"/>
  <c r="S61" i="15" s="1"/>
  <c r="O241" i="15"/>
  <c r="O61" i="15" s="1"/>
  <c r="K241" i="15"/>
  <c r="K61" i="15" s="1"/>
  <c r="G241" i="15"/>
  <c r="G61" i="15" s="1"/>
  <c r="V241" i="15"/>
  <c r="V61" i="15" s="1"/>
  <c r="R241" i="15"/>
  <c r="R61" i="15" s="1"/>
  <c r="N241" i="15"/>
  <c r="N61" i="15" s="1"/>
  <c r="J241" i="15"/>
  <c r="J61" i="15" s="1"/>
  <c r="F241" i="15"/>
  <c r="F61" i="15" s="1"/>
  <c r="U243" i="15"/>
  <c r="U63" i="15" s="1"/>
  <c r="Q243" i="15"/>
  <c r="Q63" i="15" s="1"/>
  <c r="M243" i="15"/>
  <c r="M63" i="15" s="1"/>
  <c r="I243" i="15"/>
  <c r="I63" i="15" s="1"/>
  <c r="T243" i="15"/>
  <c r="T63" i="15" s="1"/>
  <c r="P243" i="15"/>
  <c r="P63" i="15" s="1"/>
  <c r="L243" i="15"/>
  <c r="L63" i="15" s="1"/>
  <c r="H243" i="15"/>
  <c r="H63" i="15" s="1"/>
  <c r="D243" i="15"/>
  <c r="D63" i="15" s="1"/>
  <c r="W243" i="15"/>
  <c r="W63" i="15" s="1"/>
  <c r="S243" i="15"/>
  <c r="S63" i="15" s="1"/>
  <c r="O243" i="15"/>
  <c r="O63" i="15" s="1"/>
  <c r="K243" i="15"/>
  <c r="K63" i="15" s="1"/>
  <c r="G243" i="15"/>
  <c r="G63" i="15" s="1"/>
  <c r="V243" i="15"/>
  <c r="V63" i="15" s="1"/>
  <c r="R243" i="15"/>
  <c r="R63" i="15" s="1"/>
  <c r="N243" i="15"/>
  <c r="N63" i="15" s="1"/>
  <c r="J243" i="15"/>
  <c r="J63" i="15" s="1"/>
  <c r="F243" i="15"/>
  <c r="F63" i="15" s="1"/>
  <c r="T282" i="15"/>
  <c r="P282" i="15"/>
  <c r="L282" i="15"/>
  <c r="H282" i="15"/>
  <c r="D282" i="15"/>
  <c r="W282" i="15"/>
  <c r="S282" i="15"/>
  <c r="O282" i="15"/>
  <c r="K282" i="15"/>
  <c r="G282" i="15"/>
  <c r="V282" i="15"/>
  <c r="R282" i="15"/>
  <c r="N282" i="15"/>
  <c r="J282" i="15"/>
  <c r="F282" i="15"/>
  <c r="U282" i="15"/>
  <c r="Q282" i="15"/>
  <c r="M282" i="15"/>
  <c r="I282" i="15"/>
  <c r="E282" i="15"/>
  <c r="W225" i="15"/>
  <c r="W45" i="15" s="1"/>
  <c r="S225" i="15"/>
  <c r="S45" i="15" s="1"/>
  <c r="O225" i="15"/>
  <c r="O45" i="15" s="1"/>
  <c r="K225" i="15"/>
  <c r="K45" i="15" s="1"/>
  <c r="G225" i="15"/>
  <c r="G45" i="15" s="1"/>
  <c r="V225" i="15"/>
  <c r="V45" i="15" s="1"/>
  <c r="R225" i="15"/>
  <c r="R45" i="15" s="1"/>
  <c r="N225" i="15"/>
  <c r="N45" i="15" s="1"/>
  <c r="J225" i="15"/>
  <c r="J45" i="15" s="1"/>
  <c r="U225" i="15"/>
  <c r="U45" i="15" s="1"/>
  <c r="Q225" i="15"/>
  <c r="Q45" i="15" s="1"/>
  <c r="M225" i="15"/>
  <c r="M45" i="15" s="1"/>
  <c r="I225" i="15"/>
  <c r="I45" i="15" s="1"/>
  <c r="T225" i="15"/>
  <c r="T45" i="15" s="1"/>
  <c r="P225" i="15"/>
  <c r="P45" i="15" s="1"/>
  <c r="L225" i="15"/>
  <c r="L45" i="15" s="1"/>
  <c r="T275" i="15"/>
  <c r="P275" i="15"/>
  <c r="L275" i="15"/>
  <c r="H275" i="15"/>
  <c r="W275" i="15"/>
  <c r="S275" i="15"/>
  <c r="O275" i="15"/>
  <c r="K275" i="15"/>
  <c r="G275" i="15"/>
  <c r="V275" i="15"/>
  <c r="R275" i="15"/>
  <c r="N275" i="15"/>
  <c r="J275" i="15"/>
  <c r="U275" i="15"/>
  <c r="Q275" i="15"/>
  <c r="M275" i="15"/>
  <c r="I275" i="15"/>
  <c r="E275" i="15"/>
  <c r="T264" i="15"/>
  <c r="P264" i="15"/>
  <c r="L264" i="15"/>
  <c r="H264" i="15"/>
  <c r="W264" i="15"/>
  <c r="S264" i="15"/>
  <c r="O264" i="15"/>
  <c r="K264" i="15"/>
  <c r="G264" i="15"/>
  <c r="V264" i="15"/>
  <c r="R264" i="15"/>
  <c r="N264" i="15"/>
  <c r="J264" i="15"/>
  <c r="U264" i="15"/>
  <c r="Q264" i="15"/>
  <c r="M264" i="15"/>
  <c r="I264" i="15"/>
  <c r="E264" i="15"/>
  <c r="T277" i="15"/>
  <c r="P277" i="15"/>
  <c r="L277" i="15"/>
  <c r="H277" i="15"/>
  <c r="D277" i="15"/>
  <c r="W277" i="15"/>
  <c r="S277" i="15"/>
  <c r="O277" i="15"/>
  <c r="K277" i="15"/>
  <c r="G277" i="15"/>
  <c r="V277" i="15"/>
  <c r="R277" i="15"/>
  <c r="N277" i="15"/>
  <c r="J277" i="15"/>
  <c r="F277" i="15"/>
  <c r="U277" i="15"/>
  <c r="Q277" i="15"/>
  <c r="M277" i="15"/>
  <c r="I277" i="15"/>
  <c r="V258" i="15"/>
  <c r="R258" i="15"/>
  <c r="N258" i="15"/>
  <c r="J258" i="15"/>
  <c r="U258" i="15"/>
  <c r="Q258" i="15"/>
  <c r="M258" i="15"/>
  <c r="T258" i="15"/>
  <c r="P258" i="15"/>
  <c r="L258" i="15"/>
  <c r="W258" i="15"/>
  <c r="S258" i="15"/>
  <c r="O258" i="15"/>
  <c r="K258" i="15"/>
  <c r="W224" i="15"/>
  <c r="W44" i="15" s="1"/>
  <c r="S224" i="15"/>
  <c r="S44" i="15" s="1"/>
  <c r="O224" i="15"/>
  <c r="O44" i="15" s="1"/>
  <c r="K224" i="15"/>
  <c r="K44" i="15" s="1"/>
  <c r="V224" i="15"/>
  <c r="V44" i="15" s="1"/>
  <c r="R224" i="15"/>
  <c r="R44" i="15" s="1"/>
  <c r="N224" i="15"/>
  <c r="N44" i="15" s="1"/>
  <c r="J224" i="15"/>
  <c r="J44" i="15" s="1"/>
  <c r="U224" i="15"/>
  <c r="U44" i="15" s="1"/>
  <c r="Q224" i="15"/>
  <c r="Q44" i="15" s="1"/>
  <c r="M224" i="15"/>
  <c r="M44" i="15" s="1"/>
  <c r="I224" i="15"/>
  <c r="I44" i="15" s="1"/>
  <c r="T224" i="15"/>
  <c r="T44" i="15" s="1"/>
  <c r="P224" i="15"/>
  <c r="P44" i="15" s="1"/>
  <c r="L224" i="15"/>
  <c r="L44" i="15" s="1"/>
  <c r="T263" i="15"/>
  <c r="P263" i="15"/>
  <c r="L263" i="15"/>
  <c r="H263" i="15"/>
  <c r="W263" i="15"/>
  <c r="S263" i="15"/>
  <c r="O263" i="15"/>
  <c r="K263" i="15"/>
  <c r="G263" i="15"/>
  <c r="V263" i="15"/>
  <c r="R263" i="15"/>
  <c r="N263" i="15"/>
  <c r="J263" i="15"/>
  <c r="F263" i="15"/>
  <c r="U263" i="15"/>
  <c r="Q263" i="15"/>
  <c r="M263" i="15"/>
  <c r="I263" i="15"/>
  <c r="T286" i="15"/>
  <c r="P286" i="15"/>
  <c r="L286" i="15"/>
  <c r="H286" i="15"/>
  <c r="D286" i="15"/>
  <c r="W286" i="15"/>
  <c r="S286" i="15"/>
  <c r="O286" i="15"/>
  <c r="K286" i="15"/>
  <c r="G286" i="15"/>
  <c r="V286" i="15"/>
  <c r="R286" i="15"/>
  <c r="N286" i="15"/>
  <c r="J286" i="15"/>
  <c r="F286" i="15"/>
  <c r="U286" i="15"/>
  <c r="Q286" i="15"/>
  <c r="M286" i="15"/>
  <c r="I286" i="15"/>
  <c r="E286" i="15"/>
  <c r="T265" i="15"/>
  <c r="P265" i="15"/>
  <c r="L265" i="15"/>
  <c r="H265" i="15"/>
  <c r="W265" i="15"/>
  <c r="S265" i="15"/>
  <c r="O265" i="15"/>
  <c r="K265" i="15"/>
  <c r="G265" i="15"/>
  <c r="V265" i="15"/>
  <c r="R265" i="15"/>
  <c r="N265" i="15"/>
  <c r="J265" i="15"/>
  <c r="F265" i="15"/>
  <c r="U265" i="15"/>
  <c r="Q265" i="15"/>
  <c r="M265" i="15"/>
  <c r="I265" i="15"/>
  <c r="E265" i="15"/>
  <c r="W230" i="15"/>
  <c r="W50" i="15" s="1"/>
  <c r="S230" i="15"/>
  <c r="S50" i="15" s="1"/>
  <c r="O230" i="15"/>
  <c r="O50" i="15" s="1"/>
  <c r="K230" i="15"/>
  <c r="K50" i="15" s="1"/>
  <c r="G230" i="15"/>
  <c r="G50" i="15" s="1"/>
  <c r="V230" i="15"/>
  <c r="V50" i="15" s="1"/>
  <c r="R230" i="15"/>
  <c r="R50" i="15" s="1"/>
  <c r="N230" i="15"/>
  <c r="N50" i="15" s="1"/>
  <c r="J230" i="15"/>
  <c r="J50" i="15" s="1"/>
  <c r="F230" i="15"/>
  <c r="F50" i="15" s="1"/>
  <c r="U230" i="15"/>
  <c r="U50" i="15" s="1"/>
  <c r="Q230" i="15"/>
  <c r="Q50" i="15" s="1"/>
  <c r="M230" i="15"/>
  <c r="M50" i="15" s="1"/>
  <c r="I230" i="15"/>
  <c r="I50" i="15" s="1"/>
  <c r="E230" i="15"/>
  <c r="E50" i="15" s="1"/>
  <c r="T230" i="15"/>
  <c r="T50" i="15" s="1"/>
  <c r="P230" i="15"/>
  <c r="P50" i="15" s="1"/>
  <c r="L230" i="15"/>
  <c r="L50" i="15" s="1"/>
  <c r="H230" i="15"/>
  <c r="H50" i="15" s="1"/>
  <c r="T267" i="15"/>
  <c r="P267" i="15"/>
  <c r="L267" i="15"/>
  <c r="H267" i="15"/>
  <c r="W267" i="15"/>
  <c r="S267" i="15"/>
  <c r="O267" i="15"/>
  <c r="K267" i="15"/>
  <c r="G267" i="15"/>
  <c r="V267" i="15"/>
  <c r="R267" i="15"/>
  <c r="N267" i="15"/>
  <c r="J267" i="15"/>
  <c r="F267" i="15"/>
  <c r="U267" i="15"/>
  <c r="Q267" i="15"/>
  <c r="M267" i="15"/>
  <c r="I267" i="15"/>
  <c r="T269" i="15"/>
  <c r="P269" i="15"/>
  <c r="L269" i="15"/>
  <c r="H269" i="15"/>
  <c r="W269" i="15"/>
  <c r="S269" i="15"/>
  <c r="O269" i="15"/>
  <c r="K269" i="15"/>
  <c r="G269" i="15"/>
  <c r="V269" i="15"/>
  <c r="R269" i="15"/>
  <c r="N269" i="15"/>
  <c r="J269" i="15"/>
  <c r="F269" i="15"/>
  <c r="U269" i="15"/>
  <c r="Q269" i="15"/>
  <c r="M269" i="15"/>
  <c r="I269" i="15"/>
  <c r="W259" i="15"/>
  <c r="S259" i="15"/>
  <c r="O259" i="15"/>
  <c r="K259" i="15"/>
  <c r="V259" i="15"/>
  <c r="R259" i="15"/>
  <c r="N259" i="15"/>
  <c r="J259" i="15"/>
  <c r="U259" i="15"/>
  <c r="Q259" i="15"/>
  <c r="M259" i="15"/>
  <c r="I259" i="15"/>
  <c r="T259" i="15"/>
  <c r="P259" i="15"/>
  <c r="L259" i="15"/>
  <c r="T270" i="15"/>
  <c r="P270" i="15"/>
  <c r="L270" i="15"/>
  <c r="H270" i="15"/>
  <c r="W270" i="15"/>
  <c r="S270" i="15"/>
  <c r="O270" i="15"/>
  <c r="K270" i="15"/>
  <c r="G270" i="15"/>
  <c r="V270" i="15"/>
  <c r="R270" i="15"/>
  <c r="N270" i="15"/>
  <c r="J270" i="15"/>
  <c r="F270" i="15"/>
  <c r="U270" i="15"/>
  <c r="Q270" i="15"/>
  <c r="M270" i="15"/>
  <c r="I270" i="15"/>
  <c r="T284" i="15"/>
  <c r="P284" i="15"/>
  <c r="L284" i="15"/>
  <c r="H284" i="15"/>
  <c r="D284" i="15"/>
  <c r="W284" i="15"/>
  <c r="S284" i="15"/>
  <c r="O284" i="15"/>
  <c r="K284" i="15"/>
  <c r="G284" i="15"/>
  <c r="V284" i="15"/>
  <c r="R284" i="15"/>
  <c r="N284" i="15"/>
  <c r="J284" i="15"/>
  <c r="F284" i="15"/>
  <c r="U284" i="15"/>
  <c r="Q284" i="15"/>
  <c r="M284" i="15"/>
  <c r="I284" i="15"/>
  <c r="E284" i="15"/>
  <c r="T191" i="15"/>
  <c r="P191" i="15"/>
  <c r="L191" i="15"/>
  <c r="H191" i="15"/>
  <c r="W191" i="15"/>
  <c r="S191" i="15"/>
  <c r="O191" i="15"/>
  <c r="K191" i="15"/>
  <c r="G191" i="15"/>
  <c r="V191" i="15"/>
  <c r="R191" i="15"/>
  <c r="N191" i="15"/>
  <c r="J191" i="15"/>
  <c r="F191" i="15"/>
  <c r="U191" i="15"/>
  <c r="Q191" i="15"/>
  <c r="M191" i="15"/>
  <c r="I191" i="15"/>
  <c r="N180" i="15"/>
  <c r="Q180" i="15"/>
  <c r="O180" i="15"/>
  <c r="R180" i="15"/>
  <c r="W180" i="15"/>
  <c r="V180" i="15"/>
  <c r="T180" i="15"/>
  <c r="S180" i="15"/>
  <c r="U180" i="15"/>
  <c r="P180" i="15"/>
  <c r="C299" i="15"/>
  <c r="C317" i="15"/>
  <c r="C322" i="15"/>
  <c r="C298" i="15"/>
  <c r="C319" i="15"/>
  <c r="C304" i="15"/>
  <c r="C303" i="15"/>
  <c r="C295" i="15"/>
  <c r="C313" i="15"/>
  <c r="C297" i="15"/>
  <c r="C296" i="15"/>
  <c r="C318" i="15"/>
  <c r="C309" i="15"/>
  <c r="C308" i="15"/>
  <c r="C310" i="15"/>
  <c r="C312" i="15"/>
  <c r="C311" i="15"/>
  <c r="C321" i="15"/>
  <c r="C323" i="15"/>
  <c r="C300" i="15"/>
  <c r="C306" i="15"/>
  <c r="C320" i="15"/>
  <c r="C294" i="15"/>
  <c r="C302" i="15"/>
  <c r="C314" i="15"/>
  <c r="C307" i="15"/>
  <c r="C316" i="15"/>
  <c r="C301" i="15"/>
  <c r="C305" i="15"/>
  <c r="C315" i="15"/>
  <c r="IN215" i="23"/>
  <c r="IU215" i="23"/>
  <c r="M1037" i="7"/>
  <c r="M1167" i="7"/>
  <c r="M1174" i="7"/>
  <c r="M1162" i="7"/>
  <c r="M1210" i="7"/>
  <c r="M1242" i="7"/>
  <c r="M1161" i="7"/>
  <c r="M1205" i="7"/>
  <c r="M1118" i="7"/>
  <c r="M1134" i="7"/>
  <c r="M1150" i="7"/>
  <c r="M1019" i="7"/>
  <c r="M1038" i="7"/>
  <c r="M1178" i="7"/>
  <c r="M1176" i="7"/>
  <c r="M1173" i="7"/>
  <c r="M1180" i="7"/>
  <c r="M1171" i="7"/>
  <c r="M1196" i="7"/>
  <c r="M1119" i="7"/>
  <c r="M1135" i="7"/>
  <c r="M1151" i="7"/>
  <c r="M1185" i="7"/>
  <c r="M1055" i="7"/>
  <c r="M1045" i="7"/>
  <c r="M1177" i="7"/>
  <c r="M1175" i="7"/>
  <c r="M1192" i="7"/>
  <c r="M1212" i="7"/>
  <c r="M1187" i="7"/>
  <c r="M1108" i="7"/>
  <c r="M1124" i="7"/>
  <c r="M1140" i="7"/>
  <c r="M1156" i="7"/>
  <c r="M1020" i="7"/>
  <c r="M1035" i="7"/>
  <c r="M1047" i="7"/>
  <c r="M1165" i="7"/>
  <c r="M1240" i="7"/>
  <c r="M1221" i="7"/>
  <c r="M1204" i="7"/>
  <c r="M1113" i="7"/>
  <c r="M1129" i="7"/>
  <c r="M1145" i="7"/>
  <c r="M1193" i="7"/>
  <c r="M1053" i="7"/>
  <c r="M1069" i="7"/>
  <c r="M1067" i="7"/>
  <c r="M1050" i="7"/>
  <c r="M1066" i="7"/>
  <c r="M1082" i="7"/>
  <c r="M1098" i="7"/>
  <c r="M1244" i="7"/>
  <c r="M1075" i="7"/>
  <c r="M1093" i="7"/>
  <c r="M1225" i="7"/>
  <c r="M1056" i="7"/>
  <c r="M1072" i="7"/>
  <c r="M1088" i="7"/>
  <c r="M1104" i="7"/>
  <c r="M1091" i="7"/>
  <c r="M1223" i="7"/>
  <c r="IL215" i="23"/>
  <c r="HV215" i="23"/>
  <c r="HF215" i="23"/>
  <c r="GP215" i="23"/>
  <c r="FZ215" i="23"/>
  <c r="FJ215" i="23"/>
  <c r="ET215" i="23"/>
  <c r="ED215" i="23"/>
  <c r="DN215" i="23"/>
  <c r="CX215" i="23"/>
  <c r="CH215" i="23"/>
  <c r="BR215" i="23"/>
  <c r="BB215" i="23"/>
  <c r="AL215" i="23"/>
  <c r="V215" i="23"/>
  <c r="IK215" i="23"/>
  <c r="HU215" i="23"/>
  <c r="HE215" i="23"/>
  <c r="GO215" i="23"/>
  <c r="FY215" i="23"/>
  <c r="FI215" i="23"/>
  <c r="ES215" i="23"/>
  <c r="EC215" i="23"/>
  <c r="DM215" i="23"/>
  <c r="IQ215" i="23"/>
  <c r="M1169" i="7"/>
  <c r="M1170" i="7"/>
  <c r="M1213" i="7"/>
  <c r="M1231" i="7"/>
  <c r="M1215" i="7"/>
  <c r="M1122" i="7"/>
  <c r="M1138" i="7"/>
  <c r="M1154" i="7"/>
  <c r="M1181" i="7"/>
  <c r="M1216" i="7"/>
  <c r="M1194" i="7"/>
  <c r="M1201" i="7"/>
  <c r="M1107" i="7"/>
  <c r="M1123" i="7"/>
  <c r="M1139" i="7"/>
  <c r="M1155" i="7"/>
  <c r="M1202" i="7"/>
  <c r="M1059" i="7"/>
  <c r="M1023" i="7"/>
  <c r="M1182" i="7"/>
  <c r="M1112" i="7"/>
  <c r="M1128" i="7"/>
  <c r="M1144" i="7"/>
  <c r="M1027" i="7"/>
  <c r="M1168" i="7"/>
  <c r="M1036" i="7"/>
  <c r="M1208" i="7"/>
  <c r="M1211" i="7"/>
  <c r="M1117" i="7"/>
  <c r="M1133" i="7"/>
  <c r="M1149" i="7"/>
  <c r="M1057" i="7"/>
  <c r="M1073" i="7"/>
  <c r="M1054" i="7"/>
  <c r="M1070" i="7"/>
  <c r="M1086" i="7"/>
  <c r="M1102" i="7"/>
  <c r="M1097" i="7"/>
  <c r="M1243" i="7"/>
  <c r="M1060" i="7"/>
  <c r="M1076" i="7"/>
  <c r="M1092" i="7"/>
  <c r="M1224" i="7"/>
  <c r="M1095" i="7"/>
  <c r="M1227" i="7"/>
  <c r="IV215" i="23"/>
  <c r="IM215" i="23"/>
  <c r="IT215" i="23"/>
  <c r="IS215" i="23"/>
  <c r="M1025" i="7"/>
  <c r="M1026" i="7"/>
  <c r="M1233" i="7"/>
  <c r="M1217" i="7"/>
  <c r="M1179" i="7"/>
  <c r="M1186" i="7"/>
  <c r="M1195" i="7"/>
  <c r="M1110" i="7"/>
  <c r="M1126" i="7"/>
  <c r="M1142" i="7"/>
  <c r="M1158" i="7"/>
  <c r="M1198" i="7"/>
  <c r="M1024" i="7"/>
  <c r="M1042" i="7"/>
  <c r="M1241" i="7"/>
  <c r="M1235" i="7"/>
  <c r="M1206" i="7"/>
  <c r="M1111" i="7"/>
  <c r="M1127" i="7"/>
  <c r="M1143" i="7"/>
  <c r="M1159" i="7"/>
  <c r="M1021" i="7"/>
  <c r="M1040" i="7"/>
  <c r="M1234" i="7"/>
  <c r="M1229" i="7"/>
  <c r="M1163" i="7"/>
  <c r="M1218" i="7"/>
  <c r="M1203" i="7"/>
  <c r="M1116" i="7"/>
  <c r="M1132" i="7"/>
  <c r="M1148" i="7"/>
  <c r="M1043" i="7"/>
  <c r="M1022" i="7"/>
  <c r="M1232" i="7"/>
  <c r="M1214" i="7"/>
  <c r="M1188" i="7"/>
  <c r="M1121" i="7"/>
  <c r="M1137" i="7"/>
  <c r="M1153" i="7"/>
  <c r="M1030" i="7"/>
  <c r="M1061" i="7"/>
  <c r="M1077" i="7"/>
  <c r="M1079" i="7"/>
  <c r="M1058" i="7"/>
  <c r="M1074" i="7"/>
  <c r="M1090" i="7"/>
  <c r="M1106" i="7"/>
  <c r="M1085" i="7"/>
  <c r="M1101" i="7"/>
  <c r="M1064" i="7"/>
  <c r="M1080" i="7"/>
  <c r="M1096" i="7"/>
  <c r="M1228" i="7"/>
  <c r="M1083" i="7"/>
  <c r="M1099" i="7"/>
  <c r="M1245" i="7"/>
  <c r="ID215" i="23"/>
  <c r="HN215" i="23"/>
  <c r="GX215" i="23"/>
  <c r="GH215" i="23"/>
  <c r="FR215" i="23"/>
  <c r="FB215" i="23"/>
  <c r="EL215" i="23"/>
  <c r="DV215" i="23"/>
  <c r="DF215" i="23"/>
  <c r="CP215" i="23"/>
  <c r="BZ215" i="23"/>
  <c r="BJ215" i="23"/>
  <c r="AT215" i="23"/>
  <c r="AD215" i="23"/>
  <c r="JC215" i="23"/>
  <c r="IC215" i="23"/>
  <c r="HM215" i="23"/>
  <c r="GW215" i="23"/>
  <c r="GG215" i="23"/>
  <c r="FQ215" i="23"/>
  <c r="FA215" i="23"/>
  <c r="EK215" i="23"/>
  <c r="DU215" i="23"/>
  <c r="DE215" i="23"/>
  <c r="CO215" i="23"/>
  <c r="BY215" i="23"/>
  <c r="JB215" i="23"/>
  <c r="IB215" i="23"/>
  <c r="HL215" i="23"/>
  <c r="GV215" i="23"/>
  <c r="GF215" i="23"/>
  <c r="FP215" i="23"/>
  <c r="EZ215" i="23"/>
  <c r="EJ215" i="23"/>
  <c r="DT215" i="23"/>
  <c r="DD215" i="23"/>
  <c r="CN215" i="23"/>
  <c r="BX215" i="23"/>
  <c r="BH215" i="23"/>
  <c r="AR215" i="23"/>
  <c r="AB215" i="23"/>
  <c r="IE215" i="23"/>
  <c r="HO215" i="23"/>
  <c r="GY215" i="23"/>
  <c r="GI215" i="23"/>
  <c r="FS215" i="23"/>
  <c r="FC215" i="23"/>
  <c r="EM215" i="23"/>
  <c r="DW215" i="23"/>
  <c r="DG215" i="23"/>
  <c r="CQ215" i="23"/>
  <c r="CA215" i="23"/>
  <c r="BK215" i="23"/>
  <c r="AU215" i="23"/>
  <c r="AE215" i="23"/>
  <c r="BI215" i="23"/>
  <c r="AO215" i="23"/>
  <c r="X215" i="23"/>
  <c r="AG215" i="23"/>
  <c r="IR215" i="23"/>
  <c r="IP215" i="23"/>
  <c r="IO215" i="23"/>
  <c r="M1028" i="7"/>
  <c r="M1034" i="7"/>
  <c r="M1048" i="7"/>
  <c r="M1160" i="7"/>
  <c r="M1237" i="7"/>
  <c r="M1164" i="7"/>
  <c r="M1222" i="7"/>
  <c r="M1184" i="7"/>
  <c r="M1199" i="7"/>
  <c r="M1114" i="7"/>
  <c r="M1130" i="7"/>
  <c r="M1146" i="7"/>
  <c r="M1200" i="7"/>
  <c r="M1032" i="7"/>
  <c r="M1039" i="7"/>
  <c r="M1166" i="7"/>
  <c r="M1238" i="7"/>
  <c r="M1197" i="7"/>
  <c r="M1191" i="7"/>
  <c r="M1209" i="7"/>
  <c r="M1219" i="7"/>
  <c r="M1115" i="7"/>
  <c r="M1131" i="7"/>
  <c r="M1147" i="7"/>
  <c r="M1046" i="7"/>
  <c r="M1051" i="7"/>
  <c r="M1033" i="7"/>
  <c r="M1041" i="7"/>
  <c r="M1236" i="7"/>
  <c r="M1239" i="7"/>
  <c r="M1172" i="7"/>
  <c r="M1207" i="7"/>
  <c r="M1120" i="7"/>
  <c r="M1136" i="7"/>
  <c r="M1152" i="7"/>
  <c r="M1189" i="7"/>
  <c r="M1031" i="7"/>
  <c r="M1044" i="7"/>
  <c r="M1230" i="7"/>
  <c r="M1220" i="7"/>
  <c r="M1183" i="7"/>
  <c r="M1190" i="7"/>
  <c r="M1109" i="7"/>
  <c r="M1125" i="7"/>
  <c r="M1141" i="7"/>
  <c r="M1157" i="7"/>
  <c r="M1029" i="7"/>
  <c r="M1049" i="7"/>
  <c r="M1065" i="7"/>
  <c r="M1081" i="7"/>
  <c r="M1062" i="7"/>
  <c r="M1078" i="7"/>
  <c r="M1094" i="7"/>
  <c r="M1226" i="7"/>
  <c r="M1089" i="7"/>
  <c r="M1105" i="7"/>
  <c r="M1071" i="7"/>
  <c r="M1052" i="7"/>
  <c r="M1068" i="7"/>
  <c r="M1084" i="7"/>
  <c r="M1100" i="7"/>
  <c r="M1063" i="7"/>
  <c r="M1087" i="7"/>
  <c r="M1103" i="7"/>
  <c r="IZ215" i="23"/>
  <c r="HZ215" i="23"/>
  <c r="HJ215" i="23"/>
  <c r="GT215" i="23"/>
  <c r="GD215" i="23"/>
  <c r="FN215" i="23"/>
  <c r="EX215" i="23"/>
  <c r="EH215" i="23"/>
  <c r="DR215" i="23"/>
  <c r="DB215" i="23"/>
  <c r="CL215" i="23"/>
  <c r="BV215" i="23"/>
  <c r="BF215" i="23"/>
  <c r="AP215" i="23"/>
  <c r="Z215" i="23"/>
  <c r="IY215" i="23"/>
  <c r="HY215" i="23"/>
  <c r="HI215" i="23"/>
  <c r="GS215" i="23"/>
  <c r="GC215" i="23"/>
  <c r="FM215" i="23"/>
  <c r="EW215" i="23"/>
  <c r="EG215" i="23"/>
  <c r="DQ215" i="23"/>
  <c r="DA215" i="23"/>
  <c r="CK215" i="23"/>
  <c r="BU215" i="23"/>
  <c r="IX215" i="23"/>
  <c r="HX215" i="23"/>
  <c r="HH215" i="23"/>
  <c r="GR215" i="23"/>
  <c r="GB215" i="23"/>
  <c r="FL215" i="23"/>
  <c r="EV215" i="23"/>
  <c r="EF215" i="23"/>
  <c r="DP215" i="23"/>
  <c r="CZ215" i="23"/>
  <c r="CJ215" i="23"/>
  <c r="BT215" i="23"/>
  <c r="BD215" i="23"/>
  <c r="AN215" i="23"/>
  <c r="JA215" i="23"/>
  <c r="IA215" i="23"/>
  <c r="HK215" i="23"/>
  <c r="GU215" i="23"/>
  <c r="GE215" i="23"/>
  <c r="FO215" i="23"/>
  <c r="EY215" i="23"/>
  <c r="EI215" i="23"/>
  <c r="DS215" i="23"/>
  <c r="DC215" i="23"/>
  <c r="CM215" i="23"/>
  <c r="BW215" i="23"/>
  <c r="BG215" i="23"/>
  <c r="AQ215" i="23"/>
  <c r="AA215" i="23"/>
  <c r="AS215" i="23"/>
  <c r="Y215" i="23"/>
  <c r="P215" i="23"/>
  <c r="U215" i="23"/>
  <c r="IH215" i="23"/>
  <c r="FV215" i="23"/>
  <c r="DJ215" i="23"/>
  <c r="AX215" i="23"/>
  <c r="HQ215" i="23"/>
  <c r="FE215" i="23"/>
  <c r="CW215" i="23"/>
  <c r="BQ215" i="23"/>
  <c r="HT215" i="23"/>
  <c r="GN215" i="23"/>
  <c r="FH215" i="23"/>
  <c r="EB215" i="23"/>
  <c r="CV215" i="23"/>
  <c r="BP215" i="23"/>
  <c r="AJ215" i="23"/>
  <c r="HW215" i="23"/>
  <c r="GQ215" i="23"/>
  <c r="FK215" i="23"/>
  <c r="EE215" i="23"/>
  <c r="CY215" i="23"/>
  <c r="BS215" i="23"/>
  <c r="AM215" i="23"/>
  <c r="AC215" i="23"/>
  <c r="O215" i="23"/>
  <c r="HR215" i="23"/>
  <c r="FF215" i="23"/>
  <c r="CT215" i="23"/>
  <c r="AH215" i="23"/>
  <c r="HA215" i="23"/>
  <c r="EO215" i="23"/>
  <c r="CS215" i="23"/>
  <c r="BM215" i="23"/>
  <c r="HP215" i="23"/>
  <c r="GJ215" i="23"/>
  <c r="FD215" i="23"/>
  <c r="DX215" i="23"/>
  <c r="CR215" i="23"/>
  <c r="BL215" i="23"/>
  <c r="AF215" i="23"/>
  <c r="HS215" i="23"/>
  <c r="GM215" i="23"/>
  <c r="FG215" i="23"/>
  <c r="EA215" i="23"/>
  <c r="CU215" i="23"/>
  <c r="BO215" i="23"/>
  <c r="AI215" i="23"/>
  <c r="T215" i="23"/>
  <c r="BE215" i="23"/>
  <c r="HB215" i="23"/>
  <c r="EP215" i="23"/>
  <c r="CD215" i="23"/>
  <c r="R215" i="23"/>
  <c r="GK215" i="23"/>
  <c r="DY215" i="23"/>
  <c r="CG215" i="23"/>
  <c r="IJ215" i="23"/>
  <c r="HD215" i="23"/>
  <c r="FX215" i="23"/>
  <c r="ER215" i="23"/>
  <c r="DL215" i="23"/>
  <c r="CF215" i="23"/>
  <c r="AZ215" i="23"/>
  <c r="IW215" i="23"/>
  <c r="HG215" i="23"/>
  <c r="GA215" i="23"/>
  <c r="EU215" i="23"/>
  <c r="DO215" i="23"/>
  <c r="CI215" i="23"/>
  <c r="BC215" i="23"/>
  <c r="W215" i="23"/>
  <c r="Q215" i="23"/>
  <c r="BA215" i="23"/>
  <c r="GL215" i="23"/>
  <c r="DZ215" i="23"/>
  <c r="BN215" i="23"/>
  <c r="IG215" i="23"/>
  <c r="FU215" i="23"/>
  <c r="DI215" i="23"/>
  <c r="CC215" i="23"/>
  <c r="IF215" i="23"/>
  <c r="GZ215" i="23"/>
  <c r="FT215" i="23"/>
  <c r="EN215" i="23"/>
  <c r="DH215" i="23"/>
  <c r="CB215" i="23"/>
  <c r="AV215" i="23"/>
  <c r="II215" i="23"/>
  <c r="HC215" i="23"/>
  <c r="FW215" i="23"/>
  <c r="EQ215" i="23"/>
  <c r="DK215" i="23"/>
  <c r="CE215" i="23"/>
  <c r="AY215" i="23"/>
  <c r="S215" i="23"/>
  <c r="AK215" i="23"/>
  <c r="AW215" i="23"/>
  <c r="F215" i="23"/>
  <c r="K215" i="23"/>
  <c r="I215" i="23"/>
  <c r="J215" i="23"/>
  <c r="M215" i="23"/>
  <c r="JD215" i="23"/>
  <c r="N215" i="23"/>
  <c r="E215" i="23"/>
  <c r="H215" i="23"/>
  <c r="G215" i="23"/>
  <c r="L215" i="23"/>
  <c r="M1253" i="7"/>
  <c r="M1252" i="7"/>
  <c r="M1018" i="7"/>
  <c r="M1017" i="7"/>
  <c r="M1015" i="7"/>
  <c r="M1012" i="7"/>
  <c r="M1011" i="7"/>
  <c r="M1247" i="7"/>
  <c r="M1014" i="7"/>
  <c r="M1010" i="7"/>
  <c r="M1009" i="7"/>
  <c r="M1267" i="7"/>
  <c r="M1255" i="7"/>
  <c r="M1248" i="7"/>
  <c r="M1246" i="7"/>
  <c r="M1016" i="7"/>
  <c r="M1013" i="7"/>
  <c r="M1008" i="7"/>
  <c r="M1251" i="7"/>
  <c r="M1250" i="7"/>
  <c r="M1254" i="7"/>
  <c r="M1249" i="7"/>
  <c r="M1256" i="7"/>
  <c r="X212" i="15"/>
  <c r="X210" i="15"/>
  <c r="X214" i="15"/>
  <c r="X211" i="15"/>
  <c r="X213" i="15"/>
  <c r="AZ39" i="13"/>
  <c r="BA39" i="13"/>
  <c r="BB39" i="13"/>
  <c r="BC39" i="13"/>
  <c r="BD39" i="13"/>
  <c r="BE39" i="13"/>
  <c r="BF39" i="13"/>
  <c r="BG39" i="13"/>
  <c r="BH39" i="13"/>
  <c r="BI39" i="13"/>
  <c r="BJ39" i="13"/>
  <c r="BK39" i="13"/>
  <c r="BL39" i="13"/>
  <c r="BM39" i="13"/>
  <c r="BN39" i="13"/>
  <c r="BO39" i="13"/>
  <c r="BP39" i="13"/>
  <c r="BQ39" i="13"/>
  <c r="BR39" i="13"/>
  <c r="BS39" i="13"/>
  <c r="BT39" i="13"/>
  <c r="BU39" i="13"/>
  <c r="BV39" i="13"/>
  <c r="BW39" i="13"/>
  <c r="BX39" i="13"/>
  <c r="BY39" i="13"/>
  <c r="BZ39" i="13"/>
  <c r="CA39" i="13"/>
  <c r="CB39" i="13"/>
  <c r="CC39" i="13"/>
  <c r="CD39" i="13"/>
  <c r="CE39" i="13"/>
  <c r="AW39" i="13"/>
  <c r="AX39" i="13"/>
  <c r="AY39" i="13"/>
  <c r="AV39" i="13"/>
  <c r="G77" i="2"/>
  <c r="G76" i="2"/>
  <c r="H52" i="13"/>
  <c r="H51" i="13"/>
  <c r="C49" i="13"/>
  <c r="C50" i="13"/>
  <c r="C51" i="13"/>
  <c r="C52" i="13"/>
  <c r="C53" i="13"/>
  <c r="C54" i="13"/>
  <c r="C55" i="13"/>
  <c r="C56" i="13"/>
  <c r="C57" i="13"/>
  <c r="C58" i="13"/>
  <c r="C59" i="13"/>
  <c r="C60" i="13"/>
  <c r="C61" i="13"/>
  <c r="B41" i="13"/>
  <c r="D41" i="13" s="1"/>
  <c r="B42" i="13"/>
  <c r="D42" i="13" s="1"/>
  <c r="B43" i="13"/>
  <c r="D43" i="13" s="1"/>
  <c r="B44" i="13"/>
  <c r="D44" i="13" s="1"/>
  <c r="B45" i="13"/>
  <c r="D45" i="13" s="1"/>
  <c r="B46" i="13"/>
  <c r="D46" i="13" s="1"/>
  <c r="B47" i="13"/>
  <c r="D47" i="13" s="1"/>
  <c r="B48" i="13"/>
  <c r="D48" i="13" s="1"/>
  <c r="B49" i="13"/>
  <c r="D49" i="13" s="1"/>
  <c r="B50" i="13"/>
  <c r="D50" i="13" s="1"/>
  <c r="B51" i="13"/>
  <c r="D51" i="13" s="1"/>
  <c r="B52" i="13"/>
  <c r="D52" i="13" s="1"/>
  <c r="B53" i="13"/>
  <c r="D53" i="13" s="1"/>
  <c r="B54" i="13"/>
  <c r="D54" i="13" s="1"/>
  <c r="B55" i="13"/>
  <c r="D55" i="13" s="1"/>
  <c r="B56" i="13"/>
  <c r="D56" i="13" s="1"/>
  <c r="B57" i="13"/>
  <c r="D57" i="13" s="1"/>
  <c r="B58" i="13"/>
  <c r="D58" i="13" s="1"/>
  <c r="B59" i="13"/>
  <c r="D59" i="13" s="1"/>
  <c r="B60" i="13"/>
  <c r="D60" i="13" s="1"/>
  <c r="B61" i="13"/>
  <c r="D61" i="13" s="1"/>
  <c r="B40" i="13"/>
  <c r="D40" i="13" s="1"/>
  <c r="I227" i="15" l="1"/>
  <c r="I47" i="15" s="1"/>
  <c r="V227" i="15"/>
  <c r="V47" i="15" s="1"/>
  <c r="K47" i="15"/>
  <c r="J227" i="15"/>
  <c r="J47" i="15" s="1"/>
  <c r="P227" i="15"/>
  <c r="P47" i="15" s="1"/>
  <c r="W227" i="15"/>
  <c r="W47" i="15" s="1"/>
  <c r="M227" i="15"/>
  <c r="M47" i="15" s="1"/>
  <c r="G227" i="15"/>
  <c r="G47" i="15" s="1"/>
  <c r="R227" i="15"/>
  <c r="R47" i="15" s="1"/>
  <c r="JI61" i="23"/>
  <c r="N120" i="1" s="1"/>
  <c r="M360" i="7" s="1"/>
  <c r="AO360" i="7" s="1"/>
  <c r="JI34" i="23"/>
  <c r="N93" i="1" s="1"/>
  <c r="M865" i="7" s="1"/>
  <c r="JI37" i="23"/>
  <c r="N96" i="1" s="1"/>
  <c r="M335" i="7" s="1"/>
  <c r="JI50" i="23"/>
  <c r="N109" i="1" s="1"/>
  <c r="M162" i="7" s="1"/>
  <c r="AO162" i="7" s="1"/>
  <c r="JI59" i="23"/>
  <c r="N118" i="1" s="1"/>
  <c r="M425" i="7" s="1"/>
  <c r="AO425" i="7" s="1"/>
  <c r="X69" i="15"/>
  <c r="X66" i="15"/>
  <c r="X70" i="15"/>
  <c r="X67" i="15"/>
  <c r="X68" i="15"/>
  <c r="J62" i="15"/>
  <c r="O62" i="15"/>
  <c r="I62" i="15"/>
  <c r="R62" i="15"/>
  <c r="W62" i="15"/>
  <c r="M62" i="15"/>
  <c r="K62" i="15"/>
  <c r="D62" i="15"/>
  <c r="Q62" i="15"/>
  <c r="S62" i="15"/>
  <c r="H62" i="15"/>
  <c r="U62" i="15"/>
  <c r="F62" i="15"/>
  <c r="L62" i="15"/>
  <c r="N62" i="15"/>
  <c r="P62" i="15"/>
  <c r="V62" i="15"/>
  <c r="T62" i="15"/>
  <c r="G62" i="15"/>
  <c r="H227" i="15"/>
  <c r="H47" i="15" s="1"/>
  <c r="U227" i="15"/>
  <c r="U252" i="15" s="1"/>
  <c r="O227" i="15"/>
  <c r="O252" i="15" s="1"/>
  <c r="L227" i="15"/>
  <c r="L47" i="15" s="1"/>
  <c r="F227" i="15"/>
  <c r="F47" i="15" s="1"/>
  <c r="S227" i="15"/>
  <c r="S252" i="15" s="1"/>
  <c r="T227" i="15"/>
  <c r="T252" i="15" s="1"/>
  <c r="N227" i="15"/>
  <c r="N252" i="15" s="1"/>
  <c r="Q227" i="15"/>
  <c r="Q252" i="15" s="1"/>
  <c r="U216" i="15"/>
  <c r="Q216" i="15"/>
  <c r="O216" i="15"/>
  <c r="JI204" i="23"/>
  <c r="N263" i="1" s="1"/>
  <c r="M434" i="7" s="1"/>
  <c r="AO434" i="7" s="1"/>
  <c r="JI68" i="23"/>
  <c r="N127" i="1" s="1"/>
  <c r="JI69" i="23"/>
  <c r="N128" i="1" s="1"/>
  <c r="W216" i="15"/>
  <c r="JI22" i="23"/>
  <c r="N81" i="1" s="1"/>
  <c r="M854" i="7" s="1"/>
  <c r="AO854" i="7" s="1"/>
  <c r="JI30" i="23"/>
  <c r="N89" i="1" s="1"/>
  <c r="JI38" i="23"/>
  <c r="N97" i="1" s="1"/>
  <c r="M210" i="7" s="1"/>
  <c r="JI46" i="23"/>
  <c r="N105" i="1" s="1"/>
  <c r="M324" i="7" s="1"/>
  <c r="JI54" i="23"/>
  <c r="N113" i="1" s="1"/>
  <c r="JI62" i="23"/>
  <c r="N121" i="1" s="1"/>
  <c r="M357" i="7" s="1"/>
  <c r="AO357" i="7" s="1"/>
  <c r="JI15" i="23"/>
  <c r="N74" i="1" s="1"/>
  <c r="M847" i="7" s="1"/>
  <c r="AO847" i="7" s="1"/>
  <c r="JI23" i="23"/>
  <c r="N82" i="1" s="1"/>
  <c r="M855" i="7" s="1"/>
  <c r="AO855" i="7" s="1"/>
  <c r="JI31" i="23"/>
  <c r="N90" i="1" s="1"/>
  <c r="M863" i="7" s="1"/>
  <c r="AO863" i="7" s="1"/>
  <c r="JI39" i="23"/>
  <c r="N98" i="1" s="1"/>
  <c r="M321" i="7" s="1"/>
  <c r="JI47" i="23"/>
  <c r="N106" i="1" s="1"/>
  <c r="JI55" i="23"/>
  <c r="N114" i="1" s="1"/>
  <c r="JI63" i="23"/>
  <c r="N122" i="1" s="1"/>
  <c r="M361" i="7" s="1"/>
  <c r="AO361" i="7" s="1"/>
  <c r="JI16" i="23"/>
  <c r="N75" i="1" s="1"/>
  <c r="M848" i="7" s="1"/>
  <c r="AO848" i="7" s="1"/>
  <c r="JI24" i="23"/>
  <c r="N83" i="1" s="1"/>
  <c r="M856" i="7" s="1"/>
  <c r="AO856" i="7" s="1"/>
  <c r="JI40" i="23"/>
  <c r="N99" i="1" s="1"/>
  <c r="M317" i="7" s="1"/>
  <c r="JI48" i="23"/>
  <c r="N107" i="1" s="1"/>
  <c r="JI56" i="23"/>
  <c r="N115" i="1" s="1"/>
  <c r="JI64" i="23"/>
  <c r="N123" i="1" s="1"/>
  <c r="M371" i="7" s="1"/>
  <c r="AO371" i="7" s="1"/>
  <c r="JI17" i="23"/>
  <c r="N76" i="1" s="1"/>
  <c r="M849" i="7" s="1"/>
  <c r="AO849" i="7" s="1"/>
  <c r="JI25" i="23"/>
  <c r="N84" i="1" s="1"/>
  <c r="M857" i="7" s="1"/>
  <c r="AO857" i="7" s="1"/>
  <c r="JI33" i="23"/>
  <c r="N92" i="1" s="1"/>
  <c r="M864" i="7" s="1"/>
  <c r="JI41" i="23"/>
  <c r="N100" i="1" s="1"/>
  <c r="M318" i="7" s="1"/>
  <c r="JI49" i="23"/>
  <c r="N108" i="1" s="1"/>
  <c r="JI57" i="23"/>
  <c r="N116" i="1" s="1"/>
  <c r="JI65" i="23"/>
  <c r="N124" i="1" s="1"/>
  <c r="M378" i="7" s="1"/>
  <c r="AO378" i="7" s="1"/>
  <c r="JI18" i="23"/>
  <c r="N77" i="1" s="1"/>
  <c r="M850" i="7" s="1"/>
  <c r="AO850" i="7" s="1"/>
  <c r="JI26" i="23"/>
  <c r="N85" i="1" s="1"/>
  <c r="M858" i="7" s="1"/>
  <c r="AO858" i="7" s="1"/>
  <c r="JI42" i="23"/>
  <c r="N101" i="1" s="1"/>
  <c r="JI58" i="23"/>
  <c r="N117" i="1" s="1"/>
  <c r="JI66" i="23"/>
  <c r="N125" i="1" s="1"/>
  <c r="M373" i="7" s="1"/>
  <c r="AO373" i="7" s="1"/>
  <c r="JI19" i="23"/>
  <c r="N78" i="1" s="1"/>
  <c r="M851" i="7" s="1"/>
  <c r="AO851" i="7" s="1"/>
  <c r="JI27" i="23"/>
  <c r="N86" i="1" s="1"/>
  <c r="M859" i="7" s="1"/>
  <c r="AO859" i="7" s="1"/>
  <c r="JI35" i="23"/>
  <c r="N94" i="1" s="1"/>
  <c r="JI43" i="23"/>
  <c r="N102" i="1" s="1"/>
  <c r="JI51" i="23"/>
  <c r="N110" i="1" s="1"/>
  <c r="M178" i="7" s="1"/>
  <c r="AO178" i="7" s="1"/>
  <c r="JI67" i="23"/>
  <c r="N126" i="1" s="1"/>
  <c r="JI29" i="23"/>
  <c r="N88" i="1" s="1"/>
  <c r="M861" i="7" s="1"/>
  <c r="AO861" i="7" s="1"/>
  <c r="JI53" i="23"/>
  <c r="N112" i="1" s="1"/>
  <c r="JI20" i="23"/>
  <c r="N79" i="1" s="1"/>
  <c r="M852" i="7" s="1"/>
  <c r="AO852" i="7" s="1"/>
  <c r="JI28" i="23"/>
  <c r="N87" i="1" s="1"/>
  <c r="M860" i="7" s="1"/>
  <c r="AO860" i="7" s="1"/>
  <c r="JI36" i="23"/>
  <c r="N95" i="1" s="1"/>
  <c r="M334" i="7" s="1"/>
  <c r="JI44" i="23"/>
  <c r="N103" i="1" s="1"/>
  <c r="M315" i="7" s="1"/>
  <c r="JI52" i="23"/>
  <c r="N111" i="1" s="1"/>
  <c r="JI60" i="23"/>
  <c r="N119" i="1" s="1"/>
  <c r="M416" i="7" s="1"/>
  <c r="AO416" i="7" s="1"/>
  <c r="JI21" i="23"/>
  <c r="N80" i="1" s="1"/>
  <c r="M853" i="7" s="1"/>
  <c r="AO853" i="7" s="1"/>
  <c r="JI45" i="23"/>
  <c r="N104" i="1" s="1"/>
  <c r="M316" i="7" s="1"/>
  <c r="T216" i="15"/>
  <c r="V216" i="15"/>
  <c r="S216" i="15"/>
  <c r="P216" i="15"/>
  <c r="N216" i="15"/>
  <c r="R216" i="15"/>
  <c r="E58" i="13"/>
  <c r="E54" i="13"/>
  <c r="E50" i="13"/>
  <c r="E61" i="13"/>
  <c r="E57" i="13"/>
  <c r="E53" i="13"/>
  <c r="E49" i="13"/>
  <c r="JI213" i="23"/>
  <c r="N272" i="1" s="1"/>
  <c r="JI5" i="23"/>
  <c r="N64" i="1" s="1"/>
  <c r="M62" i="7" s="1"/>
  <c r="JI10" i="23"/>
  <c r="N69" i="1" s="1"/>
  <c r="M842" i="7" s="1"/>
  <c r="AO842" i="7" s="1"/>
  <c r="JI4" i="23"/>
  <c r="N63" i="1" s="1"/>
  <c r="M61" i="7" s="1"/>
  <c r="JI9" i="23"/>
  <c r="N68" i="1" s="1"/>
  <c r="M841" i="7" s="1"/>
  <c r="AO841" i="7" s="1"/>
  <c r="JI14" i="23"/>
  <c r="N73" i="1" s="1"/>
  <c r="M846" i="7" s="1"/>
  <c r="AO846" i="7" s="1"/>
  <c r="JI7" i="23"/>
  <c r="N66" i="1" s="1"/>
  <c r="JI8" i="23"/>
  <c r="N67" i="1" s="1"/>
  <c r="M840" i="7" s="1"/>
  <c r="AO840" i="7" s="1"/>
  <c r="JI13" i="23"/>
  <c r="N72" i="1" s="1"/>
  <c r="M845" i="7" s="1"/>
  <c r="AO845" i="7" s="1"/>
  <c r="JI11" i="23"/>
  <c r="N70" i="1" s="1"/>
  <c r="M843" i="7" s="1"/>
  <c r="AO843" i="7" s="1"/>
  <c r="JI12" i="23"/>
  <c r="N71" i="1" s="1"/>
  <c r="M844" i="7" s="1"/>
  <c r="AO844" i="7" s="1"/>
  <c r="JI6" i="23"/>
  <c r="N65" i="1" s="1"/>
  <c r="X248" i="15"/>
  <c r="X247" i="15"/>
  <c r="U288" i="15"/>
  <c r="S288" i="15"/>
  <c r="X249" i="15"/>
  <c r="X284" i="15"/>
  <c r="Q288" i="15"/>
  <c r="W288" i="15"/>
  <c r="X285" i="15"/>
  <c r="X286" i="15"/>
  <c r="X283" i="15"/>
  <c r="X246" i="15"/>
  <c r="N288" i="15"/>
  <c r="X282" i="15"/>
  <c r="V288" i="15"/>
  <c r="R288" i="15"/>
  <c r="P288" i="15"/>
  <c r="O288" i="15"/>
  <c r="T288" i="15"/>
  <c r="X250" i="15"/>
  <c r="E59" i="13"/>
  <c r="E55" i="13"/>
  <c r="E51" i="13"/>
  <c r="E60" i="13"/>
  <c r="E56" i="13"/>
  <c r="E52" i="13"/>
  <c r="I6" i="13"/>
  <c r="K6" i="13"/>
  <c r="L6" i="13"/>
  <c r="M6" i="13"/>
  <c r="N6" i="13"/>
  <c r="O6" i="13"/>
  <c r="P6" i="13"/>
  <c r="Q6" i="13"/>
  <c r="R6" i="13"/>
  <c r="S6" i="13"/>
  <c r="T6" i="13"/>
  <c r="U6" i="13"/>
  <c r="V6" i="13"/>
  <c r="W6" i="13"/>
  <c r="X6" i="13"/>
  <c r="Y6" i="13"/>
  <c r="Z6" i="13"/>
  <c r="AA6" i="13"/>
  <c r="AB6" i="13"/>
  <c r="AC6" i="13"/>
  <c r="AD6" i="13"/>
  <c r="AE6" i="13"/>
  <c r="AF6" i="13"/>
  <c r="AG6" i="13"/>
  <c r="AH6" i="13"/>
  <c r="AI6" i="13"/>
  <c r="AJ6" i="13"/>
  <c r="AK6" i="13"/>
  <c r="AL6" i="13"/>
  <c r="AM6" i="13"/>
  <c r="AN6" i="13"/>
  <c r="AO6" i="13"/>
  <c r="AP6" i="13"/>
  <c r="AQ6" i="13"/>
  <c r="AR6" i="13"/>
  <c r="I7" i="13"/>
  <c r="J7" i="13"/>
  <c r="K7" i="13"/>
  <c r="L7" i="13"/>
  <c r="M7" i="13"/>
  <c r="N7" i="13"/>
  <c r="O7" i="13"/>
  <c r="P7" i="13"/>
  <c r="Q7" i="13"/>
  <c r="R7" i="13"/>
  <c r="S7" i="13"/>
  <c r="T7" i="13"/>
  <c r="U7" i="13"/>
  <c r="V7" i="13"/>
  <c r="W7" i="13"/>
  <c r="X7" i="13"/>
  <c r="Y7" i="13"/>
  <c r="Z7" i="13"/>
  <c r="AA7" i="13"/>
  <c r="AB7" i="13"/>
  <c r="AC7" i="13"/>
  <c r="AD7" i="13"/>
  <c r="AE7" i="13"/>
  <c r="AF7" i="13"/>
  <c r="AG7" i="13"/>
  <c r="AH7" i="13"/>
  <c r="AI7" i="13"/>
  <c r="AJ7" i="13"/>
  <c r="AK7" i="13"/>
  <c r="AL7" i="13"/>
  <c r="AM7" i="13"/>
  <c r="AN7" i="13"/>
  <c r="AO7" i="13"/>
  <c r="AP7" i="13"/>
  <c r="AQ7" i="13"/>
  <c r="AR7" i="13"/>
  <c r="I8" i="13"/>
  <c r="J8" i="13"/>
  <c r="K8" i="13"/>
  <c r="L8" i="13"/>
  <c r="M8" i="13"/>
  <c r="N8" i="13"/>
  <c r="O8" i="13"/>
  <c r="P8" i="13"/>
  <c r="Q8" i="13"/>
  <c r="R8" i="13"/>
  <c r="S8" i="13"/>
  <c r="T8" i="13"/>
  <c r="U8" i="13"/>
  <c r="V8" i="13"/>
  <c r="W8" i="13"/>
  <c r="X8" i="13"/>
  <c r="Y8" i="13"/>
  <c r="Z8" i="13"/>
  <c r="AA8" i="13"/>
  <c r="AB8" i="13"/>
  <c r="AC8" i="13"/>
  <c r="AD8" i="13"/>
  <c r="AE8" i="13"/>
  <c r="AF8" i="13"/>
  <c r="AG8" i="13"/>
  <c r="AH8" i="13"/>
  <c r="AI8" i="13"/>
  <c r="AJ8" i="13"/>
  <c r="AK8" i="13"/>
  <c r="AL8" i="13"/>
  <c r="AM8" i="13"/>
  <c r="AN8" i="13"/>
  <c r="AO8" i="13"/>
  <c r="AP8" i="13"/>
  <c r="AQ8" i="13"/>
  <c r="AR8" i="13"/>
  <c r="I9" i="13"/>
  <c r="J9" i="13"/>
  <c r="K9" i="13"/>
  <c r="L9" i="13"/>
  <c r="M9" i="13"/>
  <c r="N9" i="13"/>
  <c r="O9" i="13"/>
  <c r="P9" i="13"/>
  <c r="Q9" i="13"/>
  <c r="R9" i="13"/>
  <c r="S9" i="13"/>
  <c r="T9" i="13"/>
  <c r="U9" i="13"/>
  <c r="V9" i="13"/>
  <c r="W9" i="13"/>
  <c r="X9" i="13"/>
  <c r="Y9" i="13"/>
  <c r="Z9" i="13"/>
  <c r="AA9" i="13"/>
  <c r="AB9" i="13"/>
  <c r="AC9" i="13"/>
  <c r="AD9" i="13"/>
  <c r="AE9" i="13"/>
  <c r="AF9" i="13"/>
  <c r="AG9" i="13"/>
  <c r="AH9" i="13"/>
  <c r="AI9" i="13"/>
  <c r="AJ9" i="13"/>
  <c r="AK9" i="13"/>
  <c r="AL9" i="13"/>
  <c r="AM9" i="13"/>
  <c r="AN9" i="13"/>
  <c r="AO9" i="13"/>
  <c r="AP9" i="13"/>
  <c r="AQ9" i="13"/>
  <c r="AR9" i="13"/>
  <c r="I10" i="13"/>
  <c r="J10" i="13"/>
  <c r="L10" i="13"/>
  <c r="M10" i="13"/>
  <c r="N10" i="13"/>
  <c r="O10" i="13"/>
  <c r="P10" i="13"/>
  <c r="Q10" i="13"/>
  <c r="R10" i="13"/>
  <c r="S10" i="13"/>
  <c r="T10" i="13"/>
  <c r="U10" i="13"/>
  <c r="V10" i="13"/>
  <c r="W10" i="13"/>
  <c r="X10" i="13"/>
  <c r="Y10" i="13"/>
  <c r="Z10" i="13"/>
  <c r="AA10" i="13"/>
  <c r="AB10" i="13"/>
  <c r="AC10" i="13"/>
  <c r="AD10" i="13"/>
  <c r="AE10" i="13"/>
  <c r="AF10" i="13"/>
  <c r="AG10" i="13"/>
  <c r="AH10" i="13"/>
  <c r="AI10" i="13"/>
  <c r="AJ10" i="13"/>
  <c r="AK10" i="13"/>
  <c r="AL10" i="13"/>
  <c r="AM10" i="13"/>
  <c r="AN10" i="13"/>
  <c r="AO10" i="13"/>
  <c r="AP10" i="13"/>
  <c r="AQ10" i="13"/>
  <c r="AR10" i="13"/>
  <c r="I11" i="13"/>
  <c r="J11" i="13"/>
  <c r="K11" i="13"/>
  <c r="L11" i="13"/>
  <c r="M11" i="13"/>
  <c r="N11" i="13"/>
  <c r="O11" i="13"/>
  <c r="P11" i="13"/>
  <c r="Q11" i="13"/>
  <c r="R11" i="13"/>
  <c r="S11" i="13"/>
  <c r="T11" i="13"/>
  <c r="U11" i="13"/>
  <c r="V11" i="13"/>
  <c r="W11" i="13"/>
  <c r="X11" i="13"/>
  <c r="Y11" i="13"/>
  <c r="Z11" i="13"/>
  <c r="AA11" i="13"/>
  <c r="AB11" i="13"/>
  <c r="AC11" i="13"/>
  <c r="AD11" i="13"/>
  <c r="AE11" i="13"/>
  <c r="AF11" i="13"/>
  <c r="AG11" i="13"/>
  <c r="AH11" i="13"/>
  <c r="AI11" i="13"/>
  <c r="AJ11" i="13"/>
  <c r="AK11" i="13"/>
  <c r="AL11" i="13"/>
  <c r="AM11" i="13"/>
  <c r="AN11" i="13"/>
  <c r="AO11" i="13"/>
  <c r="AP11" i="13"/>
  <c r="AQ11" i="13"/>
  <c r="AR11" i="13"/>
  <c r="I12" i="13"/>
  <c r="K12" i="13"/>
  <c r="L12" i="13"/>
  <c r="M12" i="13"/>
  <c r="N12" i="13"/>
  <c r="O12" i="13"/>
  <c r="P12" i="13"/>
  <c r="Q12" i="13"/>
  <c r="R12" i="13"/>
  <c r="S12" i="13"/>
  <c r="T12" i="13"/>
  <c r="U12" i="13"/>
  <c r="V12" i="13"/>
  <c r="W12" i="13"/>
  <c r="X12" i="13"/>
  <c r="Y12" i="13"/>
  <c r="Z12" i="13"/>
  <c r="AA12" i="13"/>
  <c r="AB12" i="13"/>
  <c r="AC12" i="13"/>
  <c r="AD12" i="13"/>
  <c r="AE12" i="13"/>
  <c r="AF12" i="13"/>
  <c r="AG12" i="13"/>
  <c r="AH12" i="13"/>
  <c r="AI12" i="13"/>
  <c r="AJ12" i="13"/>
  <c r="AK12" i="13"/>
  <c r="AL12" i="13"/>
  <c r="AM12" i="13"/>
  <c r="AN12" i="13"/>
  <c r="AO12" i="13"/>
  <c r="AP12" i="13"/>
  <c r="AQ12" i="13"/>
  <c r="AR12" i="13"/>
  <c r="I13" i="13"/>
  <c r="J13" i="13"/>
  <c r="K13" i="13"/>
  <c r="L13" i="13"/>
  <c r="M13" i="13"/>
  <c r="N13" i="13"/>
  <c r="O13" i="13"/>
  <c r="P13" i="13"/>
  <c r="Q13" i="13"/>
  <c r="R13" i="13"/>
  <c r="S13" i="13"/>
  <c r="T13" i="13"/>
  <c r="U13" i="13"/>
  <c r="V13" i="13"/>
  <c r="W13" i="13"/>
  <c r="X13" i="13"/>
  <c r="Y13" i="13"/>
  <c r="Z13" i="13"/>
  <c r="AA13" i="13"/>
  <c r="AB13" i="13"/>
  <c r="AC13" i="13"/>
  <c r="AD13" i="13"/>
  <c r="AE13" i="13"/>
  <c r="AF13" i="13"/>
  <c r="AG13" i="13"/>
  <c r="AH13" i="13"/>
  <c r="AI13" i="13"/>
  <c r="AJ13" i="13"/>
  <c r="AK13" i="13"/>
  <c r="AL13" i="13"/>
  <c r="AM13" i="13"/>
  <c r="AN13" i="13"/>
  <c r="AO13" i="13"/>
  <c r="AP13" i="13"/>
  <c r="AQ13" i="13"/>
  <c r="AR13" i="13"/>
  <c r="I14" i="13"/>
  <c r="J14" i="13"/>
  <c r="K14" i="13"/>
  <c r="L14" i="13"/>
  <c r="M14" i="13"/>
  <c r="N14" i="13"/>
  <c r="O14" i="13"/>
  <c r="P14" i="13"/>
  <c r="Q14" i="13"/>
  <c r="R14" i="13"/>
  <c r="S14" i="13"/>
  <c r="T14" i="13"/>
  <c r="U14" i="13"/>
  <c r="V14" i="13"/>
  <c r="W14" i="13"/>
  <c r="X14" i="13"/>
  <c r="Y14" i="13"/>
  <c r="Z14" i="13"/>
  <c r="AA14" i="13"/>
  <c r="AB14" i="13"/>
  <c r="AC14" i="13"/>
  <c r="AD14" i="13"/>
  <c r="AE14" i="13"/>
  <c r="AF14" i="13"/>
  <c r="AG14" i="13"/>
  <c r="AH14" i="13"/>
  <c r="AI14" i="13"/>
  <c r="AJ14" i="13"/>
  <c r="AK14" i="13"/>
  <c r="AL14" i="13"/>
  <c r="AM14" i="13"/>
  <c r="AN14" i="13"/>
  <c r="AO14" i="13"/>
  <c r="AP14" i="13"/>
  <c r="AQ14" i="13"/>
  <c r="AR14" i="13"/>
  <c r="I15" i="13"/>
  <c r="J15" i="13"/>
  <c r="K15" i="13"/>
  <c r="L15" i="13"/>
  <c r="M15" i="13"/>
  <c r="N15" i="13"/>
  <c r="O15" i="13"/>
  <c r="P15" i="13"/>
  <c r="Q15" i="13"/>
  <c r="R15" i="13"/>
  <c r="S15" i="13"/>
  <c r="T15" i="13"/>
  <c r="U15" i="13"/>
  <c r="V15" i="13"/>
  <c r="W15" i="13"/>
  <c r="X15" i="13"/>
  <c r="Y15" i="13"/>
  <c r="Z15" i="13"/>
  <c r="AA15" i="13"/>
  <c r="AB15" i="13"/>
  <c r="AC15" i="13"/>
  <c r="AD15" i="13"/>
  <c r="AE15" i="13"/>
  <c r="AF15" i="13"/>
  <c r="AG15" i="13"/>
  <c r="AH15" i="13"/>
  <c r="AI15" i="13"/>
  <c r="AJ15" i="13"/>
  <c r="AK15" i="13"/>
  <c r="AL15" i="13"/>
  <c r="AM15" i="13"/>
  <c r="AN15" i="13"/>
  <c r="AO15" i="13"/>
  <c r="AP15" i="13"/>
  <c r="AQ15" i="13"/>
  <c r="AR15" i="13"/>
  <c r="I16" i="13"/>
  <c r="J16" i="13"/>
  <c r="K16" i="13"/>
  <c r="L16" i="13"/>
  <c r="M16" i="13"/>
  <c r="N16" i="13"/>
  <c r="O16" i="13"/>
  <c r="P16" i="13"/>
  <c r="Q16" i="13"/>
  <c r="R16" i="13"/>
  <c r="S16" i="13"/>
  <c r="T16" i="13"/>
  <c r="U16" i="13"/>
  <c r="V16" i="13"/>
  <c r="W16" i="13"/>
  <c r="X16" i="13"/>
  <c r="Y16" i="13"/>
  <c r="Z16" i="13"/>
  <c r="AA16" i="13"/>
  <c r="AB16" i="13"/>
  <c r="AC16" i="13"/>
  <c r="AD16" i="13"/>
  <c r="AE16" i="13"/>
  <c r="AF16" i="13"/>
  <c r="AG16" i="13"/>
  <c r="AH16" i="13"/>
  <c r="AI16" i="13"/>
  <c r="AJ16" i="13"/>
  <c r="AK16" i="13"/>
  <c r="AL16" i="13"/>
  <c r="AM16" i="13"/>
  <c r="AN16" i="13"/>
  <c r="AO16" i="13"/>
  <c r="AP16" i="13"/>
  <c r="AQ16" i="13"/>
  <c r="AR16" i="13"/>
  <c r="I17" i="13"/>
  <c r="J17" i="13"/>
  <c r="K17" i="13"/>
  <c r="L17" i="13"/>
  <c r="M17" i="13"/>
  <c r="N17" i="13"/>
  <c r="O17" i="13"/>
  <c r="P17" i="13"/>
  <c r="Q17" i="13"/>
  <c r="R17" i="13"/>
  <c r="S17" i="13"/>
  <c r="T17" i="13"/>
  <c r="U17" i="13"/>
  <c r="V17" i="13"/>
  <c r="W17" i="13"/>
  <c r="X17" i="13"/>
  <c r="Y17" i="13"/>
  <c r="Z17" i="13"/>
  <c r="AA17" i="13"/>
  <c r="AB17" i="13"/>
  <c r="AC17" i="13"/>
  <c r="AD17" i="13"/>
  <c r="AE17" i="13"/>
  <c r="AF17" i="13"/>
  <c r="AG17" i="13"/>
  <c r="AH17" i="13"/>
  <c r="AI17" i="13"/>
  <c r="AJ17" i="13"/>
  <c r="AK17" i="13"/>
  <c r="AL17" i="13"/>
  <c r="AM17" i="13"/>
  <c r="AN17" i="13"/>
  <c r="AO17" i="13"/>
  <c r="AP17" i="13"/>
  <c r="AQ17" i="13"/>
  <c r="AR17" i="13"/>
  <c r="I18" i="13"/>
  <c r="J18" i="13"/>
  <c r="K18" i="13"/>
  <c r="L18" i="13"/>
  <c r="M18" i="13"/>
  <c r="N18" i="13"/>
  <c r="O18" i="13"/>
  <c r="P18" i="13"/>
  <c r="Q18" i="13"/>
  <c r="R18" i="13"/>
  <c r="S18" i="13"/>
  <c r="T18" i="13"/>
  <c r="U18" i="13"/>
  <c r="V18" i="13"/>
  <c r="W18" i="13"/>
  <c r="X18" i="13"/>
  <c r="Y18" i="13"/>
  <c r="Z18" i="13"/>
  <c r="AA18" i="13"/>
  <c r="AB18" i="13"/>
  <c r="AC18" i="13"/>
  <c r="AD18" i="13"/>
  <c r="AE18" i="13"/>
  <c r="AF18" i="13"/>
  <c r="AG18" i="13"/>
  <c r="AH18" i="13"/>
  <c r="AI18" i="13"/>
  <c r="AJ18" i="13"/>
  <c r="AK18" i="13"/>
  <c r="AL18" i="13"/>
  <c r="AM18" i="13"/>
  <c r="AN18" i="13"/>
  <c r="AO18" i="13"/>
  <c r="AP18" i="13"/>
  <c r="AQ18" i="13"/>
  <c r="AR18" i="13"/>
  <c r="I19" i="13"/>
  <c r="M19" i="13"/>
  <c r="N19" i="13"/>
  <c r="O19" i="13"/>
  <c r="P19" i="13"/>
  <c r="Q19" i="13"/>
  <c r="R19" i="13"/>
  <c r="S19" i="13"/>
  <c r="T19" i="13"/>
  <c r="U19" i="13"/>
  <c r="V19" i="13"/>
  <c r="W19" i="13"/>
  <c r="X19" i="13"/>
  <c r="Y19" i="13"/>
  <c r="Z19" i="13"/>
  <c r="AA19" i="13"/>
  <c r="AB19" i="13"/>
  <c r="AC19" i="13"/>
  <c r="AD19" i="13"/>
  <c r="AE19" i="13"/>
  <c r="AF19" i="13"/>
  <c r="AG19" i="13"/>
  <c r="AH19" i="13"/>
  <c r="AI19" i="13"/>
  <c r="AJ19" i="13"/>
  <c r="AK19" i="13"/>
  <c r="AL19" i="13"/>
  <c r="AM19" i="13"/>
  <c r="AN19" i="13"/>
  <c r="AO19" i="13"/>
  <c r="AP19" i="13"/>
  <c r="AQ19" i="13"/>
  <c r="AR19"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I21" i="13"/>
  <c r="O21" i="13"/>
  <c r="P21" i="13"/>
  <c r="Q21" i="13"/>
  <c r="R21" i="13"/>
  <c r="S21" i="13"/>
  <c r="T21" i="13"/>
  <c r="U21" i="13"/>
  <c r="V21" i="13"/>
  <c r="W21" i="13"/>
  <c r="X21" i="13"/>
  <c r="Y21" i="13"/>
  <c r="Z21" i="13"/>
  <c r="AA21" i="13"/>
  <c r="AB21" i="13"/>
  <c r="AC21" i="13"/>
  <c r="AD21" i="13"/>
  <c r="AE21" i="13"/>
  <c r="AF21" i="13"/>
  <c r="AG21" i="13"/>
  <c r="AH21" i="13"/>
  <c r="AI21" i="13"/>
  <c r="AJ21" i="13"/>
  <c r="AK21" i="13"/>
  <c r="AL21" i="13"/>
  <c r="AM21" i="13"/>
  <c r="AN21" i="13"/>
  <c r="AO21" i="13"/>
  <c r="AP21" i="13"/>
  <c r="AQ21" i="13"/>
  <c r="AR21" i="13"/>
  <c r="I22" i="13"/>
  <c r="J22" i="13"/>
  <c r="O22" i="13"/>
  <c r="P22" i="13"/>
  <c r="Q22" i="13"/>
  <c r="R22" i="13"/>
  <c r="S22" i="13"/>
  <c r="T22" i="13"/>
  <c r="U22" i="13"/>
  <c r="V22" i="13"/>
  <c r="W22" i="13"/>
  <c r="X22" i="13"/>
  <c r="Y22" i="13"/>
  <c r="Z22" i="13"/>
  <c r="AA22" i="13"/>
  <c r="AB22" i="13"/>
  <c r="AC22" i="13"/>
  <c r="AD22" i="13"/>
  <c r="AE22" i="13"/>
  <c r="AF22" i="13"/>
  <c r="AG22" i="13"/>
  <c r="AH22" i="13"/>
  <c r="AI22" i="13"/>
  <c r="AJ22" i="13"/>
  <c r="AK22" i="13"/>
  <c r="AL22" i="13"/>
  <c r="AM22" i="13"/>
  <c r="AN22" i="13"/>
  <c r="AO22" i="13"/>
  <c r="AP22" i="13"/>
  <c r="AQ22" i="13"/>
  <c r="AR22" i="13"/>
  <c r="I23" i="13"/>
  <c r="J23" i="13"/>
  <c r="K23" i="13"/>
  <c r="L23" i="13"/>
  <c r="R23" i="13"/>
  <c r="S23" i="13"/>
  <c r="T23" i="13"/>
  <c r="U23" i="13"/>
  <c r="V23" i="13"/>
  <c r="W23" i="13"/>
  <c r="X23" i="13"/>
  <c r="Y23" i="13"/>
  <c r="Z23" i="13"/>
  <c r="AA23" i="13"/>
  <c r="AB23" i="13"/>
  <c r="AC23" i="13"/>
  <c r="AD23" i="13"/>
  <c r="AE23" i="13"/>
  <c r="AF23" i="13"/>
  <c r="AG23" i="13"/>
  <c r="AH23" i="13"/>
  <c r="AI23" i="13"/>
  <c r="AJ23" i="13"/>
  <c r="AK23" i="13"/>
  <c r="AL23" i="13"/>
  <c r="AM23" i="13"/>
  <c r="AN23" i="13"/>
  <c r="AO23" i="13"/>
  <c r="AP23" i="13"/>
  <c r="AQ23" i="13"/>
  <c r="AR23" i="13"/>
  <c r="I24" i="13"/>
  <c r="J24" i="13"/>
  <c r="K24" i="13"/>
  <c r="L24" i="13"/>
  <c r="M24" i="13"/>
  <c r="N24" i="13"/>
  <c r="O24" i="13"/>
  <c r="P24" i="13"/>
  <c r="Q24" i="13"/>
  <c r="R24" i="13"/>
  <c r="S24" i="13"/>
  <c r="T24" i="13"/>
  <c r="U24" i="13"/>
  <c r="V24" i="13"/>
  <c r="W24" i="13"/>
  <c r="X24" i="13"/>
  <c r="Y24" i="13"/>
  <c r="Z24" i="13"/>
  <c r="AA24" i="13"/>
  <c r="AB24" i="13"/>
  <c r="AC24" i="13"/>
  <c r="AD24" i="13"/>
  <c r="AE24" i="13"/>
  <c r="AF24" i="13"/>
  <c r="AG24" i="13"/>
  <c r="AH24" i="13"/>
  <c r="AI24" i="13"/>
  <c r="AJ24" i="13"/>
  <c r="AK24" i="13"/>
  <c r="AL24" i="13"/>
  <c r="AM24" i="13"/>
  <c r="AN24" i="13"/>
  <c r="AO24" i="13"/>
  <c r="AP24" i="13"/>
  <c r="AQ24" i="13"/>
  <c r="AR24" i="13"/>
  <c r="I25" i="13"/>
  <c r="J25" i="13"/>
  <c r="K25" i="13"/>
  <c r="L25" i="13"/>
  <c r="M25" i="13"/>
  <c r="Q25" i="13"/>
  <c r="R25" i="13"/>
  <c r="S25" i="13"/>
  <c r="T25" i="13"/>
  <c r="U25" i="13"/>
  <c r="V25" i="13"/>
  <c r="W25" i="13"/>
  <c r="X25" i="13"/>
  <c r="Y25" i="13"/>
  <c r="Z25" i="13"/>
  <c r="AA25" i="13"/>
  <c r="AB25" i="13"/>
  <c r="AC25" i="13"/>
  <c r="AD25" i="13"/>
  <c r="AE25" i="13"/>
  <c r="AF25" i="13"/>
  <c r="AG25" i="13"/>
  <c r="AH25" i="13"/>
  <c r="AI25" i="13"/>
  <c r="AJ25" i="13"/>
  <c r="AK25" i="13"/>
  <c r="AL25" i="13"/>
  <c r="AM25" i="13"/>
  <c r="AN25" i="13"/>
  <c r="AO25" i="13"/>
  <c r="AP25" i="13"/>
  <c r="AQ25" i="13"/>
  <c r="AR25" i="13"/>
  <c r="I26" i="13"/>
  <c r="J26" i="13"/>
  <c r="K26" i="13"/>
  <c r="L26" i="13"/>
  <c r="M26" i="13"/>
  <c r="Q26" i="13"/>
  <c r="R26" i="13"/>
  <c r="S26" i="13"/>
  <c r="T26" i="13"/>
  <c r="U26" i="13"/>
  <c r="V26" i="13"/>
  <c r="W26" i="13"/>
  <c r="X26" i="13"/>
  <c r="Y26" i="13"/>
  <c r="Z26" i="13"/>
  <c r="AA26" i="13"/>
  <c r="AB26" i="13"/>
  <c r="AC26" i="13"/>
  <c r="AD26" i="13"/>
  <c r="AE26" i="13"/>
  <c r="AF26" i="13"/>
  <c r="AG26" i="13"/>
  <c r="AH26" i="13"/>
  <c r="AI26" i="13"/>
  <c r="AJ26" i="13"/>
  <c r="AK26" i="13"/>
  <c r="AL26" i="13"/>
  <c r="AM26" i="13"/>
  <c r="AN26" i="13"/>
  <c r="AO26" i="13"/>
  <c r="AP26" i="13"/>
  <c r="AQ26" i="13"/>
  <c r="AR26" i="13"/>
  <c r="I27" i="13"/>
  <c r="J27" i="13"/>
  <c r="K27" i="13"/>
  <c r="L27" i="13"/>
  <c r="M27" i="13"/>
  <c r="N27" i="13"/>
  <c r="Q27" i="13"/>
  <c r="R27" i="13"/>
  <c r="S27" i="13"/>
  <c r="T27" i="13"/>
  <c r="U27" i="13"/>
  <c r="V27" i="13"/>
  <c r="W27" i="13"/>
  <c r="X27" i="13"/>
  <c r="Y27" i="13"/>
  <c r="Z27" i="13"/>
  <c r="AA27" i="13"/>
  <c r="AB27" i="13"/>
  <c r="AC27" i="13"/>
  <c r="AD27" i="13"/>
  <c r="AE27" i="13"/>
  <c r="AF27" i="13"/>
  <c r="AG27" i="13"/>
  <c r="AH27" i="13"/>
  <c r="AI27" i="13"/>
  <c r="AJ27" i="13"/>
  <c r="AK27" i="13"/>
  <c r="AL27" i="13"/>
  <c r="AM27" i="13"/>
  <c r="AN27" i="13"/>
  <c r="AO27" i="13"/>
  <c r="AP27" i="13"/>
  <c r="AQ27" i="13"/>
  <c r="AR27" i="13"/>
  <c r="I28" i="13"/>
  <c r="J28" i="13"/>
  <c r="K28" i="13"/>
  <c r="L28" i="13"/>
  <c r="M28" i="13"/>
  <c r="N28" i="13"/>
  <c r="Q28" i="13"/>
  <c r="U28" i="13"/>
  <c r="V28" i="13"/>
  <c r="W28" i="13"/>
  <c r="X28" i="13"/>
  <c r="Y28" i="13"/>
  <c r="Z28" i="13"/>
  <c r="AA28" i="13"/>
  <c r="AB28" i="13"/>
  <c r="AC28" i="13"/>
  <c r="AD28" i="13"/>
  <c r="AE28" i="13"/>
  <c r="AF28" i="13"/>
  <c r="AG28" i="13"/>
  <c r="AH28" i="13"/>
  <c r="AI28" i="13"/>
  <c r="AJ28" i="13"/>
  <c r="AK28" i="13"/>
  <c r="AL28" i="13"/>
  <c r="AM28" i="13"/>
  <c r="AN28" i="13"/>
  <c r="AO28" i="13"/>
  <c r="AP28" i="13"/>
  <c r="AQ28" i="13"/>
  <c r="AR28" i="13"/>
  <c r="I29" i="13"/>
  <c r="J29" i="13"/>
  <c r="K29" i="13"/>
  <c r="L29" i="13"/>
  <c r="M29" i="13"/>
  <c r="N29" i="13"/>
  <c r="P29" i="13"/>
  <c r="Q29" i="13"/>
  <c r="S29" i="13"/>
  <c r="T29" i="13"/>
  <c r="U29" i="13"/>
  <c r="V29" i="13"/>
  <c r="W29" i="13"/>
  <c r="X29" i="13"/>
  <c r="Y29" i="13"/>
  <c r="Z29" i="13"/>
  <c r="AA29" i="13"/>
  <c r="AB29" i="13"/>
  <c r="AC29" i="13"/>
  <c r="AD29" i="13"/>
  <c r="AE29" i="13"/>
  <c r="AF29" i="13"/>
  <c r="AG29" i="13"/>
  <c r="AH29" i="13"/>
  <c r="AI29" i="13"/>
  <c r="AJ29" i="13"/>
  <c r="AK29" i="13"/>
  <c r="AL29" i="13"/>
  <c r="AM29" i="13"/>
  <c r="AN29" i="13"/>
  <c r="AO29" i="13"/>
  <c r="AP29" i="13"/>
  <c r="AQ29" i="13"/>
  <c r="AR29" i="13"/>
  <c r="I30" i="13"/>
  <c r="J30" i="13"/>
  <c r="K30" i="13"/>
  <c r="L30" i="13"/>
  <c r="M30" i="13"/>
  <c r="N30" i="13"/>
  <c r="Q30" i="13"/>
  <c r="U30" i="13"/>
  <c r="V30" i="13"/>
  <c r="W30" i="13"/>
  <c r="X30" i="13"/>
  <c r="Y30" i="13"/>
  <c r="Z30" i="13"/>
  <c r="AA30" i="13"/>
  <c r="AB30" i="13"/>
  <c r="AC30" i="13"/>
  <c r="AD30" i="13"/>
  <c r="AE30" i="13"/>
  <c r="AF30" i="13"/>
  <c r="AG30" i="13"/>
  <c r="AH30" i="13"/>
  <c r="AI30" i="13"/>
  <c r="AJ30" i="13"/>
  <c r="AK30" i="13"/>
  <c r="AL30" i="13"/>
  <c r="AM30" i="13"/>
  <c r="AN30" i="13"/>
  <c r="AO30" i="13"/>
  <c r="AP30" i="13"/>
  <c r="AQ30" i="13"/>
  <c r="AR30" i="13"/>
  <c r="U31" i="13"/>
  <c r="V31" i="13"/>
  <c r="W31" i="13"/>
  <c r="X31" i="13"/>
  <c r="Y31" i="13"/>
  <c r="Z31" i="13"/>
  <c r="AA31" i="13"/>
  <c r="AB31" i="13"/>
  <c r="AC31" i="13"/>
  <c r="AD31" i="13"/>
  <c r="AE31" i="13"/>
  <c r="AF31" i="13"/>
  <c r="AG31" i="13"/>
  <c r="AH31" i="13"/>
  <c r="AI31" i="13"/>
  <c r="AJ31" i="13"/>
  <c r="AK31" i="13"/>
  <c r="AL31" i="13"/>
  <c r="AM31" i="13"/>
  <c r="AN31" i="13"/>
  <c r="AO31" i="13"/>
  <c r="AP31" i="13"/>
  <c r="AQ31" i="13"/>
  <c r="AR31" i="13"/>
  <c r="I32" i="13"/>
  <c r="J32" i="13"/>
  <c r="K32" i="13"/>
  <c r="L32" i="13"/>
  <c r="M32" i="13"/>
  <c r="N32" i="13"/>
  <c r="O32" i="13"/>
  <c r="P32" i="13"/>
  <c r="Q32" i="13"/>
  <c r="R32" i="13"/>
  <c r="S32" i="13"/>
  <c r="T32" i="13"/>
  <c r="U32" i="13"/>
  <c r="V32" i="13"/>
  <c r="W32" i="13"/>
  <c r="X32" i="13"/>
  <c r="Y32" i="13"/>
  <c r="Z32" i="13"/>
  <c r="AA32" i="13"/>
  <c r="AB32" i="13"/>
  <c r="AC32" i="13"/>
  <c r="AD32" i="13"/>
  <c r="AE32" i="13"/>
  <c r="AF32" i="13"/>
  <c r="AG32" i="13"/>
  <c r="AH32" i="13"/>
  <c r="AI32" i="13"/>
  <c r="AJ32" i="13"/>
  <c r="AK32" i="13"/>
  <c r="AL32" i="13"/>
  <c r="AM32" i="13"/>
  <c r="AN32" i="13"/>
  <c r="AO32" i="13"/>
  <c r="AP32" i="13"/>
  <c r="AQ32" i="13"/>
  <c r="AR32" i="13"/>
  <c r="I33" i="13"/>
  <c r="J33" i="13"/>
  <c r="K33" i="13"/>
  <c r="L33" i="13"/>
  <c r="M33" i="13"/>
  <c r="Q33" i="13"/>
  <c r="S33" i="13"/>
  <c r="T33" i="13"/>
  <c r="U33" i="13"/>
  <c r="V33" i="13"/>
  <c r="W33" i="13"/>
  <c r="X33" i="13"/>
  <c r="Y33" i="13"/>
  <c r="Z33" i="13"/>
  <c r="AA33" i="13"/>
  <c r="AB33" i="13"/>
  <c r="AC33" i="13"/>
  <c r="AD33" i="13"/>
  <c r="AE33" i="13"/>
  <c r="AF33" i="13"/>
  <c r="AG33" i="13"/>
  <c r="AH33" i="13"/>
  <c r="AI33" i="13"/>
  <c r="AJ33" i="13"/>
  <c r="AK33" i="13"/>
  <c r="AL33" i="13"/>
  <c r="AM33" i="13"/>
  <c r="AN33" i="13"/>
  <c r="AO33" i="13"/>
  <c r="AP33" i="13"/>
  <c r="AQ33" i="13"/>
  <c r="AR33" i="13"/>
  <c r="I34" i="13"/>
  <c r="J34" i="13"/>
  <c r="K34" i="13"/>
  <c r="L34" i="13"/>
  <c r="M34" i="13"/>
  <c r="N34" i="13"/>
  <c r="Q34" i="13"/>
  <c r="S34" i="13"/>
  <c r="U34" i="13"/>
  <c r="V34" i="13"/>
  <c r="W34" i="13"/>
  <c r="X34" i="13"/>
  <c r="Y34" i="13"/>
  <c r="Z34" i="13"/>
  <c r="AA34" i="13"/>
  <c r="AB34" i="13"/>
  <c r="AC34" i="13"/>
  <c r="AD34" i="13"/>
  <c r="AE34" i="13"/>
  <c r="AF34" i="13"/>
  <c r="AG34" i="13"/>
  <c r="AH34" i="13"/>
  <c r="AI34" i="13"/>
  <c r="AJ34" i="13"/>
  <c r="AK34" i="13"/>
  <c r="AL34" i="13"/>
  <c r="AM34" i="13"/>
  <c r="AN34" i="13"/>
  <c r="AO34" i="13"/>
  <c r="AP34" i="13"/>
  <c r="AQ34" i="13"/>
  <c r="AR34" i="13"/>
  <c r="U35" i="13"/>
  <c r="V35" i="13"/>
  <c r="W35" i="13"/>
  <c r="X35" i="13"/>
  <c r="Y35" i="13"/>
  <c r="Z35" i="13"/>
  <c r="AA35" i="13"/>
  <c r="AB35" i="13"/>
  <c r="AC35" i="13"/>
  <c r="AD35" i="13"/>
  <c r="AE35" i="13"/>
  <c r="AF35" i="13"/>
  <c r="AG35" i="13"/>
  <c r="AH35" i="13"/>
  <c r="AI35" i="13"/>
  <c r="AJ35" i="13"/>
  <c r="AK35" i="13"/>
  <c r="AL35" i="13"/>
  <c r="AM35" i="13"/>
  <c r="AN35" i="13"/>
  <c r="AO35" i="13"/>
  <c r="AP35" i="13"/>
  <c r="AQ35" i="13"/>
  <c r="AR35" i="13"/>
  <c r="U36" i="13"/>
  <c r="V36" i="13"/>
  <c r="W36" i="13"/>
  <c r="X36" i="13"/>
  <c r="Y36" i="13"/>
  <c r="Z36" i="13"/>
  <c r="AA36" i="13"/>
  <c r="AB36" i="13"/>
  <c r="AC36" i="13"/>
  <c r="AD36" i="13"/>
  <c r="AE36" i="13"/>
  <c r="AF36" i="13"/>
  <c r="AG36" i="13"/>
  <c r="AH36" i="13"/>
  <c r="AI36" i="13"/>
  <c r="AJ36" i="13"/>
  <c r="AK36" i="13"/>
  <c r="AL36" i="13"/>
  <c r="AM36" i="13"/>
  <c r="AN36" i="13"/>
  <c r="AO36" i="13"/>
  <c r="AP36" i="13"/>
  <c r="AQ36" i="13"/>
  <c r="AR36" i="13"/>
  <c r="I37" i="13"/>
  <c r="J37" i="13"/>
  <c r="K37" i="13"/>
  <c r="L37" i="13"/>
  <c r="M37" i="13"/>
  <c r="N37" i="13"/>
  <c r="Q37" i="13"/>
  <c r="S37" i="13"/>
  <c r="U37" i="13"/>
  <c r="V37" i="13"/>
  <c r="W37" i="13"/>
  <c r="X37" i="13"/>
  <c r="Y37" i="13"/>
  <c r="Z37" i="13"/>
  <c r="AA37" i="13"/>
  <c r="AB37" i="13"/>
  <c r="AC37" i="13"/>
  <c r="AD37" i="13"/>
  <c r="AE37" i="13"/>
  <c r="AF37" i="13"/>
  <c r="AG37" i="13"/>
  <c r="AH37" i="13"/>
  <c r="AI37" i="13"/>
  <c r="AJ37" i="13"/>
  <c r="AK37" i="13"/>
  <c r="AL37" i="13"/>
  <c r="AM37" i="13"/>
  <c r="AN37" i="13"/>
  <c r="AO37" i="13"/>
  <c r="AP37" i="13"/>
  <c r="AQ37" i="13"/>
  <c r="AR37" i="13"/>
  <c r="T5" i="13"/>
  <c r="U5" i="13"/>
  <c r="V5" i="13"/>
  <c r="W5" i="13"/>
  <c r="X5" i="13"/>
  <c r="Y5" i="13"/>
  <c r="Z5" i="13"/>
  <c r="AA5" i="13"/>
  <c r="AB5" i="13"/>
  <c r="AC5" i="13"/>
  <c r="AD5" i="13"/>
  <c r="AE5" i="13"/>
  <c r="AF5" i="13"/>
  <c r="AG5" i="13"/>
  <c r="AH5" i="13"/>
  <c r="AI5" i="13"/>
  <c r="AJ5" i="13"/>
  <c r="AK5" i="13"/>
  <c r="AL5" i="13"/>
  <c r="AM5" i="13"/>
  <c r="AN5" i="13"/>
  <c r="AO5" i="13"/>
  <c r="AP5" i="13"/>
  <c r="AQ5" i="13"/>
  <c r="O5" i="13"/>
  <c r="P5" i="13"/>
  <c r="Q5" i="13"/>
  <c r="R5" i="13"/>
  <c r="AU6" i="13"/>
  <c r="J6" i="13" s="1"/>
  <c r="AU7" i="13"/>
  <c r="AU8" i="13"/>
  <c r="AU9" i="13"/>
  <c r="AU10" i="13"/>
  <c r="K10" i="13" s="1"/>
  <c r="AU11" i="13"/>
  <c r="AU12" i="13"/>
  <c r="J12" i="13" s="1"/>
  <c r="AU13" i="13"/>
  <c r="AU14" i="13"/>
  <c r="AU15" i="13"/>
  <c r="AU16" i="13"/>
  <c r="AU17" i="13"/>
  <c r="AU18" i="13"/>
  <c r="AU19" i="13"/>
  <c r="J19" i="13" s="1"/>
  <c r="AU20" i="13"/>
  <c r="AU21" i="13"/>
  <c r="J21" i="13" s="1"/>
  <c r="AU22" i="13"/>
  <c r="K22" i="13" s="1"/>
  <c r="AU23" i="13"/>
  <c r="M23" i="13" s="1"/>
  <c r="AU24" i="13"/>
  <c r="AU25" i="13"/>
  <c r="AU26" i="13"/>
  <c r="AU27" i="13"/>
  <c r="AU28" i="13"/>
  <c r="AU29" i="13"/>
  <c r="AU30" i="13"/>
  <c r="AU31" i="13"/>
  <c r="AU32" i="13"/>
  <c r="AU33" i="13"/>
  <c r="N33" i="13" s="1"/>
  <c r="AU34" i="13"/>
  <c r="R34" i="13" s="1"/>
  <c r="AU35" i="13"/>
  <c r="AU36" i="13"/>
  <c r="AU37" i="13"/>
  <c r="R37" i="13" s="1"/>
  <c r="AU5" i="13"/>
  <c r="I4" i="13"/>
  <c r="E17" i="12"/>
  <c r="E16" i="12"/>
  <c r="E15" i="12"/>
  <c r="E14" i="12"/>
  <c r="E13" i="12"/>
  <c r="E7" i="12"/>
  <c r="E6" i="12"/>
  <c r="E5" i="12"/>
  <c r="C18" i="12"/>
  <c r="E4" i="12"/>
  <c r="M55" i="7" l="1"/>
  <c r="C41" i="30"/>
  <c r="D41" i="30" s="1"/>
  <c r="F28" i="25"/>
  <c r="M46" i="7"/>
  <c r="F44" i="25"/>
  <c r="F43" i="25"/>
  <c r="F6" i="25"/>
  <c r="F40" i="25"/>
  <c r="V252" i="15"/>
  <c r="C40" i="30"/>
  <c r="D40" i="30" s="1"/>
  <c r="F77" i="25"/>
  <c r="C24" i="30"/>
  <c r="D24" i="30" s="1"/>
  <c r="F57" i="25"/>
  <c r="C23" i="30"/>
  <c r="D23" i="30" s="1"/>
  <c r="F41" i="25"/>
  <c r="C38" i="30"/>
  <c r="D38" i="30" s="1"/>
  <c r="F54" i="25"/>
  <c r="F79" i="25"/>
  <c r="F62" i="25"/>
  <c r="F66" i="25"/>
  <c r="F71" i="25"/>
  <c r="F80" i="25"/>
  <c r="F55" i="25"/>
  <c r="F53" i="25"/>
  <c r="F26" i="25"/>
  <c r="F65" i="25"/>
  <c r="F27" i="25"/>
  <c r="F73" i="25"/>
  <c r="F30" i="25"/>
  <c r="K72" i="15"/>
  <c r="F46" i="25"/>
  <c r="F38" i="25"/>
  <c r="P252" i="15"/>
  <c r="W252" i="15"/>
  <c r="F33" i="25"/>
  <c r="F78" i="25"/>
  <c r="F63" i="25"/>
  <c r="F61" i="25"/>
  <c r="F32" i="25"/>
  <c r="F23" i="25"/>
  <c r="F8" i="25"/>
  <c r="J72" i="15"/>
  <c r="F25" i="25"/>
  <c r="F109" i="25"/>
  <c r="F134" i="25"/>
  <c r="F75" i="25"/>
  <c r="F49" i="25"/>
  <c r="F95" i="25"/>
  <c r="F110" i="25"/>
  <c r="F107" i="25"/>
  <c r="F108" i="25"/>
  <c r="F17" i="25"/>
  <c r="R252" i="15"/>
  <c r="M72" i="15"/>
  <c r="F5" i="25"/>
  <c r="F84" i="25"/>
  <c r="F127" i="25"/>
  <c r="F39" i="25"/>
  <c r="F58" i="25"/>
  <c r="F18" i="25"/>
  <c r="F22" i="25"/>
  <c r="F118" i="25"/>
  <c r="F64" i="25"/>
  <c r="F144" i="25"/>
  <c r="F69" i="25"/>
  <c r="R72" i="15"/>
  <c r="F105" i="25"/>
  <c r="F106" i="25"/>
  <c r="F36" i="25"/>
  <c r="CJ118" i="1"/>
  <c r="CI118" i="1"/>
  <c r="CF118" i="1"/>
  <c r="CG118" i="1"/>
  <c r="CV118" i="1"/>
  <c r="CX118" i="1" s="1"/>
  <c r="CK118" i="1"/>
  <c r="CL118" i="1"/>
  <c r="CQ118" i="1"/>
  <c r="AU118" i="1" s="1"/>
  <c r="CJ109" i="1"/>
  <c r="CI109" i="1"/>
  <c r="CQ109" i="1"/>
  <c r="Z109" i="1" s="1"/>
  <c r="CV109" i="1"/>
  <c r="CX109" i="1" s="1"/>
  <c r="CF109" i="1"/>
  <c r="CG109" i="1"/>
  <c r="CL109" i="1"/>
  <c r="CK109" i="1"/>
  <c r="CJ96" i="1"/>
  <c r="CI96" i="1"/>
  <c r="CG96" i="1"/>
  <c r="CQ96" i="1"/>
  <c r="CV96" i="1"/>
  <c r="CX96" i="1" s="1"/>
  <c r="CL96" i="1"/>
  <c r="CK96" i="1"/>
  <c r="CF96" i="1"/>
  <c r="CF93" i="1"/>
  <c r="CV93" i="1"/>
  <c r="CX93" i="1" s="1"/>
  <c r="CG93" i="1"/>
  <c r="CL93" i="1"/>
  <c r="CK93" i="1"/>
  <c r="CJ93" i="1"/>
  <c r="CI93" i="1"/>
  <c r="CQ93" i="1"/>
  <c r="Z93" i="1" s="1"/>
  <c r="CV120" i="1"/>
  <c r="CX120" i="1" s="1"/>
  <c r="CL120" i="1"/>
  <c r="CK120" i="1"/>
  <c r="CJ120" i="1"/>
  <c r="CI120" i="1"/>
  <c r="CG120" i="1"/>
  <c r="CQ120" i="1"/>
  <c r="BW120" i="1" s="1"/>
  <c r="CF120" i="1"/>
  <c r="P72" i="15"/>
  <c r="V72" i="15"/>
  <c r="W72" i="15"/>
  <c r="L72" i="15"/>
  <c r="N47" i="15"/>
  <c r="N72" i="15" s="1"/>
  <c r="T47" i="15"/>
  <c r="T72" i="15" s="1"/>
  <c r="Q47" i="15"/>
  <c r="Q72" i="15" s="1"/>
  <c r="O47" i="15"/>
  <c r="O72" i="15" s="1"/>
  <c r="U47" i="15"/>
  <c r="U72" i="15" s="1"/>
  <c r="S47" i="15"/>
  <c r="S72" i="15" s="1"/>
  <c r="F37" i="25"/>
  <c r="F10" i="25"/>
  <c r="F76" i="25"/>
  <c r="CI263" i="1"/>
  <c r="CV263" i="1"/>
  <c r="CX263" i="1" s="1"/>
  <c r="CQ263" i="1"/>
  <c r="CL263" i="1"/>
  <c r="CK263" i="1"/>
  <c r="CJ263" i="1"/>
  <c r="CF128" i="1"/>
  <c r="CV128" i="1"/>
  <c r="CX128" i="1" s="1"/>
  <c r="CL128" i="1"/>
  <c r="CK128" i="1"/>
  <c r="CJ128" i="1"/>
  <c r="CQ128" i="1"/>
  <c r="Z128" i="1" s="1"/>
  <c r="CI128" i="1"/>
  <c r="CG128" i="1"/>
  <c r="CJ127" i="1"/>
  <c r="CI127" i="1"/>
  <c r="CV127" i="1"/>
  <c r="CX127" i="1" s="1"/>
  <c r="CG127" i="1"/>
  <c r="CQ127" i="1"/>
  <c r="BW127" i="1" s="1"/>
  <c r="CL127" i="1"/>
  <c r="CK127" i="1"/>
  <c r="CF127" i="1"/>
  <c r="M1269" i="7"/>
  <c r="CL79" i="1"/>
  <c r="CK79" i="1"/>
  <c r="CJ79" i="1"/>
  <c r="CG79" i="1"/>
  <c r="CV79" i="1"/>
  <c r="CX79" i="1" s="1"/>
  <c r="CI79" i="1"/>
  <c r="CQ79" i="1"/>
  <c r="CF79" i="1"/>
  <c r="CK78" i="1"/>
  <c r="CI78" i="1"/>
  <c r="CV78" i="1"/>
  <c r="CX78" i="1" s="1"/>
  <c r="CJ78" i="1"/>
  <c r="CG78" i="1"/>
  <c r="CQ78" i="1"/>
  <c r="CF78" i="1"/>
  <c r="CL78" i="1"/>
  <c r="CL108" i="1"/>
  <c r="CK108" i="1"/>
  <c r="CJ108" i="1"/>
  <c r="CV108" i="1"/>
  <c r="CX108" i="1" s="1"/>
  <c r="CI108" i="1"/>
  <c r="CQ108" i="1"/>
  <c r="CG108" i="1"/>
  <c r="CF108" i="1"/>
  <c r="CV99" i="1"/>
  <c r="CX99" i="1" s="1"/>
  <c r="CK99" i="1"/>
  <c r="CJ99" i="1"/>
  <c r="CI99" i="1"/>
  <c r="CG99" i="1"/>
  <c r="CQ99" i="1"/>
  <c r="CL99" i="1"/>
  <c r="CF99" i="1"/>
  <c r="CL82" i="1"/>
  <c r="CK82" i="1"/>
  <c r="CJ82" i="1"/>
  <c r="CV82" i="1"/>
  <c r="CX82" i="1" s="1"/>
  <c r="CI82" i="1"/>
  <c r="CG82" i="1"/>
  <c r="CQ82" i="1"/>
  <c r="CF82" i="1"/>
  <c r="CK104" i="1"/>
  <c r="CI104" i="1"/>
  <c r="CV104" i="1"/>
  <c r="CX104" i="1" s="1"/>
  <c r="CQ104" i="1"/>
  <c r="CF104" i="1"/>
  <c r="CL104" i="1"/>
  <c r="CJ104" i="1"/>
  <c r="CG104" i="1"/>
  <c r="CI112" i="1"/>
  <c r="CV112" i="1"/>
  <c r="CX112" i="1" s="1"/>
  <c r="CK112" i="1"/>
  <c r="CJ112" i="1"/>
  <c r="CF112" i="1"/>
  <c r="CQ112" i="1"/>
  <c r="CG112" i="1"/>
  <c r="CL112" i="1"/>
  <c r="CV125" i="1"/>
  <c r="CX125" i="1" s="1"/>
  <c r="CJ125" i="1"/>
  <c r="CL125" i="1"/>
  <c r="CK125" i="1"/>
  <c r="CI125" i="1"/>
  <c r="CQ125" i="1"/>
  <c r="CV100" i="1"/>
  <c r="CX100" i="1" s="1"/>
  <c r="CL100" i="1"/>
  <c r="CJ100" i="1"/>
  <c r="CQ100" i="1"/>
  <c r="CG100" i="1"/>
  <c r="CI100" i="1"/>
  <c r="CF100" i="1"/>
  <c r="CK100" i="1"/>
  <c r="CI83" i="1"/>
  <c r="CV83" i="1"/>
  <c r="CX83" i="1" s="1"/>
  <c r="CK83" i="1"/>
  <c r="CQ83" i="1"/>
  <c r="CL83" i="1"/>
  <c r="CG83" i="1"/>
  <c r="CJ83" i="1"/>
  <c r="CF83" i="1"/>
  <c r="CV74" i="1"/>
  <c r="CX74" i="1" s="1"/>
  <c r="CL74" i="1"/>
  <c r="CJ74" i="1"/>
  <c r="CK74" i="1"/>
  <c r="CI74" i="1"/>
  <c r="CF74" i="1"/>
  <c r="CQ74" i="1"/>
  <c r="CG74" i="1"/>
  <c r="CI80" i="1"/>
  <c r="CV80" i="1"/>
  <c r="CX80" i="1" s="1"/>
  <c r="CK80" i="1"/>
  <c r="CG80" i="1"/>
  <c r="CL80" i="1"/>
  <c r="CF80" i="1"/>
  <c r="CJ80" i="1"/>
  <c r="CQ80" i="1"/>
  <c r="CV88" i="1"/>
  <c r="CX88" i="1" s="1"/>
  <c r="CL88" i="1"/>
  <c r="CK88" i="1"/>
  <c r="CI88" i="1"/>
  <c r="CQ88" i="1"/>
  <c r="AU88" i="1" s="1"/>
  <c r="CF88" i="1"/>
  <c r="CG88" i="1"/>
  <c r="CJ88" i="1"/>
  <c r="CJ117" i="1"/>
  <c r="CL117" i="1"/>
  <c r="CK117" i="1"/>
  <c r="CI117" i="1"/>
  <c r="CF117" i="1"/>
  <c r="CG117" i="1"/>
  <c r="CV117" i="1"/>
  <c r="CX117" i="1" s="1"/>
  <c r="CQ117" i="1"/>
  <c r="CJ92" i="1"/>
  <c r="CL92" i="1"/>
  <c r="CF92" i="1"/>
  <c r="CG92" i="1"/>
  <c r="CV92" i="1"/>
  <c r="CX92" i="1" s="1"/>
  <c r="CI92" i="1"/>
  <c r="CQ92" i="1"/>
  <c r="CK92" i="1"/>
  <c r="CK75" i="1"/>
  <c r="CI75" i="1"/>
  <c r="CV75" i="1"/>
  <c r="CX75" i="1" s="1"/>
  <c r="CQ75" i="1"/>
  <c r="CF75" i="1"/>
  <c r="CG75" i="1"/>
  <c r="CL75" i="1"/>
  <c r="CJ75" i="1"/>
  <c r="CV121" i="1"/>
  <c r="CX121" i="1" s="1"/>
  <c r="CK121" i="1"/>
  <c r="CJ121" i="1"/>
  <c r="CQ121" i="1"/>
  <c r="CL121" i="1"/>
  <c r="CI121" i="1"/>
  <c r="F99" i="25"/>
  <c r="CL119" i="1"/>
  <c r="CJ119" i="1"/>
  <c r="CI119" i="1"/>
  <c r="CF119" i="1"/>
  <c r="CV119" i="1"/>
  <c r="CX119" i="1" s="1"/>
  <c r="CK119" i="1"/>
  <c r="CQ119" i="1"/>
  <c r="CG119" i="1"/>
  <c r="CV126" i="1"/>
  <c r="CX126" i="1" s="1"/>
  <c r="CL126" i="1"/>
  <c r="CK126" i="1"/>
  <c r="CI126" i="1"/>
  <c r="CJ126" i="1"/>
  <c r="CQ126" i="1"/>
  <c r="CL101" i="1"/>
  <c r="CK101" i="1"/>
  <c r="CG101" i="1"/>
  <c r="CF101" i="1"/>
  <c r="CJ101" i="1"/>
  <c r="CV101" i="1"/>
  <c r="CX101" i="1" s="1"/>
  <c r="CI101" i="1"/>
  <c r="CQ101" i="1"/>
  <c r="CL84" i="1"/>
  <c r="CJ84" i="1"/>
  <c r="CI84" i="1"/>
  <c r="CV84" i="1"/>
  <c r="CX84" i="1" s="1"/>
  <c r="CG84" i="1"/>
  <c r="CK84" i="1"/>
  <c r="CQ84" i="1"/>
  <c r="CF84" i="1"/>
  <c r="CL122" i="1"/>
  <c r="CJ122" i="1"/>
  <c r="CI122" i="1"/>
  <c r="CK122" i="1"/>
  <c r="CQ122" i="1"/>
  <c r="CV122" i="1"/>
  <c r="CX122" i="1" s="1"/>
  <c r="CV113" i="1"/>
  <c r="CX113" i="1" s="1"/>
  <c r="CL113" i="1"/>
  <c r="CI113" i="1"/>
  <c r="CF113" i="1"/>
  <c r="CK113" i="1"/>
  <c r="CG113" i="1"/>
  <c r="CJ113" i="1"/>
  <c r="CQ113" i="1"/>
  <c r="F104" i="25"/>
  <c r="F50" i="25"/>
  <c r="F19" i="25"/>
  <c r="CL111" i="1"/>
  <c r="CK111" i="1"/>
  <c r="CJ111" i="1"/>
  <c r="CV111" i="1"/>
  <c r="CX111" i="1" s="1"/>
  <c r="CG111" i="1"/>
  <c r="CI111" i="1"/>
  <c r="CQ111" i="1"/>
  <c r="CF111" i="1"/>
  <c r="CK110" i="1"/>
  <c r="CI110" i="1"/>
  <c r="CV110" i="1"/>
  <c r="CX110" i="1" s="1"/>
  <c r="CL110" i="1"/>
  <c r="CG110" i="1"/>
  <c r="CJ110" i="1"/>
  <c r="CQ110" i="1"/>
  <c r="CF110" i="1"/>
  <c r="CJ85" i="1"/>
  <c r="CL85" i="1"/>
  <c r="CV85" i="1"/>
  <c r="CX85" i="1" s="1"/>
  <c r="CK85" i="1"/>
  <c r="CI85" i="1"/>
  <c r="CG85" i="1"/>
  <c r="CQ85" i="1"/>
  <c r="CF85" i="1"/>
  <c r="CL76" i="1"/>
  <c r="CK76" i="1"/>
  <c r="CJ76" i="1"/>
  <c r="CF76" i="1"/>
  <c r="CV76" i="1"/>
  <c r="CX76" i="1" s="1"/>
  <c r="CQ76" i="1"/>
  <c r="CG76" i="1"/>
  <c r="CI76" i="1"/>
  <c r="CL114" i="1"/>
  <c r="CK114" i="1"/>
  <c r="CJ114" i="1"/>
  <c r="CV114" i="1"/>
  <c r="CX114" i="1" s="1"/>
  <c r="CG114" i="1"/>
  <c r="CQ114" i="1"/>
  <c r="CI114" i="1"/>
  <c r="CF114" i="1"/>
  <c r="CI105" i="1"/>
  <c r="CK105" i="1"/>
  <c r="CV105" i="1"/>
  <c r="CX105" i="1" s="1"/>
  <c r="CL105" i="1"/>
  <c r="CJ105" i="1"/>
  <c r="CQ105" i="1"/>
  <c r="CF105" i="1"/>
  <c r="CG105" i="1"/>
  <c r="F20" i="25"/>
  <c r="F103" i="25"/>
  <c r="CV103" i="1"/>
  <c r="CX103" i="1" s="1"/>
  <c r="CL103" i="1"/>
  <c r="CJ103" i="1"/>
  <c r="CG103" i="1"/>
  <c r="CK103" i="1"/>
  <c r="CQ103" i="1"/>
  <c r="CI103" i="1"/>
  <c r="CF103" i="1"/>
  <c r="CV102" i="1"/>
  <c r="CX102" i="1" s="1"/>
  <c r="CK102" i="1"/>
  <c r="CJ102" i="1"/>
  <c r="CI102" i="1"/>
  <c r="CF102" i="1"/>
  <c r="CL102" i="1"/>
  <c r="CQ102" i="1"/>
  <c r="CG102" i="1"/>
  <c r="CL77" i="1"/>
  <c r="CJ77" i="1"/>
  <c r="CI77" i="1"/>
  <c r="CG77" i="1"/>
  <c r="CQ77" i="1"/>
  <c r="CK77" i="1"/>
  <c r="CF77" i="1"/>
  <c r="CV77" i="1"/>
  <c r="CX77" i="1" s="1"/>
  <c r="CV123" i="1"/>
  <c r="CX123" i="1" s="1"/>
  <c r="CL123" i="1"/>
  <c r="CK123" i="1"/>
  <c r="CI123" i="1"/>
  <c r="CQ123" i="1"/>
  <c r="CJ123" i="1"/>
  <c r="CV106" i="1"/>
  <c r="CX106" i="1" s="1"/>
  <c r="CL106" i="1"/>
  <c r="CJ106" i="1"/>
  <c r="CQ106" i="1"/>
  <c r="CK106" i="1"/>
  <c r="CI106" i="1"/>
  <c r="CG106" i="1"/>
  <c r="CF106" i="1"/>
  <c r="CK97" i="1"/>
  <c r="CI97" i="1"/>
  <c r="CV97" i="1"/>
  <c r="CX97" i="1" s="1"/>
  <c r="CJ97" i="1"/>
  <c r="CG97" i="1"/>
  <c r="CQ97" i="1"/>
  <c r="CF97" i="1"/>
  <c r="CL97" i="1"/>
  <c r="CJ95" i="1"/>
  <c r="CL95" i="1"/>
  <c r="CV95" i="1"/>
  <c r="CX95" i="1" s="1"/>
  <c r="CG95" i="1"/>
  <c r="CK95" i="1"/>
  <c r="CI95" i="1"/>
  <c r="CQ95" i="1"/>
  <c r="CF95" i="1"/>
  <c r="CV94" i="1"/>
  <c r="CX94" i="1" s="1"/>
  <c r="CL94" i="1"/>
  <c r="CK94" i="1"/>
  <c r="CI94" i="1"/>
  <c r="CJ94" i="1"/>
  <c r="CQ94" i="1"/>
  <c r="CG94" i="1"/>
  <c r="CF94" i="1"/>
  <c r="CJ124" i="1"/>
  <c r="CL124" i="1"/>
  <c r="CG124" i="1"/>
  <c r="CF124" i="1"/>
  <c r="CK124" i="1"/>
  <c r="CI124" i="1"/>
  <c r="CQ124" i="1"/>
  <c r="CV124" i="1"/>
  <c r="CX124" i="1" s="1"/>
  <c r="CI115" i="1"/>
  <c r="CV115" i="1"/>
  <c r="CX115" i="1" s="1"/>
  <c r="CK115" i="1"/>
  <c r="CJ115" i="1"/>
  <c r="CQ115" i="1"/>
  <c r="CG115" i="1"/>
  <c r="CF115" i="1"/>
  <c r="CL115" i="1"/>
  <c r="CJ98" i="1"/>
  <c r="CL98" i="1"/>
  <c r="CQ98" i="1"/>
  <c r="CG98" i="1"/>
  <c r="CF98" i="1"/>
  <c r="CV98" i="1"/>
  <c r="CX98" i="1" s="1"/>
  <c r="CK98" i="1"/>
  <c r="CI98" i="1"/>
  <c r="CV89" i="1"/>
  <c r="CX89" i="1" s="1"/>
  <c r="CK89" i="1"/>
  <c r="CJ89" i="1"/>
  <c r="CQ89" i="1"/>
  <c r="CG89" i="1"/>
  <c r="CF89" i="1"/>
  <c r="CL89" i="1"/>
  <c r="CI89" i="1"/>
  <c r="F7" i="25"/>
  <c r="F56" i="25"/>
  <c r="F152" i="25"/>
  <c r="CL87" i="1"/>
  <c r="CJ87" i="1"/>
  <c r="CI87" i="1"/>
  <c r="CV87" i="1"/>
  <c r="CX87" i="1" s="1"/>
  <c r="CK87" i="1"/>
  <c r="CQ87" i="1"/>
  <c r="CI86" i="1"/>
  <c r="CV86" i="1"/>
  <c r="CX86" i="1" s="1"/>
  <c r="CK86" i="1"/>
  <c r="CL86" i="1"/>
  <c r="CG86" i="1"/>
  <c r="CF86" i="1"/>
  <c r="CJ86" i="1"/>
  <c r="CQ86" i="1"/>
  <c r="CL116" i="1"/>
  <c r="CJ116" i="1"/>
  <c r="CI116" i="1"/>
  <c r="CK116" i="1"/>
  <c r="CG116" i="1"/>
  <c r="CQ116" i="1"/>
  <c r="CF116" i="1"/>
  <c r="CV116" i="1"/>
  <c r="CX116" i="1" s="1"/>
  <c r="CK107" i="1"/>
  <c r="CI107" i="1"/>
  <c r="CV107" i="1"/>
  <c r="CX107" i="1" s="1"/>
  <c r="CG107" i="1"/>
  <c r="CF107" i="1"/>
  <c r="CL107" i="1"/>
  <c r="CJ107" i="1"/>
  <c r="CQ107" i="1"/>
  <c r="CL90" i="1"/>
  <c r="CJ90" i="1"/>
  <c r="CI90" i="1"/>
  <c r="CV90" i="1"/>
  <c r="CX90" i="1" s="1"/>
  <c r="CK90" i="1"/>
  <c r="CF90" i="1"/>
  <c r="CG90" i="1"/>
  <c r="CQ90" i="1"/>
  <c r="CV81" i="1"/>
  <c r="CX81" i="1" s="1"/>
  <c r="CL81" i="1"/>
  <c r="CI81" i="1"/>
  <c r="CF81" i="1"/>
  <c r="CK81" i="1"/>
  <c r="CJ81" i="1"/>
  <c r="CQ81" i="1"/>
  <c r="CG81" i="1"/>
  <c r="CV72" i="1"/>
  <c r="CX72" i="1" s="1"/>
  <c r="CL72" i="1"/>
  <c r="CK72" i="1"/>
  <c r="CJ72" i="1"/>
  <c r="CI72" i="1"/>
  <c r="CV68" i="1"/>
  <c r="CX68" i="1" s="1"/>
  <c r="CL68" i="1"/>
  <c r="CK68" i="1"/>
  <c r="CJ68" i="1"/>
  <c r="CI68" i="1"/>
  <c r="CV272" i="1"/>
  <c r="CX272" i="1" s="1"/>
  <c r="CL272" i="1"/>
  <c r="CK272" i="1"/>
  <c r="CJ272" i="1"/>
  <c r="CI272" i="1"/>
  <c r="CV65" i="1"/>
  <c r="CX65" i="1" s="1"/>
  <c r="CL65" i="1"/>
  <c r="CK65" i="1"/>
  <c r="CJ65" i="1"/>
  <c r="CI65" i="1"/>
  <c r="CV67" i="1"/>
  <c r="CX67" i="1" s="1"/>
  <c r="CL67" i="1"/>
  <c r="CK67" i="1"/>
  <c r="CJ67" i="1"/>
  <c r="CI67" i="1"/>
  <c r="CV63" i="1"/>
  <c r="CX63" i="1" s="1"/>
  <c r="CL63" i="1"/>
  <c r="CK63" i="1"/>
  <c r="CJ63" i="1"/>
  <c r="CI63" i="1"/>
  <c r="CV71" i="1"/>
  <c r="CX71" i="1" s="1"/>
  <c r="CL71" i="1"/>
  <c r="CK71" i="1"/>
  <c r="CJ71" i="1"/>
  <c r="CI71" i="1"/>
  <c r="CV66" i="1"/>
  <c r="CX66" i="1" s="1"/>
  <c r="CL66" i="1"/>
  <c r="CK66" i="1"/>
  <c r="CJ66" i="1"/>
  <c r="CI66" i="1"/>
  <c r="CV69" i="1"/>
  <c r="CX69" i="1" s="1"/>
  <c r="CL69" i="1"/>
  <c r="CK69" i="1"/>
  <c r="CJ69" i="1"/>
  <c r="CI69" i="1"/>
  <c r="CV70" i="1"/>
  <c r="CX70" i="1" s="1"/>
  <c r="CL70" i="1"/>
  <c r="CK70" i="1"/>
  <c r="CJ70" i="1"/>
  <c r="CI70" i="1"/>
  <c r="CV73" i="1"/>
  <c r="CX73" i="1" s="1"/>
  <c r="CL73" i="1"/>
  <c r="CK73" i="1"/>
  <c r="CJ73" i="1"/>
  <c r="CI73" i="1"/>
  <c r="CV64" i="1"/>
  <c r="CX64" i="1" s="1"/>
  <c r="CL64" i="1"/>
  <c r="CK64" i="1"/>
  <c r="CJ64" i="1"/>
  <c r="CI64" i="1"/>
  <c r="J4" i="13"/>
  <c r="AW4" i="13" s="1"/>
  <c r="CF272" i="1"/>
  <c r="CG272" i="1"/>
  <c r="CQ272" i="1"/>
  <c r="CQ72" i="1"/>
  <c r="CQ68" i="1"/>
  <c r="CQ65" i="1"/>
  <c r="CQ67" i="1"/>
  <c r="CQ63" i="1"/>
  <c r="CQ71" i="1"/>
  <c r="CQ66" i="1"/>
  <c r="CQ69" i="1"/>
  <c r="CQ70" i="1"/>
  <c r="CQ73" i="1"/>
  <c r="CQ64" i="1"/>
  <c r="E18" i="12"/>
  <c r="D18" i="12" s="1"/>
  <c r="AM42" i="13"/>
  <c r="AI42" i="13"/>
  <c r="AA42" i="13"/>
  <c r="AQ42" i="13"/>
  <c r="AE42" i="13"/>
  <c r="W42" i="13"/>
  <c r="AP42" i="13"/>
  <c r="AD42" i="13"/>
  <c r="AH42" i="13"/>
  <c r="V42" i="13"/>
  <c r="AO42" i="13"/>
  <c r="AK42" i="13"/>
  <c r="AG42" i="13"/>
  <c r="AC42" i="13"/>
  <c r="Y42" i="13"/>
  <c r="U42" i="13"/>
  <c r="AL42" i="13"/>
  <c r="Z42" i="13"/>
  <c r="AN42" i="13"/>
  <c r="AJ42" i="13"/>
  <c r="AF42" i="13"/>
  <c r="AB42" i="13"/>
  <c r="X42" i="13"/>
  <c r="M20" i="13"/>
  <c r="L19" i="13"/>
  <c r="K19" i="13"/>
  <c r="AS32" i="13"/>
  <c r="AS24" i="13"/>
  <c r="AS18" i="13"/>
  <c r="AS17" i="13"/>
  <c r="AS16" i="13"/>
  <c r="AS15" i="13"/>
  <c r="AS14" i="13"/>
  <c r="AS13" i="13"/>
  <c r="AS12" i="13"/>
  <c r="AS11" i="13"/>
  <c r="AS10" i="13"/>
  <c r="AS9" i="13"/>
  <c r="AS8" i="13"/>
  <c r="AS7" i="13"/>
  <c r="AS6" i="13"/>
  <c r="AV4" i="13"/>
  <c r="K13" i="11"/>
  <c r="CO61" i="1"/>
  <c r="F13" i="11"/>
  <c r="J13" i="11"/>
  <c r="CN61" i="1" s="1"/>
  <c r="CF69" i="1"/>
  <c r="CG69" i="1"/>
  <c r="CG66" i="1"/>
  <c r="AO46" i="7" l="1"/>
  <c r="C8" i="30"/>
  <c r="D8" i="30" s="1"/>
  <c r="G35" i="26"/>
  <c r="H35" i="26"/>
  <c r="C26" i="30"/>
  <c r="D26" i="30" s="1"/>
  <c r="G4" i="30"/>
  <c r="F35" i="26"/>
  <c r="Y57" i="2"/>
  <c r="N60" i="1" s="1"/>
  <c r="AU120" i="1"/>
  <c r="AT120" i="1" s="1"/>
  <c r="AU109" i="1"/>
  <c r="AT109" i="1" s="1"/>
  <c r="Z120" i="1"/>
  <c r="AA120" i="1" s="1"/>
  <c r="AQ360" i="7" s="1"/>
  <c r="BW109" i="1"/>
  <c r="BW93" i="1"/>
  <c r="AU93" i="1"/>
  <c r="AT93" i="1" s="1"/>
  <c r="AA93" i="1"/>
  <c r="AQ865" i="7" s="1"/>
  <c r="DO93" i="1"/>
  <c r="DM93" i="1"/>
  <c r="DL93" i="1"/>
  <c r="DN93" i="1"/>
  <c r="DK93" i="1"/>
  <c r="AW118" i="1"/>
  <c r="AT118" i="1"/>
  <c r="AX118" i="1"/>
  <c r="CS109" i="1"/>
  <c r="O109" i="1"/>
  <c r="CR109" i="1"/>
  <c r="O93" i="1"/>
  <c r="CR93" i="1"/>
  <c r="CS93" i="1"/>
  <c r="CZ96" i="1"/>
  <c r="CW96" i="1"/>
  <c r="DB96" i="1"/>
  <c r="DD96" i="1"/>
  <c r="DF96" i="1" s="1"/>
  <c r="DL109" i="1"/>
  <c r="AA109" i="1"/>
  <c r="AQ162" i="7" s="1"/>
  <c r="AM162" i="7" s="1"/>
  <c r="DO109" i="1"/>
  <c r="DK109" i="1"/>
  <c r="DN109" i="1"/>
  <c r="DM109" i="1"/>
  <c r="DD118" i="1"/>
  <c r="DF118" i="1" s="1"/>
  <c r="CZ118" i="1"/>
  <c r="DB118" i="1"/>
  <c r="CW118" i="1"/>
  <c r="CR96" i="1"/>
  <c r="O96" i="1"/>
  <c r="CS96" i="1"/>
  <c r="DB120" i="1"/>
  <c r="CZ120" i="1"/>
  <c r="CW120" i="1"/>
  <c r="DD120" i="1"/>
  <c r="DH120" i="1" s="1"/>
  <c r="BW96" i="1"/>
  <c r="BW118" i="1"/>
  <c r="AU96" i="1"/>
  <c r="Z118" i="1"/>
  <c r="CR120" i="1"/>
  <c r="CS120" i="1"/>
  <c r="O120" i="1"/>
  <c r="Z96" i="1"/>
  <c r="CW93" i="1"/>
  <c r="DB93" i="1"/>
  <c r="CZ93" i="1"/>
  <c r="DD93" i="1"/>
  <c r="DF93" i="1" s="1"/>
  <c r="CW109" i="1"/>
  <c r="DD109" i="1"/>
  <c r="DH109" i="1" s="1"/>
  <c r="CZ109" i="1"/>
  <c r="DB109" i="1"/>
  <c r="CR118" i="1"/>
  <c r="CS118" i="1"/>
  <c r="O118" i="1"/>
  <c r="AU127" i="1"/>
  <c r="AX127" i="1" s="1"/>
  <c r="BW128" i="1"/>
  <c r="AU128" i="1"/>
  <c r="AW128" i="1" s="1"/>
  <c r="CR263" i="1"/>
  <c r="O263" i="1"/>
  <c r="CS263" i="1"/>
  <c r="CW263" i="1"/>
  <c r="CZ263" i="1"/>
  <c r="DD263" i="1"/>
  <c r="DH263" i="1" s="1"/>
  <c r="DB263" i="1"/>
  <c r="Z263" i="1"/>
  <c r="Z127" i="1"/>
  <c r="CZ127" i="1"/>
  <c r="DB127" i="1"/>
  <c r="CW127" i="1"/>
  <c r="DD127" i="1"/>
  <c r="DH127" i="1" s="1"/>
  <c r="CR128" i="1"/>
  <c r="CS128" i="1"/>
  <c r="O128" i="1"/>
  <c r="DB128" i="1"/>
  <c r="CZ128" i="1"/>
  <c r="CW128" i="1"/>
  <c r="DD128" i="1"/>
  <c r="DH128" i="1" s="1"/>
  <c r="CS127" i="1"/>
  <c r="O127" i="1"/>
  <c r="CR127" i="1"/>
  <c r="DK128" i="1"/>
  <c r="DN128" i="1"/>
  <c r="DM128" i="1"/>
  <c r="DL128" i="1"/>
  <c r="AA128" i="1"/>
  <c r="DO128" i="1"/>
  <c r="Z90" i="1"/>
  <c r="DM90" i="1" s="1"/>
  <c r="AU107" i="1"/>
  <c r="AT107" i="1" s="1"/>
  <c r="AU86" i="1"/>
  <c r="AX86" i="1" s="1"/>
  <c r="BW115" i="1"/>
  <c r="Z77" i="1"/>
  <c r="DK77" i="1" s="1"/>
  <c r="AU84" i="1"/>
  <c r="AX84" i="1" s="1"/>
  <c r="BW119" i="1"/>
  <c r="AU112" i="1"/>
  <c r="AT112" i="1" s="1"/>
  <c r="Z99" i="1"/>
  <c r="AA99" i="1" s="1"/>
  <c r="AQ317" i="7" s="1"/>
  <c r="BW108" i="1"/>
  <c r="Z73" i="1"/>
  <c r="DL73" i="1" s="1"/>
  <c r="Z72" i="1"/>
  <c r="DM72" i="1" s="1"/>
  <c r="Z81" i="1"/>
  <c r="AA81" i="1" s="1"/>
  <c r="AQ854" i="7" s="1"/>
  <c r="AU89" i="1"/>
  <c r="AT89" i="1" s="1"/>
  <c r="AU106" i="1"/>
  <c r="AT106" i="1" s="1"/>
  <c r="Z85" i="1"/>
  <c r="DL85" i="1" s="1"/>
  <c r="AU110" i="1"/>
  <c r="AX110" i="1" s="1"/>
  <c r="AU111" i="1"/>
  <c r="AW111" i="1" s="1"/>
  <c r="Z121" i="1"/>
  <c r="DO121" i="1" s="1"/>
  <c r="Z75" i="1"/>
  <c r="DO75" i="1" s="1"/>
  <c r="Z117" i="1"/>
  <c r="DL117" i="1" s="1"/>
  <c r="Z71" i="1"/>
  <c r="DN71" i="1" s="1"/>
  <c r="Z116" i="1"/>
  <c r="DN116" i="1" s="1"/>
  <c r="AU98" i="1"/>
  <c r="AT98" i="1" s="1"/>
  <c r="BW124" i="1"/>
  <c r="AU95" i="1"/>
  <c r="AT95" i="1" s="1"/>
  <c r="BW102" i="1"/>
  <c r="Z105" i="1"/>
  <c r="DK105" i="1" s="1"/>
  <c r="BW114" i="1"/>
  <c r="AU76" i="1"/>
  <c r="AW76" i="1" s="1"/>
  <c r="Z92" i="1"/>
  <c r="DN92" i="1" s="1"/>
  <c r="AU80" i="1"/>
  <c r="AT80" i="1" s="1"/>
  <c r="Z83" i="1"/>
  <c r="DM83" i="1" s="1"/>
  <c r="BW100" i="1"/>
  <c r="Z104" i="1"/>
  <c r="DL104" i="1" s="1"/>
  <c r="Z97" i="1"/>
  <c r="DK97" i="1" s="1"/>
  <c r="AU103" i="1"/>
  <c r="AT103" i="1" s="1"/>
  <c r="Z113" i="1"/>
  <c r="DK113" i="1" s="1"/>
  <c r="Z101" i="1"/>
  <c r="DM101" i="1" s="1"/>
  <c r="AU74" i="1"/>
  <c r="AT74" i="1" s="1"/>
  <c r="Z79" i="1"/>
  <c r="DK79" i="1" s="1"/>
  <c r="O69" i="1"/>
  <c r="Z67" i="1"/>
  <c r="DN67" i="1" s="1"/>
  <c r="Z68" i="1"/>
  <c r="DM68" i="1" s="1"/>
  <c r="Z64" i="1"/>
  <c r="DK64" i="1" s="1"/>
  <c r="Z70" i="1"/>
  <c r="DN70" i="1" s="1"/>
  <c r="O66" i="1"/>
  <c r="Z65" i="1"/>
  <c r="DO65" i="1" s="1"/>
  <c r="O63" i="1"/>
  <c r="BW117" i="1"/>
  <c r="BW97" i="1"/>
  <c r="BW86" i="1"/>
  <c r="AU105" i="1"/>
  <c r="AW105" i="1" s="1"/>
  <c r="Z126" i="1"/>
  <c r="DL126" i="1" s="1"/>
  <c r="AU113" i="1"/>
  <c r="AT113" i="1" s="1"/>
  <c r="AU114" i="1"/>
  <c r="AW114" i="1" s="1"/>
  <c r="Z119" i="1"/>
  <c r="DO119" i="1" s="1"/>
  <c r="AU99" i="1"/>
  <c r="AW99" i="1" s="1"/>
  <c r="BW104" i="1"/>
  <c r="AU90" i="1"/>
  <c r="AT90" i="1" s="1"/>
  <c r="BW101" i="1"/>
  <c r="Z89" i="1"/>
  <c r="AA89" i="1" s="1"/>
  <c r="AU83" i="1"/>
  <c r="AT83" i="1" s="1"/>
  <c r="BW113" i="1"/>
  <c r="BW112" i="1"/>
  <c r="Z115" i="1"/>
  <c r="DL115" i="1" s="1"/>
  <c r="AU77" i="1"/>
  <c r="AT77" i="1" s="1"/>
  <c r="Z110" i="1"/>
  <c r="DK110" i="1" s="1"/>
  <c r="AU117" i="1"/>
  <c r="AW117" i="1" s="1"/>
  <c r="AU104" i="1"/>
  <c r="AX104" i="1" s="1"/>
  <c r="BW95" i="1"/>
  <c r="BW90" i="1"/>
  <c r="AU101" i="1"/>
  <c r="AW101" i="1" s="1"/>
  <c r="AU124" i="1"/>
  <c r="AW124" i="1" s="1"/>
  <c r="AU92" i="1"/>
  <c r="AX92" i="1" s="1"/>
  <c r="AU116" i="1"/>
  <c r="AT116" i="1" s="1"/>
  <c r="Z124" i="1"/>
  <c r="AA124" i="1" s="1"/>
  <c r="AQ378" i="7" s="1"/>
  <c r="AM378" i="7" s="1"/>
  <c r="BW116" i="1"/>
  <c r="AU85" i="1"/>
  <c r="AW85" i="1" s="1"/>
  <c r="AU108" i="1"/>
  <c r="AW108" i="1" s="1"/>
  <c r="Z108" i="1"/>
  <c r="DK108" i="1" s="1"/>
  <c r="AU115" i="1"/>
  <c r="AT115" i="1" s="1"/>
  <c r="BW110" i="1"/>
  <c r="BW80" i="1"/>
  <c r="BW79" i="1"/>
  <c r="Z125" i="1"/>
  <c r="DN125" i="1" s="1"/>
  <c r="O82" i="1"/>
  <c r="CS82" i="1"/>
  <c r="CR82" i="1"/>
  <c r="BW81" i="1"/>
  <c r="Z107" i="1"/>
  <c r="O107" i="1"/>
  <c r="CR107" i="1"/>
  <c r="CS107" i="1"/>
  <c r="O89" i="1"/>
  <c r="CR89" i="1"/>
  <c r="CS89" i="1"/>
  <c r="CZ115" i="1"/>
  <c r="CW115" i="1"/>
  <c r="DD115" i="1"/>
  <c r="DH115" i="1" s="1"/>
  <c r="DB115" i="1"/>
  <c r="AU97" i="1"/>
  <c r="Z106" i="1"/>
  <c r="O106" i="1"/>
  <c r="CR106" i="1"/>
  <c r="CS106" i="1"/>
  <c r="BW105" i="1"/>
  <c r="CW114" i="1"/>
  <c r="DB114" i="1"/>
  <c r="DD114" i="1"/>
  <c r="DH114" i="1" s="1"/>
  <c r="CZ114" i="1"/>
  <c r="BW76" i="1"/>
  <c r="CR76" i="1"/>
  <c r="O76" i="1"/>
  <c r="CS76" i="1"/>
  <c r="CS111" i="1"/>
  <c r="O111" i="1"/>
  <c r="CR111" i="1"/>
  <c r="O84" i="1"/>
  <c r="CR84" i="1"/>
  <c r="CS84" i="1"/>
  <c r="O121" i="1"/>
  <c r="CR121" i="1"/>
  <c r="CS121" i="1"/>
  <c r="BW92" i="1"/>
  <c r="Z74" i="1"/>
  <c r="O112" i="1"/>
  <c r="CR112" i="1"/>
  <c r="CS112" i="1"/>
  <c r="DD99" i="1"/>
  <c r="DF99" i="1" s="1"/>
  <c r="CZ99" i="1"/>
  <c r="CW99" i="1"/>
  <c r="DB99" i="1"/>
  <c r="CW108" i="1"/>
  <c r="DD108" i="1"/>
  <c r="DH108" i="1" s="1"/>
  <c r="DB108" i="1"/>
  <c r="CZ108" i="1"/>
  <c r="Z78" i="1"/>
  <c r="CR78" i="1"/>
  <c r="CS78" i="1"/>
  <c r="O78" i="1"/>
  <c r="CZ80" i="1"/>
  <c r="CW80" i="1"/>
  <c r="DD80" i="1"/>
  <c r="DH80" i="1" s="1"/>
  <c r="DB80" i="1"/>
  <c r="AU81" i="1"/>
  <c r="Z87" i="1"/>
  <c r="O87" i="1"/>
  <c r="CR87" i="1"/>
  <c r="CS87" i="1"/>
  <c r="CW98" i="1"/>
  <c r="CZ98" i="1"/>
  <c r="DB98" i="1"/>
  <c r="DD98" i="1"/>
  <c r="DH98" i="1" s="1"/>
  <c r="Z94" i="1"/>
  <c r="O94" i="1"/>
  <c r="CR94" i="1"/>
  <c r="CS94" i="1"/>
  <c r="Z123" i="1"/>
  <c r="CR123" i="1"/>
  <c r="CS123" i="1"/>
  <c r="O123" i="1"/>
  <c r="CW77" i="1"/>
  <c r="DB77" i="1"/>
  <c r="DD77" i="1"/>
  <c r="DF77" i="1" s="1"/>
  <c r="CZ77" i="1"/>
  <c r="AU102" i="1"/>
  <c r="CW76" i="1"/>
  <c r="CZ76" i="1"/>
  <c r="DD76" i="1"/>
  <c r="DF76" i="1" s="1"/>
  <c r="DB76" i="1"/>
  <c r="CZ110" i="1"/>
  <c r="DB110" i="1"/>
  <c r="DD110" i="1"/>
  <c r="DH110" i="1" s="1"/>
  <c r="CW110" i="1"/>
  <c r="CZ113" i="1"/>
  <c r="CW113" i="1"/>
  <c r="DB113" i="1"/>
  <c r="DD113" i="1"/>
  <c r="DH113" i="1" s="1"/>
  <c r="CS119" i="1"/>
  <c r="O119" i="1"/>
  <c r="CR119" i="1"/>
  <c r="Z80" i="1"/>
  <c r="O80" i="1"/>
  <c r="CR80" i="1"/>
  <c r="CS80" i="1"/>
  <c r="BW74" i="1"/>
  <c r="BW83" i="1"/>
  <c r="O83" i="1"/>
  <c r="CR83" i="1"/>
  <c r="CS83" i="1"/>
  <c r="CW100" i="1"/>
  <c r="DD100" i="1"/>
  <c r="DF100" i="1" s="1"/>
  <c r="DB100" i="1"/>
  <c r="CZ100" i="1"/>
  <c r="CW81" i="1"/>
  <c r="CZ81" i="1"/>
  <c r="DD81" i="1"/>
  <c r="DH81" i="1" s="1"/>
  <c r="DB81" i="1"/>
  <c r="CW90" i="1"/>
  <c r="DB90" i="1"/>
  <c r="DD90" i="1"/>
  <c r="DH90" i="1" s="1"/>
  <c r="CZ90" i="1"/>
  <c r="BW89" i="1"/>
  <c r="Z95" i="1"/>
  <c r="O95" i="1"/>
  <c r="CR95" i="1"/>
  <c r="CS95" i="1"/>
  <c r="BW106" i="1"/>
  <c r="DB102" i="1"/>
  <c r="DD102" i="1"/>
  <c r="DH102" i="1" s="1"/>
  <c r="CZ102" i="1"/>
  <c r="CW102" i="1"/>
  <c r="O85" i="1"/>
  <c r="CR85" i="1"/>
  <c r="CS85" i="1"/>
  <c r="O113" i="1"/>
  <c r="CR113" i="1"/>
  <c r="CS113" i="1"/>
  <c r="O101" i="1"/>
  <c r="CR101" i="1"/>
  <c r="CS101" i="1"/>
  <c r="Z88" i="1"/>
  <c r="O88" i="1"/>
  <c r="CS88" i="1"/>
  <c r="CR88" i="1"/>
  <c r="CW74" i="1"/>
  <c r="DD74" i="1"/>
  <c r="DF74" i="1" s="1"/>
  <c r="DB74" i="1"/>
  <c r="CZ74" i="1"/>
  <c r="CW125" i="1"/>
  <c r="CZ125" i="1"/>
  <c r="DD125" i="1"/>
  <c r="DH125" i="1" s="1"/>
  <c r="DB125" i="1"/>
  <c r="CW82" i="1"/>
  <c r="CZ82" i="1"/>
  <c r="DB82" i="1"/>
  <c r="DD82" i="1"/>
  <c r="DH82" i="1" s="1"/>
  <c r="CR79" i="1"/>
  <c r="CS79" i="1"/>
  <c r="O79" i="1"/>
  <c r="CW116" i="1"/>
  <c r="DB116" i="1"/>
  <c r="DD116" i="1"/>
  <c r="DF116" i="1" s="1"/>
  <c r="CZ116" i="1"/>
  <c r="DB86" i="1"/>
  <c r="CZ86" i="1"/>
  <c r="DD86" i="1"/>
  <c r="DF86" i="1" s="1"/>
  <c r="CW86" i="1"/>
  <c r="DB87" i="1"/>
  <c r="CW87" i="1"/>
  <c r="DD87" i="1"/>
  <c r="DF87" i="1" s="1"/>
  <c r="CZ87" i="1"/>
  <c r="CZ89" i="1"/>
  <c r="DB89" i="1"/>
  <c r="DD89" i="1"/>
  <c r="DF89" i="1" s="1"/>
  <c r="CW89" i="1"/>
  <c r="CW106" i="1"/>
  <c r="CZ106" i="1"/>
  <c r="DB106" i="1"/>
  <c r="DD106" i="1"/>
  <c r="DF106" i="1" s="1"/>
  <c r="BW103" i="1"/>
  <c r="CZ111" i="1"/>
  <c r="CW111" i="1"/>
  <c r="DD111" i="1"/>
  <c r="DH111" i="1" s="1"/>
  <c r="DB111" i="1"/>
  <c r="CW84" i="1"/>
  <c r="DD84" i="1"/>
  <c r="DF84" i="1" s="1"/>
  <c r="CZ84" i="1"/>
  <c r="DB84" i="1"/>
  <c r="CZ119" i="1"/>
  <c r="CW119" i="1"/>
  <c r="DD119" i="1"/>
  <c r="DH119" i="1" s="1"/>
  <c r="DB119" i="1"/>
  <c r="CW121" i="1"/>
  <c r="DB121" i="1"/>
  <c r="CZ121" i="1"/>
  <c r="DD121" i="1"/>
  <c r="DF121" i="1" s="1"/>
  <c r="O75" i="1"/>
  <c r="CS75" i="1"/>
  <c r="CR75" i="1"/>
  <c r="O92" i="1"/>
  <c r="CR92" i="1"/>
  <c r="CS92" i="1"/>
  <c r="CZ83" i="1"/>
  <c r="CW83" i="1"/>
  <c r="DB83" i="1"/>
  <c r="DD83" i="1"/>
  <c r="DF83" i="1" s="1"/>
  <c r="O125" i="1"/>
  <c r="CR125" i="1"/>
  <c r="CS125" i="1"/>
  <c r="BW82" i="1"/>
  <c r="O99" i="1"/>
  <c r="CS99" i="1"/>
  <c r="CR99" i="1"/>
  <c r="CZ78" i="1"/>
  <c r="DB78" i="1"/>
  <c r="CW78" i="1"/>
  <c r="DD78" i="1"/>
  <c r="DF78" i="1" s="1"/>
  <c r="O98" i="1"/>
  <c r="CS98" i="1"/>
  <c r="CR98" i="1"/>
  <c r="O97" i="1"/>
  <c r="CR97" i="1"/>
  <c r="CS97" i="1"/>
  <c r="O77" i="1"/>
  <c r="CS77" i="1"/>
  <c r="CR77" i="1"/>
  <c r="Z102" i="1"/>
  <c r="O102" i="1"/>
  <c r="CR102" i="1"/>
  <c r="CS102" i="1"/>
  <c r="CZ103" i="1"/>
  <c r="CW103" i="1"/>
  <c r="DD103" i="1"/>
  <c r="DH103" i="1" s="1"/>
  <c r="DB103" i="1"/>
  <c r="O105" i="1"/>
  <c r="CR105" i="1"/>
  <c r="CS105" i="1"/>
  <c r="CW122" i="1"/>
  <c r="CZ122" i="1"/>
  <c r="DD122" i="1"/>
  <c r="DF122" i="1" s="1"/>
  <c r="DB122" i="1"/>
  <c r="CW101" i="1"/>
  <c r="DB101" i="1"/>
  <c r="CZ101" i="1"/>
  <c r="DD101" i="1"/>
  <c r="DF101" i="1" s="1"/>
  <c r="DB126" i="1"/>
  <c r="CW126" i="1"/>
  <c r="DD126" i="1"/>
  <c r="DH126" i="1" s="1"/>
  <c r="CZ126" i="1"/>
  <c r="CW75" i="1"/>
  <c r="DD75" i="1"/>
  <c r="DH75" i="1" s="1"/>
  <c r="CZ75" i="1"/>
  <c r="DB75" i="1"/>
  <c r="O74" i="1"/>
  <c r="CR74" i="1"/>
  <c r="CS74" i="1"/>
  <c r="O100" i="1"/>
  <c r="CR100" i="1"/>
  <c r="CS100" i="1"/>
  <c r="DB112" i="1"/>
  <c r="DD112" i="1"/>
  <c r="DH112" i="1" s="1"/>
  <c r="CZ112" i="1"/>
  <c r="CW112" i="1"/>
  <c r="Z82" i="1"/>
  <c r="AU78" i="1"/>
  <c r="CZ79" i="1"/>
  <c r="DB79" i="1"/>
  <c r="DD79" i="1"/>
  <c r="DF79" i="1" s="1"/>
  <c r="CW79" i="1"/>
  <c r="O81" i="1"/>
  <c r="CR81" i="1"/>
  <c r="CS81" i="1"/>
  <c r="CZ107" i="1"/>
  <c r="DD107" i="1"/>
  <c r="DF107" i="1" s="1"/>
  <c r="CW107" i="1"/>
  <c r="DB107" i="1"/>
  <c r="O116" i="1"/>
  <c r="CR116" i="1"/>
  <c r="CS116" i="1"/>
  <c r="Z86" i="1"/>
  <c r="O86" i="1"/>
  <c r="CR86" i="1"/>
  <c r="CS86" i="1"/>
  <c r="BW98" i="1"/>
  <c r="O115" i="1"/>
  <c r="CR115" i="1"/>
  <c r="CS115" i="1"/>
  <c r="CW124" i="1"/>
  <c r="CZ124" i="1"/>
  <c r="DB124" i="1"/>
  <c r="DD124" i="1"/>
  <c r="DH124" i="1" s="1"/>
  <c r="BW94" i="1"/>
  <c r="CZ123" i="1"/>
  <c r="DD123" i="1"/>
  <c r="DF123" i="1" s="1"/>
  <c r="DB123" i="1"/>
  <c r="CW123" i="1"/>
  <c r="Z76" i="1"/>
  <c r="CR110" i="1"/>
  <c r="CS110" i="1"/>
  <c r="O110" i="1"/>
  <c r="Z111" i="1"/>
  <c r="Z122" i="1"/>
  <c r="CS122" i="1"/>
  <c r="CR122" i="1"/>
  <c r="O122" i="1"/>
  <c r="BW84" i="1"/>
  <c r="AU119" i="1"/>
  <c r="BW75" i="1"/>
  <c r="CW92" i="1"/>
  <c r="DB92" i="1"/>
  <c r="CZ92" i="1"/>
  <c r="DD92" i="1"/>
  <c r="DH92" i="1" s="1"/>
  <c r="CS117" i="1"/>
  <c r="O117" i="1"/>
  <c r="CR117" i="1"/>
  <c r="BW88" i="1"/>
  <c r="AU100" i="1"/>
  <c r="Z112" i="1"/>
  <c r="O104" i="1"/>
  <c r="CS104" i="1"/>
  <c r="CR104" i="1"/>
  <c r="AU82" i="1"/>
  <c r="BW78" i="1"/>
  <c r="DD97" i="1"/>
  <c r="DF97" i="1" s="1"/>
  <c r="CZ97" i="1"/>
  <c r="DB97" i="1"/>
  <c r="CW97" i="1"/>
  <c r="Z103" i="1"/>
  <c r="O103" i="1"/>
  <c r="CR103" i="1"/>
  <c r="CS103" i="1"/>
  <c r="CZ105" i="1"/>
  <c r="DD105" i="1"/>
  <c r="DH105" i="1" s="1"/>
  <c r="DB105" i="1"/>
  <c r="CW105" i="1"/>
  <c r="O90" i="1"/>
  <c r="CR90" i="1"/>
  <c r="CS90" i="1"/>
  <c r="BW107" i="1"/>
  <c r="Z98" i="1"/>
  <c r="CS124" i="1"/>
  <c r="O124" i="1"/>
  <c r="CR124" i="1"/>
  <c r="AU94" i="1"/>
  <c r="DB94" i="1"/>
  <c r="CZ94" i="1"/>
  <c r="CW94" i="1"/>
  <c r="DD94" i="1"/>
  <c r="DH94" i="1" s="1"/>
  <c r="CZ95" i="1"/>
  <c r="CW95" i="1"/>
  <c r="DD95" i="1"/>
  <c r="DF95" i="1" s="1"/>
  <c r="DB95" i="1"/>
  <c r="BW77" i="1"/>
  <c r="Z114" i="1"/>
  <c r="O114" i="1"/>
  <c r="CR114" i="1"/>
  <c r="CS114" i="1"/>
  <c r="BW85" i="1"/>
  <c r="CW85" i="1"/>
  <c r="CZ85" i="1"/>
  <c r="DD85" i="1"/>
  <c r="DF85" i="1" s="1"/>
  <c r="DB85" i="1"/>
  <c r="BW111" i="1"/>
  <c r="Z84" i="1"/>
  <c r="O126" i="1"/>
  <c r="CR126" i="1"/>
  <c r="CS126" i="1"/>
  <c r="AU75" i="1"/>
  <c r="CW117" i="1"/>
  <c r="CZ117" i="1"/>
  <c r="DB117" i="1"/>
  <c r="DD117" i="1"/>
  <c r="DF117" i="1" s="1"/>
  <c r="AX88" i="1"/>
  <c r="AT88" i="1"/>
  <c r="AW88" i="1"/>
  <c r="DB88" i="1"/>
  <c r="CW88" i="1"/>
  <c r="DD88" i="1"/>
  <c r="DF88" i="1" s="1"/>
  <c r="CZ88" i="1"/>
  <c r="Z100" i="1"/>
  <c r="CZ104" i="1"/>
  <c r="DB104" i="1"/>
  <c r="CW104" i="1"/>
  <c r="DD104" i="1"/>
  <c r="DH104" i="1" s="1"/>
  <c r="BW99" i="1"/>
  <c r="O108" i="1"/>
  <c r="CR108" i="1"/>
  <c r="CS108" i="1"/>
  <c r="AU79" i="1"/>
  <c r="DB64" i="1"/>
  <c r="CW64" i="1"/>
  <c r="DB66" i="1"/>
  <c r="CW66" i="1"/>
  <c r="DD65" i="1"/>
  <c r="DH65" i="1" s="1"/>
  <c r="CW65" i="1"/>
  <c r="DD73" i="1"/>
  <c r="DF73" i="1" s="1"/>
  <c r="CW73" i="1"/>
  <c r="DD71" i="1"/>
  <c r="DH71" i="1" s="1"/>
  <c r="CW71" i="1"/>
  <c r="DD272" i="1"/>
  <c r="DH272" i="1" s="1"/>
  <c r="CW272" i="1"/>
  <c r="DD70" i="1"/>
  <c r="DF70" i="1" s="1"/>
  <c r="CW70" i="1"/>
  <c r="CZ63" i="1"/>
  <c r="CW63" i="1"/>
  <c r="DD68" i="1"/>
  <c r="DF68" i="1" s="1"/>
  <c r="CW68" i="1"/>
  <c r="CZ69" i="1"/>
  <c r="CW69" i="1"/>
  <c r="DB67" i="1"/>
  <c r="CW67" i="1"/>
  <c r="DB72" i="1"/>
  <c r="CW72" i="1"/>
  <c r="DD69" i="1"/>
  <c r="DH69" i="1" s="1"/>
  <c r="DD67" i="1"/>
  <c r="DH67" i="1" s="1"/>
  <c r="CZ67" i="1"/>
  <c r="DB68" i="1"/>
  <c r="DB63" i="1"/>
  <c r="CZ68" i="1"/>
  <c r="DB65" i="1"/>
  <c r="DD66" i="1"/>
  <c r="DF66" i="1" s="1"/>
  <c r="CZ65" i="1"/>
  <c r="DB69" i="1"/>
  <c r="DD72" i="1"/>
  <c r="DF72" i="1" s="1"/>
  <c r="CZ72" i="1"/>
  <c r="CZ66" i="1"/>
  <c r="CZ64" i="1"/>
  <c r="DD64" i="1"/>
  <c r="DF64" i="1" s="1"/>
  <c r="CZ70" i="1"/>
  <c r="CZ71" i="1"/>
  <c r="CZ272" i="1"/>
  <c r="DB73" i="1"/>
  <c r="DB71" i="1"/>
  <c r="DD63" i="1"/>
  <c r="DF63" i="1" s="1"/>
  <c r="DB272" i="1"/>
  <c r="CZ73" i="1"/>
  <c r="DB70" i="1"/>
  <c r="Z63" i="1"/>
  <c r="Z272" i="1"/>
  <c r="Z69" i="1"/>
  <c r="Z66" i="1"/>
  <c r="K4" i="13"/>
  <c r="AX4" i="13" s="1"/>
  <c r="BW272" i="1"/>
  <c r="AU272" i="1"/>
  <c r="AW272" i="1" s="1"/>
  <c r="O272" i="1"/>
  <c r="CR272" i="1"/>
  <c r="CS272" i="1"/>
  <c r="O70" i="1"/>
  <c r="O68" i="1"/>
  <c r="O64" i="1"/>
  <c r="O71" i="1"/>
  <c r="O65" i="1"/>
  <c r="O73" i="1"/>
  <c r="O67" i="1"/>
  <c r="O72" i="1"/>
  <c r="BW68" i="1"/>
  <c r="CR66" i="1"/>
  <c r="CS66" i="1"/>
  <c r="CR63" i="1"/>
  <c r="CS63" i="1"/>
  <c r="CR68" i="1"/>
  <c r="CS68" i="1"/>
  <c r="CR70" i="1"/>
  <c r="CS70" i="1"/>
  <c r="CR69" i="1"/>
  <c r="CS69" i="1"/>
  <c r="CR67" i="1"/>
  <c r="CS67" i="1"/>
  <c r="CR65" i="1"/>
  <c r="CS65" i="1"/>
  <c r="CR64" i="1"/>
  <c r="CS64" i="1"/>
  <c r="CR73" i="1"/>
  <c r="CS73" i="1"/>
  <c r="CR71" i="1"/>
  <c r="CS71" i="1"/>
  <c r="CR72" i="1"/>
  <c r="CS72" i="1"/>
  <c r="BW69" i="1"/>
  <c r="BW64" i="1"/>
  <c r="BW70" i="1"/>
  <c r="BW66" i="1"/>
  <c r="BW72" i="1"/>
  <c r="AS19" i="13"/>
  <c r="CF64" i="1"/>
  <c r="CG64" i="1"/>
  <c r="CG70" i="1"/>
  <c r="CG72" i="1"/>
  <c r="CG68" i="1"/>
  <c r="F9" i="25" l="1"/>
  <c r="F35" i="25"/>
  <c r="M201" i="7"/>
  <c r="F16" i="25"/>
  <c r="AQ46" i="7"/>
  <c r="AM46" i="7" s="1"/>
  <c r="J6" i="11"/>
  <c r="F51" i="25"/>
  <c r="F81" i="25"/>
  <c r="DM70" i="1"/>
  <c r="H5" i="11"/>
  <c r="J5" i="11" s="1"/>
  <c r="J3" i="11"/>
  <c r="J16" i="11" s="1"/>
  <c r="DN120" i="1"/>
  <c r="DO120" i="1"/>
  <c r="DM120" i="1"/>
  <c r="AX120" i="1"/>
  <c r="AW120" i="1"/>
  <c r="BC120" i="1" s="1"/>
  <c r="AW109" i="1"/>
  <c r="BB109" i="1" s="1"/>
  <c r="AX109" i="1"/>
  <c r="Q99" i="1"/>
  <c r="Q119" i="1"/>
  <c r="Q78" i="1"/>
  <c r="Q111" i="1"/>
  <c r="Q127" i="1"/>
  <c r="Q118" i="1"/>
  <c r="Q124" i="1"/>
  <c r="Q98" i="1"/>
  <c r="Q101" i="1"/>
  <c r="Q80" i="1"/>
  <c r="Q94" i="1"/>
  <c r="Q114" i="1"/>
  <c r="Q104" i="1"/>
  <c r="Q105" i="1"/>
  <c r="Q79" i="1"/>
  <c r="Q113" i="1"/>
  <c r="Q83" i="1"/>
  <c r="Q120" i="1"/>
  <c r="Q96" i="1"/>
  <c r="Q93" i="1"/>
  <c r="Q108" i="1"/>
  <c r="Q117" i="1"/>
  <c r="Q81" i="1"/>
  <c r="Q74" i="1"/>
  <c r="Q88" i="1"/>
  <c r="Q106" i="1"/>
  <c r="Q107" i="1"/>
  <c r="Q103" i="1"/>
  <c r="Q115" i="1"/>
  <c r="Q86" i="1"/>
  <c r="Q116" i="1"/>
  <c r="Q100" i="1"/>
  <c r="Q97" i="1"/>
  <c r="Q75" i="1"/>
  <c r="Q112" i="1"/>
  <c r="Q84" i="1"/>
  <c r="Q89" i="1"/>
  <c r="Q82" i="1"/>
  <c r="Q66" i="1"/>
  <c r="Q128" i="1"/>
  <c r="Q109" i="1"/>
  <c r="Q90" i="1"/>
  <c r="Q110" i="1"/>
  <c r="Q102" i="1"/>
  <c r="Q77" i="1"/>
  <c r="Q92" i="1"/>
  <c r="Q85" i="1"/>
  <c r="Q95" i="1"/>
  <c r="Q76" i="1"/>
  <c r="Q69" i="1"/>
  <c r="DL120" i="1"/>
  <c r="DK120" i="1"/>
  <c r="AX93" i="1"/>
  <c r="AW93" i="1"/>
  <c r="BE93" i="1" s="1"/>
  <c r="AY118" i="1"/>
  <c r="AZ118" i="1" s="1"/>
  <c r="DH93" i="1"/>
  <c r="DI93" i="1" s="1"/>
  <c r="AT96" i="1"/>
  <c r="AW96" i="1"/>
  <c r="AX96" i="1"/>
  <c r="DH118" i="1"/>
  <c r="DI118" i="1" s="1"/>
  <c r="BC118" i="1"/>
  <c r="BB118" i="1"/>
  <c r="BE118" i="1"/>
  <c r="BD118" i="1"/>
  <c r="BF118" i="1"/>
  <c r="DL96" i="1"/>
  <c r="DM96" i="1"/>
  <c r="AA96" i="1"/>
  <c r="AQ335" i="7" s="1"/>
  <c r="DN96" i="1"/>
  <c r="DO96" i="1"/>
  <c r="DK96" i="1"/>
  <c r="DF120" i="1"/>
  <c r="DI120" i="1" s="1"/>
  <c r="DH96" i="1"/>
  <c r="DI96" i="1" s="1"/>
  <c r="DF109" i="1"/>
  <c r="DI109" i="1" s="1"/>
  <c r="DN118" i="1"/>
  <c r="DM118" i="1"/>
  <c r="DL118" i="1"/>
  <c r="DO118" i="1"/>
  <c r="DK118" i="1"/>
  <c r="AA118" i="1"/>
  <c r="AQ425" i="7" s="1"/>
  <c r="AA71" i="1"/>
  <c r="AQ844" i="7" s="1"/>
  <c r="AA70" i="1"/>
  <c r="AQ843" i="7" s="1"/>
  <c r="DL70" i="1"/>
  <c r="AA64" i="1"/>
  <c r="AQ62" i="7" s="1"/>
  <c r="DO71" i="1"/>
  <c r="AW89" i="1"/>
  <c r="BB89" i="1" s="1"/>
  <c r="AX76" i="1"/>
  <c r="AY76" i="1" s="1"/>
  <c r="AZ76" i="1" s="1"/>
  <c r="AX128" i="1"/>
  <c r="AY128" i="1" s="1"/>
  <c r="AZ128" i="1" s="1"/>
  <c r="AT127" i="1"/>
  <c r="AW127" i="1"/>
  <c r="BE127" i="1" s="1"/>
  <c r="AT128" i="1"/>
  <c r="Q263" i="1"/>
  <c r="DM263" i="1" s="1"/>
  <c r="Q73" i="1"/>
  <c r="DM73" i="1" s="1"/>
  <c r="Q65" i="1"/>
  <c r="DM65" i="1" s="1"/>
  <c r="DF128" i="1"/>
  <c r="DI128" i="1" s="1"/>
  <c r="AX111" i="1"/>
  <c r="AY111" i="1" s="1"/>
  <c r="AZ111" i="1" s="1"/>
  <c r="AA85" i="1"/>
  <c r="AQ858" i="7" s="1"/>
  <c r="DF263" i="1"/>
  <c r="DI263" i="1" s="1"/>
  <c r="DF127" i="1"/>
  <c r="DI127" i="1" s="1"/>
  <c r="DN263" i="1"/>
  <c r="DL263" i="1"/>
  <c r="AA263" i="1"/>
  <c r="AQ434" i="7" s="1"/>
  <c r="AM434" i="7" s="1"/>
  <c r="DO263" i="1"/>
  <c r="DN64" i="1"/>
  <c r="Q125" i="1"/>
  <c r="DM125" i="1" s="1"/>
  <c r="DO90" i="1"/>
  <c r="BD128" i="1"/>
  <c r="BC128" i="1"/>
  <c r="BB128" i="1"/>
  <c r="BE128" i="1"/>
  <c r="BF128" i="1"/>
  <c r="Q123" i="1"/>
  <c r="DM123" i="1" s="1"/>
  <c r="Q122" i="1"/>
  <c r="DM122" i="1" s="1"/>
  <c r="Q121" i="1"/>
  <c r="DM121" i="1" s="1"/>
  <c r="Q126" i="1"/>
  <c r="DM126" i="1" s="1"/>
  <c r="DO127" i="1"/>
  <c r="DK127" i="1"/>
  <c r="AA127" i="1"/>
  <c r="DN127" i="1"/>
  <c r="DM127" i="1"/>
  <c r="DL127" i="1"/>
  <c r="AX112" i="1"/>
  <c r="AT86" i="1"/>
  <c r="AA65" i="1"/>
  <c r="DL64" i="1"/>
  <c r="DN73" i="1"/>
  <c r="AA73" i="1"/>
  <c r="AQ846" i="7" s="1"/>
  <c r="DM124" i="1"/>
  <c r="AW80" i="1"/>
  <c r="BC80" i="1" s="1"/>
  <c r="DN124" i="1"/>
  <c r="AW112" i="1"/>
  <c r="BD112" i="1" s="1"/>
  <c r="AW98" i="1"/>
  <c r="BE98" i="1" s="1"/>
  <c r="DO85" i="1"/>
  <c r="DK85" i="1"/>
  <c r="AW86" i="1"/>
  <c r="BE86" i="1" s="1"/>
  <c r="DM85" i="1"/>
  <c r="AX80" i="1"/>
  <c r="DN72" i="1"/>
  <c r="DN104" i="1"/>
  <c r="DL75" i="1"/>
  <c r="AA90" i="1"/>
  <c r="AQ863" i="7" s="1"/>
  <c r="AA79" i="1"/>
  <c r="AQ852" i="7" s="1"/>
  <c r="DN90" i="1"/>
  <c r="AA68" i="1"/>
  <c r="AQ841" i="7" s="1"/>
  <c r="DL67" i="1"/>
  <c r="DK70" i="1"/>
  <c r="DL108" i="1"/>
  <c r="AW106" i="1"/>
  <c r="BC106" i="1" s="1"/>
  <c r="DK90" i="1"/>
  <c r="AA72" i="1"/>
  <c r="AQ845" i="7" s="1"/>
  <c r="DK72" i="1"/>
  <c r="DO64" i="1"/>
  <c r="DM75" i="1"/>
  <c r="AT76" i="1"/>
  <c r="DN105" i="1"/>
  <c r="DO72" i="1"/>
  <c r="DN75" i="1"/>
  <c r="DO105" i="1"/>
  <c r="DL71" i="1"/>
  <c r="DL72" i="1"/>
  <c r="DM64" i="1"/>
  <c r="AA104" i="1"/>
  <c r="AQ316" i="7" s="1"/>
  <c r="DK75" i="1"/>
  <c r="DL116" i="1"/>
  <c r="AA67" i="1"/>
  <c r="AQ840" i="7" s="1"/>
  <c r="DM104" i="1"/>
  <c r="AA119" i="1"/>
  <c r="AQ416" i="7" s="1"/>
  <c r="AM416" i="7" s="1"/>
  <c r="AX89" i="1"/>
  <c r="DM79" i="1"/>
  <c r="DL90" i="1"/>
  <c r="DO67" i="1"/>
  <c r="DO104" i="1"/>
  <c r="DO70" i="1"/>
  <c r="DK104" i="1"/>
  <c r="AA75" i="1"/>
  <c r="AQ848" i="7" s="1"/>
  <c r="AX117" i="1"/>
  <c r="AY117" i="1" s="1"/>
  <c r="AZ117" i="1" s="1"/>
  <c r="AA116" i="1"/>
  <c r="DK124" i="1"/>
  <c r="AX98" i="1"/>
  <c r="DN85" i="1"/>
  <c r="DK101" i="1"/>
  <c r="DO124" i="1"/>
  <c r="AX105" i="1"/>
  <c r="AY105" i="1" s="1"/>
  <c r="AZ105" i="1" s="1"/>
  <c r="DL119" i="1"/>
  <c r="AT111" i="1"/>
  <c r="DL124" i="1"/>
  <c r="AT110" i="1"/>
  <c r="DO79" i="1"/>
  <c r="DL79" i="1"/>
  <c r="DK116" i="1"/>
  <c r="DL65" i="1"/>
  <c r="AW90" i="1"/>
  <c r="BF90" i="1" s="1"/>
  <c r="AX106" i="1"/>
  <c r="DN79" i="1"/>
  <c r="DM92" i="1"/>
  <c r="DN121" i="1"/>
  <c r="AW95" i="1"/>
  <c r="BC95" i="1" s="1"/>
  <c r="AW107" i="1"/>
  <c r="BF107" i="1" s="1"/>
  <c r="AA108" i="1"/>
  <c r="DM116" i="1"/>
  <c r="DN113" i="1"/>
  <c r="DM108" i="1"/>
  <c r="DL105" i="1"/>
  <c r="AA105" i="1"/>
  <c r="AQ324" i="7" s="1"/>
  <c r="AA121" i="1"/>
  <c r="AQ357" i="7" s="1"/>
  <c r="DO73" i="1"/>
  <c r="DN77" i="1"/>
  <c r="AA77" i="1"/>
  <c r="AQ850" i="7" s="1"/>
  <c r="AX95" i="1"/>
  <c r="AA101" i="1"/>
  <c r="DM105" i="1"/>
  <c r="DO101" i="1"/>
  <c r="DL101" i="1"/>
  <c r="DN83" i="1"/>
  <c r="DO68" i="1"/>
  <c r="DK83" i="1"/>
  <c r="DO117" i="1"/>
  <c r="DL68" i="1"/>
  <c r="AW110" i="1"/>
  <c r="AY110" i="1" s="1"/>
  <c r="AZ110" i="1" s="1"/>
  <c r="DO99" i="1"/>
  <c r="DO83" i="1"/>
  <c r="DM117" i="1"/>
  <c r="DN99" i="1"/>
  <c r="AW74" i="1"/>
  <c r="BD74" i="1" s="1"/>
  <c r="DK68" i="1"/>
  <c r="DN65" i="1"/>
  <c r="AA83" i="1"/>
  <c r="AQ856" i="7" s="1"/>
  <c r="DN117" i="1"/>
  <c r="AT84" i="1"/>
  <c r="DN68" i="1"/>
  <c r="DL83" i="1"/>
  <c r="AA117" i="1"/>
  <c r="DK117" i="1"/>
  <c r="AW84" i="1"/>
  <c r="BD84" i="1" s="1"/>
  <c r="DL99" i="1"/>
  <c r="DK99" i="1"/>
  <c r="DM81" i="1"/>
  <c r="AX74" i="1"/>
  <c r="AX124" i="1"/>
  <c r="AY124" i="1" s="1"/>
  <c r="AZ124" i="1" s="1"/>
  <c r="DO125" i="1"/>
  <c r="DM99" i="1"/>
  <c r="DK81" i="1"/>
  <c r="DO81" i="1"/>
  <c r="DL97" i="1"/>
  <c r="AW103" i="1"/>
  <c r="BF103" i="1" s="1"/>
  <c r="AX103" i="1"/>
  <c r="DL81" i="1"/>
  <c r="DM97" i="1"/>
  <c r="DN81" i="1"/>
  <c r="DO97" i="1"/>
  <c r="DN97" i="1"/>
  <c r="AA97" i="1"/>
  <c r="AQ210" i="7" s="1"/>
  <c r="AX107" i="1"/>
  <c r="DO77" i="1"/>
  <c r="DL113" i="1"/>
  <c r="DO113" i="1"/>
  <c r="DO92" i="1"/>
  <c r="AA92" i="1"/>
  <c r="AQ864" i="7" s="1"/>
  <c r="DL121" i="1"/>
  <c r="DO116" i="1"/>
  <c r="DM77" i="1"/>
  <c r="DL77" i="1"/>
  <c r="DM113" i="1"/>
  <c r="AA113" i="1"/>
  <c r="DK92" i="1"/>
  <c r="DL92" i="1"/>
  <c r="AT101" i="1"/>
  <c r="DN101" i="1"/>
  <c r="DO108" i="1"/>
  <c r="Q63" i="1"/>
  <c r="DM63" i="1" s="1"/>
  <c r="Q87" i="1"/>
  <c r="DM87" i="1" s="1"/>
  <c r="DN126" i="1"/>
  <c r="DO126" i="1"/>
  <c r="AA126" i="1"/>
  <c r="AA110" i="1"/>
  <c r="AQ178" i="7" s="1"/>
  <c r="AM178" i="7" s="1"/>
  <c r="DN119" i="1"/>
  <c r="AX90" i="1"/>
  <c r="DK119" i="1"/>
  <c r="DM119" i="1"/>
  <c r="AX101" i="1"/>
  <c r="AY101" i="1" s="1"/>
  <c r="AZ101" i="1" s="1"/>
  <c r="DM110" i="1"/>
  <c r="DN110" i="1"/>
  <c r="DO110" i="1"/>
  <c r="AT105" i="1"/>
  <c r="DL110" i="1"/>
  <c r="DL125" i="1"/>
  <c r="AX83" i="1"/>
  <c r="DK89" i="1"/>
  <c r="AW77" i="1"/>
  <c r="BC77" i="1" s="1"/>
  <c r="AW115" i="1"/>
  <c r="BC115" i="1" s="1"/>
  <c r="DN89" i="1"/>
  <c r="AX115" i="1"/>
  <c r="DO89" i="1"/>
  <c r="AX99" i="1"/>
  <c r="AY99" i="1" s="1"/>
  <c r="AZ99" i="1" s="1"/>
  <c r="DL89" i="1"/>
  <c r="AT99" i="1"/>
  <c r="DM89" i="1"/>
  <c r="AX77" i="1"/>
  <c r="AA115" i="1"/>
  <c r="DN115" i="1"/>
  <c r="DK115" i="1"/>
  <c r="DM115" i="1"/>
  <c r="DO115" i="1"/>
  <c r="AW113" i="1"/>
  <c r="BF113" i="1" s="1"/>
  <c r="AX114" i="1"/>
  <c r="AY114" i="1" s="1"/>
  <c r="AZ114" i="1" s="1"/>
  <c r="AX113" i="1"/>
  <c r="AW83" i="1"/>
  <c r="BB83" i="1" s="1"/>
  <c r="AT114" i="1"/>
  <c r="AW104" i="1"/>
  <c r="BC104" i="1" s="1"/>
  <c r="AT104" i="1"/>
  <c r="AW92" i="1"/>
  <c r="AY92" i="1" s="1"/>
  <c r="AZ92" i="1" s="1"/>
  <c r="AX85" i="1"/>
  <c r="AY85" i="1" s="1"/>
  <c r="AZ85" i="1" s="1"/>
  <c r="AA125" i="1"/>
  <c r="AQ373" i="7" s="1"/>
  <c r="AM373" i="7" s="1"/>
  <c r="DN108" i="1"/>
  <c r="AT85" i="1"/>
  <c r="AT117" i="1"/>
  <c r="AT124" i="1"/>
  <c r="AX108" i="1"/>
  <c r="AY108" i="1" s="1"/>
  <c r="AZ108" i="1" s="1"/>
  <c r="AT108" i="1"/>
  <c r="AW116" i="1"/>
  <c r="BF116" i="1" s="1"/>
  <c r="AX116" i="1"/>
  <c r="AT92" i="1"/>
  <c r="DF90" i="1"/>
  <c r="DI90" i="1" s="1"/>
  <c r="AY88" i="1"/>
  <c r="AZ88" i="1" s="1"/>
  <c r="DH107" i="1"/>
  <c r="DI107" i="1" s="1"/>
  <c r="DH84" i="1"/>
  <c r="DI84" i="1" s="1"/>
  <c r="DH86" i="1"/>
  <c r="DI86" i="1" s="1"/>
  <c r="DH83" i="1"/>
  <c r="DI83" i="1" s="1"/>
  <c r="DF82" i="1"/>
  <c r="DI82" i="1" s="1"/>
  <c r="DF98" i="1"/>
  <c r="DI98" i="1" s="1"/>
  <c r="DF125" i="1"/>
  <c r="DI125" i="1" s="1"/>
  <c r="DH77" i="1"/>
  <c r="DI77" i="1" s="1"/>
  <c r="DH79" i="1"/>
  <c r="DI79" i="1" s="1"/>
  <c r="DF92" i="1"/>
  <c r="DI92" i="1" s="1"/>
  <c r="DH106" i="1"/>
  <c r="DI106" i="1" s="1"/>
  <c r="DF102" i="1"/>
  <c r="DI102" i="1" s="1"/>
  <c r="DF81" i="1"/>
  <c r="DI81" i="1" s="1"/>
  <c r="DF114" i="1"/>
  <c r="DI114" i="1" s="1"/>
  <c r="DF115" i="1"/>
  <c r="DI115" i="1" s="1"/>
  <c r="DF75" i="1"/>
  <c r="DI75" i="1" s="1"/>
  <c r="DH116" i="1"/>
  <c r="DI116" i="1" s="1"/>
  <c r="DF110" i="1"/>
  <c r="DI110" i="1" s="1"/>
  <c r="DH97" i="1"/>
  <c r="DI97" i="1" s="1"/>
  <c r="DN112" i="1"/>
  <c r="DM112" i="1"/>
  <c r="AA112" i="1"/>
  <c r="DL112" i="1"/>
  <c r="DO112" i="1"/>
  <c r="DK112" i="1"/>
  <c r="DL111" i="1"/>
  <c r="DO111" i="1"/>
  <c r="DK111" i="1"/>
  <c r="DN111" i="1"/>
  <c r="AA111" i="1"/>
  <c r="DM111" i="1"/>
  <c r="DO86" i="1"/>
  <c r="DK86" i="1"/>
  <c r="DN86" i="1"/>
  <c r="DM86" i="1"/>
  <c r="DL86" i="1"/>
  <c r="AA86" i="1"/>
  <c r="AQ859" i="7" s="1"/>
  <c r="BB124" i="1"/>
  <c r="BE124" i="1"/>
  <c r="BD124" i="1"/>
  <c r="BC124" i="1"/>
  <c r="BF124" i="1"/>
  <c r="BD105" i="1"/>
  <c r="BC105" i="1"/>
  <c r="BB105" i="1"/>
  <c r="BF105" i="1"/>
  <c r="BE105" i="1"/>
  <c r="BD108" i="1"/>
  <c r="BC108" i="1"/>
  <c r="BF108" i="1"/>
  <c r="BB108" i="1"/>
  <c r="BE108" i="1"/>
  <c r="DO84" i="1"/>
  <c r="DL84" i="1"/>
  <c r="AA84" i="1"/>
  <c r="AQ857" i="7" s="1"/>
  <c r="DN84" i="1"/>
  <c r="DM84" i="1"/>
  <c r="DK84" i="1"/>
  <c r="AX119" i="1"/>
  <c r="AT119" i="1"/>
  <c r="AW119" i="1"/>
  <c r="BF76" i="1"/>
  <c r="BC76" i="1"/>
  <c r="BB76" i="1"/>
  <c r="BE76" i="1"/>
  <c r="BD76" i="1"/>
  <c r="DF112" i="1"/>
  <c r="DI112" i="1" s="1"/>
  <c r="DH101" i="1"/>
  <c r="DI101" i="1" s="1"/>
  <c r="DF103" i="1"/>
  <c r="DI103" i="1" s="1"/>
  <c r="DO102" i="1"/>
  <c r="DK102" i="1"/>
  <c r="DN102" i="1"/>
  <c r="DL102" i="1"/>
  <c r="AA102" i="1"/>
  <c r="DM102" i="1"/>
  <c r="DH89" i="1"/>
  <c r="DI89" i="1" s="1"/>
  <c r="DM95" i="1"/>
  <c r="AA95" i="1"/>
  <c r="AQ334" i="7" s="1"/>
  <c r="DL95" i="1"/>
  <c r="DO95" i="1"/>
  <c r="DK95" i="1"/>
  <c r="DN95" i="1"/>
  <c r="DH99" i="1"/>
  <c r="DI99" i="1" s="1"/>
  <c r="AX79" i="1"/>
  <c r="AT79" i="1"/>
  <c r="AW79" i="1"/>
  <c r="DO103" i="1"/>
  <c r="DK103" i="1"/>
  <c r="DN103" i="1"/>
  <c r="DL103" i="1"/>
  <c r="DM103" i="1"/>
  <c r="AA103" i="1"/>
  <c r="AQ315" i="7" s="1"/>
  <c r="DF124" i="1"/>
  <c r="DI124" i="1" s="1"/>
  <c r="AT78" i="1"/>
  <c r="AW78" i="1"/>
  <c r="AX78" i="1"/>
  <c r="DH122" i="1"/>
  <c r="DI122" i="1" s="1"/>
  <c r="DH121" i="1"/>
  <c r="DI121" i="1" s="1"/>
  <c r="DF119" i="1"/>
  <c r="DI119" i="1" s="1"/>
  <c r="DH87" i="1"/>
  <c r="DI87" i="1" s="1"/>
  <c r="DH74" i="1"/>
  <c r="DI74" i="1" s="1"/>
  <c r="DF80" i="1"/>
  <c r="DI80" i="1" s="1"/>
  <c r="DF104" i="1"/>
  <c r="DI104" i="1" s="1"/>
  <c r="BF88" i="1"/>
  <c r="BE88" i="1"/>
  <c r="BD88" i="1"/>
  <c r="BB88" i="1"/>
  <c r="BC88" i="1"/>
  <c r="AX75" i="1"/>
  <c r="AW75" i="1"/>
  <c r="AT75" i="1"/>
  <c r="DH85" i="1"/>
  <c r="DI85" i="1" s="1"/>
  <c r="DF94" i="1"/>
  <c r="DI94" i="1" s="1"/>
  <c r="AW82" i="1"/>
  <c r="AT82" i="1"/>
  <c r="AX82" i="1"/>
  <c r="AA76" i="1"/>
  <c r="AQ849" i="7" s="1"/>
  <c r="DM76" i="1"/>
  <c r="DL76" i="1"/>
  <c r="DO76" i="1"/>
  <c r="DK76" i="1"/>
  <c r="DN76" i="1"/>
  <c r="AA82" i="1"/>
  <c r="AQ855" i="7" s="1"/>
  <c r="DL82" i="1"/>
  <c r="DO82" i="1"/>
  <c r="DK82" i="1"/>
  <c r="DM82" i="1"/>
  <c r="DN82" i="1"/>
  <c r="BB111" i="1"/>
  <c r="BC111" i="1"/>
  <c r="BE111" i="1"/>
  <c r="BF111" i="1"/>
  <c r="BD111" i="1"/>
  <c r="DH78" i="1"/>
  <c r="DI78" i="1" s="1"/>
  <c r="BB117" i="1"/>
  <c r="BE117" i="1"/>
  <c r="BD117" i="1"/>
  <c r="BC117" i="1"/>
  <c r="BF117" i="1"/>
  <c r="DF113" i="1"/>
  <c r="DI113" i="1" s="1"/>
  <c r="AX102" i="1"/>
  <c r="AW102" i="1"/>
  <c r="AT102" i="1"/>
  <c r="DF108" i="1"/>
  <c r="DI108" i="1" s="1"/>
  <c r="DN106" i="1"/>
  <c r="DM106" i="1"/>
  <c r="DL106" i="1"/>
  <c r="DO106" i="1"/>
  <c r="DK106" i="1"/>
  <c r="AA106" i="1"/>
  <c r="BF99" i="1"/>
  <c r="BB99" i="1"/>
  <c r="BD99" i="1"/>
  <c r="BE99" i="1"/>
  <c r="BC99" i="1"/>
  <c r="AT94" i="1"/>
  <c r="AX94" i="1"/>
  <c r="AW94" i="1"/>
  <c r="AX100" i="1"/>
  <c r="AW100" i="1"/>
  <c r="AT100" i="1"/>
  <c r="DN88" i="1"/>
  <c r="DM88" i="1"/>
  <c r="DO88" i="1"/>
  <c r="DL88" i="1"/>
  <c r="AA88" i="1"/>
  <c r="AQ861" i="7" s="1"/>
  <c r="DK88" i="1"/>
  <c r="BC101" i="1"/>
  <c r="BF101" i="1"/>
  <c r="BB101" i="1"/>
  <c r="BE101" i="1"/>
  <c r="BD101" i="1"/>
  <c r="DN114" i="1"/>
  <c r="DM114" i="1"/>
  <c r="DL114" i="1"/>
  <c r="DO114" i="1"/>
  <c r="DK114" i="1"/>
  <c r="AA114" i="1"/>
  <c r="DM98" i="1"/>
  <c r="DL98" i="1"/>
  <c r="DO98" i="1"/>
  <c r="DK98" i="1"/>
  <c r="AA98" i="1"/>
  <c r="AQ321" i="7" s="1"/>
  <c r="DN98" i="1"/>
  <c r="DF105" i="1"/>
  <c r="DI105" i="1" s="1"/>
  <c r="BC114" i="1"/>
  <c r="BF114" i="1"/>
  <c r="BB114" i="1"/>
  <c r="BE114" i="1"/>
  <c r="BD114" i="1"/>
  <c r="BF85" i="1"/>
  <c r="BB85" i="1"/>
  <c r="BE85" i="1"/>
  <c r="BD85" i="1"/>
  <c r="BC85" i="1"/>
  <c r="DL123" i="1"/>
  <c r="DO123" i="1"/>
  <c r="DN123" i="1"/>
  <c r="AA123" i="1"/>
  <c r="AQ371" i="7" s="1"/>
  <c r="AM371" i="7" s="1"/>
  <c r="DN94" i="1"/>
  <c r="DM94" i="1"/>
  <c r="DL94" i="1"/>
  <c r="DO94" i="1"/>
  <c r="AA94" i="1"/>
  <c r="DK94" i="1"/>
  <c r="DO87" i="1"/>
  <c r="DN87" i="1"/>
  <c r="DL87" i="1"/>
  <c r="AA87" i="1"/>
  <c r="AQ860" i="7" s="1"/>
  <c r="DM74" i="1"/>
  <c r="DL74" i="1"/>
  <c r="AA74" i="1"/>
  <c r="AQ847" i="7" s="1"/>
  <c r="DO74" i="1"/>
  <c r="DK74" i="1"/>
  <c r="DN74" i="1"/>
  <c r="AW97" i="1"/>
  <c r="AT97" i="1"/>
  <c r="AX97" i="1"/>
  <c r="DH88" i="1"/>
  <c r="DI88" i="1" s="1"/>
  <c r="DO122" i="1"/>
  <c r="DN122" i="1"/>
  <c r="DL122" i="1"/>
  <c r="AA122" i="1"/>
  <c r="AQ361" i="7" s="1"/>
  <c r="DH123" i="1"/>
  <c r="DI123" i="1" s="1"/>
  <c r="DH100" i="1"/>
  <c r="DI100" i="1" s="1"/>
  <c r="DH76" i="1"/>
  <c r="DI76" i="1" s="1"/>
  <c r="AW81" i="1"/>
  <c r="AT81" i="1"/>
  <c r="AX81" i="1"/>
  <c r="DO107" i="1"/>
  <c r="DK107" i="1"/>
  <c r="DN107" i="1"/>
  <c r="DL107" i="1"/>
  <c r="DM107" i="1"/>
  <c r="AA107" i="1"/>
  <c r="DM80" i="1"/>
  <c r="DL80" i="1"/>
  <c r="DO80" i="1"/>
  <c r="DK80" i="1"/>
  <c r="DN80" i="1"/>
  <c r="AA80" i="1"/>
  <c r="AQ853" i="7" s="1"/>
  <c r="AA100" i="1"/>
  <c r="AQ318" i="7" s="1"/>
  <c r="DL100" i="1"/>
  <c r="DO100" i="1"/>
  <c r="DK100" i="1"/>
  <c r="DN100" i="1"/>
  <c r="DM100" i="1"/>
  <c r="DH117" i="1"/>
  <c r="DI117" i="1" s="1"/>
  <c r="DH95" i="1"/>
  <c r="DI95" i="1" s="1"/>
  <c r="DF126" i="1"/>
  <c r="DI126" i="1" s="1"/>
  <c r="DF111" i="1"/>
  <c r="DI111" i="1" s="1"/>
  <c r="DM78" i="1"/>
  <c r="DL78" i="1"/>
  <c r="DO78" i="1"/>
  <c r="DN78" i="1"/>
  <c r="AA78" i="1"/>
  <c r="AQ851" i="7" s="1"/>
  <c r="DK78" i="1"/>
  <c r="DF71" i="1"/>
  <c r="DI71" i="1" s="1"/>
  <c r="DH70" i="1"/>
  <c r="DI70" i="1" s="1"/>
  <c r="DH72" i="1"/>
  <c r="DI72" i="1" s="1"/>
  <c r="DF65" i="1"/>
  <c r="DI65" i="1" s="1"/>
  <c r="DF69" i="1"/>
  <c r="DI69" i="1" s="1"/>
  <c r="DF67" i="1"/>
  <c r="DI67" i="1" s="1"/>
  <c r="DH73" i="1"/>
  <c r="DI73" i="1" s="1"/>
  <c r="DF272" i="1"/>
  <c r="DI272" i="1" s="1"/>
  <c r="DH68" i="1"/>
  <c r="DI68" i="1" s="1"/>
  <c r="DH64" i="1"/>
  <c r="DI64" i="1" s="1"/>
  <c r="DH66" i="1"/>
  <c r="DI66" i="1" s="1"/>
  <c r="DH63" i="1"/>
  <c r="DI63" i="1" s="1"/>
  <c r="AA69" i="1"/>
  <c r="AQ842" i="7" s="1"/>
  <c r="DL69" i="1"/>
  <c r="DO69" i="1"/>
  <c r="DK69" i="1"/>
  <c r="DN69" i="1"/>
  <c r="DM69" i="1"/>
  <c r="AA272" i="1"/>
  <c r="DO272" i="1"/>
  <c r="DK272" i="1"/>
  <c r="DN272" i="1"/>
  <c r="DM272" i="1"/>
  <c r="DL272" i="1"/>
  <c r="AA66" i="1"/>
  <c r="DO66" i="1"/>
  <c r="DK66" i="1"/>
  <c r="DN66" i="1"/>
  <c r="DM66" i="1"/>
  <c r="DL66" i="1"/>
  <c r="AA63" i="1"/>
  <c r="AQ61" i="7" s="1"/>
  <c r="DN63" i="1"/>
  <c r="DL63" i="1"/>
  <c r="DO63" i="1"/>
  <c r="L4" i="13"/>
  <c r="AY4" i="13" s="1"/>
  <c r="AT272" i="1"/>
  <c r="Q64" i="1"/>
  <c r="Q68" i="1"/>
  <c r="Q70" i="1"/>
  <c r="AX272" i="1"/>
  <c r="AY272" i="1" s="1"/>
  <c r="AZ272" i="1" s="1"/>
  <c r="Q272" i="1"/>
  <c r="BD272" i="1"/>
  <c r="BC272" i="1"/>
  <c r="BF272" i="1"/>
  <c r="BE272" i="1"/>
  <c r="BB272" i="1"/>
  <c r="Q71" i="1"/>
  <c r="DM71" i="1" s="1"/>
  <c r="Q67" i="1"/>
  <c r="DM67" i="1" s="1"/>
  <c r="Q72" i="1"/>
  <c r="CN58" i="1" l="1"/>
  <c r="J21" i="11"/>
  <c r="J4" i="30"/>
  <c r="J20" i="11"/>
  <c r="Y60" i="2" s="1"/>
  <c r="AQ55" i="7"/>
  <c r="F24" i="25"/>
  <c r="F21" i="25"/>
  <c r="F13" i="25"/>
  <c r="F12" i="25"/>
  <c r="F34" i="25"/>
  <c r="F11" i="25"/>
  <c r="F48" i="25"/>
  <c r="F31" i="25"/>
  <c r="K6" i="11"/>
  <c r="Z58" i="1" s="1"/>
  <c r="G43" i="25"/>
  <c r="E43" i="25" s="1"/>
  <c r="G71" i="26"/>
  <c r="H71" i="26"/>
  <c r="F70" i="25"/>
  <c r="F60" i="25"/>
  <c r="F15" i="25"/>
  <c r="F52" i="25"/>
  <c r="F45" i="25"/>
  <c r="F42" i="25"/>
  <c r="F29" i="25"/>
  <c r="F14" i="25"/>
  <c r="CQ60" i="1"/>
  <c r="Z60" i="1" s="1"/>
  <c r="CL60" i="1"/>
  <c r="CJ60" i="1"/>
  <c r="CI60" i="1"/>
  <c r="CV60" i="1"/>
  <c r="CX60" i="1" s="1"/>
  <c r="CK60" i="1"/>
  <c r="F59" i="25"/>
  <c r="CN47" i="1"/>
  <c r="P4" i="30"/>
  <c r="CN57" i="1"/>
  <c r="AY80" i="1"/>
  <c r="AZ80" i="1" s="1"/>
  <c r="K5" i="11"/>
  <c r="Q4" i="30" s="1"/>
  <c r="K3" i="11"/>
  <c r="W4" i="30" s="1"/>
  <c r="G78" i="25"/>
  <c r="E78" i="25" s="1"/>
  <c r="F71" i="26"/>
  <c r="G108" i="25"/>
  <c r="G107" i="25"/>
  <c r="G109" i="25"/>
  <c r="G134" i="25"/>
  <c r="G95" i="25"/>
  <c r="G110" i="25"/>
  <c r="G139" i="25"/>
  <c r="E139" i="25" s="1"/>
  <c r="G74" i="25"/>
  <c r="G84" i="25"/>
  <c r="G118" i="25"/>
  <c r="G144" i="25"/>
  <c r="BD120" i="1"/>
  <c r="BE120" i="1"/>
  <c r="BE109" i="1"/>
  <c r="BB120" i="1"/>
  <c r="BF120" i="1"/>
  <c r="BF109" i="1"/>
  <c r="BC109" i="1"/>
  <c r="BD109" i="1"/>
  <c r="AY120" i="1"/>
  <c r="AZ120" i="1" s="1"/>
  <c r="AY109" i="1"/>
  <c r="AZ109" i="1" s="1"/>
  <c r="G106" i="25"/>
  <c r="E106" i="25" s="1"/>
  <c r="AY93" i="1"/>
  <c r="AZ93" i="1" s="1"/>
  <c r="BD93" i="1"/>
  <c r="BB93" i="1"/>
  <c r="BF93" i="1"/>
  <c r="BC93" i="1"/>
  <c r="AY96" i="1"/>
  <c r="AZ96" i="1" s="1"/>
  <c r="BE96" i="1"/>
  <c r="BC96" i="1"/>
  <c r="BF96" i="1"/>
  <c r="BB96" i="1"/>
  <c r="BD96" i="1"/>
  <c r="BS118" i="1"/>
  <c r="G153" i="25"/>
  <c r="E153" i="25" s="1"/>
  <c r="BC89" i="1"/>
  <c r="BD98" i="1"/>
  <c r="BB107" i="1"/>
  <c r="BE90" i="1"/>
  <c r="BC98" i="1"/>
  <c r="BD106" i="1"/>
  <c r="BE89" i="1"/>
  <c r="BD107" i="1"/>
  <c r="BF89" i="1"/>
  <c r="BC107" i="1"/>
  <c r="BE112" i="1"/>
  <c r="BE107" i="1"/>
  <c r="BB86" i="1"/>
  <c r="AY89" i="1"/>
  <c r="AZ89" i="1" s="1"/>
  <c r="BD89" i="1"/>
  <c r="BB112" i="1"/>
  <c r="BF112" i="1"/>
  <c r="BF110" i="1"/>
  <c r="BC112" i="1"/>
  <c r="BE110" i="1"/>
  <c r="AY112" i="1"/>
  <c r="AZ112" i="1" s="1"/>
  <c r="BB127" i="1"/>
  <c r="BD127" i="1"/>
  <c r="AY127" i="1"/>
  <c r="AZ127" i="1" s="1"/>
  <c r="BF127" i="1"/>
  <c r="BC127" i="1"/>
  <c r="BB95" i="1"/>
  <c r="BD95" i="1"/>
  <c r="BB74" i="1"/>
  <c r="BE80" i="1"/>
  <c r="G103" i="25"/>
  <c r="E103" i="25" s="1"/>
  <c r="AY90" i="1"/>
  <c r="AZ90" i="1" s="1"/>
  <c r="BE83" i="1"/>
  <c r="BC110" i="1"/>
  <c r="BF83" i="1"/>
  <c r="BD110" i="1"/>
  <c r="BF95" i="1"/>
  <c r="BC74" i="1"/>
  <c r="BS128" i="1"/>
  <c r="BE74" i="1"/>
  <c r="AY107" i="1"/>
  <c r="AZ107" i="1" s="1"/>
  <c r="BF74" i="1"/>
  <c r="BE95" i="1"/>
  <c r="F98" i="2"/>
  <c r="AL4" i="30" s="1"/>
  <c r="F94" i="2"/>
  <c r="AH4" i="30" s="1"/>
  <c r="AY74" i="1"/>
  <c r="AZ74" i="1" s="1"/>
  <c r="AY95" i="1"/>
  <c r="AZ95" i="1" s="1"/>
  <c r="BB98" i="1"/>
  <c r="BF80" i="1"/>
  <c r="BD80" i="1"/>
  <c r="BF98" i="1"/>
  <c r="AY98" i="1"/>
  <c r="AZ98" i="1" s="1"/>
  <c r="BC90" i="1"/>
  <c r="BB80" i="1"/>
  <c r="BB90" i="1"/>
  <c r="BD90" i="1"/>
  <c r="BB110" i="1"/>
  <c r="AY86" i="1"/>
  <c r="AZ86" i="1" s="1"/>
  <c r="BF86" i="1"/>
  <c r="BC86" i="1"/>
  <c r="BD86" i="1"/>
  <c r="BD103" i="1"/>
  <c r="BC103" i="1"/>
  <c r="BB103" i="1"/>
  <c r="BB106" i="1"/>
  <c r="BF84" i="1"/>
  <c r="BC84" i="1"/>
  <c r="BB84" i="1"/>
  <c r="BE84" i="1"/>
  <c r="AY84" i="1"/>
  <c r="AZ84" i="1" s="1"/>
  <c r="BE106" i="1"/>
  <c r="AY106" i="1"/>
  <c r="AZ106" i="1" s="1"/>
  <c r="BF106" i="1"/>
  <c r="BB77" i="1"/>
  <c r="BE103" i="1"/>
  <c r="BF77" i="1"/>
  <c r="BE77" i="1"/>
  <c r="BD77" i="1"/>
  <c r="AY113" i="1"/>
  <c r="AZ113" i="1" s="1"/>
  <c r="BD115" i="1"/>
  <c r="BB113" i="1"/>
  <c r="F93" i="2"/>
  <c r="AG4" i="30" s="1"/>
  <c r="C225" i="23"/>
  <c r="AY103" i="1"/>
  <c r="AZ103" i="1" s="1"/>
  <c r="F91" i="2"/>
  <c r="AE4" i="30" s="1"/>
  <c r="F87" i="2"/>
  <c r="AA4" i="30" s="1"/>
  <c r="F116" i="2"/>
  <c r="BD4" i="30" s="1"/>
  <c r="F90" i="2"/>
  <c r="AD4" i="30" s="1"/>
  <c r="BB115" i="1"/>
  <c r="BD113" i="1"/>
  <c r="BC113" i="1"/>
  <c r="AY115" i="1"/>
  <c r="AZ115" i="1" s="1"/>
  <c r="BF115" i="1"/>
  <c r="BE113" i="1"/>
  <c r="BE115" i="1"/>
  <c r="AY83" i="1"/>
  <c r="AZ83" i="1" s="1"/>
  <c r="BD104" i="1"/>
  <c r="BB104" i="1"/>
  <c r="BC83" i="1"/>
  <c r="BD83" i="1"/>
  <c r="AY77" i="1"/>
  <c r="AZ77" i="1" s="1"/>
  <c r="BD116" i="1"/>
  <c r="BC116" i="1"/>
  <c r="BF92" i="1"/>
  <c r="BF104" i="1"/>
  <c r="BE104" i="1"/>
  <c r="AY104" i="1"/>
  <c r="AZ104" i="1" s="1"/>
  <c r="BE92" i="1"/>
  <c r="BC92" i="1"/>
  <c r="BD92" i="1"/>
  <c r="BB92" i="1"/>
  <c r="BE116" i="1"/>
  <c r="BB116" i="1"/>
  <c r="AY116" i="1"/>
  <c r="AZ116" i="1" s="1"/>
  <c r="AY97" i="1"/>
  <c r="AZ97" i="1" s="1"/>
  <c r="AY82" i="1"/>
  <c r="AZ82" i="1" s="1"/>
  <c r="AY119" i="1"/>
  <c r="AZ119" i="1" s="1"/>
  <c r="BS85" i="1"/>
  <c r="AY100" i="1"/>
  <c r="AZ100" i="1" s="1"/>
  <c r="AY94" i="1"/>
  <c r="AZ94" i="1" s="1"/>
  <c r="BC79" i="1"/>
  <c r="BE79" i="1"/>
  <c r="BF79" i="1"/>
  <c r="BD79" i="1"/>
  <c r="BB79" i="1"/>
  <c r="BS99" i="1"/>
  <c r="AY102" i="1"/>
  <c r="AZ102" i="1" s="1"/>
  <c r="BD102" i="1"/>
  <c r="BB102" i="1"/>
  <c r="BF102" i="1"/>
  <c r="BC102" i="1"/>
  <c r="BE102" i="1"/>
  <c r="AY78" i="1"/>
  <c r="AZ78" i="1" s="1"/>
  <c r="BS105" i="1"/>
  <c r="BE100" i="1"/>
  <c r="BF100" i="1"/>
  <c r="BB100" i="1"/>
  <c r="BD100" i="1"/>
  <c r="BC100" i="1"/>
  <c r="BS111" i="1"/>
  <c r="AY75" i="1"/>
  <c r="AZ75" i="1" s="1"/>
  <c r="BF75" i="1"/>
  <c r="BD75" i="1"/>
  <c r="BB75" i="1"/>
  <c r="BE75" i="1"/>
  <c r="BC75" i="1"/>
  <c r="BF97" i="1"/>
  <c r="BB97" i="1"/>
  <c r="BE97" i="1"/>
  <c r="BD97" i="1"/>
  <c r="BC97" i="1"/>
  <c r="BS117" i="1"/>
  <c r="AY79" i="1"/>
  <c r="AZ79" i="1" s="1"/>
  <c r="BS76" i="1"/>
  <c r="G104" i="25"/>
  <c r="E104" i="25" s="1"/>
  <c r="BD78" i="1"/>
  <c r="BB78" i="1"/>
  <c r="BE78" i="1"/>
  <c r="BF78" i="1"/>
  <c r="BC78" i="1"/>
  <c r="AY81" i="1"/>
  <c r="AZ81" i="1" s="1"/>
  <c r="BS114" i="1"/>
  <c r="BF94" i="1"/>
  <c r="BD94" i="1"/>
  <c r="BC94" i="1"/>
  <c r="BB94" i="1"/>
  <c r="BE94" i="1"/>
  <c r="BS88" i="1"/>
  <c r="BS108" i="1"/>
  <c r="G152" i="25"/>
  <c r="E152" i="25" s="1"/>
  <c r="BF82" i="1"/>
  <c r="BB82" i="1"/>
  <c r="BD82" i="1"/>
  <c r="BC82" i="1"/>
  <c r="BE82" i="1"/>
  <c r="BS124" i="1"/>
  <c r="BC81" i="1"/>
  <c r="BD81" i="1"/>
  <c r="BE81" i="1"/>
  <c r="BF81" i="1"/>
  <c r="BB81" i="1"/>
  <c r="BS101" i="1"/>
  <c r="BF119" i="1"/>
  <c r="BD119" i="1"/>
  <c r="BC119" i="1"/>
  <c r="BB119" i="1"/>
  <c r="BE119" i="1"/>
  <c r="G125" i="25"/>
  <c r="E125" i="25" s="1"/>
  <c r="AA55" i="1"/>
  <c r="G22" i="25" s="1"/>
  <c r="E22" i="25" s="1"/>
  <c r="DN55" i="1"/>
  <c r="DM55" i="1"/>
  <c r="DO55" i="1"/>
  <c r="Z61" i="1"/>
  <c r="M4" i="13"/>
  <c r="AZ4" i="13" s="1"/>
  <c r="BS272" i="1"/>
  <c r="J6" i="30" l="1"/>
  <c r="CN259" i="1"/>
  <c r="CN257" i="1"/>
  <c r="CN256" i="1"/>
  <c r="CN260" i="1"/>
  <c r="CN254" i="1"/>
  <c r="CN261" i="1"/>
  <c r="CN255" i="1"/>
  <c r="CN262" i="1"/>
  <c r="CN258" i="1"/>
  <c r="CN11" i="1"/>
  <c r="CN244" i="1"/>
  <c r="CN220" i="1"/>
  <c r="CN196" i="1"/>
  <c r="CN172" i="1"/>
  <c r="CN148" i="1"/>
  <c r="CN239" i="1"/>
  <c r="CN215" i="1"/>
  <c r="CN191" i="1"/>
  <c r="CN167" i="1"/>
  <c r="CN143" i="1"/>
  <c r="CN250" i="1"/>
  <c r="CN226" i="1"/>
  <c r="CN202" i="1"/>
  <c r="CN178" i="1"/>
  <c r="CN154" i="1"/>
  <c r="CN130" i="1"/>
  <c r="CN106" i="1"/>
  <c r="CN267" i="1"/>
  <c r="CN233" i="1"/>
  <c r="CN209" i="1"/>
  <c r="CN185" i="1"/>
  <c r="CN161" i="1"/>
  <c r="CN137" i="1"/>
  <c r="CN89" i="1"/>
  <c r="CN240" i="1"/>
  <c r="CN216" i="1"/>
  <c r="CN192" i="1"/>
  <c r="CN168" i="1"/>
  <c r="CN144" i="1"/>
  <c r="CN269" i="1"/>
  <c r="CN235" i="1"/>
  <c r="CN211" i="1"/>
  <c r="CN187" i="1"/>
  <c r="CN163" i="1"/>
  <c r="CN139" i="1"/>
  <c r="CN115" i="1"/>
  <c r="CN91" i="1"/>
  <c r="CN246" i="1"/>
  <c r="CN222" i="1"/>
  <c r="CN198" i="1"/>
  <c r="CN174" i="1"/>
  <c r="CN150" i="1"/>
  <c r="CN126" i="1"/>
  <c r="CN253" i="1"/>
  <c r="CN229" i="1"/>
  <c r="CN205" i="1"/>
  <c r="CN181" i="1"/>
  <c r="CN157" i="1"/>
  <c r="CN133" i="1"/>
  <c r="CN270" i="1"/>
  <c r="CN236" i="1"/>
  <c r="CN212" i="1"/>
  <c r="CN188" i="1"/>
  <c r="CN164" i="1"/>
  <c r="CN140" i="1"/>
  <c r="CN265" i="1"/>
  <c r="CN231" i="1"/>
  <c r="CN207" i="1"/>
  <c r="CN183" i="1"/>
  <c r="CN159" i="1"/>
  <c r="CN135" i="1"/>
  <c r="CN242" i="1"/>
  <c r="CN218" i="1"/>
  <c r="CN194" i="1"/>
  <c r="CN170" i="1"/>
  <c r="CN146" i="1"/>
  <c r="CN249" i="1"/>
  <c r="CN225" i="1"/>
  <c r="CN201" i="1"/>
  <c r="CN177" i="1"/>
  <c r="CN153" i="1"/>
  <c r="CN129" i="1"/>
  <c r="CN266" i="1"/>
  <c r="CN232" i="1"/>
  <c r="CN208" i="1"/>
  <c r="CN184" i="1"/>
  <c r="CN160" i="1"/>
  <c r="CN136" i="1"/>
  <c r="CN251" i="1"/>
  <c r="CN227" i="1"/>
  <c r="CN203" i="1"/>
  <c r="CN179" i="1"/>
  <c r="CN155" i="1"/>
  <c r="CN131" i="1"/>
  <c r="CN272" i="1"/>
  <c r="CN238" i="1"/>
  <c r="CN214" i="1"/>
  <c r="CN190" i="1"/>
  <c r="CN166" i="1"/>
  <c r="CN142" i="1"/>
  <c r="CN94" i="1"/>
  <c r="CN245" i="1"/>
  <c r="CN221" i="1"/>
  <c r="CN197" i="1"/>
  <c r="CN173" i="1"/>
  <c r="CN149" i="1"/>
  <c r="CN252" i="1"/>
  <c r="CN228" i="1"/>
  <c r="CN204" i="1"/>
  <c r="CN180" i="1"/>
  <c r="CN156" i="1"/>
  <c r="CN132" i="1"/>
  <c r="CN247" i="1"/>
  <c r="CN223" i="1"/>
  <c r="CN199" i="1"/>
  <c r="CN175" i="1"/>
  <c r="CN151" i="1"/>
  <c r="CN127" i="1"/>
  <c r="CN268" i="1"/>
  <c r="CN234" i="1"/>
  <c r="CN210" i="1"/>
  <c r="CN186" i="1"/>
  <c r="CN162" i="1"/>
  <c r="CN138" i="1"/>
  <c r="CN241" i="1"/>
  <c r="CN217" i="1"/>
  <c r="CN193" i="1"/>
  <c r="CN169" i="1"/>
  <c r="CN145" i="1"/>
  <c r="CN248" i="1"/>
  <c r="CN224" i="1"/>
  <c r="CN200" i="1"/>
  <c r="CN176" i="1"/>
  <c r="CN152" i="1"/>
  <c r="CN128" i="1"/>
  <c r="CN243" i="1"/>
  <c r="CN219" i="1"/>
  <c r="CN195" i="1"/>
  <c r="CN171" i="1"/>
  <c r="CN147" i="1"/>
  <c r="CN264" i="1"/>
  <c r="CN230" i="1"/>
  <c r="CN206" i="1"/>
  <c r="CN182" i="1"/>
  <c r="CN158" i="1"/>
  <c r="CN134" i="1"/>
  <c r="CN66" i="1"/>
  <c r="CN271" i="1"/>
  <c r="CN237" i="1"/>
  <c r="CN213" i="1"/>
  <c r="CN189" i="1"/>
  <c r="CN165" i="1"/>
  <c r="CN141" i="1"/>
  <c r="CN117" i="1"/>
  <c r="DO58" i="1"/>
  <c r="AA58" i="1"/>
  <c r="G23" i="25" s="1"/>
  <c r="E23" i="25" s="1"/>
  <c r="DN58" i="1"/>
  <c r="DM58" i="1"/>
  <c r="DK58" i="1"/>
  <c r="CL273" i="1"/>
  <c r="CK273" i="1"/>
  <c r="CI273" i="1"/>
  <c r="CJ273" i="1"/>
  <c r="DN60" i="1"/>
  <c r="AA60" i="1"/>
  <c r="AQ201" i="7" s="1"/>
  <c r="DO60" i="1"/>
  <c r="CV273" i="1"/>
  <c r="CX273" i="1"/>
  <c r="M111" i="2" s="1"/>
  <c r="DD60" i="1"/>
  <c r="DF60" i="1" s="1"/>
  <c r="CZ60" i="1"/>
  <c r="DB60" i="1"/>
  <c r="CW60" i="1"/>
  <c r="CR60" i="1"/>
  <c r="O60" i="1"/>
  <c r="Q60" i="1" s="1"/>
  <c r="DM60" i="1" s="1"/>
  <c r="CS60" i="1"/>
  <c r="G63" i="25"/>
  <c r="E63" i="25" s="1"/>
  <c r="Z57" i="1"/>
  <c r="DM57" i="1" s="1"/>
  <c r="Z47" i="1"/>
  <c r="G64" i="25"/>
  <c r="E64" i="25" s="1"/>
  <c r="E95" i="25"/>
  <c r="E109" i="25"/>
  <c r="E110" i="25"/>
  <c r="E134" i="25"/>
  <c r="E107" i="25"/>
  <c r="E108" i="25"/>
  <c r="G94" i="25"/>
  <c r="E144" i="25"/>
  <c r="E84" i="25"/>
  <c r="E74" i="25"/>
  <c r="E118" i="25"/>
  <c r="BS120" i="1"/>
  <c r="BS109" i="1"/>
  <c r="BS93" i="1"/>
  <c r="BS96" i="1"/>
  <c r="DW55" i="1"/>
  <c r="BS112" i="1"/>
  <c r="BS89" i="1"/>
  <c r="BS107" i="1"/>
  <c r="BS127" i="1"/>
  <c r="BS95" i="1"/>
  <c r="BS110" i="1"/>
  <c r="BS115" i="1"/>
  <c r="BS74" i="1"/>
  <c r="BS103" i="1"/>
  <c r="BS90" i="1"/>
  <c r="BS106" i="1"/>
  <c r="BS80" i="1"/>
  <c r="BS98" i="1"/>
  <c r="BS86" i="1"/>
  <c r="BS77" i="1"/>
  <c r="BS84" i="1"/>
  <c r="BS113" i="1"/>
  <c r="F115" i="2"/>
  <c r="BC4" i="30" s="1"/>
  <c r="BS83" i="1"/>
  <c r="BS104" i="1"/>
  <c r="BS92" i="1"/>
  <c r="BS116" i="1"/>
  <c r="BS82" i="1"/>
  <c r="BS100" i="1"/>
  <c r="BS94" i="1"/>
  <c r="BS78" i="1"/>
  <c r="BS97" i="1"/>
  <c r="BS79" i="1"/>
  <c r="BS75" i="1"/>
  <c r="BS102" i="1"/>
  <c r="BS119" i="1"/>
  <c r="BS81" i="1"/>
  <c r="G113" i="25"/>
  <c r="E113" i="25" s="1"/>
  <c r="AA61" i="1"/>
  <c r="DN61" i="1"/>
  <c r="DM61" i="1"/>
  <c r="DO61" i="1"/>
  <c r="N4" i="13"/>
  <c r="BA4" i="13" s="1"/>
  <c r="G16" i="25" l="1"/>
  <c r="E16" i="25" s="1"/>
  <c r="G21" i="25"/>
  <c r="E21" i="25" s="1"/>
  <c r="G13" i="25"/>
  <c r="E13" i="25" s="1"/>
  <c r="G24" i="25"/>
  <c r="E24" i="25" s="1"/>
  <c r="G40" i="25"/>
  <c r="E40" i="25" s="1"/>
  <c r="G28" i="25"/>
  <c r="E28" i="25" s="1"/>
  <c r="G11" i="25"/>
  <c r="E11" i="25" s="1"/>
  <c r="DW58" i="1"/>
  <c r="F109" i="2"/>
  <c r="AW4" i="30" s="1"/>
  <c r="G44" i="25"/>
  <c r="E44" i="25" s="1"/>
  <c r="G81" i="25"/>
  <c r="E81" i="25" s="1"/>
  <c r="DL275" i="1"/>
  <c r="G60" i="25"/>
  <c r="E60" i="25" s="1"/>
  <c r="C12" i="3"/>
  <c r="DW60" i="1"/>
  <c r="DH60" i="1"/>
  <c r="DI60" i="1" s="1"/>
  <c r="C13" i="3"/>
  <c r="G59" i="25"/>
  <c r="E59" i="25" s="1"/>
  <c r="CZ273" i="1"/>
  <c r="DB273" i="1"/>
  <c r="DF273" i="1"/>
  <c r="DD273" i="1"/>
  <c r="V291" i="15"/>
  <c r="V75" i="26"/>
  <c r="Q114" i="2"/>
  <c r="CW273" i="1"/>
  <c r="Q6" i="30"/>
  <c r="G57" i="25"/>
  <c r="E57" i="25" s="1"/>
  <c r="G65" i="25"/>
  <c r="E65" i="25" s="1"/>
  <c r="DO57" i="1"/>
  <c r="DN57" i="1"/>
  <c r="AA57" i="1"/>
  <c r="DO47" i="1"/>
  <c r="AA47" i="1"/>
  <c r="G32" i="25" s="1"/>
  <c r="E32" i="25" s="1"/>
  <c r="DN47" i="1"/>
  <c r="DM47" i="1"/>
  <c r="G68" i="25"/>
  <c r="E68" i="25" s="1"/>
  <c r="G82" i="25"/>
  <c r="E82" i="25" s="1"/>
  <c r="E94" i="25"/>
  <c r="DW61" i="1"/>
  <c r="E8" i="12"/>
  <c r="E9" i="12" s="1"/>
  <c r="C9" i="12"/>
  <c r="F122" i="2"/>
  <c r="BJ4" i="30" s="1"/>
  <c r="G112" i="25"/>
  <c r="E112" i="25" s="1"/>
  <c r="G69" i="25"/>
  <c r="E69" i="25" s="1"/>
  <c r="G99" i="25"/>
  <c r="E99" i="25" s="1"/>
  <c r="O4" i="13"/>
  <c r="BB4" i="13" s="1"/>
  <c r="G34" i="25" l="1"/>
  <c r="E34" i="25" s="1"/>
  <c r="G8" i="25"/>
  <c r="E8" i="25" s="1"/>
  <c r="G39" i="25"/>
  <c r="E39" i="25" s="1"/>
  <c r="G9" i="25"/>
  <c r="E9" i="25" s="1"/>
  <c r="G18" i="25"/>
  <c r="E18" i="25" s="1"/>
  <c r="G47" i="25"/>
  <c r="E47" i="25" s="1"/>
  <c r="G75" i="25"/>
  <c r="E75" i="25" s="1"/>
  <c r="G76" i="25"/>
  <c r="E76" i="25" s="1"/>
  <c r="G6" i="25"/>
  <c r="E6" i="25" s="1"/>
  <c r="G15" i="25"/>
  <c r="E15" i="25" s="1"/>
  <c r="G45" i="25"/>
  <c r="E45" i="25" s="1"/>
  <c r="G58" i="25"/>
  <c r="E58" i="25" s="1"/>
  <c r="G27" i="25"/>
  <c r="E27" i="25" s="1"/>
  <c r="DH273" i="1"/>
  <c r="G29" i="25"/>
  <c r="E29" i="25" s="1"/>
  <c r="G35" i="25"/>
  <c r="E35" i="25" s="1"/>
  <c r="DI273" i="1"/>
  <c r="G14" i="25"/>
  <c r="E14" i="25" s="1"/>
  <c r="G53" i="25"/>
  <c r="E53" i="25" s="1"/>
  <c r="G38" i="25"/>
  <c r="E38" i="25" s="1"/>
  <c r="G61" i="25"/>
  <c r="E61" i="25" s="1"/>
  <c r="G33" i="25"/>
  <c r="E33" i="25" s="1"/>
  <c r="G50" i="25"/>
  <c r="E50" i="25" s="1"/>
  <c r="G62" i="25"/>
  <c r="E62" i="25" s="1"/>
  <c r="G79" i="25"/>
  <c r="E79" i="25" s="1"/>
  <c r="G26" i="25"/>
  <c r="E26" i="25" s="1"/>
  <c r="G56" i="25"/>
  <c r="E56" i="25" s="1"/>
  <c r="G70" i="25"/>
  <c r="E70" i="25" s="1"/>
  <c r="F92" i="2"/>
  <c r="AF4" i="30" s="1"/>
  <c r="E45" i="30" s="1"/>
  <c r="G31" i="25"/>
  <c r="E31" i="25" s="1"/>
  <c r="G77" i="25"/>
  <c r="E77" i="25" s="1"/>
  <c r="G71" i="25"/>
  <c r="E71" i="25" s="1"/>
  <c r="G42" i="25"/>
  <c r="E42" i="25" s="1"/>
  <c r="G66" i="25"/>
  <c r="E66" i="25" s="1"/>
  <c r="G12" i="25"/>
  <c r="E12" i="25" s="1"/>
  <c r="G17" i="25"/>
  <c r="E17" i="25" s="1"/>
  <c r="G10" i="25"/>
  <c r="E10" i="25" s="1"/>
  <c r="G51" i="25"/>
  <c r="E51" i="25" s="1"/>
  <c r="G52" i="25"/>
  <c r="E52" i="25" s="1"/>
  <c r="G73" i="25"/>
  <c r="E73" i="25" s="1"/>
  <c r="G80" i="25"/>
  <c r="E80" i="25" s="1"/>
  <c r="G55" i="25"/>
  <c r="E55" i="25" s="1"/>
  <c r="G7" i="25"/>
  <c r="E7" i="25" s="1"/>
  <c r="G30" i="25"/>
  <c r="E30" i="25" s="1"/>
  <c r="G41" i="25"/>
  <c r="E41" i="25" s="1"/>
  <c r="G20" i="25"/>
  <c r="E20" i="25" s="1"/>
  <c r="G37" i="25"/>
  <c r="E37" i="25" s="1"/>
  <c r="G54" i="25"/>
  <c r="E54" i="25" s="1"/>
  <c r="G46" i="25"/>
  <c r="E46" i="25" s="1"/>
  <c r="G48" i="25"/>
  <c r="E48" i="25" s="1"/>
  <c r="G25" i="25"/>
  <c r="E25" i="25" s="1"/>
  <c r="G5" i="25"/>
  <c r="E5" i="25" s="1"/>
  <c r="F106" i="2"/>
  <c r="AT4" i="30" s="1"/>
  <c r="DW57" i="1"/>
  <c r="DW47" i="1"/>
  <c r="F104" i="2"/>
  <c r="AR4" i="30" s="1"/>
  <c r="D9" i="12"/>
  <c r="E21" i="12"/>
  <c r="P4" i="13"/>
  <c r="BC4" i="13" s="1"/>
  <c r="L1219" i="7"/>
  <c r="L1097" i="7"/>
  <c r="L1026" i="7"/>
  <c r="L1034" i="7"/>
  <c r="L1042" i="7"/>
  <c r="K1050" i="7"/>
  <c r="L1059" i="7"/>
  <c r="K1066" i="7"/>
  <c r="L1074" i="7"/>
  <c r="K1082" i="7"/>
  <c r="L1089" i="7"/>
  <c r="L1096" i="7"/>
  <c r="L1103" i="7"/>
  <c r="L1019" i="7"/>
  <c r="K1021" i="7"/>
  <c r="K1029" i="7"/>
  <c r="K1037" i="7"/>
  <c r="L1046" i="7"/>
  <c r="K1052" i="7"/>
  <c r="K1061" i="7"/>
  <c r="L1073" i="7"/>
  <c r="L1080" i="7"/>
  <c r="K1088" i="7"/>
  <c r="L1095" i="7"/>
  <c r="K1102" i="7"/>
  <c r="K1198" i="7"/>
  <c r="L1035" i="7"/>
  <c r="L1043" i="7"/>
  <c r="K1051" i="7"/>
  <c r="L1058" i="7"/>
  <c r="K1067" i="7"/>
  <c r="L1075" i="7"/>
  <c r="K1083" i="7"/>
  <c r="L1090" i="7"/>
  <c r="L1102" i="7"/>
  <c r="L1021" i="7"/>
  <c r="K1024" i="7"/>
  <c r="K1032" i="7"/>
  <c r="K1040" i="7"/>
  <c r="L1047" i="7"/>
  <c r="K1055" i="7"/>
  <c r="K1062" i="7"/>
  <c r="L1070" i="7"/>
  <c r="K1078" i="7"/>
  <c r="K1087" i="7"/>
  <c r="L1094" i="7"/>
  <c r="K1099" i="7"/>
  <c r="L1106" i="7"/>
  <c r="K1243" i="7"/>
  <c r="L1111" i="7"/>
  <c r="K1119" i="7"/>
  <c r="L1128" i="7"/>
  <c r="K1135" i="7"/>
  <c r="L1143" i="7"/>
  <c r="K1149" i="7"/>
  <c r="L1160" i="7"/>
  <c r="L1167" i="7"/>
  <c r="L1175" i="7"/>
  <c r="L1183" i="7"/>
  <c r="K1194" i="7"/>
  <c r="L1203" i="7"/>
  <c r="L1211" i="7"/>
  <c r="K1221" i="7"/>
  <c r="K1235" i="7"/>
  <c r="K1224" i="7"/>
  <c r="L1108" i="7"/>
  <c r="K1116" i="7"/>
  <c r="L1027" i="7"/>
  <c r="L1028" i="7"/>
  <c r="L1036" i="7"/>
  <c r="L1044" i="7"/>
  <c r="L1053" i="7"/>
  <c r="L1060" i="7"/>
  <c r="K1069" i="7"/>
  <c r="L1076" i="7"/>
  <c r="L1091" i="7"/>
  <c r="K1098" i="7"/>
  <c r="K1105" i="7"/>
  <c r="L1023" i="7"/>
  <c r="K1023" i="7"/>
  <c r="K1031" i="7"/>
  <c r="K1039" i="7"/>
  <c r="L1048" i="7"/>
  <c r="K1054" i="7"/>
  <c r="K1063" i="7"/>
  <c r="K1068" i="7"/>
  <c r="K1075" i="7"/>
  <c r="L1082" i="7"/>
  <c r="K1090" i="7"/>
  <c r="K1097" i="7"/>
  <c r="L1105" i="7"/>
  <c r="L1029" i="7"/>
  <c r="L1037" i="7"/>
  <c r="K1045" i="7"/>
  <c r="L1052" i="7"/>
  <c r="L1061" i="7"/>
  <c r="L1068" i="7"/>
  <c r="L1077" i="7"/>
  <c r="L1084" i="7"/>
  <c r="L1092" i="7"/>
  <c r="K1104" i="7"/>
  <c r="L1025" i="7"/>
  <c r="K1026" i="7"/>
  <c r="K1034" i="7"/>
  <c r="K1042" i="7"/>
  <c r="L1049" i="7"/>
  <c r="K1057" i="7"/>
  <c r="K1064" i="7"/>
  <c r="L1072" i="7"/>
  <c r="L1081" i="7"/>
  <c r="K1089" i="7"/>
  <c r="K1101" i="7"/>
  <c r="K1185" i="7"/>
  <c r="K1245" i="7"/>
  <c r="L1113" i="7"/>
  <c r="K1121" i="7"/>
  <c r="K1130" i="7"/>
  <c r="L1138" i="7"/>
  <c r="L1145" i="7"/>
  <c r="K1152" i="7"/>
  <c r="K1162" i="7"/>
  <c r="L1169" i="7"/>
  <c r="L1022" i="7"/>
  <c r="L1030" i="7"/>
  <c r="L1038" i="7"/>
  <c r="K1046" i="7"/>
  <c r="L1055" i="7"/>
  <c r="L1062" i="7"/>
  <c r="K1071" i="7"/>
  <c r="L1078" i="7"/>
  <c r="L1085" i="7"/>
  <c r="L1093" i="7"/>
  <c r="L1099" i="7"/>
  <c r="K1223" i="7"/>
  <c r="L1020" i="7"/>
  <c r="K1025" i="7"/>
  <c r="K1033" i="7"/>
  <c r="K1041" i="7"/>
  <c r="L1050" i="7"/>
  <c r="K1056" i="7"/>
  <c r="L1069" i="7"/>
  <c r="K1077" i="7"/>
  <c r="K1084" i="7"/>
  <c r="K1092" i="7"/>
  <c r="L1098" i="7"/>
  <c r="L1223" i="7"/>
  <c r="L1031" i="7"/>
  <c r="L1039" i="7"/>
  <c r="K1047" i="7"/>
  <c r="L1054" i="7"/>
  <c r="L1063" i="7"/>
  <c r="K1070" i="7"/>
  <c r="L1079" i="7"/>
  <c r="L1086" i="7"/>
  <c r="K1094" i="7"/>
  <c r="K1106" i="7"/>
  <c r="K1020" i="7"/>
  <c r="K1028" i="7"/>
  <c r="K1036" i="7"/>
  <c r="K1044" i="7"/>
  <c r="L1051" i="7"/>
  <c r="K1059" i="7"/>
  <c r="L1065" i="7"/>
  <c r="K1074" i="7"/>
  <c r="L1083" i="7"/>
  <c r="K1091" i="7"/>
  <c r="K1096" i="7"/>
  <c r="K1103" i="7"/>
  <c r="L1225" i="7"/>
  <c r="K1108" i="7"/>
  <c r="L1115" i="7"/>
  <c r="L1124" i="7"/>
  <c r="L1131" i="7"/>
  <c r="L1140" i="7"/>
  <c r="K1154" i="7"/>
  <c r="K1164" i="7"/>
  <c r="L1171" i="7"/>
  <c r="L1179" i="7"/>
  <c r="K1190" i="7"/>
  <c r="L1199" i="7"/>
  <c r="L1207" i="7"/>
  <c r="L1215" i="7"/>
  <c r="K1231" i="7"/>
  <c r="K1239" i="7"/>
  <c r="L1243" i="7"/>
  <c r="K1112" i="7"/>
  <c r="L1119" i="7"/>
  <c r="K1127" i="7"/>
  <c r="L1135" i="7"/>
  <c r="L1142" i="7"/>
  <c r="L1149" i="7"/>
  <c r="L1156" i="7"/>
  <c r="K1159" i="7"/>
  <c r="L1166" i="7"/>
  <c r="L1024" i="7"/>
  <c r="L1032" i="7"/>
  <c r="L1040" i="7"/>
  <c r="K1048" i="7"/>
  <c r="L1057" i="7"/>
  <c r="L1064" i="7"/>
  <c r="K1073" i="7"/>
  <c r="K1080" i="7"/>
  <c r="L1087" i="7"/>
  <c r="K1095" i="7"/>
  <c r="L1101" i="7"/>
  <c r="K1129" i="7"/>
  <c r="K1019" i="7"/>
  <c r="K1027" i="7"/>
  <c r="K1035" i="7"/>
  <c r="K1043" i="7"/>
  <c r="K1058" i="7"/>
  <c r="L1066" i="7"/>
  <c r="L1071" i="7"/>
  <c r="K1079" i="7"/>
  <c r="K1086" i="7"/>
  <c r="K1100" i="7"/>
  <c r="K1137" i="7"/>
  <c r="L1033" i="7"/>
  <c r="L1041" i="7"/>
  <c r="K1049" i="7"/>
  <c r="L1056" i="7"/>
  <c r="K1065" i="7"/>
  <c r="K1072" i="7"/>
  <c r="K1081" i="7"/>
  <c r="L1088" i="7"/>
  <c r="L1100" i="7"/>
  <c r="L1186" i="7"/>
  <c r="K1022" i="7"/>
  <c r="K1030" i="7"/>
  <c r="K1038" i="7"/>
  <c r="L1045" i="7"/>
  <c r="K1053" i="7"/>
  <c r="K1060" i="7"/>
  <c r="L1067" i="7"/>
  <c r="K1076" i="7"/>
  <c r="K1085" i="7"/>
  <c r="K1093" i="7"/>
  <c r="L1104" i="7"/>
  <c r="L1227" i="7"/>
  <c r="L1109" i="7"/>
  <c r="K1117" i="7"/>
  <c r="L1126" i="7"/>
  <c r="L1133" i="7"/>
  <c r="K1142" i="7"/>
  <c r="K1147" i="7"/>
  <c r="K1156" i="7"/>
  <c r="K1166" i="7"/>
  <c r="L1173" i="7"/>
  <c r="L1181" i="7"/>
  <c r="K1192" i="7"/>
  <c r="L1201" i="7"/>
  <c r="L1209" i="7"/>
  <c r="L1217" i="7"/>
  <c r="K1233" i="7"/>
  <c r="K1241" i="7"/>
  <c r="L1245" i="7"/>
  <c r="K1114" i="7"/>
  <c r="L1121" i="7"/>
  <c r="L1130" i="7"/>
  <c r="L1137" i="7"/>
  <c r="K1144" i="7"/>
  <c r="K1161" i="7"/>
  <c r="K1168" i="7"/>
  <c r="K1176" i="7"/>
  <c r="K1184" i="7"/>
  <c r="L1192" i="7"/>
  <c r="K1200" i="7"/>
  <c r="K1208" i="7"/>
  <c r="K1216" i="7"/>
  <c r="L1231" i="7"/>
  <c r="L1239" i="7"/>
  <c r="K1228" i="7"/>
  <c r="L1110" i="7"/>
  <c r="K1118" i="7"/>
  <c r="L1125" i="7"/>
  <c r="L1134" i="7"/>
  <c r="L1144" i="7"/>
  <c r="K1151" i="7"/>
  <c r="L1158" i="7"/>
  <c r="L1177" i="7"/>
  <c r="L1213" i="7"/>
  <c r="K1110" i="7"/>
  <c r="K1132" i="7"/>
  <c r="K1146" i="7"/>
  <c r="L1154" i="7"/>
  <c r="L1162" i="7"/>
  <c r="K1174" i="7"/>
  <c r="L1185" i="7"/>
  <c r="L1196" i="7"/>
  <c r="K1206" i="7"/>
  <c r="K1218" i="7"/>
  <c r="L1235" i="7"/>
  <c r="L1226" i="7"/>
  <c r="L1112" i="7"/>
  <c r="K1122" i="7"/>
  <c r="L1132" i="7"/>
  <c r="L1146" i="7"/>
  <c r="K1155" i="7"/>
  <c r="K1163" i="7"/>
  <c r="L1172" i="7"/>
  <c r="L1180" i="7"/>
  <c r="K1189" i="7"/>
  <c r="K1197" i="7"/>
  <c r="L1206" i="7"/>
  <c r="L1214" i="7"/>
  <c r="K1222" i="7"/>
  <c r="K1236" i="7"/>
  <c r="K1225" i="7"/>
  <c r="L1107" i="7"/>
  <c r="K1115" i="7"/>
  <c r="L1122" i="7"/>
  <c r="K1138" i="7"/>
  <c r="L1148" i="7"/>
  <c r="L1155" i="7"/>
  <c r="L1163" i="7"/>
  <c r="K1171" i="7"/>
  <c r="K1179" i="7"/>
  <c r="L1187" i="7"/>
  <c r="L1195" i="7"/>
  <c r="K1203" i="7"/>
  <c r="K1211" i="7"/>
  <c r="K1219" i="7"/>
  <c r="L1232" i="7"/>
  <c r="L1240" i="7"/>
  <c r="K1188" i="7"/>
  <c r="K1229" i="7"/>
  <c r="L1117" i="7"/>
  <c r="K1134" i="7"/>
  <c r="L1147" i="7"/>
  <c r="L1164" i="7"/>
  <c r="K1178" i="7"/>
  <c r="L1188" i="7"/>
  <c r="L1198" i="7"/>
  <c r="K1210" i="7"/>
  <c r="L1221" i="7"/>
  <c r="L1237" i="7"/>
  <c r="K1244" i="7"/>
  <c r="L1114" i="7"/>
  <c r="L1123" i="7"/>
  <c r="K1136" i="7"/>
  <c r="K1148" i="7"/>
  <c r="K1157" i="7"/>
  <c r="K1165" i="7"/>
  <c r="L1174" i="7"/>
  <c r="L1182" i="7"/>
  <c r="K1191" i="7"/>
  <c r="L1200" i="7"/>
  <c r="L1208" i="7"/>
  <c r="L1216" i="7"/>
  <c r="K1230" i="7"/>
  <c r="K1238" i="7"/>
  <c r="K1227" i="7"/>
  <c r="K1109" i="7"/>
  <c r="K1124" i="7"/>
  <c r="K1131" i="7"/>
  <c r="K1140" i="7"/>
  <c r="L1150" i="7"/>
  <c r="L1157" i="7"/>
  <c r="L1165" i="7"/>
  <c r="K1173" i="7"/>
  <c r="K1181" i="7"/>
  <c r="L1189" i="7"/>
  <c r="L1197" i="7"/>
  <c r="K1205" i="7"/>
  <c r="K1213" i="7"/>
  <c r="L1220" i="7"/>
  <c r="L1234" i="7"/>
  <c r="L1242" i="7"/>
  <c r="K1196" i="7"/>
  <c r="K1237" i="7"/>
  <c r="K1123" i="7"/>
  <c r="K1139" i="7"/>
  <c r="K1158" i="7"/>
  <c r="K1170" i="7"/>
  <c r="K1180" i="7"/>
  <c r="L1190" i="7"/>
  <c r="K1202" i="7"/>
  <c r="K1212" i="7"/>
  <c r="L1229" i="7"/>
  <c r="L1241" i="7"/>
  <c r="K1107" i="7"/>
  <c r="L1116" i="7"/>
  <c r="L1127" i="7"/>
  <c r="L1139" i="7"/>
  <c r="K1150" i="7"/>
  <c r="L1159" i="7"/>
  <c r="L1168" i="7"/>
  <c r="L1176" i="7"/>
  <c r="L1184" i="7"/>
  <c r="K1193" i="7"/>
  <c r="L1202" i="7"/>
  <c r="L1210" i="7"/>
  <c r="L1218" i="7"/>
  <c r="K1232" i="7"/>
  <c r="K1240" i="7"/>
  <c r="L1228" i="7"/>
  <c r="K1111" i="7"/>
  <c r="L1118" i="7"/>
  <c r="K1126" i="7"/>
  <c r="K1133" i="7"/>
  <c r="K1143" i="7"/>
  <c r="L1151" i="7"/>
  <c r="K1167" i="7"/>
  <c r="K1175" i="7"/>
  <c r="K1183" i="7"/>
  <c r="L1191" i="7"/>
  <c r="K1199" i="7"/>
  <c r="K1207" i="7"/>
  <c r="K1215" i="7"/>
  <c r="L1222" i="7"/>
  <c r="L1236" i="7"/>
  <c r="L1205" i="7"/>
  <c r="K1226" i="7"/>
  <c r="K1125" i="7"/>
  <c r="K1141" i="7"/>
  <c r="L1152" i="7"/>
  <c r="K1172" i="7"/>
  <c r="K1182" i="7"/>
  <c r="L1194" i="7"/>
  <c r="K1204" i="7"/>
  <c r="K1214" i="7"/>
  <c r="L1233" i="7"/>
  <c r="L1224" i="7"/>
  <c r="K1120" i="7"/>
  <c r="L1129" i="7"/>
  <c r="L1141" i="7"/>
  <c r="K1153" i="7"/>
  <c r="L1161" i="7"/>
  <c r="L1170" i="7"/>
  <c r="L1178" i="7"/>
  <c r="K1187" i="7"/>
  <c r="K1195" i="7"/>
  <c r="L1204" i="7"/>
  <c r="L1212" i="7"/>
  <c r="K1220" i="7"/>
  <c r="K1234" i="7"/>
  <c r="K1242" i="7"/>
  <c r="L1244" i="7"/>
  <c r="K1113" i="7"/>
  <c r="L1120" i="7"/>
  <c r="K1128" i="7"/>
  <c r="L1136" i="7"/>
  <c r="K1145" i="7"/>
  <c r="L1153" i="7"/>
  <c r="K1160" i="7"/>
  <c r="K1169" i="7"/>
  <c r="K1177" i="7"/>
  <c r="K1186" i="7"/>
  <c r="L1193" i="7"/>
  <c r="K1201" i="7"/>
  <c r="K1209" i="7"/>
  <c r="K1217" i="7"/>
  <c r="L1230" i="7"/>
  <c r="L1238" i="7"/>
  <c r="K1014" i="7"/>
  <c r="L1015" i="7"/>
  <c r="L1250" i="7"/>
  <c r="K1249" i="7"/>
  <c r="K1253" i="7"/>
  <c r="L1012" i="7"/>
  <c r="L1247" i="7"/>
  <c r="L1255" i="7"/>
  <c r="K1012" i="7"/>
  <c r="K1011" i="7"/>
  <c r="K1246" i="7"/>
  <c r="K1254" i="7"/>
  <c r="L1009" i="7"/>
  <c r="L1017" i="7"/>
  <c r="L1252" i="7"/>
  <c r="K1255" i="7"/>
  <c r="K1267" i="7"/>
  <c r="L1014" i="7"/>
  <c r="L1249" i="7"/>
  <c r="L1267" i="7"/>
  <c r="K1016" i="7"/>
  <c r="K1013" i="7"/>
  <c r="K1248" i="7"/>
  <c r="K1256" i="7"/>
  <c r="L1011" i="7"/>
  <c r="L1246" i="7"/>
  <c r="L1254" i="7"/>
  <c r="K1018" i="7"/>
  <c r="L1008" i="7"/>
  <c r="L1016" i="7"/>
  <c r="L1251" i="7"/>
  <c r="K1008" i="7"/>
  <c r="K1251" i="7"/>
  <c r="K1015" i="7"/>
  <c r="K1250" i="7"/>
  <c r="L1013" i="7"/>
  <c r="L1248" i="7"/>
  <c r="L1256" i="7"/>
  <c r="K1247" i="7"/>
  <c r="L1010" i="7"/>
  <c r="L1018" i="7"/>
  <c r="L1253" i="7"/>
  <c r="K1010" i="7"/>
  <c r="K1009" i="7"/>
  <c r="K1017" i="7"/>
  <c r="K1252" i="7"/>
  <c r="L1269" i="7"/>
  <c r="K1269" i="7"/>
  <c r="A42" i="2"/>
  <c r="A41" i="2"/>
  <c r="DK275" i="1" l="1"/>
  <c r="DM275" i="1" s="1"/>
  <c r="Q4" i="13"/>
  <c r="BD4" i="13" s="1"/>
  <c r="M79" i="2"/>
  <c r="M80" i="2"/>
  <c r="M77" i="2"/>
  <c r="M78" i="2"/>
  <c r="F4" i="9"/>
  <c r="AH4" i="9" s="1"/>
  <c r="F5" i="9"/>
  <c r="AH5" i="9" s="1"/>
  <c r="BJ5" i="9" s="1"/>
  <c r="F6" i="9"/>
  <c r="AH6" i="9" s="1"/>
  <c r="BJ6" i="9" s="1"/>
  <c r="F7" i="9"/>
  <c r="AH7" i="9" s="1"/>
  <c r="BJ7" i="9" s="1"/>
  <c r="F8" i="9"/>
  <c r="AH8" i="9" s="1"/>
  <c r="BJ8" i="9" s="1"/>
  <c r="F9" i="9"/>
  <c r="AH9" i="9" s="1"/>
  <c r="BJ9" i="9" s="1"/>
  <c r="F10" i="9"/>
  <c r="AH10" i="9" s="1"/>
  <c r="BJ10" i="9" s="1"/>
  <c r="F11" i="9"/>
  <c r="AH11" i="9" s="1"/>
  <c r="BJ11" i="9" s="1"/>
  <c r="F12" i="9"/>
  <c r="AH12" i="9" s="1"/>
  <c r="BJ12" i="9" s="1"/>
  <c r="F13" i="9"/>
  <c r="AH13" i="9" s="1"/>
  <c r="BJ13" i="9" s="1"/>
  <c r="F14" i="9"/>
  <c r="AH14" i="9" s="1"/>
  <c r="BJ14" i="9" s="1"/>
  <c r="F15" i="9"/>
  <c r="AH15" i="9" s="1"/>
  <c r="BJ15" i="9" s="1"/>
  <c r="F16" i="9"/>
  <c r="AH16" i="9" s="1"/>
  <c r="BJ16" i="9" s="1"/>
  <c r="F17" i="9"/>
  <c r="AH17" i="9" s="1"/>
  <c r="BJ17" i="9" s="1"/>
  <c r="F18" i="9"/>
  <c r="AH18" i="9" s="1"/>
  <c r="BJ18" i="9" s="1"/>
  <c r="F19" i="9"/>
  <c r="AH19" i="9" s="1"/>
  <c r="BJ19" i="9" s="1"/>
  <c r="F20" i="9"/>
  <c r="AH20" i="9" s="1"/>
  <c r="BJ20" i="9" s="1"/>
  <c r="F21" i="9"/>
  <c r="AH21" i="9" s="1"/>
  <c r="BJ21" i="9" s="1"/>
  <c r="F22" i="9"/>
  <c r="AH22" i="9" s="1"/>
  <c r="BJ22" i="9" s="1"/>
  <c r="F23" i="9"/>
  <c r="AH23" i="9" s="1"/>
  <c r="BJ23" i="9" s="1"/>
  <c r="F24" i="9"/>
  <c r="AH24" i="9" s="1"/>
  <c r="BJ24" i="9" s="1"/>
  <c r="F25" i="9"/>
  <c r="AH25" i="9" s="1"/>
  <c r="BJ25" i="9" s="1"/>
  <c r="F26" i="9"/>
  <c r="AH26" i="9" s="1"/>
  <c r="BJ26" i="9" s="1"/>
  <c r="F27" i="9"/>
  <c r="AH27" i="9" s="1"/>
  <c r="BJ27" i="9" s="1"/>
  <c r="F28" i="9"/>
  <c r="AH28" i="9" s="1"/>
  <c r="BJ28" i="9" s="1"/>
  <c r="F29" i="9"/>
  <c r="AH29" i="9" s="1"/>
  <c r="BJ29" i="9" s="1"/>
  <c r="F30" i="9"/>
  <c r="AH30" i="9" s="1"/>
  <c r="BJ30" i="9" s="1"/>
  <c r="F31" i="9"/>
  <c r="F32" i="9"/>
  <c r="AH32" i="9" s="1"/>
  <c r="BJ32" i="9" s="1"/>
  <c r="F33" i="9"/>
  <c r="AH33" i="9" s="1"/>
  <c r="BJ33" i="9" s="1"/>
  <c r="F34" i="9"/>
  <c r="AH34" i="9" s="1"/>
  <c r="BJ34" i="9" s="1"/>
  <c r="F35" i="9"/>
  <c r="AH35" i="9" s="1"/>
  <c r="BJ35" i="9" s="1"/>
  <c r="F36" i="9"/>
  <c r="AH36" i="9" s="1"/>
  <c r="BJ36" i="9" s="1"/>
  <c r="F37" i="9"/>
  <c r="AH37" i="9" s="1"/>
  <c r="BJ37" i="9" s="1"/>
  <c r="F38" i="9"/>
  <c r="AH38" i="9" s="1"/>
  <c r="BJ38" i="9" s="1"/>
  <c r="F39" i="9"/>
  <c r="AH39" i="9" s="1"/>
  <c r="BJ39" i="9" s="1"/>
  <c r="F40" i="9"/>
  <c r="AH40" i="9" s="1"/>
  <c r="BJ40" i="9" s="1"/>
  <c r="F41" i="9"/>
  <c r="AH41" i="9" s="1"/>
  <c r="BJ41" i="9" s="1"/>
  <c r="F42" i="9"/>
  <c r="AH42" i="9" s="1"/>
  <c r="BJ42" i="9" s="1"/>
  <c r="F43" i="9"/>
  <c r="AH43" i="9" s="1"/>
  <c r="BJ43" i="9" s="1"/>
  <c r="F44" i="9"/>
  <c r="AH44" i="9" s="1"/>
  <c r="BJ44" i="9" s="1"/>
  <c r="F45" i="9"/>
  <c r="AH45" i="9" s="1"/>
  <c r="BJ45" i="9" s="1"/>
  <c r="F46" i="9"/>
  <c r="AH46" i="9" s="1"/>
  <c r="BJ46" i="9" s="1"/>
  <c r="F47" i="9"/>
  <c r="AH47" i="9" s="1"/>
  <c r="BJ47" i="9" s="1"/>
  <c r="F48" i="9"/>
  <c r="AH48" i="9" s="1"/>
  <c r="BJ48" i="9" s="1"/>
  <c r="F49" i="9"/>
  <c r="AH49" i="9" s="1"/>
  <c r="BJ49" i="9" s="1"/>
  <c r="F50" i="9"/>
  <c r="AH50" i="9" s="1"/>
  <c r="BJ50" i="9" s="1"/>
  <c r="F51" i="9"/>
  <c r="AH51" i="9" s="1"/>
  <c r="BJ51" i="9" s="1"/>
  <c r="F52" i="9"/>
  <c r="AH52" i="9" s="1"/>
  <c r="BJ52" i="9" s="1"/>
  <c r="F53" i="9"/>
  <c r="AH53" i="9" s="1"/>
  <c r="BJ53" i="9" s="1"/>
  <c r="F54" i="9"/>
  <c r="AH54" i="9" s="1"/>
  <c r="BJ54" i="9" s="1"/>
  <c r="F55" i="9"/>
  <c r="AH55" i="9" s="1"/>
  <c r="BJ55" i="9" s="1"/>
  <c r="F56" i="9"/>
  <c r="AH56" i="9" s="1"/>
  <c r="BJ56" i="9" s="1"/>
  <c r="F57" i="9"/>
  <c r="AH57" i="9" s="1"/>
  <c r="BJ57" i="9" s="1"/>
  <c r="F58" i="9"/>
  <c r="AH58" i="9" s="1"/>
  <c r="BJ58" i="9" s="1"/>
  <c r="F59" i="9"/>
  <c r="AH59" i="9" s="1"/>
  <c r="BJ59" i="9" s="1"/>
  <c r="F60" i="9"/>
  <c r="AH60" i="9" s="1"/>
  <c r="BJ60" i="9" s="1"/>
  <c r="F61" i="9"/>
  <c r="AH61" i="9" s="1"/>
  <c r="BJ61" i="9" s="1"/>
  <c r="F62" i="9"/>
  <c r="AH62" i="9" s="1"/>
  <c r="BJ62" i="9" s="1"/>
  <c r="F63" i="9"/>
  <c r="AH63" i="9" s="1"/>
  <c r="BJ63" i="9" s="1"/>
  <c r="F64" i="9"/>
  <c r="AH64" i="9" s="1"/>
  <c r="BJ64" i="9" s="1"/>
  <c r="F65" i="9"/>
  <c r="AH65" i="9" s="1"/>
  <c r="BJ65" i="9" s="1"/>
  <c r="F66" i="9"/>
  <c r="AH66" i="9" s="1"/>
  <c r="BJ66" i="9" s="1"/>
  <c r="F67" i="9"/>
  <c r="AH67" i="9" s="1"/>
  <c r="BJ67" i="9" s="1"/>
  <c r="F68" i="9"/>
  <c r="AH68" i="9" s="1"/>
  <c r="BJ68" i="9" s="1"/>
  <c r="F69" i="9"/>
  <c r="AH69" i="9" s="1"/>
  <c r="BJ69" i="9" s="1"/>
  <c r="F70" i="9"/>
  <c r="AH70" i="9" s="1"/>
  <c r="BJ70" i="9" s="1"/>
  <c r="F71" i="9"/>
  <c r="AH71" i="9" s="1"/>
  <c r="BJ71" i="9" s="1"/>
  <c r="F72" i="9"/>
  <c r="AH72" i="9" s="1"/>
  <c r="BJ72" i="9" s="1"/>
  <c r="F73" i="9"/>
  <c r="AH73" i="9" s="1"/>
  <c r="BJ73" i="9" s="1"/>
  <c r="F74" i="9"/>
  <c r="AH74" i="9" s="1"/>
  <c r="BJ74" i="9" s="1"/>
  <c r="F75" i="9"/>
  <c r="AH75" i="9" s="1"/>
  <c r="BJ75" i="9" s="1"/>
  <c r="F76" i="9"/>
  <c r="AH76" i="9" s="1"/>
  <c r="BJ76" i="9" s="1"/>
  <c r="F77" i="9"/>
  <c r="AH77" i="9" s="1"/>
  <c r="BJ77" i="9" s="1"/>
  <c r="F78" i="9"/>
  <c r="AH78" i="9" s="1"/>
  <c r="BJ78" i="9" s="1"/>
  <c r="F79" i="9"/>
  <c r="AH79" i="9" s="1"/>
  <c r="BJ79" i="9" s="1"/>
  <c r="F80" i="9"/>
  <c r="AH80" i="9" s="1"/>
  <c r="BJ80" i="9" s="1"/>
  <c r="F81" i="9"/>
  <c r="AH81" i="9" s="1"/>
  <c r="BJ81" i="9" s="1"/>
  <c r="F82" i="9"/>
  <c r="AH82" i="9" s="1"/>
  <c r="BJ82" i="9" s="1"/>
  <c r="F83" i="9"/>
  <c r="AH83" i="9" s="1"/>
  <c r="BJ83" i="9" s="1"/>
  <c r="F84" i="9"/>
  <c r="AH84" i="9" s="1"/>
  <c r="BJ84" i="9" s="1"/>
  <c r="F85" i="9"/>
  <c r="AH85" i="9" s="1"/>
  <c r="BJ85" i="9" s="1"/>
  <c r="F86" i="9"/>
  <c r="AH86" i="9" s="1"/>
  <c r="BJ86" i="9" s="1"/>
  <c r="F87" i="9"/>
  <c r="AH87" i="9" s="1"/>
  <c r="BJ87" i="9" s="1"/>
  <c r="F88" i="9"/>
  <c r="AH88" i="9" s="1"/>
  <c r="BJ88" i="9" s="1"/>
  <c r="F89" i="9"/>
  <c r="AH89" i="9" s="1"/>
  <c r="BJ89" i="9" s="1"/>
  <c r="F90" i="9"/>
  <c r="AH90" i="9" s="1"/>
  <c r="BJ90" i="9" s="1"/>
  <c r="F91" i="9"/>
  <c r="AH91" i="9" s="1"/>
  <c r="BJ91" i="9" s="1"/>
  <c r="F92" i="9"/>
  <c r="AH92" i="9" s="1"/>
  <c r="BJ92" i="9" s="1"/>
  <c r="F93" i="9"/>
  <c r="AH93" i="9" s="1"/>
  <c r="BJ93" i="9" s="1"/>
  <c r="F94" i="9"/>
  <c r="AH94" i="9" s="1"/>
  <c r="BJ94" i="9" s="1"/>
  <c r="F95" i="9"/>
  <c r="AH95" i="9" s="1"/>
  <c r="BJ95" i="9" s="1"/>
  <c r="F96" i="9"/>
  <c r="AH96" i="9" s="1"/>
  <c r="BJ96" i="9" s="1"/>
  <c r="F97" i="9"/>
  <c r="AH97" i="9" s="1"/>
  <c r="BJ97" i="9" s="1"/>
  <c r="F98" i="9"/>
  <c r="AH98" i="9" s="1"/>
  <c r="BJ98" i="9" s="1"/>
  <c r="F99" i="9"/>
  <c r="AH99" i="9" s="1"/>
  <c r="BJ99" i="9" s="1"/>
  <c r="F3" i="9"/>
  <c r="D3" i="10"/>
  <c r="I62" i="2"/>
  <c r="CF68" i="1"/>
  <c r="CF72" i="1"/>
  <c r="CF70" i="1"/>
  <c r="CF66" i="1"/>
  <c r="F86" i="2" l="1"/>
  <c r="Z4" i="30" s="1"/>
  <c r="G127" i="25"/>
  <c r="E127" i="25" s="1"/>
  <c r="G36" i="25"/>
  <c r="E36" i="25" s="1"/>
  <c r="G49" i="25"/>
  <c r="E49" i="25" s="1"/>
  <c r="G105" i="25"/>
  <c r="E105" i="25" s="1"/>
  <c r="G111" i="25"/>
  <c r="E111" i="25" s="1"/>
  <c r="G19" i="25"/>
  <c r="E19" i="25" s="1"/>
  <c r="DO273" i="1"/>
  <c r="DO274" i="1"/>
  <c r="DN274" i="1"/>
  <c r="DN273" i="1"/>
  <c r="DM273" i="1"/>
  <c r="DM274" i="1"/>
  <c r="R4" i="13"/>
  <c r="BE4" i="13" s="1"/>
  <c r="IO216" i="23"/>
  <c r="IU216" i="23"/>
  <c r="IH216" i="23"/>
  <c r="HR216" i="23"/>
  <c r="HB216" i="23"/>
  <c r="GL216" i="23"/>
  <c r="FV216" i="23"/>
  <c r="FF216" i="23"/>
  <c r="EP216" i="23"/>
  <c r="DZ216" i="23"/>
  <c r="DJ216" i="23"/>
  <c r="IY216" i="23"/>
  <c r="IT216" i="23"/>
  <c r="IV216" i="23"/>
  <c r="IQ216" i="23"/>
  <c r="ID216" i="23"/>
  <c r="HN216" i="23"/>
  <c r="GX216" i="23"/>
  <c r="GH216" i="23"/>
  <c r="FR216" i="23"/>
  <c r="FB216" i="23"/>
  <c r="EL216" i="23"/>
  <c r="IP216" i="23"/>
  <c r="IR216" i="23"/>
  <c r="IM216" i="23"/>
  <c r="IZ216" i="23"/>
  <c r="HZ216" i="23"/>
  <c r="HJ216" i="23"/>
  <c r="GT216" i="23"/>
  <c r="GD216" i="23"/>
  <c r="FN216" i="23"/>
  <c r="EX216" i="23"/>
  <c r="EH216" i="23"/>
  <c r="DR216" i="23"/>
  <c r="DB216" i="23"/>
  <c r="IG216" i="23"/>
  <c r="HQ216" i="23"/>
  <c r="HA216" i="23"/>
  <c r="GK216" i="23"/>
  <c r="FU216" i="23"/>
  <c r="FE216" i="23"/>
  <c r="EO216" i="23"/>
  <c r="DY216" i="23"/>
  <c r="IS216" i="23"/>
  <c r="IN216" i="23"/>
  <c r="IL216" i="23"/>
  <c r="HV216" i="23"/>
  <c r="HF216" i="23"/>
  <c r="GP216" i="23"/>
  <c r="FZ216" i="23"/>
  <c r="FJ216" i="23"/>
  <c r="ET216" i="23"/>
  <c r="DN216" i="23"/>
  <c r="IC216" i="23"/>
  <c r="HI216" i="23"/>
  <c r="GO216" i="23"/>
  <c r="FQ216" i="23"/>
  <c r="EW216" i="23"/>
  <c r="EC216" i="23"/>
  <c r="DI216" i="23"/>
  <c r="IX216" i="23"/>
  <c r="HX216" i="23"/>
  <c r="HH216" i="23"/>
  <c r="GR216" i="23"/>
  <c r="GB216" i="23"/>
  <c r="FL216" i="23"/>
  <c r="EV216" i="23"/>
  <c r="EF216" i="23"/>
  <c r="DP216" i="23"/>
  <c r="CZ216" i="23"/>
  <c r="IE216" i="23"/>
  <c r="HO216" i="23"/>
  <c r="GY216" i="23"/>
  <c r="GI216" i="23"/>
  <c r="FS216" i="23"/>
  <c r="FC216" i="23"/>
  <c r="EM216" i="23"/>
  <c r="DW216" i="23"/>
  <c r="DG216" i="23"/>
  <c r="CT216" i="23"/>
  <c r="CD216" i="23"/>
  <c r="BN216" i="23"/>
  <c r="AX216" i="23"/>
  <c r="AH216" i="23"/>
  <c r="R216" i="23"/>
  <c r="CK216" i="23"/>
  <c r="BU216" i="23"/>
  <c r="BE216" i="23"/>
  <c r="AO216" i="23"/>
  <c r="Y216" i="23"/>
  <c r="CR216" i="23"/>
  <c r="CB216" i="23"/>
  <c r="BL216" i="23"/>
  <c r="AV216" i="23"/>
  <c r="AF216" i="23"/>
  <c r="P216" i="23"/>
  <c r="CI216" i="23"/>
  <c r="BS216" i="23"/>
  <c r="BC216" i="23"/>
  <c r="AM216" i="23"/>
  <c r="W216" i="23"/>
  <c r="E216" i="23"/>
  <c r="I216" i="23"/>
  <c r="N216" i="23"/>
  <c r="DF216" i="23"/>
  <c r="HY216" i="23"/>
  <c r="HE216" i="23"/>
  <c r="GG216" i="23"/>
  <c r="FM216" i="23"/>
  <c r="ES216" i="23"/>
  <c r="DU216" i="23"/>
  <c r="DE216" i="23"/>
  <c r="IJ216" i="23"/>
  <c r="HT216" i="23"/>
  <c r="HD216" i="23"/>
  <c r="GN216" i="23"/>
  <c r="FX216" i="23"/>
  <c r="FH216" i="23"/>
  <c r="ER216" i="23"/>
  <c r="EB216" i="23"/>
  <c r="DL216" i="23"/>
  <c r="JA216" i="23"/>
  <c r="IA216" i="23"/>
  <c r="HK216" i="23"/>
  <c r="GU216" i="23"/>
  <c r="GE216" i="23"/>
  <c r="FO216" i="23"/>
  <c r="EY216" i="23"/>
  <c r="EI216" i="23"/>
  <c r="DS216" i="23"/>
  <c r="DC216" i="23"/>
  <c r="CP216" i="23"/>
  <c r="BZ216" i="23"/>
  <c r="BJ216" i="23"/>
  <c r="AT216" i="23"/>
  <c r="AD216" i="23"/>
  <c r="CW216" i="23"/>
  <c r="CG216" i="23"/>
  <c r="BQ216" i="23"/>
  <c r="BA216" i="23"/>
  <c r="AK216" i="23"/>
  <c r="U216" i="23"/>
  <c r="CN216" i="23"/>
  <c r="BX216" i="23"/>
  <c r="BH216" i="23"/>
  <c r="AR216" i="23"/>
  <c r="AB216" i="23"/>
  <c r="CU216" i="23"/>
  <c r="CE216" i="23"/>
  <c r="BO216" i="23"/>
  <c r="AY216" i="23"/>
  <c r="AI216" i="23"/>
  <c r="S216" i="23"/>
  <c r="ED216" i="23"/>
  <c r="JC216" i="23"/>
  <c r="HU216" i="23"/>
  <c r="GW216" i="23"/>
  <c r="GC216" i="23"/>
  <c r="FI216" i="23"/>
  <c r="EK216" i="23"/>
  <c r="DQ216" i="23"/>
  <c r="DA216" i="23"/>
  <c r="IF216" i="23"/>
  <c r="HP216" i="23"/>
  <c r="GZ216" i="23"/>
  <c r="GJ216" i="23"/>
  <c r="FT216" i="23"/>
  <c r="FD216" i="23"/>
  <c r="EN216" i="23"/>
  <c r="DX216" i="23"/>
  <c r="DH216" i="23"/>
  <c r="IW216" i="23"/>
  <c r="HW216" i="23"/>
  <c r="HG216" i="23"/>
  <c r="GQ216" i="23"/>
  <c r="GA216" i="23"/>
  <c r="FK216" i="23"/>
  <c r="EU216" i="23"/>
  <c r="EE216" i="23"/>
  <c r="DO216" i="23"/>
  <c r="CY216" i="23"/>
  <c r="CL216" i="23"/>
  <c r="BV216" i="23"/>
  <c r="BF216" i="23"/>
  <c r="AP216" i="23"/>
  <c r="Z216" i="23"/>
  <c r="CS216" i="23"/>
  <c r="CC216" i="23"/>
  <c r="BM216" i="23"/>
  <c r="AW216" i="23"/>
  <c r="AG216" i="23"/>
  <c r="Q216" i="23"/>
  <c r="CJ216" i="23"/>
  <c r="BT216" i="23"/>
  <c r="BD216" i="23"/>
  <c r="AN216" i="23"/>
  <c r="X216" i="23"/>
  <c r="CQ216" i="23"/>
  <c r="CA216" i="23"/>
  <c r="BK216" i="23"/>
  <c r="AU216" i="23"/>
  <c r="AE216" i="23"/>
  <c r="O216" i="23"/>
  <c r="L216" i="23"/>
  <c r="H216" i="23"/>
  <c r="K216" i="23"/>
  <c r="J216" i="23"/>
  <c r="JD216" i="23"/>
  <c r="DV216" i="23"/>
  <c r="IK216" i="23"/>
  <c r="HM216" i="23"/>
  <c r="GS216" i="23"/>
  <c r="FY216" i="23"/>
  <c r="FA216" i="23"/>
  <c r="EG216" i="23"/>
  <c r="DM216" i="23"/>
  <c r="JB216" i="23"/>
  <c r="IB216" i="23"/>
  <c r="HL216" i="23"/>
  <c r="GV216" i="23"/>
  <c r="GF216" i="23"/>
  <c r="FP216" i="23"/>
  <c r="EZ216" i="23"/>
  <c r="EJ216" i="23"/>
  <c r="DT216" i="23"/>
  <c r="DD216" i="23"/>
  <c r="II216" i="23"/>
  <c r="HS216" i="23"/>
  <c r="HC216" i="23"/>
  <c r="GM216" i="23"/>
  <c r="FW216" i="23"/>
  <c r="FG216" i="23"/>
  <c r="EQ216" i="23"/>
  <c r="EA216" i="23"/>
  <c r="DK216" i="23"/>
  <c r="CX216" i="23"/>
  <c r="CH216" i="23"/>
  <c r="BR216" i="23"/>
  <c r="BB216" i="23"/>
  <c r="AL216" i="23"/>
  <c r="V216" i="23"/>
  <c r="CO216" i="23"/>
  <c r="BY216" i="23"/>
  <c r="BI216" i="23"/>
  <c r="AS216" i="23"/>
  <c r="AC216" i="23"/>
  <c r="CV216" i="23"/>
  <c r="CF216" i="23"/>
  <c r="BP216" i="23"/>
  <c r="AZ216" i="23"/>
  <c r="AJ216" i="23"/>
  <c r="T216" i="23"/>
  <c r="CM216" i="23"/>
  <c r="BW216" i="23"/>
  <c r="BG216" i="23"/>
  <c r="AQ216" i="23"/>
  <c r="AA216" i="23"/>
  <c r="M216" i="23"/>
  <c r="G216" i="23"/>
  <c r="F216" i="23"/>
  <c r="AH3" i="9"/>
  <c r="BJ4" i="9"/>
  <c r="AH31" i="9"/>
  <c r="C5" i="10"/>
  <c r="M81" i="2"/>
  <c r="U55" i="1" a="1"/>
  <c r="U52" i="1" a="1"/>
  <c r="U48" i="1"/>
  <c r="U57" i="1" a="1"/>
  <c r="U51" i="1" a="1"/>
  <c r="U47" i="1"/>
  <c r="U56" i="1" a="1"/>
  <c r="U49" i="1"/>
  <c r="U60" i="1" a="1"/>
  <c r="U61" i="1" a="1"/>
  <c r="U59" i="1" a="1"/>
  <c r="U43" i="1" a="1"/>
  <c r="U27" i="1" a="1"/>
  <c r="U26" i="1" a="1"/>
  <c r="U37" i="1" a="1"/>
  <c r="U40" i="1" a="1"/>
  <c r="U41" i="1" a="1"/>
  <c r="U28" i="1" a="1"/>
  <c r="U44" i="1" a="1"/>
  <c r="U31" i="1" a="1"/>
  <c r="U32" i="1" a="1"/>
  <c r="U41" i="1" l="1"/>
  <c r="U44" i="1"/>
  <c r="U32" i="1"/>
  <c r="U43" i="1"/>
  <c r="U37" i="1"/>
  <c r="U40" i="1"/>
  <c r="U59" i="1"/>
  <c r="U31" i="1"/>
  <c r="U27" i="1"/>
  <c r="U26" i="1"/>
  <c r="U28" i="1"/>
  <c r="U60" i="1"/>
  <c r="U61" i="1"/>
  <c r="U56" i="1"/>
  <c r="U52" i="1"/>
  <c r="U51" i="1"/>
  <c r="U55" i="1"/>
  <c r="U57" i="1"/>
  <c r="C226" i="23"/>
  <c r="C227" i="23" s="1"/>
  <c r="C15" i="3" s="1"/>
  <c r="H333" i="15"/>
  <c r="L333" i="15" s="1"/>
  <c r="I333" i="15"/>
  <c r="M333" i="15" s="1"/>
  <c r="I332" i="15"/>
  <c r="M332" i="15" s="1"/>
  <c r="I334" i="15"/>
  <c r="M334" i="15" s="1"/>
  <c r="H332" i="15"/>
  <c r="L332" i="15" s="1"/>
  <c r="H334" i="15"/>
  <c r="L334" i="15" s="1"/>
  <c r="G3" i="25"/>
  <c r="S4" i="13"/>
  <c r="BF4" i="13" s="1"/>
  <c r="BJ3" i="9"/>
  <c r="BJ31" i="9"/>
  <c r="M58" i="2"/>
  <c r="D18" i="24" s="1"/>
  <c r="C24" i="2"/>
  <c r="C25" i="2"/>
  <c r="C26" i="2"/>
  <c r="C27" i="2"/>
  <c r="C28" i="2"/>
  <c r="C29" i="2"/>
  <c r="C30" i="2"/>
  <c r="C31" i="2"/>
  <c r="C32" i="2"/>
  <c r="C33" i="2"/>
  <c r="C34" i="2"/>
  <c r="C35" i="2"/>
  <c r="C36" i="2"/>
  <c r="C37" i="2"/>
  <c r="C38" i="2"/>
  <c r="C39" i="2"/>
  <c r="C40" i="2"/>
  <c r="C41" i="2"/>
  <c r="C42" i="2"/>
  <c r="C43" i="2"/>
  <c r="C44" i="2"/>
  <c r="C45" i="2"/>
  <c r="C46" i="2"/>
  <c r="C47" i="2"/>
  <c r="C48" i="2"/>
  <c r="C49" i="2"/>
  <c r="C23" i="2"/>
  <c r="C19" i="2"/>
  <c r="C18" i="2"/>
  <c r="V52" i="1"/>
  <c r="V55" i="1"/>
  <c r="V48" i="1"/>
  <c r="V51" i="1"/>
  <c r="V47" i="1"/>
  <c r="V56" i="1"/>
  <c r="V57" i="1"/>
  <c r="V49" i="1"/>
  <c r="V61" i="1"/>
  <c r="V60" i="1"/>
  <c r="V59" i="1"/>
  <c r="V26" i="1"/>
  <c r="V40" i="1"/>
  <c r="V32" i="1"/>
  <c r="V31" i="1"/>
  <c r="V28" i="1"/>
  <c r="V43" i="1"/>
  <c r="V44" i="1"/>
  <c r="V27" i="1"/>
  <c r="V41" i="1"/>
  <c r="V37" i="1"/>
  <c r="BP32" i="1" l="1"/>
  <c r="X32" i="1"/>
  <c r="BN32" i="1" s="1"/>
  <c r="BP37" i="1"/>
  <c r="X37" i="1"/>
  <c r="BN37" i="1" s="1"/>
  <c r="BP41" i="1"/>
  <c r="X41" i="1"/>
  <c r="BN41" i="1" s="1"/>
  <c r="X44" i="1"/>
  <c r="BN44" i="1" s="1"/>
  <c r="BP44" i="1"/>
  <c r="BP43" i="1"/>
  <c r="X43" i="1"/>
  <c r="BN43" i="1" s="1"/>
  <c r="BP40" i="1"/>
  <c r="X40" i="1"/>
  <c r="BN40" i="1" s="1"/>
  <c r="W40" i="1"/>
  <c r="BH40" i="1" s="1"/>
  <c r="BJ40" i="1" s="1"/>
  <c r="W37" i="1"/>
  <c r="BH37" i="1" s="1"/>
  <c r="BJ37" i="1"/>
  <c r="W43" i="1"/>
  <c r="BH43" i="1" s="1"/>
  <c r="BJ43" i="1" s="1"/>
  <c r="W32" i="1"/>
  <c r="BH32" i="1" s="1"/>
  <c r="BJ32" i="1" s="1"/>
  <c r="W44" i="1"/>
  <c r="BH44" i="1" s="1"/>
  <c r="BJ44" i="1"/>
  <c r="W41" i="1"/>
  <c r="BH41" i="1" s="1"/>
  <c r="BJ41" i="1" s="1"/>
  <c r="X59" i="1"/>
  <c r="BN59" i="1" s="1"/>
  <c r="BP59" i="1"/>
  <c r="W59" i="1"/>
  <c r="BH59" i="1" s="1"/>
  <c r="BP31" i="1"/>
  <c r="X31" i="1"/>
  <c r="BN31" i="1" s="1"/>
  <c r="W31" i="1"/>
  <c r="BH31" i="1" s="1"/>
  <c r="X27" i="1"/>
  <c r="BN27" i="1" s="1"/>
  <c r="BP27" i="1"/>
  <c r="X26" i="1"/>
  <c r="BN26" i="1" s="1"/>
  <c r="BP26" i="1"/>
  <c r="X28" i="1"/>
  <c r="BN28" i="1" s="1"/>
  <c r="BP28" i="1"/>
  <c r="W28" i="1"/>
  <c r="BH28" i="1" s="1"/>
  <c r="W26" i="1"/>
  <c r="BH26" i="1" s="1"/>
  <c r="W27" i="1"/>
  <c r="BH27" i="1" s="1"/>
  <c r="BP60" i="1"/>
  <c r="X60" i="1"/>
  <c r="BN60" i="1" s="1"/>
  <c r="W60" i="1"/>
  <c r="BH60" i="1" s="1"/>
  <c r="BP47" i="1"/>
  <c r="X47" i="1"/>
  <c r="BN47" i="1" s="1"/>
  <c r="BP61" i="1"/>
  <c r="X61" i="1"/>
  <c r="BN61" i="1" s="1"/>
  <c r="BP52" i="1"/>
  <c r="X52" i="1"/>
  <c r="BN52" i="1" s="1"/>
  <c r="BP57" i="1"/>
  <c r="X57" i="1"/>
  <c r="BN57" i="1" s="1"/>
  <c r="BP55" i="1"/>
  <c r="X55" i="1"/>
  <c r="BN55" i="1" s="1"/>
  <c r="X56" i="1"/>
  <c r="BN56" i="1" s="1"/>
  <c r="BP56" i="1"/>
  <c r="BP51" i="1"/>
  <c r="X51" i="1"/>
  <c r="BN51" i="1" s="1"/>
  <c r="BP49" i="1"/>
  <c r="X49" i="1"/>
  <c r="BN49" i="1" s="1"/>
  <c r="X48" i="1"/>
  <c r="BN48" i="1" s="1"/>
  <c r="BP48" i="1"/>
  <c r="W57" i="1"/>
  <c r="BH57" i="1" s="1"/>
  <c r="W55" i="1"/>
  <c r="BH55" i="1" s="1"/>
  <c r="BJ55" i="1" s="1"/>
  <c r="W51" i="1"/>
  <c r="BH51" i="1" s="1"/>
  <c r="W56" i="1"/>
  <c r="BH56" i="1" s="1"/>
  <c r="W52" i="1"/>
  <c r="BH52" i="1" s="1"/>
  <c r="BJ52" i="1"/>
  <c r="W61" i="1"/>
  <c r="BH61" i="1" s="1"/>
  <c r="DW273" i="1"/>
  <c r="F334" i="15"/>
  <c r="D332" i="15"/>
  <c r="F333" i="15"/>
  <c r="D334" i="15"/>
  <c r="F332" i="15"/>
  <c r="D333" i="15"/>
  <c r="T4" i="13"/>
  <c r="BG4" i="13" s="1"/>
  <c r="I13" i="6"/>
  <c r="U4" i="13" l="1"/>
  <c r="BH4" i="13" s="1"/>
  <c r="AG34" i="4"/>
  <c r="AM34" i="4" s="1"/>
  <c r="AG5" i="4"/>
  <c r="AG6" i="4"/>
  <c r="AM6" i="4" s="1"/>
  <c r="AG11" i="4"/>
  <c r="AM11" i="4" s="1"/>
  <c r="AG12" i="4"/>
  <c r="AM12" i="4" s="1"/>
  <c r="AG13" i="4"/>
  <c r="AM13" i="4" s="1"/>
  <c r="AG14" i="4"/>
  <c r="AM14" i="4" s="1"/>
  <c r="AG15" i="4"/>
  <c r="AM15" i="4" s="1"/>
  <c r="AG16" i="4"/>
  <c r="AM16" i="4" s="1"/>
  <c r="AG17" i="4"/>
  <c r="AM17" i="4" s="1"/>
  <c r="AG18" i="4"/>
  <c r="AM18" i="4" s="1"/>
  <c r="AG19" i="4"/>
  <c r="AM19" i="4" s="1"/>
  <c r="AG20" i="4"/>
  <c r="AM20" i="4" s="1"/>
  <c r="AG21" i="4"/>
  <c r="AM21" i="4" s="1"/>
  <c r="AG22" i="4"/>
  <c r="AG23" i="4"/>
  <c r="AM23" i="4" s="1"/>
  <c r="AG24" i="4"/>
  <c r="AM24" i="4" s="1"/>
  <c r="AG25" i="4"/>
  <c r="AM25" i="4" s="1"/>
  <c r="AG26" i="4"/>
  <c r="AM26" i="4" s="1"/>
  <c r="AG27" i="4"/>
  <c r="AM27" i="4" s="1"/>
  <c r="AG29" i="4"/>
  <c r="AM29" i="4" s="1"/>
  <c r="AG30" i="4"/>
  <c r="AM30" i="4" s="1"/>
  <c r="AG31" i="4"/>
  <c r="AM31" i="4" s="1"/>
  <c r="AG32" i="4"/>
  <c r="AM32" i="4" s="1"/>
  <c r="AG33" i="4"/>
  <c r="AM33" i="4" s="1"/>
  <c r="R54" i="1" l="1"/>
  <c r="DL54" i="1" s="1"/>
  <c r="BW54" i="1"/>
  <c r="BW44" i="1"/>
  <c r="BW43" i="1"/>
  <c r="BW40" i="1"/>
  <c r="BW41" i="1"/>
  <c r="R59" i="1"/>
  <c r="DL59" i="1" s="1"/>
  <c r="BW32" i="1"/>
  <c r="BW37" i="1"/>
  <c r="BW58" i="1"/>
  <c r="R58" i="1"/>
  <c r="DL58" i="1" s="1"/>
  <c r="BW59" i="1"/>
  <c r="BW31" i="1"/>
  <c r="R26" i="1"/>
  <c r="DL26" i="1" s="1"/>
  <c r="R27" i="1"/>
  <c r="DL27" i="1" s="1"/>
  <c r="R28" i="1"/>
  <c r="DL28" i="1" s="1"/>
  <c r="R60" i="1"/>
  <c r="DL60" i="1" s="1"/>
  <c r="BW18" i="1"/>
  <c r="BW35" i="1"/>
  <c r="BW34" i="1"/>
  <c r="BW22" i="1"/>
  <c r="BW27" i="1"/>
  <c r="BW28" i="1"/>
  <c r="BW17" i="1"/>
  <c r="BW26" i="1"/>
  <c r="BW20" i="1"/>
  <c r="BW23" i="1"/>
  <c r="BW30" i="1"/>
  <c r="BW21" i="1"/>
  <c r="BW60" i="1"/>
  <c r="R47" i="1"/>
  <c r="DL47" i="1" s="1"/>
  <c r="BW47" i="1"/>
  <c r="BW49" i="1"/>
  <c r="R49" i="1"/>
  <c r="DL49" i="1" s="1"/>
  <c r="BW48" i="1"/>
  <c r="R48" i="1"/>
  <c r="DL48" i="1" s="1"/>
  <c r="BW125" i="1"/>
  <c r="BW122" i="1"/>
  <c r="BW126" i="1"/>
  <c r="BW65" i="1"/>
  <c r="BW73" i="1"/>
  <c r="BW263" i="1"/>
  <c r="BW121" i="1"/>
  <c r="BW123" i="1"/>
  <c r="BW87" i="1"/>
  <c r="BW71" i="1"/>
  <c r="BW63" i="1"/>
  <c r="BW67" i="1"/>
  <c r="R57" i="1"/>
  <c r="DL57" i="1" s="1"/>
  <c r="R55" i="1"/>
  <c r="DL55" i="1" s="1"/>
  <c r="R51" i="1"/>
  <c r="DL51" i="1" s="1"/>
  <c r="R52" i="1"/>
  <c r="DL52" i="1" s="1"/>
  <c r="BW57" i="1"/>
  <c r="BW56" i="1"/>
  <c r="BW55" i="1"/>
  <c r="BW52" i="1"/>
  <c r="BW51" i="1"/>
  <c r="R56" i="1"/>
  <c r="DL56" i="1" s="1"/>
  <c r="R61" i="1"/>
  <c r="DL61" i="1" s="1"/>
  <c r="BW61" i="1"/>
  <c r="V4" i="13"/>
  <c r="BI4" i="13" s="1"/>
  <c r="AM22" i="4"/>
  <c r="AM5" i="4"/>
  <c r="DL273" i="1" l="1"/>
  <c r="DL274" i="1"/>
  <c r="W4" i="13"/>
  <c r="BJ4" i="13" s="1"/>
  <c r="I331" i="15" l="1"/>
  <c r="M331" i="15" s="1"/>
  <c r="H331" i="15"/>
  <c r="L331" i="15" s="1"/>
  <c r="X4" i="13"/>
  <c r="BK4" i="13" s="1"/>
  <c r="AE4" i="4"/>
  <c r="AD4" i="4"/>
  <c r="AC4" i="4"/>
  <c r="AB4" i="4"/>
  <c r="AA4" i="4"/>
  <c r="Z4" i="4"/>
  <c r="Y4" i="4"/>
  <c r="X4" i="4"/>
  <c r="W4" i="4"/>
  <c r="V4" i="4"/>
  <c r="U4" i="4"/>
  <c r="T4" i="4"/>
  <c r="S4" i="4"/>
  <c r="R4" i="4"/>
  <c r="Q4" i="4"/>
  <c r="P4" i="4"/>
  <c r="O4" i="4"/>
  <c r="N4" i="4"/>
  <c r="M4" i="4"/>
  <c r="L4" i="4"/>
  <c r="K4" i="4"/>
  <c r="J4" i="4"/>
  <c r="I4" i="4"/>
  <c r="H4" i="4"/>
  <c r="G4" i="4"/>
  <c r="F4" i="4"/>
  <c r="E4" i="4"/>
  <c r="D4" i="4"/>
  <c r="CG87" i="1"/>
  <c r="CG126" i="1"/>
  <c r="CF122" i="1"/>
  <c r="CF67" i="1"/>
  <c r="CF71" i="1"/>
  <c r="CF121" i="1"/>
  <c r="CG121" i="1"/>
  <c r="CF126" i="1"/>
  <c r="CG123" i="1"/>
  <c r="CG122" i="1"/>
  <c r="CF123" i="1"/>
  <c r="CF125" i="1"/>
  <c r="CF87" i="1"/>
  <c r="CG125" i="1"/>
  <c r="CG71" i="1"/>
  <c r="CG67" i="1"/>
  <c r="CG63" i="1"/>
  <c r="CF63" i="1"/>
  <c r="CF73" i="1"/>
  <c r="CF65" i="1"/>
  <c r="CG65" i="1"/>
  <c r="CG263" i="1"/>
  <c r="CF263" i="1"/>
  <c r="CG73" i="1"/>
  <c r="CG55" i="1"/>
  <c r="CF52" i="1"/>
  <c r="CF55" i="1"/>
  <c r="CG52" i="1"/>
  <c r="CF51" i="1"/>
  <c r="CG49" i="1"/>
  <c r="CF49" i="1"/>
  <c r="CF48" i="1"/>
  <c r="CF47" i="1"/>
  <c r="CG47" i="1"/>
  <c r="CG56" i="1"/>
  <c r="CG48" i="1"/>
  <c r="CG51" i="1"/>
  <c r="CF56" i="1"/>
  <c r="CG61" i="1"/>
  <c r="CF60" i="1"/>
  <c r="CG60" i="1"/>
  <c r="CF61" i="1"/>
  <c r="CG59" i="1"/>
  <c r="CF59" i="1"/>
  <c r="CE40" i="1"/>
  <c r="CG43" i="1"/>
  <c r="CE59" i="1"/>
  <c r="CE44" i="1"/>
  <c r="CE32" i="1"/>
  <c r="CE58" i="1"/>
  <c r="CF32" i="1"/>
  <c r="CF31" i="1"/>
  <c r="CF44" i="1"/>
  <c r="CG41" i="1"/>
  <c r="CE31" i="1"/>
  <c r="CG31" i="1"/>
  <c r="CE41" i="1"/>
  <c r="CG44" i="1"/>
  <c r="CG32" i="1"/>
  <c r="CF43" i="1"/>
  <c r="CF37" i="1"/>
  <c r="CE37" i="1"/>
  <c r="CG40" i="1"/>
  <c r="CF41" i="1"/>
  <c r="CF40" i="1"/>
  <c r="CE54" i="1"/>
  <c r="CG37" i="1"/>
  <c r="CE43" i="1"/>
  <c r="P41" i="1" l="1"/>
  <c r="DK41" i="1" s="1"/>
  <c r="P44" i="1"/>
  <c r="DK44" i="1" s="1"/>
  <c r="P32" i="1"/>
  <c r="DK32" i="1" s="1"/>
  <c r="P43" i="1"/>
  <c r="DK43" i="1" s="1"/>
  <c r="P40" i="1"/>
  <c r="DK40" i="1" s="1"/>
  <c r="P37" i="1"/>
  <c r="DK37" i="1" s="1"/>
  <c r="P59" i="1"/>
  <c r="P31" i="1"/>
  <c r="P60" i="1"/>
  <c r="W47" i="1"/>
  <c r="BH47" i="1" s="1"/>
  <c r="P47" i="1"/>
  <c r="DK47" i="1" s="1"/>
  <c r="W48" i="1"/>
  <c r="BH48" i="1" s="1"/>
  <c r="W49" i="1"/>
  <c r="BH49" i="1" s="1"/>
  <c r="P61" i="1"/>
  <c r="P51" i="1"/>
  <c r="P56" i="1"/>
  <c r="P52" i="1"/>
  <c r="DK52" i="1" s="1"/>
  <c r="P55" i="1"/>
  <c r="DK55" i="1" s="1"/>
  <c r="P48" i="1"/>
  <c r="DK48" i="1" s="1"/>
  <c r="P49" i="1"/>
  <c r="DK49" i="1" s="1"/>
  <c r="F331" i="15"/>
  <c r="D331" i="15"/>
  <c r="Y4" i="13"/>
  <c r="BL4" i="13" s="1"/>
  <c r="DK31" i="1" l="1"/>
  <c r="BJ31" i="1"/>
  <c r="DK59" i="1"/>
  <c r="BJ59" i="1"/>
  <c r="DK56" i="1"/>
  <c r="BJ56" i="1"/>
  <c r="DK51" i="1"/>
  <c r="BJ51" i="1"/>
  <c r="DK61" i="1"/>
  <c r="BJ61" i="1"/>
  <c r="DK60" i="1"/>
  <c r="BJ60" i="1"/>
  <c r="BJ47" i="1"/>
  <c r="BJ49" i="1"/>
  <c r="BJ48" i="1"/>
  <c r="Z4" i="13"/>
  <c r="BM4" i="13" s="1"/>
  <c r="AA4" i="13" l="1"/>
  <c r="BN4" i="13" s="1"/>
  <c r="H17" i="13" l="1"/>
  <c r="H16" i="13"/>
  <c r="H25" i="13"/>
  <c r="H28" i="13"/>
  <c r="AB4" i="13"/>
  <c r="BO4" i="13" s="1"/>
  <c r="H18" i="13"/>
  <c r="H27" i="13"/>
  <c r="H14" i="13"/>
  <c r="H12" i="13"/>
  <c r="H10" i="13"/>
  <c r="H6" i="13"/>
  <c r="H13" i="13"/>
  <c r="H22" i="13"/>
  <c r="L22" i="13" s="1"/>
  <c r="H20" i="13"/>
  <c r="I20" i="13" s="1"/>
  <c r="L20" i="13"/>
  <c r="CF57" i="1"/>
  <c r="CG57" i="1"/>
  <c r="U20" i="1" a="1"/>
  <c r="CG28" i="1"/>
  <c r="V20" i="1"/>
  <c r="U35" i="1" a="1"/>
  <c r="U21" i="1" a="1"/>
  <c r="CE51" i="1"/>
  <c r="CF30" i="1"/>
  <c r="V35" i="1"/>
  <c r="U34" i="1" a="1"/>
  <c r="CE26" i="1"/>
  <c r="CE20" i="1"/>
  <c r="CE55" i="1"/>
  <c r="V30" i="1"/>
  <c r="CE17" i="1"/>
  <c r="CG20" i="1"/>
  <c r="CG34" i="1"/>
  <c r="CE18" i="1"/>
  <c r="CF22" i="1"/>
  <c r="CF21" i="1"/>
  <c r="U30" i="1" a="1"/>
  <c r="CE21" i="1"/>
  <c r="U22" i="1" a="1"/>
  <c r="CF28" i="1"/>
  <c r="CF20" i="1"/>
  <c r="V21" i="1"/>
  <c r="V23" i="1"/>
  <c r="CE35" i="1"/>
  <c r="CG35" i="1"/>
  <c r="CG23" i="1"/>
  <c r="CE30" i="1"/>
  <c r="CE56" i="1"/>
  <c r="CE28" i="1"/>
  <c r="CE57" i="1"/>
  <c r="CE34" i="1"/>
  <c r="CG21" i="1"/>
  <c r="CG22" i="1"/>
  <c r="V17" i="1"/>
  <c r="CF27" i="1"/>
  <c r="CF18" i="1"/>
  <c r="CG27" i="1"/>
  <c r="CE22" i="1"/>
  <c r="CF35" i="1"/>
  <c r="CF34" i="1"/>
  <c r="CE27" i="1"/>
  <c r="CG30" i="1"/>
  <c r="U18" i="1" a="1"/>
  <c r="CE49" i="1"/>
  <c r="V18" i="1"/>
  <c r="CG18" i="1"/>
  <c r="U23" i="1" a="1"/>
  <c r="CE52" i="1"/>
  <c r="CF17" i="1"/>
  <c r="CG26" i="1"/>
  <c r="U17" i="1" a="1"/>
  <c r="CE60" i="1"/>
  <c r="CF23" i="1"/>
  <c r="CE48" i="1"/>
  <c r="CE47" i="1"/>
  <c r="CG17" i="1"/>
  <c r="CE23" i="1"/>
  <c r="V34" i="1"/>
  <c r="V22" i="1"/>
  <c r="CF26" i="1"/>
  <c r="U17" i="1" l="1"/>
  <c r="W17" i="1" s="1"/>
  <c r="BH17" i="1" s="1"/>
  <c r="BP34" i="1"/>
  <c r="X34" i="1"/>
  <c r="BN34" i="1" s="1"/>
  <c r="BP18" i="1"/>
  <c r="X18" i="1"/>
  <c r="BN18" i="1" s="1"/>
  <c r="U20" i="1"/>
  <c r="W20" i="1" s="1"/>
  <c r="BH20" i="1" s="1"/>
  <c r="U30" i="1"/>
  <c r="W30" i="1" s="1"/>
  <c r="BH30" i="1" s="1"/>
  <c r="U18" i="1"/>
  <c r="U35" i="1"/>
  <c r="W35" i="1" s="1"/>
  <c r="BH35" i="1" s="1"/>
  <c r="U22" i="1"/>
  <c r="W22" i="1" s="1"/>
  <c r="BH22" i="1" s="1"/>
  <c r="X20" i="1"/>
  <c r="BN20" i="1" s="1"/>
  <c r="BP20" i="1"/>
  <c r="BP17" i="1"/>
  <c r="X17" i="1"/>
  <c r="BN17" i="1" s="1"/>
  <c r="X22" i="1"/>
  <c r="BN22" i="1" s="1"/>
  <c r="BP22" i="1"/>
  <c r="U23" i="1"/>
  <c r="W23" i="1" s="1"/>
  <c r="BH23" i="1" s="1"/>
  <c r="X35" i="1"/>
  <c r="BN35" i="1" s="1"/>
  <c r="BP35" i="1"/>
  <c r="U21" i="1"/>
  <c r="W21" i="1" s="1"/>
  <c r="BH21" i="1" s="1"/>
  <c r="X30" i="1"/>
  <c r="BN30" i="1" s="1"/>
  <c r="BP30" i="1"/>
  <c r="BP23" i="1"/>
  <c r="X23" i="1"/>
  <c r="BN23" i="1" s="1"/>
  <c r="U34" i="1"/>
  <c r="BP21" i="1"/>
  <c r="X21" i="1"/>
  <c r="BN21" i="1" s="1"/>
  <c r="P34" i="1"/>
  <c r="DK34" i="1" s="1"/>
  <c r="P35" i="1"/>
  <c r="DK35" i="1" s="1"/>
  <c r="P18" i="1"/>
  <c r="DK18" i="1" s="1"/>
  <c r="P21" i="1"/>
  <c r="DK21" i="1" s="1"/>
  <c r="P28" i="1"/>
  <c r="DK28" i="1" s="1"/>
  <c r="P30" i="1"/>
  <c r="DK30" i="1" s="1"/>
  <c r="P26" i="1"/>
  <c r="DK26" i="1" s="1"/>
  <c r="P17" i="1"/>
  <c r="DK17" i="1" s="1"/>
  <c r="P20" i="1"/>
  <c r="DK20" i="1" s="1"/>
  <c r="P23" i="1"/>
  <c r="DK23" i="1" s="1"/>
  <c r="P22" i="1"/>
  <c r="DK22" i="1" s="1"/>
  <c r="P27" i="1"/>
  <c r="DK27" i="1" s="1"/>
  <c r="P57" i="1"/>
  <c r="DK57" i="1" s="1"/>
  <c r="BJ26" i="1"/>
  <c r="N22" i="13"/>
  <c r="T28" i="13"/>
  <c r="S28" i="13"/>
  <c r="R28" i="13"/>
  <c r="K20" i="13"/>
  <c r="P27" i="13"/>
  <c r="O27" i="13"/>
  <c r="O28" i="13"/>
  <c r="P28" i="13"/>
  <c r="N25" i="13"/>
  <c r="P25" i="13"/>
  <c r="O25" i="13"/>
  <c r="AC4" i="13"/>
  <c r="BP4" i="13" s="1"/>
  <c r="K108" i="15"/>
  <c r="H26" i="13"/>
  <c r="F108" i="2"/>
  <c r="H11" i="13"/>
  <c r="H15" i="13"/>
  <c r="M22" i="13"/>
  <c r="J20" i="13"/>
  <c r="H8" i="13"/>
  <c r="H30" i="13"/>
  <c r="H37" i="13"/>
  <c r="T37" i="13" s="1"/>
  <c r="H29" i="13"/>
  <c r="H7" i="13"/>
  <c r="H9" i="13"/>
  <c r="H31" i="13"/>
  <c r="F85" i="2"/>
  <c r="Y4" i="30" s="1"/>
  <c r="BJ57" i="1" l="1"/>
  <c r="BJ28" i="1"/>
  <c r="BJ27" i="1"/>
  <c r="BJ35" i="1"/>
  <c r="BJ20" i="1"/>
  <c r="W34" i="1"/>
  <c r="BH34" i="1" s="1"/>
  <c r="BJ34" i="1" s="1"/>
  <c r="BJ21" i="1"/>
  <c r="W18" i="1"/>
  <c r="BH18" i="1" s="1"/>
  <c r="BJ18" i="1" s="1"/>
  <c r="BJ23" i="1"/>
  <c r="BJ22" i="1"/>
  <c r="BJ30" i="1"/>
  <c r="BJ17" i="1"/>
  <c r="G111" i="2"/>
  <c r="AV4" i="30"/>
  <c r="AS22" i="13"/>
  <c r="Q31" i="13"/>
  <c r="S31" i="13"/>
  <c r="R31" i="13"/>
  <c r="T31" i="13"/>
  <c r="O29" i="13"/>
  <c r="R29" i="13"/>
  <c r="R30" i="13"/>
  <c r="S30" i="13"/>
  <c r="T30" i="13"/>
  <c r="AS20" i="13"/>
  <c r="AS27" i="13"/>
  <c r="AS28" i="13"/>
  <c r="AS25" i="13"/>
  <c r="O30" i="13"/>
  <c r="P30" i="13"/>
  <c r="J31" i="13"/>
  <c r="P31" i="13"/>
  <c r="O37" i="13"/>
  <c r="P37" i="13"/>
  <c r="N26" i="13"/>
  <c r="P26" i="13"/>
  <c r="O26" i="13"/>
  <c r="G88" i="2"/>
  <c r="G90" i="2"/>
  <c r="G91" i="2"/>
  <c r="G89" i="2"/>
  <c r="AD4" i="13"/>
  <c r="BQ4" i="13" s="1"/>
  <c r="J108" i="15"/>
  <c r="L108" i="15"/>
  <c r="G110" i="2"/>
  <c r="H24" i="13"/>
  <c r="G113" i="2"/>
  <c r="G109" i="2"/>
  <c r="G112" i="2"/>
  <c r="L31" i="13"/>
  <c r="K31" i="13"/>
  <c r="N31" i="13"/>
  <c r="M31" i="13"/>
  <c r="I31" i="13"/>
  <c r="O31" i="13"/>
  <c r="H5" i="13"/>
  <c r="AR5" i="13"/>
  <c r="AR42" i="13" s="1"/>
  <c r="G87" i="2"/>
  <c r="G99" i="2"/>
  <c r="G102" i="2"/>
  <c r="G101" i="2"/>
  <c r="G100" i="2"/>
  <c r="G94" i="2"/>
  <c r="G86" i="2"/>
  <c r="G97" i="2"/>
  <c r="G95" i="2"/>
  <c r="G96" i="2"/>
  <c r="G98" i="2"/>
  <c r="G92" i="2"/>
  <c r="G93" i="2"/>
  <c r="N5" i="13" l="1"/>
  <c r="S5" i="13"/>
  <c r="AS29" i="13"/>
  <c r="AS37" i="13"/>
  <c r="AS30" i="13"/>
  <c r="M5" i="13"/>
  <c r="I5" i="13"/>
  <c r="J5" i="13"/>
  <c r="AS26" i="13"/>
  <c r="K36" i="15"/>
  <c r="AE4" i="13"/>
  <c r="BR4" i="13" s="1"/>
  <c r="L36" i="15"/>
  <c r="M108" i="15"/>
  <c r="K5" i="13"/>
  <c r="L5" i="13"/>
  <c r="AS31" i="13"/>
  <c r="U90" i="1" a="1"/>
  <c r="U157" i="1" a="1"/>
  <c r="U88" i="1" a="1"/>
  <c r="U195" i="1" a="1"/>
  <c r="U140" i="1" a="1"/>
  <c r="U238" i="1" a="1"/>
  <c r="U244" i="1" a="1"/>
  <c r="U113" i="1" a="1"/>
  <c r="U267" i="1" a="1"/>
  <c r="U178" i="1" a="1"/>
  <c r="U252" i="1" a="1"/>
  <c r="U188" i="1" a="1"/>
  <c r="U164" i="1" a="1"/>
  <c r="U229" i="1" a="1"/>
  <c r="U207" i="1" a="1"/>
  <c r="U258" i="1" a="1"/>
  <c r="U186" i="1" a="1"/>
  <c r="U85" i="1" a="1"/>
  <c r="U262" i="1" a="1"/>
  <c r="U93" i="1" a="1"/>
  <c r="U143" i="1" a="1"/>
  <c r="U240" i="1" a="1"/>
  <c r="U245" i="1" a="1"/>
  <c r="U147" i="1" a="1"/>
  <c r="U70" i="1" a="1"/>
  <c r="U156" i="1" a="1"/>
  <c r="U232" i="1" a="1"/>
  <c r="U130" i="1" a="1"/>
  <c r="U91" i="1" a="1"/>
  <c r="U108" i="1" a="1"/>
  <c r="U172" i="1" a="1"/>
  <c r="U251" i="1" a="1"/>
  <c r="U79" i="1" a="1"/>
  <c r="U154" i="1" a="1"/>
  <c r="U201" i="1" a="1"/>
  <c r="U139" i="1" a="1"/>
  <c r="U118" i="1" a="1"/>
  <c r="U233" i="1" a="1"/>
  <c r="U192" i="1" a="1"/>
  <c r="U98" i="1" a="1"/>
  <c r="U169" i="1" a="1"/>
  <c r="U271" i="1" a="1"/>
  <c r="U253" i="1" a="1"/>
  <c r="U136" i="1" a="1"/>
  <c r="U183" i="1" a="1"/>
  <c r="U235" i="1" a="1"/>
  <c r="U194" i="1" a="1"/>
  <c r="U166" i="1" a="1"/>
  <c r="U182" i="1" a="1"/>
  <c r="U260" i="1" a="1"/>
  <c r="U259" i="1" a="1"/>
  <c r="U173" i="1" a="1"/>
  <c r="U132" i="1" a="1"/>
  <c r="U268" i="1" a="1"/>
  <c r="U247" i="1" a="1"/>
  <c r="U223" i="1" a="1"/>
  <c r="U264" i="1" a="1"/>
  <c r="U204" i="1" a="1"/>
  <c r="U87" i="1" a="1"/>
  <c r="U266" i="1" a="1"/>
  <c r="U65" i="1" a="1"/>
  <c r="U106" i="1" a="1"/>
  <c r="U146" i="1" a="1"/>
  <c r="U73" i="1" a="1"/>
  <c r="U11" i="1" a="1"/>
  <c r="U187" i="1" a="1"/>
  <c r="U193" i="1" a="1"/>
  <c r="U228" i="1" a="1"/>
  <c r="U184" i="1" a="1"/>
  <c r="U153" i="1" a="1"/>
  <c r="U224" i="1" a="1"/>
  <c r="U123" i="1" a="1"/>
  <c r="U163" i="1" a="1"/>
  <c r="U152" i="1" a="1"/>
  <c r="U78" i="1" a="1"/>
  <c r="U249" i="1" a="1"/>
  <c r="U94" i="1" a="1"/>
  <c r="U75" i="1" a="1"/>
  <c r="U205" i="1" a="1"/>
  <c r="U84" i="1" a="1"/>
  <c r="U256" i="1" a="1"/>
  <c r="U151" i="1" a="1"/>
  <c r="U117" i="1" a="1"/>
  <c r="U134" i="1" a="1"/>
  <c r="U100" i="1" a="1"/>
  <c r="U112" i="1" a="1"/>
  <c r="U176" i="1" a="1"/>
  <c r="U80" i="1" a="1"/>
  <c r="U248" i="1" a="1"/>
  <c r="U220" i="1" a="1"/>
  <c r="U239" i="1" a="1"/>
  <c r="U185" i="1" a="1"/>
  <c r="U158" i="1" a="1"/>
  <c r="U148" i="1" a="1"/>
  <c r="U141" i="1" a="1"/>
  <c r="U168" i="1" a="1"/>
  <c r="U71" i="1" a="1"/>
  <c r="U161" i="1" a="1"/>
  <c r="U64" i="1" a="1"/>
  <c r="U107" i="1" a="1"/>
  <c r="U181" i="1" a="1"/>
  <c r="U109" i="1" a="1"/>
  <c r="U225" i="1" a="1"/>
  <c r="U221" i="1" a="1"/>
  <c r="U165" i="1" a="1"/>
  <c r="U83" i="1" a="1"/>
  <c r="U196" i="1" a="1"/>
  <c r="U261" i="1" a="1"/>
  <c r="U218" i="1" a="1"/>
  <c r="U177" i="1" a="1"/>
  <c r="U115" i="1" a="1"/>
  <c r="U76" i="1" a="1"/>
  <c r="U137" i="1" a="1"/>
  <c r="U250" i="1" a="1"/>
  <c r="U216" i="1" a="1"/>
  <c r="U230" i="1" a="1"/>
  <c r="U179" i="1" a="1"/>
  <c r="U162" i="1" a="1"/>
  <c r="U128" i="1" a="1"/>
  <c r="U159" i="1" a="1"/>
  <c r="U102" i="1" a="1"/>
  <c r="U142" i="1" a="1"/>
  <c r="U272" i="1" a="1"/>
  <c r="U67" i="1" a="1"/>
  <c r="U69" i="1" a="1"/>
  <c r="U234" i="1" a="1"/>
  <c r="U114" i="1" a="1"/>
  <c r="U197" i="1" a="1"/>
  <c r="U269" i="1" a="1"/>
  <c r="U135" i="1" a="1"/>
  <c r="U227" i="1" a="1"/>
  <c r="U103" i="1" a="1"/>
  <c r="U198" i="1" a="1"/>
  <c r="U124" i="1" a="1"/>
  <c r="U105" i="1" a="1"/>
  <c r="U200" i="1" a="1"/>
  <c r="U171" i="1" a="1"/>
  <c r="U217" i="1" a="1"/>
  <c r="U77" i="1" a="1"/>
  <c r="U155" i="1" a="1"/>
  <c r="U63" i="1" a="1"/>
  <c r="U263" i="1" a="1"/>
  <c r="U131" i="1" a="1"/>
  <c r="U231" i="1" a="1"/>
  <c r="U97" i="1" a="1"/>
  <c r="U265" i="1" a="1"/>
  <c r="U129" i="1" a="1"/>
  <c r="U219" i="1" a="1"/>
  <c r="U72" i="1" a="1"/>
  <c r="U175" i="1" a="1"/>
  <c r="U206" i="1" a="1"/>
  <c r="U104" i="1" a="1"/>
  <c r="U215" i="1" a="1"/>
  <c r="U203" i="1" a="1"/>
  <c r="U209" i="1" a="1"/>
  <c r="U126" i="1" a="1"/>
  <c r="U208" i="1" a="1"/>
  <c r="U122" i="1" a="1"/>
  <c r="U167" i="1" a="1"/>
  <c r="U257" i="1" a="1"/>
  <c r="U96" i="1" a="1"/>
  <c r="U190" i="1" a="1"/>
  <c r="U199" i="1" a="1"/>
  <c r="U236" i="1" a="1"/>
  <c r="U74" i="1" a="1"/>
  <c r="U211" i="1" a="1"/>
  <c r="U226" i="1" a="1"/>
  <c r="U170" i="1" a="1"/>
  <c r="U145" i="1" a="1"/>
  <c r="U89" i="1" a="1"/>
  <c r="U99" i="1" a="1"/>
  <c r="U270" i="1" a="1"/>
  <c r="U86" i="1" a="1"/>
  <c r="U127" i="1" a="1"/>
  <c r="U214" i="1" a="1"/>
  <c r="U81" i="1" a="1"/>
  <c r="U120" i="1" a="1"/>
  <c r="U149" i="1" a="1"/>
  <c r="U66" i="1" a="1"/>
  <c r="U119" i="1" a="1"/>
  <c r="U144" i="1" a="1"/>
  <c r="U116" i="1" a="1"/>
  <c r="U246" i="1" a="1"/>
  <c r="U82" i="1" a="1"/>
  <c r="U138" i="1" a="1"/>
  <c r="U111" i="1" a="1"/>
  <c r="U110" i="1" a="1"/>
  <c r="U212" i="1" a="1"/>
  <c r="U180" i="1" a="1"/>
  <c r="U254" i="1" a="1"/>
  <c r="U189" i="1" a="1"/>
  <c r="U150" i="1" a="1"/>
  <c r="U222" i="1" a="1"/>
  <c r="U202" i="1" a="1"/>
  <c r="U121" i="1" a="1"/>
  <c r="U160" i="1" a="1"/>
  <c r="U191" i="1" a="1"/>
  <c r="U92" i="1" a="1"/>
  <c r="U255" i="1" a="1"/>
  <c r="U68" i="1" a="1"/>
  <c r="U95" i="1" a="1"/>
  <c r="U237" i="1" a="1"/>
  <c r="U174" i="1" a="1"/>
  <c r="U241" i="1" a="1"/>
  <c r="U210" i="1" a="1"/>
  <c r="U133" i="1" a="1"/>
  <c r="U213" i="1" a="1"/>
  <c r="U242" i="1" a="1"/>
  <c r="U101" i="1" a="1"/>
  <c r="U243" i="1" a="1"/>
  <c r="U125" i="1" a="1"/>
  <c r="U103" i="1" l="1"/>
  <c r="U165" i="1"/>
  <c r="U173" i="1"/>
  <c r="U90" i="1"/>
  <c r="U131" i="1"/>
  <c r="U71" i="1"/>
  <c r="U194" i="1"/>
  <c r="U259" i="1"/>
  <c r="U127" i="1"/>
  <c r="U186" i="1"/>
  <c r="U122" i="1"/>
  <c r="U161" i="1"/>
  <c r="U228" i="1"/>
  <c r="U198" i="1"/>
  <c r="U181" i="1"/>
  <c r="U82" i="1"/>
  <c r="U266" i="1"/>
  <c r="U143" i="1"/>
  <c r="U104" i="1"/>
  <c r="U208" i="1"/>
  <c r="U93" i="1"/>
  <c r="U123" i="1"/>
  <c r="U195" i="1"/>
  <c r="U91" i="1"/>
  <c r="U221" i="1"/>
  <c r="U77" i="1"/>
  <c r="U192" i="1"/>
  <c r="U237" i="1"/>
  <c r="U253" i="1"/>
  <c r="U147" i="1"/>
  <c r="U134" i="1"/>
  <c r="U200" i="1"/>
  <c r="U256" i="1"/>
  <c r="U267" i="1"/>
  <c r="U245" i="1"/>
  <c r="U233" i="1"/>
  <c r="U239" i="1"/>
  <c r="U241" i="1"/>
  <c r="U175" i="1"/>
  <c r="U199" i="1"/>
  <c r="U218" i="1"/>
  <c r="U204" i="1"/>
  <c r="U166" i="1"/>
  <c r="U240" i="1"/>
  <c r="U258" i="1"/>
  <c r="U84" i="1"/>
  <c r="U262" i="1"/>
  <c r="U150" i="1"/>
  <c r="U215" i="1"/>
  <c r="U232" i="1"/>
  <c r="U179" i="1"/>
  <c r="U99" i="1"/>
  <c r="U125" i="1"/>
  <c r="U249" i="1"/>
  <c r="U76" i="1"/>
  <c r="U230" i="1"/>
  <c r="U117" i="1"/>
  <c r="U242" i="1"/>
  <c r="U115" i="1"/>
  <c r="U244" i="1"/>
  <c r="U120" i="1"/>
  <c r="U144" i="1"/>
  <c r="U153" i="1"/>
  <c r="U197" i="1"/>
  <c r="U113" i="1"/>
  <c r="U264" i="1"/>
  <c r="U130" i="1"/>
  <c r="U222" i="1"/>
  <c r="U68" i="1"/>
  <c r="U149" i="1"/>
  <c r="U212" i="1"/>
  <c r="U118" i="1"/>
  <c r="U79" i="1"/>
  <c r="U214" i="1"/>
  <c r="U124" i="1"/>
  <c r="U254" i="1"/>
  <c r="U185" i="1"/>
  <c r="U148" i="1"/>
  <c r="U260" i="1"/>
  <c r="U70" i="1"/>
  <c r="U223" i="1"/>
  <c r="U201" i="1"/>
  <c r="U188" i="1"/>
  <c r="U252" i="1"/>
  <c r="U207" i="1"/>
  <c r="U178" i="1"/>
  <c r="U86" i="1"/>
  <c r="U183" i="1"/>
  <c r="U168" i="1"/>
  <c r="U135" i="1"/>
  <c r="U158" i="1"/>
  <c r="U67" i="1"/>
  <c r="U137" i="1"/>
  <c r="U114" i="1"/>
  <c r="U126" i="1"/>
  <c r="U193" i="1"/>
  <c r="U190" i="1"/>
  <c r="U83" i="1"/>
  <c r="U139" i="1"/>
  <c r="U203" i="1"/>
  <c r="U94" i="1"/>
  <c r="U206" i="1"/>
  <c r="U162" i="1"/>
  <c r="U155" i="1"/>
  <c r="U164" i="1"/>
  <c r="U261" i="1"/>
  <c r="U171" i="1"/>
  <c r="U202" i="1"/>
  <c r="U121" i="1"/>
  <c r="U107" i="1"/>
  <c r="U163" i="1"/>
  <c r="U226" i="1"/>
  <c r="U106" i="1"/>
  <c r="U236" i="1"/>
  <c r="U160" i="1"/>
  <c r="U182" i="1"/>
  <c r="U243" i="1"/>
  <c r="U128" i="1"/>
  <c r="U142" i="1"/>
  <c r="U112" i="1"/>
  <c r="U92" i="1"/>
  <c r="U238" i="1"/>
  <c r="U216" i="1"/>
  <c r="U65" i="1"/>
  <c r="U11" i="1"/>
  <c r="U73" i="1"/>
  <c r="U141" i="1"/>
  <c r="U210" i="1"/>
  <c r="U167" i="1"/>
  <c r="U64" i="1"/>
  <c r="U102" i="1"/>
  <c r="U87" i="1"/>
  <c r="U246" i="1"/>
  <c r="U177" i="1"/>
  <c r="U145" i="1"/>
  <c r="U174" i="1"/>
  <c r="U98" i="1"/>
  <c r="U108" i="1"/>
  <c r="U269" i="1"/>
  <c r="U110" i="1"/>
  <c r="U69" i="1"/>
  <c r="U213" i="1"/>
  <c r="U72" i="1"/>
  <c r="U235" i="1"/>
  <c r="U85" i="1"/>
  <c r="U129" i="1"/>
  <c r="U248" i="1"/>
  <c r="U189" i="1"/>
  <c r="U105" i="1"/>
  <c r="U81" i="1"/>
  <c r="U219" i="1"/>
  <c r="U116" i="1"/>
  <c r="U152" i="1"/>
  <c r="U109" i="1"/>
  <c r="U157" i="1"/>
  <c r="U184" i="1"/>
  <c r="U101" i="1"/>
  <c r="U225" i="1"/>
  <c r="U180" i="1"/>
  <c r="U234" i="1"/>
  <c r="U211" i="1"/>
  <c r="U265" i="1"/>
  <c r="U251" i="1"/>
  <c r="U132" i="1"/>
  <c r="U231" i="1"/>
  <c r="U75" i="1"/>
  <c r="U270" i="1"/>
  <c r="U151" i="1"/>
  <c r="U257" i="1"/>
  <c r="U111" i="1"/>
  <c r="U170" i="1"/>
  <c r="U220" i="1"/>
  <c r="U187" i="1"/>
  <c r="U96" i="1"/>
  <c r="U227" i="1"/>
  <c r="U247" i="1"/>
  <c r="U250" i="1"/>
  <c r="U196" i="1"/>
  <c r="U138" i="1"/>
  <c r="U272" i="1"/>
  <c r="U95" i="1"/>
  <c r="U191" i="1"/>
  <c r="U63" i="1"/>
  <c r="U100" i="1"/>
  <c r="U140" i="1"/>
  <c r="U268" i="1"/>
  <c r="U159" i="1"/>
  <c r="U205" i="1"/>
  <c r="U217" i="1"/>
  <c r="U80" i="1"/>
  <c r="U209" i="1"/>
  <c r="U176" i="1"/>
  <c r="U172" i="1"/>
  <c r="U169" i="1"/>
  <c r="U78" i="1"/>
  <c r="U229" i="1"/>
  <c r="U146" i="1"/>
  <c r="U88" i="1"/>
  <c r="U74" i="1"/>
  <c r="U154" i="1"/>
  <c r="U119" i="1"/>
  <c r="U89" i="1"/>
  <c r="U224" i="1"/>
  <c r="U271" i="1"/>
  <c r="U263" i="1"/>
  <c r="U66" i="1"/>
  <c r="U133" i="1"/>
  <c r="U156" i="1"/>
  <c r="U136" i="1"/>
  <c r="U97" i="1"/>
  <c r="U255" i="1"/>
  <c r="H10" i="6"/>
  <c r="H12" i="6" s="1"/>
  <c r="H14" i="6" s="1"/>
  <c r="J36" i="15"/>
  <c r="AF4" i="13"/>
  <c r="BS4" i="13" s="1"/>
  <c r="K216" i="15"/>
  <c r="K252" i="15"/>
  <c r="K180" i="15"/>
  <c r="K144" i="15"/>
  <c r="M36" i="15"/>
  <c r="K288" i="15"/>
  <c r="AS5" i="13"/>
  <c r="E10" i="6" l="1"/>
  <c r="AG4" i="13"/>
  <c r="BT4" i="13" s="1"/>
  <c r="M144" i="15"/>
  <c r="J144" i="15"/>
  <c r="J288" i="15"/>
  <c r="J180" i="15"/>
  <c r="L144" i="15"/>
  <c r="L252" i="15"/>
  <c r="J216" i="15"/>
  <c r="L216" i="15"/>
  <c r="J252" i="15"/>
  <c r="L288" i="15"/>
  <c r="M288" i="15"/>
  <c r="L180" i="15"/>
  <c r="M252" i="15"/>
  <c r="M216" i="15"/>
  <c r="M180" i="15"/>
  <c r="I10" i="6"/>
  <c r="I12" i="6" s="1"/>
  <c r="I14" i="6" s="1"/>
  <c r="AH4" i="13" l="1"/>
  <c r="BU4" i="13" s="1"/>
  <c r="AI4" i="13" l="1"/>
  <c r="BV4" i="13" s="1"/>
  <c r="CE157" i="1"/>
  <c r="CE150" i="1"/>
  <c r="CE154" i="1"/>
  <c r="CE238" i="1"/>
  <c r="CE88" i="1"/>
  <c r="CE135" i="1"/>
  <c r="CE249" i="1"/>
  <c r="CE72" i="1"/>
  <c r="CE107" i="1"/>
  <c r="CE82" i="1"/>
  <c r="CE160" i="1"/>
  <c r="CE198" i="1"/>
  <c r="CE224" i="1"/>
  <c r="CE200" i="1"/>
  <c r="CE229" i="1"/>
  <c r="CE122" i="1"/>
  <c r="CE196" i="1"/>
  <c r="CE134" i="1"/>
  <c r="CE94" i="1"/>
  <c r="CE97" i="1"/>
  <c r="CE83" i="1"/>
  <c r="CE176" i="1"/>
  <c r="CE165" i="1"/>
  <c r="CE146" i="1"/>
  <c r="CE254" i="1"/>
  <c r="CE100" i="1"/>
  <c r="CE234" i="1"/>
  <c r="CE133" i="1"/>
  <c r="CE138" i="1"/>
  <c r="CE161" i="1"/>
  <c r="CE73" i="1"/>
  <c r="CE77" i="1"/>
  <c r="CE111" i="1"/>
  <c r="CE104" i="1"/>
  <c r="CE242" i="1"/>
  <c r="CE140" i="1"/>
  <c r="CE189" i="1"/>
  <c r="CE212" i="1"/>
  <c r="CE214" i="1"/>
  <c r="CE129" i="1"/>
  <c r="CE172" i="1"/>
  <c r="CE79" i="1"/>
  <c r="CE188" i="1"/>
  <c r="CE180" i="1"/>
  <c r="CE144" i="1"/>
  <c r="CE270" i="1"/>
  <c r="CE84" i="1"/>
  <c r="CE85" i="1"/>
  <c r="CE183" i="1"/>
  <c r="CE148" i="1"/>
  <c r="CE81" i="1"/>
  <c r="CE260" i="1"/>
  <c r="CE195" i="1"/>
  <c r="CE128" i="1"/>
  <c r="CE11" i="1"/>
  <c r="CE233" i="1"/>
  <c r="CE225" i="1"/>
  <c r="CE89" i="1"/>
  <c r="CE243" i="1"/>
  <c r="CE231" i="1"/>
  <c r="CE126" i="1"/>
  <c r="CE108" i="1"/>
  <c r="CE96" i="1"/>
  <c r="CE201" i="1"/>
  <c r="CE123" i="1"/>
  <c r="CE227" i="1"/>
  <c r="CE226" i="1"/>
  <c r="CE206" i="1"/>
  <c r="CE223" i="1"/>
  <c r="CE66" i="1"/>
  <c r="CE207" i="1"/>
  <c r="CE192" i="1"/>
  <c r="CE130" i="1"/>
  <c r="CE175" i="1"/>
  <c r="CE67" i="1"/>
  <c r="CE101" i="1"/>
  <c r="CE91" i="1"/>
  <c r="CE63" i="1"/>
  <c r="CE205" i="1"/>
  <c r="CE247" i="1"/>
  <c r="CE142" i="1"/>
  <c r="CE197" i="1"/>
  <c r="CE137" i="1"/>
  <c r="CE228" i="1"/>
  <c r="CE71" i="1"/>
  <c r="CE102" i="1"/>
  <c r="CE109" i="1"/>
  <c r="CE261" i="1"/>
  <c r="CE169" i="1"/>
  <c r="CE64" i="1"/>
  <c r="CE248" i="1"/>
  <c r="CE187" i="1"/>
  <c r="CE163" i="1"/>
  <c r="CE211" i="1"/>
  <c r="CE110" i="1"/>
  <c r="CE70" i="1"/>
  <c r="CE221" i="1"/>
  <c r="CE269" i="1"/>
  <c r="CE259" i="1"/>
  <c r="CE76" i="1"/>
  <c r="CE181" i="1"/>
  <c r="CE69" i="1"/>
  <c r="CE202" i="1"/>
  <c r="CE92" i="1"/>
  <c r="CE112" i="1"/>
  <c r="CE251" i="1"/>
  <c r="CE236" i="1"/>
  <c r="CE219" i="1"/>
  <c r="CE125" i="1"/>
  <c r="CE93" i="1"/>
  <c r="CE190" i="1"/>
  <c r="CE177" i="1"/>
  <c r="CE162" i="1"/>
  <c r="CE74" i="1"/>
  <c r="CE255" i="1"/>
  <c r="CE106" i="1"/>
  <c r="CE252" i="1"/>
  <c r="CE132" i="1"/>
  <c r="CE131" i="1"/>
  <c r="CE239" i="1"/>
  <c r="CE98" i="1"/>
  <c r="CE191" i="1"/>
  <c r="CE155" i="1"/>
  <c r="CE159" i="1"/>
  <c r="CE245" i="1"/>
  <c r="CE124" i="1"/>
  <c r="CE115" i="1"/>
  <c r="CE87" i="1"/>
  <c r="CE139" i="1"/>
  <c r="CE174" i="1"/>
  <c r="CE120" i="1"/>
  <c r="CE164" i="1"/>
  <c r="CE136" i="1"/>
  <c r="CE80" i="1"/>
  <c r="CE216" i="1"/>
  <c r="CE186" i="1"/>
  <c r="CE258" i="1"/>
  <c r="CE235" i="1"/>
  <c r="CE218" i="1"/>
  <c r="CE179" i="1"/>
  <c r="CE232" i="1"/>
  <c r="CE182" i="1"/>
  <c r="CE118" i="1"/>
  <c r="CE222" i="1"/>
  <c r="CE113" i="1"/>
  <c r="CE203" i="1"/>
  <c r="CE178" i="1"/>
  <c r="CE266" i="1"/>
  <c r="CE272" i="1"/>
  <c r="CE263" i="1"/>
  <c r="CE167" i="1"/>
  <c r="CE105" i="1"/>
  <c r="CE147" i="1"/>
  <c r="CE145" i="1"/>
  <c r="CE156" i="1"/>
  <c r="CE61" i="1"/>
  <c r="CE65" i="1"/>
  <c r="CE208" i="1"/>
  <c r="CE119" i="1"/>
  <c r="CE143" i="1"/>
  <c r="CE193" i="1"/>
  <c r="CE170" i="1"/>
  <c r="CE256" i="1"/>
  <c r="CE265" i="1"/>
  <c r="CE220" i="1"/>
  <c r="CE199" i="1"/>
  <c r="CE267" i="1"/>
  <c r="CE99" i="1"/>
  <c r="CE121" i="1"/>
  <c r="CE166" i="1"/>
  <c r="CE141" i="1"/>
  <c r="CE244" i="1"/>
  <c r="CE86" i="1"/>
  <c r="CE117" i="1"/>
  <c r="CE237" i="1"/>
  <c r="CE103" i="1"/>
  <c r="CE78" i="1"/>
  <c r="CE152" i="1"/>
  <c r="CE213" i="1"/>
  <c r="CE204" i="1"/>
  <c r="CE114" i="1"/>
  <c r="CE250" i="1"/>
  <c r="CE171" i="1"/>
  <c r="CE158" i="1"/>
  <c r="CE90" i="1"/>
  <c r="CE151" i="1"/>
  <c r="CE246" i="1"/>
  <c r="CE149" i="1"/>
  <c r="CE185" i="1"/>
  <c r="CE194" i="1"/>
  <c r="CE75" i="1"/>
  <c r="CE215" i="1"/>
  <c r="CE209" i="1"/>
  <c r="CE127" i="1"/>
  <c r="CE257" i="1"/>
  <c r="CE264" i="1"/>
  <c r="CE241" i="1"/>
  <c r="CE168" i="1"/>
  <c r="CE253" i="1"/>
  <c r="CE95" i="1"/>
  <c r="CE217" i="1"/>
  <c r="CE268" i="1"/>
  <c r="CE240" i="1"/>
  <c r="CE210" i="1"/>
  <c r="CE173" i="1"/>
  <c r="CE184" i="1"/>
  <c r="CE262" i="1"/>
  <c r="CE153" i="1"/>
  <c r="CE230" i="1"/>
  <c r="CE68" i="1"/>
  <c r="CE116" i="1"/>
  <c r="CE271" i="1"/>
  <c r="P221" i="1" l="1"/>
  <c r="P102" i="1"/>
  <c r="P154" i="1"/>
  <c r="P86" i="1"/>
  <c r="P255" i="1"/>
  <c r="P272" i="1"/>
  <c r="P183" i="1"/>
  <c r="P244" i="1"/>
  <c r="P127" i="1"/>
  <c r="P209" i="1"/>
  <c r="P111" i="1"/>
  <c r="P177" i="1"/>
  <c r="P155" i="1"/>
  <c r="P224" i="1"/>
  <c r="P150" i="1"/>
  <c r="P246" i="1"/>
  <c r="P149" i="1"/>
  <c r="P139" i="1"/>
  <c r="P193" i="1"/>
  <c r="P105" i="1"/>
  <c r="P164" i="1"/>
  <c r="P130" i="1"/>
  <c r="P100" i="1"/>
  <c r="P218" i="1"/>
  <c r="P165" i="1"/>
  <c r="P213" i="1"/>
  <c r="P159" i="1"/>
  <c r="P110" i="1"/>
  <c r="P122" i="1"/>
  <c r="DK122" i="1" s="1"/>
  <c r="P214" i="1"/>
  <c r="P196" i="1"/>
  <c r="P70" i="1"/>
  <c r="P167" i="1"/>
  <c r="P106" i="1"/>
  <c r="P264" i="1"/>
  <c r="P228" i="1"/>
  <c r="P136" i="1"/>
  <c r="P169" i="1"/>
  <c r="P238" i="1"/>
  <c r="P125" i="1"/>
  <c r="DK125" i="1" s="1"/>
  <c r="P126" i="1"/>
  <c r="DK126" i="1" s="1"/>
  <c r="P249" i="1"/>
  <c r="P180" i="1"/>
  <c r="P93" i="1"/>
  <c r="P90" i="1"/>
  <c r="P185" i="1"/>
  <c r="P147" i="1"/>
  <c r="P236" i="1"/>
  <c r="P161" i="1"/>
  <c r="P230" i="1"/>
  <c r="P143" i="1"/>
  <c r="P206" i="1"/>
  <c r="P135" i="1"/>
  <c r="P73" i="1"/>
  <c r="DK73" i="1" s="1"/>
  <c r="P225" i="1"/>
  <c r="P168" i="1"/>
  <c r="P88" i="1"/>
  <c r="P118" i="1"/>
  <c r="P63" i="1"/>
  <c r="DK63" i="1" s="1"/>
  <c r="P216" i="1"/>
  <c r="P99" i="1"/>
  <c r="P173" i="1"/>
  <c r="P160" i="1"/>
  <c r="P66" i="1"/>
  <c r="P137" i="1"/>
  <c r="P91" i="1"/>
  <c r="P259" i="1"/>
  <c r="P175" i="1"/>
  <c r="P140" i="1"/>
  <c r="P252" i="1"/>
  <c r="P233" i="1"/>
  <c r="P271" i="1"/>
  <c r="P162" i="1"/>
  <c r="P151" i="1"/>
  <c r="P101" i="1"/>
  <c r="P260" i="1"/>
  <c r="P205" i="1"/>
  <c r="P120" i="1"/>
  <c r="P112" i="1"/>
  <c r="P107" i="1"/>
  <c r="P156" i="1"/>
  <c r="P263" i="1"/>
  <c r="DK263" i="1" s="1"/>
  <c r="P234" i="1"/>
  <c r="P174" i="1"/>
  <c r="P97" i="1"/>
  <c r="P253" i="1"/>
  <c r="P195" i="1"/>
  <c r="P250" i="1"/>
  <c r="P163" i="1"/>
  <c r="P200" i="1"/>
  <c r="P231" i="1"/>
  <c r="P69" i="1"/>
  <c r="P94" i="1"/>
  <c r="P109" i="1"/>
  <c r="P81" i="1"/>
  <c r="P98" i="1"/>
  <c r="P115" i="1"/>
  <c r="P104" i="1"/>
  <c r="P132" i="1"/>
  <c r="P158" i="1"/>
  <c r="P198" i="1"/>
  <c r="P226" i="1"/>
  <c r="P227" i="1"/>
  <c r="P123" i="1"/>
  <c r="DK123" i="1" s="1"/>
  <c r="P202" i="1"/>
  <c r="P119" i="1"/>
  <c r="P211" i="1"/>
  <c r="P75" i="1"/>
  <c r="P79" i="1"/>
  <c r="P11" i="1"/>
  <c r="P186" i="1"/>
  <c r="P245" i="1"/>
  <c r="P129" i="1"/>
  <c r="P212" i="1"/>
  <c r="P103" i="1"/>
  <c r="P242" i="1"/>
  <c r="P64" i="1"/>
  <c r="P172" i="1"/>
  <c r="P83" i="1"/>
  <c r="P84" i="1"/>
  <c r="P80" i="1"/>
  <c r="P114" i="1"/>
  <c r="P133" i="1"/>
  <c r="P142" i="1"/>
  <c r="P247" i="1"/>
  <c r="P207" i="1"/>
  <c r="P197" i="1"/>
  <c r="P76" i="1"/>
  <c r="P241" i="1"/>
  <c r="P138" i="1"/>
  <c r="P191" i="1"/>
  <c r="P181" i="1"/>
  <c r="P117" i="1"/>
  <c r="P248" i="1"/>
  <c r="P141" i="1"/>
  <c r="P189" i="1"/>
  <c r="P258" i="1"/>
  <c r="P222" i="1"/>
  <c r="P208" i="1"/>
  <c r="P144" i="1"/>
  <c r="P182" i="1"/>
  <c r="P153" i="1"/>
  <c r="P87" i="1"/>
  <c r="DK87" i="1" s="1"/>
  <c r="P95" i="1"/>
  <c r="P108" i="1"/>
  <c r="P146" i="1"/>
  <c r="P268" i="1"/>
  <c r="P257" i="1"/>
  <c r="P266" i="1"/>
  <c r="P269" i="1"/>
  <c r="P166" i="1"/>
  <c r="P77" i="1"/>
  <c r="P237" i="1"/>
  <c r="P157" i="1"/>
  <c r="P235" i="1"/>
  <c r="P192" i="1"/>
  <c r="P92" i="1"/>
  <c r="P145" i="1"/>
  <c r="P223" i="1"/>
  <c r="P113" i="1"/>
  <c r="P171" i="1"/>
  <c r="P128" i="1"/>
  <c r="P85" i="1"/>
  <c r="P243" i="1"/>
  <c r="P74" i="1"/>
  <c r="P201" i="1"/>
  <c r="P232" i="1"/>
  <c r="P71" i="1"/>
  <c r="DK71" i="1" s="1"/>
  <c r="P220" i="1"/>
  <c r="P199" i="1"/>
  <c r="P229" i="1"/>
  <c r="P176" i="1"/>
  <c r="P72" i="1"/>
  <c r="P82" i="1"/>
  <c r="P148" i="1"/>
  <c r="P184" i="1"/>
  <c r="P187" i="1"/>
  <c r="P210" i="1"/>
  <c r="P270" i="1"/>
  <c r="P68" i="1"/>
  <c r="P121" i="1"/>
  <c r="DK121" i="1" s="1"/>
  <c r="P194" i="1"/>
  <c r="P65" i="1"/>
  <c r="DK65" i="1" s="1"/>
  <c r="P89" i="1"/>
  <c r="P152" i="1"/>
  <c r="P67" i="1"/>
  <c r="DK67" i="1" s="1"/>
  <c r="P251" i="1"/>
  <c r="P261" i="1"/>
  <c r="P124" i="1"/>
  <c r="P190" i="1"/>
  <c r="P267" i="1"/>
  <c r="P204" i="1"/>
  <c r="P262" i="1"/>
  <c r="P219" i="1"/>
  <c r="P96" i="1"/>
  <c r="P179" i="1"/>
  <c r="P134" i="1"/>
  <c r="P203" i="1"/>
  <c r="P265" i="1"/>
  <c r="P131" i="1"/>
  <c r="P215" i="1"/>
  <c r="P254" i="1"/>
  <c r="P116" i="1"/>
  <c r="P170" i="1"/>
  <c r="P178" i="1"/>
  <c r="P240" i="1"/>
  <c r="P256" i="1"/>
  <c r="P78" i="1"/>
  <c r="P217" i="1"/>
  <c r="P188" i="1"/>
  <c r="P239" i="1"/>
  <c r="AJ4" i="13"/>
  <c r="BW4" i="13" s="1"/>
  <c r="DK274" i="1" l="1"/>
  <c r="I330" i="15" s="1"/>
  <c r="M330" i="15" s="1"/>
  <c r="DK273" i="1"/>
  <c r="H330" i="15" s="1"/>
  <c r="L330" i="15" s="1"/>
  <c r="AK4" i="13"/>
  <c r="BX4" i="13" s="1"/>
  <c r="F330" i="15" l="1"/>
  <c r="D330" i="15"/>
  <c r="AL4" i="13"/>
  <c r="BY4" i="13" s="1"/>
  <c r="AM4" i="13" l="1"/>
  <c r="BZ4" i="13" s="1"/>
  <c r="E12" i="6"/>
  <c r="E14" i="6" s="1"/>
  <c r="E27" i="6" l="1"/>
  <c r="AN4" i="13"/>
  <c r="CA4" i="13" s="1"/>
  <c r="F10" i="6"/>
  <c r="F12" i="6" s="1"/>
  <c r="F14" i="6" s="1"/>
  <c r="F27" i="6" s="1"/>
  <c r="AO4" i="13" l="1"/>
  <c r="CB4" i="13" s="1"/>
  <c r="H27" i="6"/>
  <c r="M72" i="2" s="1"/>
  <c r="AP4" i="13" l="1"/>
  <c r="CC4" i="13" s="1"/>
  <c r="AQ4" i="13" l="1"/>
  <c r="CD4" i="13" s="1"/>
  <c r="AR4" i="13" l="1"/>
  <c r="CE4" i="13" l="1"/>
  <c r="H21" i="13" l="1"/>
  <c r="N21" i="13" l="1"/>
  <c r="M21" i="13"/>
  <c r="K21" i="13"/>
  <c r="L21" i="13"/>
  <c r="AS21" i="13" l="1"/>
  <c r="AA273" i="1" l="1"/>
  <c r="M86" i="2" l="1"/>
  <c r="DW274" i="1" s="1"/>
  <c r="D21" i="24"/>
  <c r="D22" i="24"/>
  <c r="H23" i="13"/>
  <c r="F103" i="2"/>
  <c r="Y63" i="2" l="1"/>
  <c r="AQ4" i="30"/>
  <c r="N23" i="13"/>
  <c r="Q23" i="13"/>
  <c r="P23" i="13"/>
  <c r="O23" i="13"/>
  <c r="G105" i="2"/>
  <c r="G104" i="2"/>
  <c r="H19" i="13"/>
  <c r="G106" i="2"/>
  <c r="G107" i="2"/>
  <c r="E46" i="30" l="1"/>
  <c r="AS23" i="13"/>
  <c r="AU66" i="1" l="1"/>
  <c r="AU71" i="1"/>
  <c r="AU69" i="1"/>
  <c r="AU68" i="1"/>
  <c r="AU67" i="1"/>
  <c r="AU63" i="1"/>
  <c r="AU72" i="1"/>
  <c r="AU70" i="1"/>
  <c r="AU64" i="1"/>
  <c r="BJ11" i="1" l="1"/>
  <c r="BK11" i="1" s="1"/>
  <c r="BL11" i="1" s="1"/>
  <c r="AW68" i="1"/>
  <c r="AT68" i="1"/>
  <c r="AT71" i="1"/>
  <c r="AW71" i="1"/>
  <c r="AT70" i="1"/>
  <c r="AW70" i="1"/>
  <c r="AT64" i="1"/>
  <c r="AX64" i="1"/>
  <c r="AW64" i="1"/>
  <c r="AT63" i="1"/>
  <c r="AW63" i="1"/>
  <c r="AX63" i="1" s="1"/>
  <c r="AW67" i="1"/>
  <c r="AX67" i="1" s="1"/>
  <c r="AT67" i="1"/>
  <c r="AW72" i="1"/>
  <c r="AT72" i="1"/>
  <c r="AX72" i="1"/>
  <c r="AW69" i="1"/>
  <c r="AT69" i="1"/>
  <c r="AX69" i="1"/>
  <c r="AT66" i="1"/>
  <c r="AW66" i="1"/>
  <c r="AX66" i="1"/>
  <c r="V66" i="1"/>
  <c r="V169" i="1"/>
  <c r="V65" i="1"/>
  <c r="V214" i="1"/>
  <c r="V130" i="1"/>
  <c r="V126" i="1"/>
  <c r="V89" i="1"/>
  <c r="V218" i="1"/>
  <c r="V88" i="1"/>
  <c r="V202" i="1"/>
  <c r="V207" i="1"/>
  <c r="V107" i="1"/>
  <c r="V240" i="1"/>
  <c r="V238" i="1"/>
  <c r="V140" i="1"/>
  <c r="V246" i="1"/>
  <c r="V159" i="1"/>
  <c r="V96" i="1"/>
  <c r="V206" i="1"/>
  <c r="V201" i="1"/>
  <c r="V269" i="1"/>
  <c r="V244" i="1"/>
  <c r="V131" i="1"/>
  <c r="V189" i="1"/>
  <c r="V132" i="1"/>
  <c r="V125" i="1"/>
  <c r="V92" i="1"/>
  <c r="V168" i="1"/>
  <c r="V135" i="1"/>
  <c r="V106" i="1"/>
  <c r="V174" i="1"/>
  <c r="V85" i="1"/>
  <c r="V233" i="1"/>
  <c r="V196" i="1"/>
  <c r="V257" i="1"/>
  <c r="V191" i="1"/>
  <c r="V171" i="1"/>
  <c r="V179" i="1"/>
  <c r="V271" i="1"/>
  <c r="V102" i="1"/>
  <c r="V73" i="1"/>
  <c r="V250" i="1"/>
  <c r="V64" i="1"/>
  <c r="V245" i="1"/>
  <c r="V121" i="1"/>
  <c r="V139" i="1"/>
  <c r="V156" i="1"/>
  <c r="V129" i="1"/>
  <c r="V219" i="1"/>
  <c r="V74" i="1"/>
  <c r="V144" i="1"/>
  <c r="V255" i="1"/>
  <c r="V166" i="1"/>
  <c r="V117" i="1"/>
  <c r="V79" i="1"/>
  <c r="V200" i="1"/>
  <c r="V170" i="1"/>
  <c r="V251" i="1"/>
  <c r="V242" i="1"/>
  <c r="V68" i="1"/>
  <c r="V235" i="1"/>
  <c r="V98" i="1"/>
  <c r="V164" i="1"/>
  <c r="V225" i="1"/>
  <c r="V167" i="1"/>
  <c r="V197" i="1"/>
  <c r="V101" i="1"/>
  <c r="V237" i="1"/>
  <c r="V216" i="1"/>
  <c r="V93" i="1"/>
  <c r="V204" i="1"/>
  <c r="V69" i="1"/>
  <c r="V268" i="1"/>
  <c r="V157" i="1"/>
  <c r="V194" i="1"/>
  <c r="V261" i="1"/>
  <c r="V103" i="1"/>
  <c r="V136" i="1"/>
  <c r="V165" i="1"/>
  <c r="V210" i="1"/>
  <c r="V188" i="1"/>
  <c r="V161" i="1"/>
  <c r="V104" i="1"/>
  <c r="V272" i="1"/>
  <c r="V138" i="1"/>
  <c r="V213" i="1"/>
  <c r="V266" i="1"/>
  <c r="V221" i="1"/>
  <c r="V151" i="1"/>
  <c r="V208" i="1"/>
  <c r="V203" i="1"/>
  <c r="V133" i="1"/>
  <c r="V100" i="1"/>
  <c r="V78" i="1"/>
  <c r="V115" i="1"/>
  <c r="V184" i="1"/>
  <c r="V228" i="1"/>
  <c r="V247" i="1"/>
  <c r="V163" i="1"/>
  <c r="V267" i="1"/>
  <c r="V67" i="1"/>
  <c r="V205" i="1"/>
  <c r="V260" i="1"/>
  <c r="V162" i="1"/>
  <c r="V262" i="1"/>
  <c r="V183" i="1"/>
  <c r="V114" i="1"/>
  <c r="V181" i="1"/>
  <c r="V248" i="1"/>
  <c r="V148" i="1"/>
  <c r="V105" i="1"/>
  <c r="V263" i="1"/>
  <c r="V147" i="1"/>
  <c r="V252" i="1"/>
  <c r="V154" i="1"/>
  <c r="V81" i="1"/>
  <c r="V198" i="1"/>
  <c r="V63" i="1"/>
  <c r="V141" i="1"/>
  <c r="V143" i="1"/>
  <c r="V142" i="1"/>
  <c r="V72" i="1"/>
  <c r="V116" i="1"/>
  <c r="V108" i="1"/>
  <c r="V134" i="1"/>
  <c r="V175" i="1"/>
  <c r="V254" i="1"/>
  <c r="V158" i="1"/>
  <c r="V223" i="1"/>
  <c r="V243" i="1"/>
  <c r="V86" i="1"/>
  <c r="V241" i="1"/>
  <c r="V258" i="1"/>
  <c r="V236" i="1"/>
  <c r="V127" i="1"/>
  <c r="V182" i="1"/>
  <c r="V229" i="1"/>
  <c r="V227" i="1"/>
  <c r="V232" i="1"/>
  <c r="V253" i="1"/>
  <c r="V176" i="1"/>
  <c r="V265" i="1"/>
  <c r="V109" i="1"/>
  <c r="V193" i="1"/>
  <c r="V149" i="1"/>
  <c r="V128" i="1"/>
  <c r="V99" i="1"/>
  <c r="V212" i="1"/>
  <c r="V270" i="1"/>
  <c r="V76" i="1"/>
  <c r="V11" i="1"/>
  <c r="V146" i="1"/>
  <c r="V173" i="1"/>
  <c r="V259" i="1"/>
  <c r="V256" i="1"/>
  <c r="V118" i="1"/>
  <c r="V87" i="1"/>
  <c r="V84" i="1"/>
  <c r="V190" i="1"/>
  <c r="V70" i="1"/>
  <c r="V215" i="1"/>
  <c r="V90" i="1"/>
  <c r="V222" i="1"/>
  <c r="V195" i="1"/>
  <c r="V177" i="1"/>
  <c r="V224" i="1"/>
  <c r="V113" i="1"/>
  <c r="V119" i="1"/>
  <c r="V95" i="1"/>
  <c r="V111" i="1"/>
  <c r="V150" i="1"/>
  <c r="V172" i="1"/>
  <c r="V123" i="1"/>
  <c r="V82" i="1"/>
  <c r="V94" i="1"/>
  <c r="V153" i="1"/>
  <c r="V187" i="1"/>
  <c r="V217" i="1"/>
  <c r="V180" i="1"/>
  <c r="V220" i="1"/>
  <c r="V230" i="1"/>
  <c r="V160" i="1"/>
  <c r="V83" i="1"/>
  <c r="V192" i="1"/>
  <c r="V152" i="1"/>
  <c r="V185" i="1"/>
  <c r="V137" i="1"/>
  <c r="V80" i="1"/>
  <c r="V178" i="1"/>
  <c r="V145" i="1"/>
  <c r="V77" i="1"/>
  <c r="V122" i="1"/>
  <c r="V239" i="1"/>
  <c r="V249" i="1"/>
  <c r="V120" i="1"/>
  <c r="V186" i="1"/>
  <c r="V226" i="1"/>
  <c r="V211" i="1"/>
  <c r="V124" i="1"/>
  <c r="V97" i="1"/>
  <c r="V231" i="1"/>
  <c r="V264" i="1"/>
  <c r="V234" i="1"/>
  <c r="V91" i="1"/>
  <c r="V110" i="1"/>
  <c r="V199" i="1"/>
  <c r="V155" i="1"/>
  <c r="V75" i="1"/>
  <c r="V209" i="1"/>
  <c r="V71" i="1"/>
  <c r="V112" i="1"/>
  <c r="X64" i="1" l="1"/>
  <c r="BN64" i="1" s="1"/>
  <c r="BO64" i="1" s="1"/>
  <c r="BP64" i="1"/>
  <c r="BQ64" i="1" s="1"/>
  <c r="W64" i="1"/>
  <c r="BH64" i="1" s="1"/>
  <c r="BJ64" i="1" s="1"/>
  <c r="BK64" i="1" s="1"/>
  <c r="BL64" i="1" s="1"/>
  <c r="X110" i="1"/>
  <c r="BN110" i="1" s="1"/>
  <c r="BO110" i="1" s="1"/>
  <c r="BP110" i="1"/>
  <c r="BQ110" i="1" s="1"/>
  <c r="W110" i="1"/>
  <c r="BH110" i="1" s="1"/>
  <c r="BJ110" i="1" s="1"/>
  <c r="BK110" i="1" s="1"/>
  <c r="BL110" i="1" s="1"/>
  <c r="W204" i="1"/>
  <c r="BH204" i="1" s="1"/>
  <c r="BJ204" i="1" s="1"/>
  <c r="BK204" i="1" s="1"/>
  <c r="BL204" i="1" s="1"/>
  <c r="BP204" i="1"/>
  <c r="BQ204" i="1" s="1"/>
  <c r="X204" i="1"/>
  <c r="BN204" i="1" s="1"/>
  <c r="BO204" i="1" s="1"/>
  <c r="BP222" i="1"/>
  <c r="BQ222" i="1" s="1"/>
  <c r="W222" i="1"/>
  <c r="BH222" i="1" s="1"/>
  <c r="BJ222" i="1" s="1"/>
  <c r="BK222" i="1" s="1"/>
  <c r="BL222" i="1" s="1"/>
  <c r="X222" i="1"/>
  <c r="BN222" i="1" s="1"/>
  <c r="BO222" i="1" s="1"/>
  <c r="BP97" i="1"/>
  <c r="BQ97" i="1" s="1"/>
  <c r="X97" i="1"/>
  <c r="BN97" i="1" s="1"/>
  <c r="BO97" i="1" s="1"/>
  <c r="W97" i="1"/>
  <c r="BH97" i="1" s="1"/>
  <c r="BJ97" i="1" s="1"/>
  <c r="BK97" i="1" s="1"/>
  <c r="BL97" i="1" s="1"/>
  <c r="W195" i="1"/>
  <c r="BH195" i="1" s="1"/>
  <c r="BJ195" i="1" s="1"/>
  <c r="BK195" i="1" s="1"/>
  <c r="BL195" i="1" s="1"/>
  <c r="BP195" i="1"/>
  <c r="BQ195" i="1" s="1"/>
  <c r="X195" i="1"/>
  <c r="BN195" i="1" s="1"/>
  <c r="BO195" i="1" s="1"/>
  <c r="W152" i="1"/>
  <c r="BH152" i="1" s="1"/>
  <c r="BJ152" i="1" s="1"/>
  <c r="BK152" i="1" s="1"/>
  <c r="BL152" i="1" s="1"/>
  <c r="X152" i="1"/>
  <c r="BN152" i="1" s="1"/>
  <c r="BO152" i="1" s="1"/>
  <c r="BP152" i="1"/>
  <c r="BQ152" i="1" s="1"/>
  <c r="W174" i="1"/>
  <c r="BH174" i="1" s="1"/>
  <c r="BJ174" i="1" s="1"/>
  <c r="BK174" i="1" s="1"/>
  <c r="BL174" i="1" s="1"/>
  <c r="BP174" i="1"/>
  <c r="BQ174" i="1" s="1"/>
  <c r="X174" i="1"/>
  <c r="BN174" i="1" s="1"/>
  <c r="BO174" i="1" s="1"/>
  <c r="X77" i="1"/>
  <c r="BN77" i="1" s="1"/>
  <c r="BO77" i="1" s="1"/>
  <c r="W77" i="1"/>
  <c r="BH77" i="1" s="1"/>
  <c r="BJ77" i="1" s="1"/>
  <c r="BK77" i="1" s="1"/>
  <c r="BL77" i="1" s="1"/>
  <c r="BP77" i="1"/>
  <c r="BQ77" i="1" s="1"/>
  <c r="X158" i="1"/>
  <c r="BN158" i="1" s="1"/>
  <c r="BO158" i="1" s="1"/>
  <c r="BP158" i="1"/>
  <c r="BQ158" i="1" s="1"/>
  <c r="W158" i="1"/>
  <c r="BH158" i="1" s="1"/>
  <c r="BJ158" i="1" s="1"/>
  <c r="BK158" i="1" s="1"/>
  <c r="BL158" i="1" s="1"/>
  <c r="W270" i="1"/>
  <c r="BH270" i="1" s="1"/>
  <c r="BJ270" i="1" s="1"/>
  <c r="BK270" i="1" s="1"/>
  <c r="BL270" i="1" s="1"/>
  <c r="X270" i="1"/>
  <c r="BN270" i="1" s="1"/>
  <c r="BO270" i="1" s="1"/>
  <c r="BP270" i="1"/>
  <c r="BQ270" i="1" s="1"/>
  <c r="X80" i="1"/>
  <c r="BN80" i="1" s="1"/>
  <c r="BO80" i="1" s="1"/>
  <c r="W80" i="1"/>
  <c r="BH80" i="1" s="1"/>
  <c r="BJ80" i="1" s="1"/>
  <c r="BK80" i="1" s="1"/>
  <c r="BL80" i="1" s="1"/>
  <c r="BP80" i="1"/>
  <c r="BQ80" i="1" s="1"/>
  <c r="W162" i="1"/>
  <c r="BH162" i="1" s="1"/>
  <c r="BJ162" i="1" s="1"/>
  <c r="BK162" i="1" s="1"/>
  <c r="BL162" i="1" s="1"/>
  <c r="BP162" i="1"/>
  <c r="BQ162" i="1" s="1"/>
  <c r="X162" i="1"/>
  <c r="BN162" i="1" s="1"/>
  <c r="BO162" i="1" s="1"/>
  <c r="X221" i="1"/>
  <c r="BN221" i="1" s="1"/>
  <c r="BO221" i="1" s="1"/>
  <c r="BP221" i="1"/>
  <c r="BQ221" i="1" s="1"/>
  <c r="W221" i="1"/>
  <c r="BH221" i="1" s="1"/>
  <c r="BJ221" i="1" s="1"/>
  <c r="BK221" i="1" s="1"/>
  <c r="BL221" i="1" s="1"/>
  <c r="BP144" i="1"/>
  <c r="BQ144" i="1" s="1"/>
  <c r="W144" i="1"/>
  <c r="BH144" i="1" s="1"/>
  <c r="BJ144" i="1" s="1"/>
  <c r="BK144" i="1" s="1"/>
  <c r="BL144" i="1" s="1"/>
  <c r="X144" i="1"/>
  <c r="BN144" i="1" s="1"/>
  <c r="BO144" i="1" s="1"/>
  <c r="BP234" i="1"/>
  <c r="BQ234" i="1" s="1"/>
  <c r="X234" i="1"/>
  <c r="BN234" i="1" s="1"/>
  <c r="BO234" i="1" s="1"/>
  <c r="W234" i="1"/>
  <c r="BH234" i="1" s="1"/>
  <c r="BJ234" i="1" s="1"/>
  <c r="BK234" i="1" s="1"/>
  <c r="BL234" i="1" s="1"/>
  <c r="W87" i="1"/>
  <c r="BH87" i="1" s="1"/>
  <c r="BJ87" i="1" s="1"/>
  <c r="X87" i="1"/>
  <c r="BN87" i="1" s="1"/>
  <c r="BP87" i="1"/>
  <c r="W84" i="1"/>
  <c r="BH84" i="1" s="1"/>
  <c r="BJ84" i="1" s="1"/>
  <c r="BK84" i="1" s="1"/>
  <c r="BL84" i="1" s="1"/>
  <c r="X84" i="1"/>
  <c r="BN84" i="1" s="1"/>
  <c r="BO84" i="1" s="1"/>
  <c r="BP84" i="1"/>
  <c r="BQ84" i="1" s="1"/>
  <c r="BP75" i="1"/>
  <c r="BQ75" i="1" s="1"/>
  <c r="X75" i="1"/>
  <c r="BN75" i="1" s="1"/>
  <c r="BO75" i="1" s="1"/>
  <c r="W75" i="1"/>
  <c r="BH75" i="1" s="1"/>
  <c r="BJ75" i="1" s="1"/>
  <c r="BK75" i="1" s="1"/>
  <c r="BL75" i="1" s="1"/>
  <c r="X132" i="1"/>
  <c r="BN132" i="1" s="1"/>
  <c r="BO132" i="1" s="1"/>
  <c r="BP132" i="1"/>
  <c r="BQ132" i="1" s="1"/>
  <c r="W132" i="1"/>
  <c r="BH132" i="1" s="1"/>
  <c r="BJ132" i="1" s="1"/>
  <c r="BK132" i="1" s="1"/>
  <c r="BL132" i="1" s="1"/>
  <c r="BP117" i="1"/>
  <c r="BQ117" i="1" s="1"/>
  <c r="X117" i="1"/>
  <c r="BN117" i="1" s="1"/>
  <c r="BO117" i="1" s="1"/>
  <c r="W117" i="1"/>
  <c r="BH117" i="1" s="1"/>
  <c r="BJ117" i="1" s="1"/>
  <c r="BK117" i="1" s="1"/>
  <c r="BL117" i="1" s="1"/>
  <c r="BP180" i="1"/>
  <c r="BQ180" i="1" s="1"/>
  <c r="W180" i="1"/>
  <c r="BH180" i="1" s="1"/>
  <c r="BJ180" i="1" s="1"/>
  <c r="BK180" i="1" s="1"/>
  <c r="BL180" i="1" s="1"/>
  <c r="X180" i="1"/>
  <c r="BN180" i="1" s="1"/>
  <c r="BO180" i="1" s="1"/>
  <c r="BP269" i="1"/>
  <c r="BQ269" i="1" s="1"/>
  <c r="W269" i="1"/>
  <c r="BH269" i="1" s="1"/>
  <c r="BJ269" i="1" s="1"/>
  <c r="BK269" i="1" s="1"/>
  <c r="BL269" i="1" s="1"/>
  <c r="X269" i="1"/>
  <c r="BN269" i="1" s="1"/>
  <c r="BO269" i="1" s="1"/>
  <c r="X219" i="1"/>
  <c r="BN219" i="1" s="1"/>
  <c r="BO219" i="1" s="1"/>
  <c r="BP219" i="1"/>
  <c r="BQ219" i="1" s="1"/>
  <c r="W219" i="1"/>
  <c r="BH219" i="1" s="1"/>
  <c r="BJ219" i="1" s="1"/>
  <c r="BK219" i="1" s="1"/>
  <c r="BL219" i="1" s="1"/>
  <c r="BP215" i="1"/>
  <c r="BQ215" i="1" s="1"/>
  <c r="X215" i="1"/>
  <c r="BN215" i="1" s="1"/>
  <c r="BO215" i="1" s="1"/>
  <c r="W215" i="1"/>
  <c r="BH215" i="1" s="1"/>
  <c r="BJ215" i="1" s="1"/>
  <c r="BK215" i="1" s="1"/>
  <c r="BL215" i="1" s="1"/>
  <c r="W201" i="1"/>
  <c r="BH201" i="1" s="1"/>
  <c r="BJ201" i="1" s="1"/>
  <c r="BK201" i="1" s="1"/>
  <c r="BL201" i="1" s="1"/>
  <c r="BP201" i="1"/>
  <c r="BQ201" i="1" s="1"/>
  <c r="X201" i="1"/>
  <c r="BN201" i="1" s="1"/>
  <c r="BO201" i="1" s="1"/>
  <c r="W198" i="1"/>
  <c r="BH198" i="1" s="1"/>
  <c r="BJ198" i="1" s="1"/>
  <c r="BK198" i="1" s="1"/>
  <c r="BL198" i="1" s="1"/>
  <c r="BP198" i="1"/>
  <c r="BQ198" i="1" s="1"/>
  <c r="X198" i="1"/>
  <c r="BN198" i="1" s="1"/>
  <c r="BO198" i="1" s="1"/>
  <c r="X81" i="1"/>
  <c r="BN81" i="1" s="1"/>
  <c r="BO81" i="1" s="1"/>
  <c r="BP81" i="1"/>
  <c r="BQ81" i="1" s="1"/>
  <c r="W81" i="1"/>
  <c r="BH81" i="1" s="1"/>
  <c r="BJ81" i="1" s="1"/>
  <c r="BK81" i="1" s="1"/>
  <c r="BL81" i="1" s="1"/>
  <c r="X263" i="1"/>
  <c r="BN263" i="1" s="1"/>
  <c r="BP263" i="1"/>
  <c r="W263" i="1"/>
  <c r="BH263" i="1" s="1"/>
  <c r="BJ263" i="1" s="1"/>
  <c r="X129" i="1"/>
  <c r="BN129" i="1" s="1"/>
  <c r="BO129" i="1" s="1"/>
  <c r="BP129" i="1"/>
  <c r="BQ129" i="1" s="1"/>
  <c r="W129" i="1"/>
  <c r="BH129" i="1" s="1"/>
  <c r="BJ129" i="1" s="1"/>
  <c r="BK129" i="1" s="1"/>
  <c r="BL129" i="1" s="1"/>
  <c r="BP237" i="1"/>
  <c r="BQ237" i="1" s="1"/>
  <c r="W237" i="1"/>
  <c r="BH237" i="1" s="1"/>
  <c r="BJ237" i="1" s="1"/>
  <c r="BK237" i="1" s="1"/>
  <c r="BL237" i="1" s="1"/>
  <c r="X237" i="1"/>
  <c r="BN237" i="1" s="1"/>
  <c r="BO237" i="1" s="1"/>
  <c r="W126" i="1"/>
  <c r="BH126" i="1" s="1"/>
  <c r="BJ126" i="1" s="1"/>
  <c r="BP126" i="1"/>
  <c r="X126" i="1"/>
  <c r="BN126" i="1" s="1"/>
  <c r="BP128" i="1"/>
  <c r="BQ128" i="1" s="1"/>
  <c r="X128" i="1"/>
  <c r="BN128" i="1" s="1"/>
  <c r="BO128" i="1" s="1"/>
  <c r="W128" i="1"/>
  <c r="BH128" i="1" s="1"/>
  <c r="BJ128" i="1" s="1"/>
  <c r="BK128" i="1" s="1"/>
  <c r="BL128" i="1" s="1"/>
  <c r="X160" i="1"/>
  <c r="BN160" i="1" s="1"/>
  <c r="BO160" i="1" s="1"/>
  <c r="W160" i="1"/>
  <c r="BH160" i="1" s="1"/>
  <c r="BJ160" i="1" s="1"/>
  <c r="BK160" i="1" s="1"/>
  <c r="BL160" i="1" s="1"/>
  <c r="BP160" i="1"/>
  <c r="BQ160" i="1" s="1"/>
  <c r="W143" i="1"/>
  <c r="BH143" i="1" s="1"/>
  <c r="BJ143" i="1" s="1"/>
  <c r="BK143" i="1" s="1"/>
  <c r="BL143" i="1" s="1"/>
  <c r="X143" i="1"/>
  <c r="BN143" i="1" s="1"/>
  <c r="BO143" i="1" s="1"/>
  <c r="BP143" i="1"/>
  <c r="BQ143" i="1" s="1"/>
  <c r="W240" i="1"/>
  <c r="BH240" i="1" s="1"/>
  <c r="BJ240" i="1" s="1"/>
  <c r="BK240" i="1" s="1"/>
  <c r="BL240" i="1" s="1"/>
  <c r="X240" i="1"/>
  <c r="BN240" i="1" s="1"/>
  <c r="BO240" i="1" s="1"/>
  <c r="BP240" i="1"/>
  <c r="BQ240" i="1" s="1"/>
  <c r="W258" i="1"/>
  <c r="BH258" i="1" s="1"/>
  <c r="BJ258" i="1" s="1"/>
  <c r="BK258" i="1" s="1"/>
  <c r="BL258" i="1" s="1"/>
  <c r="X258" i="1"/>
  <c r="BN258" i="1" s="1"/>
  <c r="BO258" i="1" s="1"/>
  <c r="BP258" i="1"/>
  <c r="BQ258" i="1" s="1"/>
  <c r="BP259" i="1"/>
  <c r="BQ259" i="1" s="1"/>
  <c r="X259" i="1"/>
  <c r="BN259" i="1" s="1"/>
  <c r="BO259" i="1" s="1"/>
  <c r="W259" i="1"/>
  <c r="BH259" i="1" s="1"/>
  <c r="BJ259" i="1" s="1"/>
  <c r="BK259" i="1" s="1"/>
  <c r="BL259" i="1" s="1"/>
  <c r="BP173" i="1"/>
  <c r="BQ173" i="1" s="1"/>
  <c r="W173" i="1"/>
  <c r="BH173" i="1" s="1"/>
  <c r="BJ173" i="1" s="1"/>
  <c r="BK173" i="1" s="1"/>
  <c r="BL173" i="1" s="1"/>
  <c r="X173" i="1"/>
  <c r="BN173" i="1" s="1"/>
  <c r="BO173" i="1" s="1"/>
  <c r="BP255" i="1"/>
  <c r="BQ255" i="1" s="1"/>
  <c r="X255" i="1"/>
  <c r="BN255" i="1" s="1"/>
  <c r="BO255" i="1" s="1"/>
  <c r="W255" i="1"/>
  <c r="BH255" i="1" s="1"/>
  <c r="BJ255" i="1" s="1"/>
  <c r="BK255" i="1" s="1"/>
  <c r="BL255" i="1" s="1"/>
  <c r="W235" i="1"/>
  <c r="BH235" i="1" s="1"/>
  <c r="BJ235" i="1" s="1"/>
  <c r="BK235" i="1" s="1"/>
  <c r="BL235" i="1" s="1"/>
  <c r="X235" i="1"/>
  <c r="BN235" i="1" s="1"/>
  <c r="BO235" i="1" s="1"/>
  <c r="BP235" i="1"/>
  <c r="BQ235" i="1" s="1"/>
  <c r="BP98" i="1"/>
  <c r="BQ98" i="1" s="1"/>
  <c r="W98" i="1"/>
  <c r="BH98" i="1" s="1"/>
  <c r="BJ98" i="1" s="1"/>
  <c r="BK98" i="1" s="1"/>
  <c r="BL98" i="1" s="1"/>
  <c r="X98" i="1"/>
  <c r="BN98" i="1" s="1"/>
  <c r="BO98" i="1" s="1"/>
  <c r="W78" i="1"/>
  <c r="BH78" i="1" s="1"/>
  <c r="BJ78" i="1" s="1"/>
  <c r="BK78" i="1" s="1"/>
  <c r="BL78" i="1" s="1"/>
  <c r="BP78" i="1"/>
  <c r="BQ78" i="1" s="1"/>
  <c r="X78" i="1"/>
  <c r="BN78" i="1" s="1"/>
  <c r="BO78" i="1" s="1"/>
  <c r="X231" i="1"/>
  <c r="BN231" i="1" s="1"/>
  <c r="BO231" i="1" s="1"/>
  <c r="BP231" i="1"/>
  <c r="BQ231" i="1" s="1"/>
  <c r="W231" i="1"/>
  <c r="BH231" i="1" s="1"/>
  <c r="BJ231" i="1" s="1"/>
  <c r="BK231" i="1" s="1"/>
  <c r="BL231" i="1" s="1"/>
  <c r="W261" i="1"/>
  <c r="BH261" i="1" s="1"/>
  <c r="BJ261" i="1" s="1"/>
  <c r="BK261" i="1" s="1"/>
  <c r="BL261" i="1" s="1"/>
  <c r="X261" i="1"/>
  <c r="BN261" i="1" s="1"/>
  <c r="BO261" i="1" s="1"/>
  <c r="BP261" i="1"/>
  <c r="BQ261" i="1" s="1"/>
  <c r="X94" i="1"/>
  <c r="BN94" i="1" s="1"/>
  <c r="BO94" i="1" s="1"/>
  <c r="BP94" i="1"/>
  <c r="BQ94" i="1" s="1"/>
  <c r="W94" i="1"/>
  <c r="BH94" i="1" s="1"/>
  <c r="BJ94" i="1" s="1"/>
  <c r="BK94" i="1" s="1"/>
  <c r="BL94" i="1" s="1"/>
  <c r="W119" i="1"/>
  <c r="BH119" i="1" s="1"/>
  <c r="BJ119" i="1" s="1"/>
  <c r="BK119" i="1" s="1"/>
  <c r="BL119" i="1" s="1"/>
  <c r="BP119" i="1"/>
  <c r="BQ119" i="1" s="1"/>
  <c r="X119" i="1"/>
  <c r="BN119" i="1" s="1"/>
  <c r="BO119" i="1" s="1"/>
  <c r="W227" i="1"/>
  <c r="BH227" i="1" s="1"/>
  <c r="BJ227" i="1" s="1"/>
  <c r="BK227" i="1" s="1"/>
  <c r="BL227" i="1" s="1"/>
  <c r="BP227" i="1"/>
  <c r="BQ227" i="1" s="1"/>
  <c r="X227" i="1"/>
  <c r="BN227" i="1" s="1"/>
  <c r="BO227" i="1" s="1"/>
  <c r="W109" i="1"/>
  <c r="BH109" i="1" s="1"/>
  <c r="BJ109" i="1" s="1"/>
  <c r="BK109" i="1" s="1"/>
  <c r="BL109" i="1" s="1"/>
  <c r="BP109" i="1"/>
  <c r="BQ109" i="1" s="1"/>
  <c r="X109" i="1"/>
  <c r="BN109" i="1" s="1"/>
  <c r="BO109" i="1" s="1"/>
  <c r="X230" i="1"/>
  <c r="BN230" i="1" s="1"/>
  <c r="BO230" i="1" s="1"/>
  <c r="BP230" i="1"/>
  <c r="BQ230" i="1" s="1"/>
  <c r="W230" i="1"/>
  <c r="BH230" i="1" s="1"/>
  <c r="BJ230" i="1" s="1"/>
  <c r="BK230" i="1" s="1"/>
  <c r="BL230" i="1" s="1"/>
  <c r="BP188" i="1"/>
  <c r="BQ188" i="1" s="1"/>
  <c r="W188" i="1"/>
  <c r="BH188" i="1" s="1"/>
  <c r="BJ188" i="1" s="1"/>
  <c r="BK188" i="1" s="1"/>
  <c r="BL188" i="1" s="1"/>
  <c r="X188" i="1"/>
  <c r="BN188" i="1" s="1"/>
  <c r="BO188" i="1" s="1"/>
  <c r="X68" i="1"/>
  <c r="BN68" i="1" s="1"/>
  <c r="BO68" i="1" s="1"/>
  <c r="BP68" i="1"/>
  <c r="BQ68" i="1" s="1"/>
  <c r="W68" i="1"/>
  <c r="BH68" i="1" s="1"/>
  <c r="BJ68" i="1" s="1"/>
  <c r="BK68" i="1" s="1"/>
  <c r="BL68" i="1" s="1"/>
  <c r="X150" i="1"/>
  <c r="BN150" i="1" s="1"/>
  <c r="BO150" i="1" s="1"/>
  <c r="BP150" i="1"/>
  <c r="BQ150" i="1" s="1"/>
  <c r="W150" i="1"/>
  <c r="BH150" i="1" s="1"/>
  <c r="BJ150" i="1" s="1"/>
  <c r="BK150" i="1" s="1"/>
  <c r="BL150" i="1" s="1"/>
  <c r="W95" i="1"/>
  <c r="BH95" i="1" s="1"/>
  <c r="BJ95" i="1" s="1"/>
  <c r="BK95" i="1" s="1"/>
  <c r="BL95" i="1" s="1"/>
  <c r="BP95" i="1"/>
  <c r="BQ95" i="1" s="1"/>
  <c r="X95" i="1"/>
  <c r="BN95" i="1" s="1"/>
  <c r="BO95" i="1" s="1"/>
  <c r="X122" i="1"/>
  <c r="BN122" i="1" s="1"/>
  <c r="BP122" i="1"/>
  <c r="W122" i="1"/>
  <c r="BH122" i="1" s="1"/>
  <c r="BJ122" i="1" s="1"/>
  <c r="X225" i="1"/>
  <c r="BN225" i="1" s="1"/>
  <c r="BO225" i="1" s="1"/>
  <c r="W225" i="1"/>
  <c r="BH225" i="1" s="1"/>
  <c r="BJ225" i="1" s="1"/>
  <c r="BK225" i="1" s="1"/>
  <c r="BL225" i="1" s="1"/>
  <c r="BP225" i="1"/>
  <c r="BQ225" i="1" s="1"/>
  <c r="BP114" i="1"/>
  <c r="BQ114" i="1" s="1"/>
  <c r="W114" i="1"/>
  <c r="BH114" i="1" s="1"/>
  <c r="BJ114" i="1" s="1"/>
  <c r="BK114" i="1" s="1"/>
  <c r="BL114" i="1" s="1"/>
  <c r="X114" i="1"/>
  <c r="BN114" i="1" s="1"/>
  <c r="BO114" i="1" s="1"/>
  <c r="BP185" i="1"/>
  <c r="BQ185" i="1" s="1"/>
  <c r="X185" i="1"/>
  <c r="BN185" i="1" s="1"/>
  <c r="BO185" i="1" s="1"/>
  <c r="W185" i="1"/>
  <c r="BH185" i="1" s="1"/>
  <c r="BJ185" i="1" s="1"/>
  <c r="BK185" i="1" s="1"/>
  <c r="BL185" i="1" s="1"/>
  <c r="W166" i="1"/>
  <c r="BH166" i="1" s="1"/>
  <c r="BJ166" i="1" s="1"/>
  <c r="BK166" i="1" s="1"/>
  <c r="BL166" i="1" s="1"/>
  <c r="BP166" i="1"/>
  <c r="BQ166" i="1" s="1"/>
  <c r="X166" i="1"/>
  <c r="BN166" i="1" s="1"/>
  <c r="BO166" i="1" s="1"/>
  <c r="X251" i="1"/>
  <c r="BN251" i="1" s="1"/>
  <c r="BO251" i="1" s="1"/>
  <c r="BP251" i="1"/>
  <c r="BQ251" i="1" s="1"/>
  <c r="W251" i="1"/>
  <c r="BH251" i="1" s="1"/>
  <c r="BJ251" i="1" s="1"/>
  <c r="BK251" i="1" s="1"/>
  <c r="BL251" i="1" s="1"/>
  <c r="X121" i="1"/>
  <c r="BN121" i="1" s="1"/>
  <c r="BP121" i="1"/>
  <c r="W121" i="1"/>
  <c r="BH121" i="1" s="1"/>
  <c r="BJ121" i="1" s="1"/>
  <c r="X186" i="1"/>
  <c r="BN186" i="1" s="1"/>
  <c r="BO186" i="1" s="1"/>
  <c r="W186" i="1"/>
  <c r="BH186" i="1" s="1"/>
  <c r="BJ186" i="1" s="1"/>
  <c r="BK186" i="1" s="1"/>
  <c r="BL186" i="1" s="1"/>
  <c r="BP186" i="1"/>
  <c r="BQ186" i="1" s="1"/>
  <c r="X136" i="1"/>
  <c r="BN136" i="1" s="1"/>
  <c r="BO136" i="1" s="1"/>
  <c r="BP136" i="1"/>
  <c r="BQ136" i="1" s="1"/>
  <c r="W136" i="1"/>
  <c r="BH136" i="1" s="1"/>
  <c r="BJ136" i="1" s="1"/>
  <c r="BK136" i="1" s="1"/>
  <c r="BL136" i="1" s="1"/>
  <c r="W73" i="1"/>
  <c r="BH73" i="1" s="1"/>
  <c r="BJ73" i="1" s="1"/>
  <c r="X73" i="1"/>
  <c r="BN73" i="1" s="1"/>
  <c r="BP73" i="1"/>
  <c r="BP207" i="1"/>
  <c r="BQ207" i="1" s="1"/>
  <c r="X207" i="1"/>
  <c r="BN207" i="1" s="1"/>
  <c r="BO207" i="1" s="1"/>
  <c r="W207" i="1"/>
  <c r="BH207" i="1" s="1"/>
  <c r="BJ207" i="1" s="1"/>
  <c r="BK207" i="1" s="1"/>
  <c r="BL207" i="1" s="1"/>
  <c r="W135" i="1"/>
  <c r="BH135" i="1" s="1"/>
  <c r="BJ135" i="1" s="1"/>
  <c r="BK135" i="1" s="1"/>
  <c r="BL135" i="1" s="1"/>
  <c r="X135" i="1"/>
  <c r="BN135" i="1" s="1"/>
  <c r="BO135" i="1" s="1"/>
  <c r="BP135" i="1"/>
  <c r="BQ135" i="1" s="1"/>
  <c r="BP218" i="1"/>
  <c r="BQ218" i="1" s="1"/>
  <c r="W218" i="1"/>
  <c r="BH218" i="1" s="1"/>
  <c r="BJ218" i="1" s="1"/>
  <c r="BK218" i="1" s="1"/>
  <c r="BL218" i="1" s="1"/>
  <c r="X218" i="1"/>
  <c r="BN218" i="1" s="1"/>
  <c r="BO218" i="1" s="1"/>
  <c r="BP127" i="1"/>
  <c r="BQ127" i="1" s="1"/>
  <c r="X127" i="1"/>
  <c r="BN127" i="1" s="1"/>
  <c r="BO127" i="1" s="1"/>
  <c r="W127" i="1"/>
  <c r="BH127" i="1" s="1"/>
  <c r="BJ127" i="1" s="1"/>
  <c r="BK127" i="1" s="1"/>
  <c r="BL127" i="1" s="1"/>
  <c r="BP148" i="1"/>
  <c r="BQ148" i="1" s="1"/>
  <c r="X148" i="1"/>
  <c r="BN148" i="1" s="1"/>
  <c r="BO148" i="1" s="1"/>
  <c r="W148" i="1"/>
  <c r="BH148" i="1" s="1"/>
  <c r="BJ148" i="1" s="1"/>
  <c r="BK148" i="1" s="1"/>
  <c r="BL148" i="1" s="1"/>
  <c r="X67" i="1"/>
  <c r="BN67" i="1" s="1"/>
  <c r="BO67" i="1" s="1"/>
  <c r="W67" i="1"/>
  <c r="BH67" i="1" s="1"/>
  <c r="BJ67" i="1" s="1"/>
  <c r="BK67" i="1" s="1"/>
  <c r="BL67" i="1" s="1"/>
  <c r="BP67" i="1"/>
  <c r="BQ67" i="1" s="1"/>
  <c r="BP131" i="1"/>
  <c r="BQ131" i="1" s="1"/>
  <c r="X131" i="1"/>
  <c r="BN131" i="1" s="1"/>
  <c r="BO131" i="1" s="1"/>
  <c r="W131" i="1"/>
  <c r="BH131" i="1" s="1"/>
  <c r="BJ131" i="1" s="1"/>
  <c r="BK131" i="1" s="1"/>
  <c r="BL131" i="1" s="1"/>
  <c r="X76" i="1"/>
  <c r="BN76" i="1" s="1"/>
  <c r="BO76" i="1" s="1"/>
  <c r="BP76" i="1"/>
  <c r="BQ76" i="1" s="1"/>
  <c r="W76" i="1"/>
  <c r="BH76" i="1" s="1"/>
  <c r="BJ76" i="1" s="1"/>
  <c r="BK76" i="1" s="1"/>
  <c r="BL76" i="1" s="1"/>
  <c r="W104" i="1"/>
  <c r="BH104" i="1" s="1"/>
  <c r="BJ104" i="1" s="1"/>
  <c r="BK104" i="1" s="1"/>
  <c r="BL104" i="1" s="1"/>
  <c r="BP104" i="1"/>
  <c r="BQ104" i="1" s="1"/>
  <c r="X104" i="1"/>
  <c r="BN104" i="1" s="1"/>
  <c r="BO104" i="1" s="1"/>
  <c r="BP156" i="1"/>
  <c r="BQ156" i="1" s="1"/>
  <c r="X156" i="1"/>
  <c r="BN156" i="1" s="1"/>
  <c r="BO156" i="1" s="1"/>
  <c r="W156" i="1"/>
  <c r="BH156" i="1" s="1"/>
  <c r="BJ156" i="1" s="1"/>
  <c r="BK156" i="1" s="1"/>
  <c r="BL156" i="1" s="1"/>
  <c r="W151" i="1"/>
  <c r="BH151" i="1" s="1"/>
  <c r="BJ151" i="1" s="1"/>
  <c r="BK151" i="1" s="1"/>
  <c r="BL151" i="1" s="1"/>
  <c r="BP151" i="1"/>
  <c r="BQ151" i="1" s="1"/>
  <c r="X151" i="1"/>
  <c r="BN151" i="1" s="1"/>
  <c r="BO151" i="1" s="1"/>
  <c r="W267" i="1"/>
  <c r="BH267" i="1" s="1"/>
  <c r="BJ267" i="1" s="1"/>
  <c r="BK267" i="1" s="1"/>
  <c r="BL267" i="1" s="1"/>
  <c r="X267" i="1"/>
  <c r="BN267" i="1" s="1"/>
  <c r="BO267" i="1" s="1"/>
  <c r="BP267" i="1"/>
  <c r="BQ267" i="1" s="1"/>
  <c r="W96" i="1"/>
  <c r="BH96" i="1" s="1"/>
  <c r="BJ96" i="1" s="1"/>
  <c r="BK96" i="1" s="1"/>
  <c r="BL96" i="1" s="1"/>
  <c r="BP96" i="1"/>
  <c r="BQ96" i="1" s="1"/>
  <c r="X96" i="1"/>
  <c r="BN96" i="1" s="1"/>
  <c r="BO96" i="1" s="1"/>
  <c r="X167" i="1"/>
  <c r="BN167" i="1" s="1"/>
  <c r="BO167" i="1" s="1"/>
  <c r="W167" i="1"/>
  <c r="BH167" i="1" s="1"/>
  <c r="BJ167" i="1" s="1"/>
  <c r="BK167" i="1" s="1"/>
  <c r="BL167" i="1" s="1"/>
  <c r="BP167" i="1"/>
  <c r="BQ167" i="1" s="1"/>
  <c r="X182" i="1"/>
  <c r="BN182" i="1" s="1"/>
  <c r="BO182" i="1" s="1"/>
  <c r="W182" i="1"/>
  <c r="BH182" i="1" s="1"/>
  <c r="BJ182" i="1" s="1"/>
  <c r="BK182" i="1" s="1"/>
  <c r="BL182" i="1" s="1"/>
  <c r="BP182" i="1"/>
  <c r="BQ182" i="1" s="1"/>
  <c r="W170" i="1"/>
  <c r="BH170" i="1" s="1"/>
  <c r="BJ170" i="1" s="1"/>
  <c r="BK170" i="1" s="1"/>
  <c r="BL170" i="1" s="1"/>
  <c r="X170" i="1"/>
  <c r="BN170" i="1" s="1"/>
  <c r="BO170" i="1" s="1"/>
  <c r="BP170" i="1"/>
  <c r="BQ170" i="1" s="1"/>
  <c r="X120" i="1"/>
  <c r="BN120" i="1" s="1"/>
  <c r="BO120" i="1" s="1"/>
  <c r="BP120" i="1"/>
  <c r="BQ120" i="1" s="1"/>
  <c r="W120" i="1"/>
  <c r="BH120" i="1" s="1"/>
  <c r="BJ120" i="1" s="1"/>
  <c r="BK120" i="1" s="1"/>
  <c r="BL120" i="1" s="1"/>
  <c r="W91" i="1"/>
  <c r="BH91" i="1" s="1"/>
  <c r="BJ91" i="1" s="1"/>
  <c r="BK91" i="1" s="1"/>
  <c r="BL91" i="1" s="1"/>
  <c r="X91" i="1"/>
  <c r="BN91" i="1" s="1"/>
  <c r="BO91" i="1" s="1"/>
  <c r="BP91" i="1"/>
  <c r="BQ91" i="1" s="1"/>
  <c r="W112" i="1"/>
  <c r="BH112" i="1" s="1"/>
  <c r="BJ112" i="1" s="1"/>
  <c r="BK112" i="1" s="1"/>
  <c r="BL112" i="1" s="1"/>
  <c r="BP112" i="1"/>
  <c r="BQ112" i="1" s="1"/>
  <c r="X112" i="1"/>
  <c r="BN112" i="1" s="1"/>
  <c r="BO112" i="1" s="1"/>
  <c r="X262" i="1"/>
  <c r="BN262" i="1" s="1"/>
  <c r="BO262" i="1" s="1"/>
  <c r="W262" i="1"/>
  <c r="BH262" i="1" s="1"/>
  <c r="BJ262" i="1" s="1"/>
  <c r="BK262" i="1" s="1"/>
  <c r="BL262" i="1" s="1"/>
  <c r="BP262" i="1"/>
  <c r="BQ262" i="1" s="1"/>
  <c r="W169" i="1"/>
  <c r="BH169" i="1" s="1"/>
  <c r="BJ169" i="1" s="1"/>
  <c r="BK169" i="1" s="1"/>
  <c r="BL169" i="1" s="1"/>
  <c r="X169" i="1"/>
  <c r="BN169" i="1" s="1"/>
  <c r="BO169" i="1" s="1"/>
  <c r="BP169" i="1"/>
  <c r="BQ169" i="1" s="1"/>
  <c r="X146" i="1"/>
  <c r="BN146" i="1" s="1"/>
  <c r="BO146" i="1" s="1"/>
  <c r="W146" i="1"/>
  <c r="BH146" i="1" s="1"/>
  <c r="BJ146" i="1" s="1"/>
  <c r="BK146" i="1" s="1"/>
  <c r="BL146" i="1" s="1"/>
  <c r="BP146" i="1"/>
  <c r="BQ146" i="1" s="1"/>
  <c r="BP229" i="1"/>
  <c r="BQ229" i="1" s="1"/>
  <c r="W229" i="1"/>
  <c r="BH229" i="1" s="1"/>
  <c r="BJ229" i="1" s="1"/>
  <c r="BK229" i="1" s="1"/>
  <c r="BL229" i="1" s="1"/>
  <c r="X229" i="1"/>
  <c r="BN229" i="1" s="1"/>
  <c r="BO229" i="1" s="1"/>
  <c r="W183" i="1"/>
  <c r="BH183" i="1" s="1"/>
  <c r="BJ183" i="1" s="1"/>
  <c r="BK183" i="1" s="1"/>
  <c r="BL183" i="1" s="1"/>
  <c r="X183" i="1"/>
  <c r="BN183" i="1" s="1"/>
  <c r="BO183" i="1" s="1"/>
  <c r="BP183" i="1"/>
  <c r="BQ183" i="1" s="1"/>
  <c r="BP113" i="1"/>
  <c r="BQ113" i="1" s="1"/>
  <c r="W113" i="1"/>
  <c r="BH113" i="1" s="1"/>
  <c r="BJ113" i="1" s="1"/>
  <c r="BK113" i="1" s="1"/>
  <c r="BL113" i="1" s="1"/>
  <c r="X113" i="1"/>
  <c r="BN113" i="1" s="1"/>
  <c r="BO113" i="1" s="1"/>
  <c r="BP208" i="1"/>
  <c r="BQ208" i="1" s="1"/>
  <c r="X208" i="1"/>
  <c r="BN208" i="1" s="1"/>
  <c r="BO208" i="1" s="1"/>
  <c r="W208" i="1"/>
  <c r="BH208" i="1" s="1"/>
  <c r="BJ208" i="1" s="1"/>
  <c r="BK208" i="1" s="1"/>
  <c r="BL208" i="1" s="1"/>
  <c r="BP115" i="1"/>
  <c r="BQ115" i="1" s="1"/>
  <c r="X115" i="1"/>
  <c r="BN115" i="1" s="1"/>
  <c r="BO115" i="1" s="1"/>
  <c r="W115" i="1"/>
  <c r="BH115" i="1" s="1"/>
  <c r="BJ115" i="1" s="1"/>
  <c r="BK115" i="1" s="1"/>
  <c r="BL115" i="1" s="1"/>
  <c r="BP211" i="1"/>
  <c r="BQ211" i="1" s="1"/>
  <c r="X211" i="1"/>
  <c r="BN211" i="1" s="1"/>
  <c r="BO211" i="1" s="1"/>
  <c r="W211" i="1"/>
  <c r="BH211" i="1" s="1"/>
  <c r="BJ211" i="1" s="1"/>
  <c r="BK211" i="1" s="1"/>
  <c r="BL211" i="1" s="1"/>
  <c r="W157" i="1"/>
  <c r="BH157" i="1" s="1"/>
  <c r="BJ157" i="1" s="1"/>
  <c r="BK157" i="1" s="1"/>
  <c r="BL157" i="1" s="1"/>
  <c r="X157" i="1"/>
  <c r="BN157" i="1" s="1"/>
  <c r="BO157" i="1" s="1"/>
  <c r="BP157" i="1"/>
  <c r="BQ157" i="1" s="1"/>
  <c r="W196" i="1"/>
  <c r="BH196" i="1" s="1"/>
  <c r="BJ196" i="1" s="1"/>
  <c r="BK196" i="1" s="1"/>
  <c r="BL196" i="1" s="1"/>
  <c r="BP196" i="1"/>
  <c r="BQ196" i="1" s="1"/>
  <c r="X196" i="1"/>
  <c r="BN196" i="1" s="1"/>
  <c r="BO196" i="1" s="1"/>
  <c r="W193" i="1"/>
  <c r="BH193" i="1" s="1"/>
  <c r="BJ193" i="1" s="1"/>
  <c r="BK193" i="1" s="1"/>
  <c r="BL193" i="1" s="1"/>
  <c r="BP193" i="1"/>
  <c r="BQ193" i="1" s="1"/>
  <c r="X193" i="1"/>
  <c r="BN193" i="1" s="1"/>
  <c r="BO193" i="1" s="1"/>
  <c r="W248" i="1"/>
  <c r="BH248" i="1" s="1"/>
  <c r="BJ248" i="1" s="1"/>
  <c r="BK248" i="1" s="1"/>
  <c r="BL248" i="1" s="1"/>
  <c r="X248" i="1"/>
  <c r="BN248" i="1" s="1"/>
  <c r="BO248" i="1" s="1"/>
  <c r="BP248" i="1"/>
  <c r="BQ248" i="1" s="1"/>
  <c r="BP154" i="1"/>
  <c r="BQ154" i="1" s="1"/>
  <c r="X154" i="1"/>
  <c r="BN154" i="1" s="1"/>
  <c r="BO154" i="1" s="1"/>
  <c r="W154" i="1"/>
  <c r="BH154" i="1" s="1"/>
  <c r="BJ154" i="1" s="1"/>
  <c r="BK154" i="1" s="1"/>
  <c r="BL154" i="1" s="1"/>
  <c r="X268" i="1"/>
  <c r="BN268" i="1" s="1"/>
  <c r="BO268" i="1" s="1"/>
  <c r="W268" i="1"/>
  <c r="BH268" i="1" s="1"/>
  <c r="BJ268" i="1" s="1"/>
  <c r="BK268" i="1" s="1"/>
  <c r="BL268" i="1" s="1"/>
  <c r="BP268" i="1"/>
  <c r="BQ268" i="1" s="1"/>
  <c r="BP108" i="1"/>
  <c r="BQ108" i="1" s="1"/>
  <c r="X108" i="1"/>
  <c r="BN108" i="1" s="1"/>
  <c r="BO108" i="1" s="1"/>
  <c r="W108" i="1"/>
  <c r="BH108" i="1" s="1"/>
  <c r="BJ108" i="1" s="1"/>
  <c r="BK108" i="1" s="1"/>
  <c r="BL108" i="1" s="1"/>
  <c r="BP66" i="1"/>
  <c r="BQ66" i="1" s="1"/>
  <c r="W66" i="1"/>
  <c r="BH66" i="1" s="1"/>
  <c r="BJ66" i="1" s="1"/>
  <c r="BK66" i="1" s="1"/>
  <c r="BL66" i="1" s="1"/>
  <c r="X66" i="1"/>
  <c r="BN66" i="1" s="1"/>
  <c r="BO66" i="1" s="1"/>
  <c r="BP99" i="1"/>
  <c r="BQ99" i="1" s="1"/>
  <c r="W99" i="1"/>
  <c r="BH99" i="1" s="1"/>
  <c r="BJ99" i="1" s="1"/>
  <c r="BK99" i="1" s="1"/>
  <c r="BL99" i="1" s="1"/>
  <c r="X99" i="1"/>
  <c r="BN99" i="1" s="1"/>
  <c r="BO99" i="1" s="1"/>
  <c r="BP153" i="1"/>
  <c r="BQ153" i="1" s="1"/>
  <c r="X153" i="1"/>
  <c r="BN153" i="1" s="1"/>
  <c r="BO153" i="1" s="1"/>
  <c r="W153" i="1"/>
  <c r="BH153" i="1" s="1"/>
  <c r="BJ153" i="1" s="1"/>
  <c r="BK153" i="1" s="1"/>
  <c r="BL153" i="1" s="1"/>
  <c r="BP171" i="1"/>
  <c r="BQ171" i="1" s="1"/>
  <c r="X171" i="1"/>
  <c r="BN171" i="1" s="1"/>
  <c r="BO171" i="1" s="1"/>
  <c r="W171" i="1"/>
  <c r="BH171" i="1" s="1"/>
  <c r="BJ171" i="1" s="1"/>
  <c r="BK171" i="1" s="1"/>
  <c r="BL171" i="1" s="1"/>
  <c r="W63" i="1"/>
  <c r="BH63" i="1" s="1"/>
  <c r="BJ63" i="1" s="1"/>
  <c r="BK63" i="1" s="1"/>
  <c r="BL63" i="1" s="1"/>
  <c r="BP63" i="1"/>
  <c r="BQ63" i="1" s="1"/>
  <c r="X63" i="1"/>
  <c r="BN63" i="1" s="1"/>
  <c r="BO63" i="1" s="1"/>
  <c r="BP123" i="1"/>
  <c r="X123" i="1"/>
  <c r="BN123" i="1" s="1"/>
  <c r="W123" i="1"/>
  <c r="BH123" i="1" s="1"/>
  <c r="BJ123" i="1" s="1"/>
  <c r="W133" i="1"/>
  <c r="BH133" i="1" s="1"/>
  <c r="BJ133" i="1" s="1"/>
  <c r="BK133" i="1" s="1"/>
  <c r="BL133" i="1" s="1"/>
  <c r="X133" i="1"/>
  <c r="BN133" i="1" s="1"/>
  <c r="BO133" i="1" s="1"/>
  <c r="BP133" i="1"/>
  <c r="BQ133" i="1" s="1"/>
  <c r="BP191" i="1"/>
  <c r="BQ191" i="1" s="1"/>
  <c r="X191" i="1"/>
  <c r="BN191" i="1" s="1"/>
  <c r="BO191" i="1" s="1"/>
  <c r="W191" i="1"/>
  <c r="BH191" i="1" s="1"/>
  <c r="BJ191" i="1" s="1"/>
  <c r="BK191" i="1" s="1"/>
  <c r="BL191" i="1" s="1"/>
  <c r="W205" i="1"/>
  <c r="BH205" i="1" s="1"/>
  <c r="BJ205" i="1" s="1"/>
  <c r="BK205" i="1" s="1"/>
  <c r="BL205" i="1" s="1"/>
  <c r="BP205" i="1"/>
  <c r="BQ205" i="1" s="1"/>
  <c r="X205" i="1"/>
  <c r="BN205" i="1" s="1"/>
  <c r="BO205" i="1" s="1"/>
  <c r="X250" i="1"/>
  <c r="BN250" i="1" s="1"/>
  <c r="BO250" i="1" s="1"/>
  <c r="W250" i="1"/>
  <c r="BH250" i="1" s="1"/>
  <c r="BJ250" i="1" s="1"/>
  <c r="BK250" i="1" s="1"/>
  <c r="BL250" i="1" s="1"/>
  <c r="BP250" i="1"/>
  <c r="BQ250" i="1" s="1"/>
  <c r="X89" i="1"/>
  <c r="BN89" i="1" s="1"/>
  <c r="BO89" i="1" s="1"/>
  <c r="BP89" i="1"/>
  <c r="BQ89" i="1" s="1"/>
  <c r="W89" i="1"/>
  <c r="BH89" i="1" s="1"/>
  <c r="BJ89" i="1" s="1"/>
  <c r="BK89" i="1" s="1"/>
  <c r="BL89" i="1" s="1"/>
  <c r="X216" i="1"/>
  <c r="BN216" i="1" s="1"/>
  <c r="BO216" i="1" s="1"/>
  <c r="W216" i="1"/>
  <c r="BH216" i="1" s="1"/>
  <c r="BJ216" i="1" s="1"/>
  <c r="BK216" i="1" s="1"/>
  <c r="BL216" i="1" s="1"/>
  <c r="BP216" i="1"/>
  <c r="BQ216" i="1" s="1"/>
  <c r="W177" i="1"/>
  <c r="BH177" i="1" s="1"/>
  <c r="BJ177" i="1" s="1"/>
  <c r="BK177" i="1" s="1"/>
  <c r="BL177" i="1" s="1"/>
  <c r="BP177" i="1"/>
  <c r="BQ177" i="1" s="1"/>
  <c r="X177" i="1"/>
  <c r="BN177" i="1" s="1"/>
  <c r="BO177" i="1" s="1"/>
  <c r="X257" i="1"/>
  <c r="BN257" i="1" s="1"/>
  <c r="BO257" i="1" s="1"/>
  <c r="W257" i="1"/>
  <c r="BH257" i="1" s="1"/>
  <c r="BJ257" i="1" s="1"/>
  <c r="BK257" i="1" s="1"/>
  <c r="BL257" i="1" s="1"/>
  <c r="BP257" i="1"/>
  <c r="BQ257" i="1" s="1"/>
  <c r="X159" i="1"/>
  <c r="BN159" i="1" s="1"/>
  <c r="BO159" i="1" s="1"/>
  <c r="W159" i="1"/>
  <c r="BH159" i="1" s="1"/>
  <c r="BJ159" i="1" s="1"/>
  <c r="BK159" i="1" s="1"/>
  <c r="BL159" i="1" s="1"/>
  <c r="BP159" i="1"/>
  <c r="BQ159" i="1" s="1"/>
  <c r="BP190" i="1"/>
  <c r="BQ190" i="1" s="1"/>
  <c r="X190" i="1"/>
  <c r="BN190" i="1" s="1"/>
  <c r="BO190" i="1" s="1"/>
  <c r="W190" i="1"/>
  <c r="BH190" i="1" s="1"/>
  <c r="BJ190" i="1" s="1"/>
  <c r="BK190" i="1" s="1"/>
  <c r="BL190" i="1" s="1"/>
  <c r="X238" i="1"/>
  <c r="BN238" i="1" s="1"/>
  <c r="BO238" i="1" s="1"/>
  <c r="BP238" i="1"/>
  <c r="BQ238" i="1" s="1"/>
  <c r="W238" i="1"/>
  <c r="BH238" i="1" s="1"/>
  <c r="BJ238" i="1" s="1"/>
  <c r="BK238" i="1" s="1"/>
  <c r="BL238" i="1" s="1"/>
  <c r="W202" i="1"/>
  <c r="BH202" i="1" s="1"/>
  <c r="BJ202" i="1" s="1"/>
  <c r="BK202" i="1" s="1"/>
  <c r="BL202" i="1" s="1"/>
  <c r="BP202" i="1"/>
  <c r="BQ202" i="1" s="1"/>
  <c r="X202" i="1"/>
  <c r="BN202" i="1" s="1"/>
  <c r="BO202" i="1" s="1"/>
  <c r="X111" i="1"/>
  <c r="BN111" i="1" s="1"/>
  <c r="BO111" i="1" s="1"/>
  <c r="W111" i="1"/>
  <c r="BH111" i="1" s="1"/>
  <c r="BJ111" i="1" s="1"/>
  <c r="BK111" i="1" s="1"/>
  <c r="BL111" i="1" s="1"/>
  <c r="BP111" i="1"/>
  <c r="BQ111" i="1" s="1"/>
  <c r="W184" i="1"/>
  <c r="BH184" i="1" s="1"/>
  <c r="BJ184" i="1" s="1"/>
  <c r="BK184" i="1" s="1"/>
  <c r="BL184" i="1" s="1"/>
  <c r="BP184" i="1"/>
  <c r="BQ184" i="1" s="1"/>
  <c r="X184" i="1"/>
  <c r="BN184" i="1" s="1"/>
  <c r="BO184" i="1" s="1"/>
  <c r="BP168" i="1"/>
  <c r="BQ168" i="1" s="1"/>
  <c r="X168" i="1"/>
  <c r="BN168" i="1" s="1"/>
  <c r="BO168" i="1" s="1"/>
  <c r="W168" i="1"/>
  <c r="BH168" i="1" s="1"/>
  <c r="BJ168" i="1" s="1"/>
  <c r="BK168" i="1" s="1"/>
  <c r="BL168" i="1" s="1"/>
  <c r="W116" i="1"/>
  <c r="BH116" i="1" s="1"/>
  <c r="BJ116" i="1" s="1"/>
  <c r="BK116" i="1" s="1"/>
  <c r="BL116" i="1" s="1"/>
  <c r="BP116" i="1"/>
  <c r="BQ116" i="1" s="1"/>
  <c r="X116" i="1"/>
  <c r="BN116" i="1" s="1"/>
  <c r="BO116" i="1" s="1"/>
  <c r="W217" i="1"/>
  <c r="BH217" i="1" s="1"/>
  <c r="BJ217" i="1" s="1"/>
  <c r="BK217" i="1" s="1"/>
  <c r="BL217" i="1" s="1"/>
  <c r="BP217" i="1"/>
  <c r="BQ217" i="1" s="1"/>
  <c r="X217" i="1"/>
  <c r="BN217" i="1" s="1"/>
  <c r="BO217" i="1" s="1"/>
  <c r="W90" i="1"/>
  <c r="BH90" i="1" s="1"/>
  <c r="BJ90" i="1" s="1"/>
  <c r="BK90" i="1" s="1"/>
  <c r="BL90" i="1" s="1"/>
  <c r="X90" i="1"/>
  <c r="BN90" i="1" s="1"/>
  <c r="BO90" i="1" s="1"/>
  <c r="BP90" i="1"/>
  <c r="BQ90" i="1" s="1"/>
  <c r="X233" i="1"/>
  <c r="BN233" i="1" s="1"/>
  <c r="BO233" i="1" s="1"/>
  <c r="BP233" i="1"/>
  <c r="BQ233" i="1" s="1"/>
  <c r="W233" i="1"/>
  <c r="BH233" i="1" s="1"/>
  <c r="BJ233" i="1" s="1"/>
  <c r="BK233" i="1" s="1"/>
  <c r="BL233" i="1" s="1"/>
  <c r="W161" i="1"/>
  <c r="BH161" i="1" s="1"/>
  <c r="BJ161" i="1" s="1"/>
  <c r="BK161" i="1" s="1"/>
  <c r="BL161" i="1" s="1"/>
  <c r="BP161" i="1"/>
  <c r="BQ161" i="1" s="1"/>
  <c r="X161" i="1"/>
  <c r="BN161" i="1" s="1"/>
  <c r="BO161" i="1" s="1"/>
  <c r="BP265" i="1"/>
  <c r="BQ265" i="1" s="1"/>
  <c r="X265" i="1"/>
  <c r="BN265" i="1" s="1"/>
  <c r="BO265" i="1" s="1"/>
  <c r="W265" i="1"/>
  <c r="BH265" i="1" s="1"/>
  <c r="BJ265" i="1" s="1"/>
  <c r="BK265" i="1" s="1"/>
  <c r="BL265" i="1" s="1"/>
  <c r="W102" i="1"/>
  <c r="BH102" i="1" s="1"/>
  <c r="BJ102" i="1" s="1"/>
  <c r="BK102" i="1" s="1"/>
  <c r="BL102" i="1" s="1"/>
  <c r="BP102" i="1"/>
  <c r="BQ102" i="1" s="1"/>
  <c r="X102" i="1"/>
  <c r="BN102" i="1" s="1"/>
  <c r="BO102" i="1" s="1"/>
  <c r="X172" i="1"/>
  <c r="BN172" i="1" s="1"/>
  <c r="BO172" i="1" s="1"/>
  <c r="BP172" i="1"/>
  <c r="BQ172" i="1" s="1"/>
  <c r="W172" i="1"/>
  <c r="BH172" i="1" s="1"/>
  <c r="BJ172" i="1" s="1"/>
  <c r="BK172" i="1" s="1"/>
  <c r="BL172" i="1" s="1"/>
  <c r="W187" i="1"/>
  <c r="BH187" i="1" s="1"/>
  <c r="BJ187" i="1" s="1"/>
  <c r="BK187" i="1" s="1"/>
  <c r="BL187" i="1" s="1"/>
  <c r="X187" i="1"/>
  <c r="BN187" i="1" s="1"/>
  <c r="BO187" i="1" s="1"/>
  <c r="BP187" i="1"/>
  <c r="BQ187" i="1" s="1"/>
  <c r="BP228" i="1"/>
  <c r="BQ228" i="1" s="1"/>
  <c r="X228" i="1"/>
  <c r="BN228" i="1" s="1"/>
  <c r="BO228" i="1" s="1"/>
  <c r="W228" i="1"/>
  <c r="BH228" i="1" s="1"/>
  <c r="BJ228" i="1" s="1"/>
  <c r="BK228" i="1" s="1"/>
  <c r="BL228" i="1" s="1"/>
  <c r="X246" i="1"/>
  <c r="BN246" i="1" s="1"/>
  <c r="BO246" i="1" s="1"/>
  <c r="W246" i="1"/>
  <c r="BH246" i="1" s="1"/>
  <c r="BJ246" i="1" s="1"/>
  <c r="BK246" i="1" s="1"/>
  <c r="BL246" i="1" s="1"/>
  <c r="BP246" i="1"/>
  <c r="BQ246" i="1" s="1"/>
  <c r="X254" i="1"/>
  <c r="BN254" i="1" s="1"/>
  <c r="BO254" i="1" s="1"/>
  <c r="BP254" i="1"/>
  <c r="BQ254" i="1" s="1"/>
  <c r="W254" i="1"/>
  <c r="BH254" i="1" s="1"/>
  <c r="BJ254" i="1" s="1"/>
  <c r="BK254" i="1" s="1"/>
  <c r="BL254" i="1" s="1"/>
  <c r="X194" i="1"/>
  <c r="BN194" i="1" s="1"/>
  <c r="BO194" i="1" s="1"/>
  <c r="W194" i="1"/>
  <c r="BH194" i="1" s="1"/>
  <c r="BJ194" i="1" s="1"/>
  <c r="BK194" i="1" s="1"/>
  <c r="BL194" i="1" s="1"/>
  <c r="BP194" i="1"/>
  <c r="BQ194" i="1" s="1"/>
  <c r="W199" i="1"/>
  <c r="BH199" i="1" s="1"/>
  <c r="BJ199" i="1" s="1"/>
  <c r="BK199" i="1" s="1"/>
  <c r="BL199" i="1" s="1"/>
  <c r="X199" i="1"/>
  <c r="BN199" i="1" s="1"/>
  <c r="BO199" i="1" s="1"/>
  <c r="BP199" i="1"/>
  <c r="BQ199" i="1" s="1"/>
  <c r="W220" i="1"/>
  <c r="BH220" i="1" s="1"/>
  <c r="BJ220" i="1" s="1"/>
  <c r="BK220" i="1" s="1"/>
  <c r="BL220" i="1" s="1"/>
  <c r="X220" i="1"/>
  <c r="BN220" i="1" s="1"/>
  <c r="BO220" i="1" s="1"/>
  <c r="BP220" i="1"/>
  <c r="BQ220" i="1" s="1"/>
  <c r="X272" i="1"/>
  <c r="BN272" i="1" s="1"/>
  <c r="BO272" i="1" s="1"/>
  <c r="BP272" i="1"/>
  <c r="BQ272" i="1" s="1"/>
  <c r="W272" i="1"/>
  <c r="BH272" i="1" s="1"/>
  <c r="BJ272" i="1" s="1"/>
  <c r="BK272" i="1" s="1"/>
  <c r="BL272" i="1" s="1"/>
  <c r="W245" i="1"/>
  <c r="BH245" i="1" s="1"/>
  <c r="BJ245" i="1" s="1"/>
  <c r="BK245" i="1" s="1"/>
  <c r="BL245" i="1" s="1"/>
  <c r="X245" i="1"/>
  <c r="BN245" i="1" s="1"/>
  <c r="BO245" i="1" s="1"/>
  <c r="BP245" i="1"/>
  <c r="BQ245" i="1" s="1"/>
  <c r="BP271" i="1"/>
  <c r="BQ271" i="1" s="1"/>
  <c r="W271" i="1"/>
  <c r="BH271" i="1" s="1"/>
  <c r="BJ271" i="1" s="1"/>
  <c r="BK271" i="1" s="1"/>
  <c r="BL271" i="1" s="1"/>
  <c r="X271" i="1"/>
  <c r="BN271" i="1" s="1"/>
  <c r="BO271" i="1" s="1"/>
  <c r="X213" i="1"/>
  <c r="BN213" i="1" s="1"/>
  <c r="BO213" i="1" s="1"/>
  <c r="W213" i="1"/>
  <c r="BH213" i="1" s="1"/>
  <c r="BJ213" i="1" s="1"/>
  <c r="BK213" i="1" s="1"/>
  <c r="BL213" i="1" s="1"/>
  <c r="BP213" i="1"/>
  <c r="BQ213" i="1" s="1"/>
  <c r="W103" i="1"/>
  <c r="BH103" i="1" s="1"/>
  <c r="BJ103" i="1" s="1"/>
  <c r="BK103" i="1" s="1"/>
  <c r="BL103" i="1" s="1"/>
  <c r="X103" i="1"/>
  <c r="BN103" i="1" s="1"/>
  <c r="BO103" i="1" s="1"/>
  <c r="BP103" i="1"/>
  <c r="BQ103" i="1" s="1"/>
  <c r="W253" i="1"/>
  <c r="BH253" i="1" s="1"/>
  <c r="BJ253" i="1" s="1"/>
  <c r="BK253" i="1" s="1"/>
  <c r="BL253" i="1" s="1"/>
  <c r="X253" i="1"/>
  <c r="BN253" i="1" s="1"/>
  <c r="BO253" i="1" s="1"/>
  <c r="BP253" i="1"/>
  <c r="BQ253" i="1" s="1"/>
  <c r="X244" i="1"/>
  <c r="BN244" i="1" s="1"/>
  <c r="BO244" i="1" s="1"/>
  <c r="BP244" i="1"/>
  <c r="BQ244" i="1" s="1"/>
  <c r="W244" i="1"/>
  <c r="BH244" i="1" s="1"/>
  <c r="BJ244" i="1" s="1"/>
  <c r="BK244" i="1" s="1"/>
  <c r="BL244" i="1" s="1"/>
  <c r="X142" i="1"/>
  <c r="BN142" i="1" s="1"/>
  <c r="BO142" i="1" s="1"/>
  <c r="W142" i="1"/>
  <c r="BH142" i="1" s="1"/>
  <c r="BJ142" i="1" s="1"/>
  <c r="BK142" i="1" s="1"/>
  <c r="BL142" i="1" s="1"/>
  <c r="BP142" i="1"/>
  <c r="BQ142" i="1" s="1"/>
  <c r="W92" i="1"/>
  <c r="BH92" i="1" s="1"/>
  <c r="BJ92" i="1" s="1"/>
  <c r="BK92" i="1" s="1"/>
  <c r="BL92" i="1" s="1"/>
  <c r="BP92" i="1"/>
  <c r="BQ92" i="1" s="1"/>
  <c r="X92" i="1"/>
  <c r="BN92" i="1" s="1"/>
  <c r="BO92" i="1" s="1"/>
  <c r="BP147" i="1"/>
  <c r="BQ147" i="1" s="1"/>
  <c r="W147" i="1"/>
  <c r="BH147" i="1" s="1"/>
  <c r="BJ147" i="1" s="1"/>
  <c r="BK147" i="1" s="1"/>
  <c r="BL147" i="1" s="1"/>
  <c r="X147" i="1"/>
  <c r="BN147" i="1" s="1"/>
  <c r="BO147" i="1" s="1"/>
  <c r="W197" i="1"/>
  <c r="BH197" i="1" s="1"/>
  <c r="BJ197" i="1" s="1"/>
  <c r="BK197" i="1" s="1"/>
  <c r="BL197" i="1" s="1"/>
  <c r="BP197" i="1"/>
  <c r="BQ197" i="1" s="1"/>
  <c r="X197" i="1"/>
  <c r="BN197" i="1" s="1"/>
  <c r="BO197" i="1" s="1"/>
  <c r="W239" i="1"/>
  <c r="BH239" i="1" s="1"/>
  <c r="BJ239" i="1" s="1"/>
  <c r="BK239" i="1" s="1"/>
  <c r="BL239" i="1" s="1"/>
  <c r="X239" i="1"/>
  <c r="BN239" i="1" s="1"/>
  <c r="BO239" i="1" s="1"/>
  <c r="BP239" i="1"/>
  <c r="BQ239" i="1" s="1"/>
  <c r="W74" i="1"/>
  <c r="BH74" i="1" s="1"/>
  <c r="BJ74" i="1" s="1"/>
  <c r="BK74" i="1" s="1"/>
  <c r="BL74" i="1" s="1"/>
  <c r="X74" i="1"/>
  <c r="BN74" i="1" s="1"/>
  <c r="BO74" i="1" s="1"/>
  <c r="BP74" i="1"/>
  <c r="BQ74" i="1" s="1"/>
  <c r="X141" i="1"/>
  <c r="BN141" i="1" s="1"/>
  <c r="BO141" i="1" s="1"/>
  <c r="BP141" i="1"/>
  <c r="BQ141" i="1" s="1"/>
  <c r="W141" i="1"/>
  <c r="BH141" i="1" s="1"/>
  <c r="BJ141" i="1" s="1"/>
  <c r="BK141" i="1" s="1"/>
  <c r="BL141" i="1" s="1"/>
  <c r="BP72" i="1"/>
  <c r="BQ72" i="1" s="1"/>
  <c r="W72" i="1"/>
  <c r="BH72" i="1" s="1"/>
  <c r="BJ72" i="1" s="1"/>
  <c r="BK72" i="1" s="1"/>
  <c r="BL72" i="1" s="1"/>
  <c r="X72" i="1"/>
  <c r="BN72" i="1" s="1"/>
  <c r="BO72" i="1" s="1"/>
  <c r="W93" i="1"/>
  <c r="BH93" i="1" s="1"/>
  <c r="BJ93" i="1" s="1"/>
  <c r="BK93" i="1" s="1"/>
  <c r="BL93" i="1" s="1"/>
  <c r="BP93" i="1"/>
  <c r="BQ93" i="1" s="1"/>
  <c r="X93" i="1"/>
  <c r="BN93" i="1" s="1"/>
  <c r="BO93" i="1" s="1"/>
  <c r="BP149" i="1"/>
  <c r="BQ149" i="1" s="1"/>
  <c r="X149" i="1"/>
  <c r="BN149" i="1" s="1"/>
  <c r="BO149" i="1" s="1"/>
  <c r="W149" i="1"/>
  <c r="BH149" i="1" s="1"/>
  <c r="BJ149" i="1" s="1"/>
  <c r="BK149" i="1" s="1"/>
  <c r="BL149" i="1" s="1"/>
  <c r="BP82" i="1"/>
  <c r="BQ82" i="1" s="1"/>
  <c r="X82" i="1"/>
  <c r="BN82" i="1" s="1"/>
  <c r="BO82" i="1" s="1"/>
  <c r="W82" i="1"/>
  <c r="BH82" i="1" s="1"/>
  <c r="BJ82" i="1" s="1"/>
  <c r="BK82" i="1" s="1"/>
  <c r="BL82" i="1" s="1"/>
  <c r="X101" i="1"/>
  <c r="BN101" i="1" s="1"/>
  <c r="BO101" i="1" s="1"/>
  <c r="BP101" i="1"/>
  <c r="BQ101" i="1" s="1"/>
  <c r="W101" i="1"/>
  <c r="BH101" i="1" s="1"/>
  <c r="BJ101" i="1" s="1"/>
  <c r="BK101" i="1" s="1"/>
  <c r="BL101" i="1" s="1"/>
  <c r="W264" i="1"/>
  <c r="BH264" i="1" s="1"/>
  <c r="BJ264" i="1" s="1"/>
  <c r="BK264" i="1" s="1"/>
  <c r="BL264" i="1" s="1"/>
  <c r="BP264" i="1"/>
  <c r="BQ264" i="1" s="1"/>
  <c r="X264" i="1"/>
  <c r="BN264" i="1" s="1"/>
  <c r="BO264" i="1" s="1"/>
  <c r="X106" i="1"/>
  <c r="BN106" i="1" s="1"/>
  <c r="BO106" i="1" s="1"/>
  <c r="W106" i="1"/>
  <c r="BH106" i="1" s="1"/>
  <c r="BJ106" i="1" s="1"/>
  <c r="BK106" i="1" s="1"/>
  <c r="BL106" i="1" s="1"/>
  <c r="BP106" i="1"/>
  <c r="BQ106" i="1" s="1"/>
  <c r="X214" i="1"/>
  <c r="BN214" i="1" s="1"/>
  <c r="BO214" i="1" s="1"/>
  <c r="W214" i="1"/>
  <c r="BH214" i="1" s="1"/>
  <c r="BJ214" i="1" s="1"/>
  <c r="BK214" i="1" s="1"/>
  <c r="BL214" i="1" s="1"/>
  <c r="BP214" i="1"/>
  <c r="BQ214" i="1" s="1"/>
  <c r="X125" i="1"/>
  <c r="BN125" i="1" s="1"/>
  <c r="BP125" i="1"/>
  <c r="W125" i="1"/>
  <c r="BH125" i="1" s="1"/>
  <c r="BJ125" i="1" s="1"/>
  <c r="W124" i="1"/>
  <c r="BH124" i="1" s="1"/>
  <c r="BJ124" i="1" s="1"/>
  <c r="BK124" i="1" s="1"/>
  <c r="BL124" i="1" s="1"/>
  <c r="BP124" i="1"/>
  <c r="BQ124" i="1" s="1"/>
  <c r="X124" i="1"/>
  <c r="BN124" i="1" s="1"/>
  <c r="BO124" i="1" s="1"/>
  <c r="W212" i="1"/>
  <c r="BH212" i="1" s="1"/>
  <c r="BJ212" i="1" s="1"/>
  <c r="BK212" i="1" s="1"/>
  <c r="BL212" i="1" s="1"/>
  <c r="BP212" i="1"/>
  <c r="BQ212" i="1" s="1"/>
  <c r="X212" i="1"/>
  <c r="BN212" i="1" s="1"/>
  <c r="BO212" i="1" s="1"/>
  <c r="X71" i="1"/>
  <c r="BN71" i="1" s="1"/>
  <c r="BO71" i="1" s="1"/>
  <c r="BP71" i="1"/>
  <c r="BQ71" i="1" s="1"/>
  <c r="W71" i="1"/>
  <c r="BH71" i="1" s="1"/>
  <c r="BJ71" i="1" s="1"/>
  <c r="BK71" i="1" s="1"/>
  <c r="BL71" i="1" s="1"/>
  <c r="BP252" i="1"/>
  <c r="BQ252" i="1" s="1"/>
  <c r="X252" i="1"/>
  <c r="BN252" i="1" s="1"/>
  <c r="BO252" i="1" s="1"/>
  <c r="W252" i="1"/>
  <c r="BH252" i="1" s="1"/>
  <c r="BJ252" i="1" s="1"/>
  <c r="BK252" i="1" s="1"/>
  <c r="BL252" i="1" s="1"/>
  <c r="W83" i="1"/>
  <c r="BH83" i="1" s="1"/>
  <c r="BJ83" i="1" s="1"/>
  <c r="BK83" i="1" s="1"/>
  <c r="BL83" i="1" s="1"/>
  <c r="BP83" i="1"/>
  <c r="BQ83" i="1" s="1"/>
  <c r="X83" i="1"/>
  <c r="BN83" i="1" s="1"/>
  <c r="BO83" i="1" s="1"/>
  <c r="X100" i="1"/>
  <c r="BN100" i="1" s="1"/>
  <c r="BO100" i="1" s="1"/>
  <c r="BP100" i="1"/>
  <c r="BQ100" i="1" s="1"/>
  <c r="W100" i="1"/>
  <c r="BH100" i="1" s="1"/>
  <c r="BJ100" i="1" s="1"/>
  <c r="BK100" i="1" s="1"/>
  <c r="BL100" i="1" s="1"/>
  <c r="BP69" i="1"/>
  <c r="BQ69" i="1" s="1"/>
  <c r="W69" i="1"/>
  <c r="BH69" i="1" s="1"/>
  <c r="BJ69" i="1" s="1"/>
  <c r="BK69" i="1" s="1"/>
  <c r="BL69" i="1" s="1"/>
  <c r="X69" i="1"/>
  <c r="BN69" i="1" s="1"/>
  <c r="BO69" i="1" s="1"/>
  <c r="W189" i="1"/>
  <c r="BH189" i="1" s="1"/>
  <c r="BJ189" i="1" s="1"/>
  <c r="BK189" i="1" s="1"/>
  <c r="BL189" i="1" s="1"/>
  <c r="BP189" i="1"/>
  <c r="BQ189" i="1" s="1"/>
  <c r="X189" i="1"/>
  <c r="BN189" i="1" s="1"/>
  <c r="BO189" i="1" s="1"/>
  <c r="BP256" i="1"/>
  <c r="BQ256" i="1" s="1"/>
  <c r="X256" i="1"/>
  <c r="BN256" i="1" s="1"/>
  <c r="BO256" i="1" s="1"/>
  <c r="W256" i="1"/>
  <c r="BH256" i="1" s="1"/>
  <c r="BJ256" i="1" s="1"/>
  <c r="BK256" i="1" s="1"/>
  <c r="BL256" i="1" s="1"/>
  <c r="X224" i="1"/>
  <c r="BN224" i="1" s="1"/>
  <c r="BO224" i="1" s="1"/>
  <c r="W224" i="1"/>
  <c r="BH224" i="1" s="1"/>
  <c r="BJ224" i="1" s="1"/>
  <c r="BK224" i="1" s="1"/>
  <c r="BL224" i="1" s="1"/>
  <c r="BP224" i="1"/>
  <c r="BQ224" i="1" s="1"/>
  <c r="W138" i="1"/>
  <c r="BH138" i="1" s="1"/>
  <c r="BJ138" i="1" s="1"/>
  <c r="BK138" i="1" s="1"/>
  <c r="BL138" i="1" s="1"/>
  <c r="X138" i="1"/>
  <c r="BN138" i="1" s="1"/>
  <c r="BO138" i="1" s="1"/>
  <c r="BP138" i="1"/>
  <c r="BQ138" i="1" s="1"/>
  <c r="W260" i="1"/>
  <c r="BH260" i="1" s="1"/>
  <c r="BJ260" i="1" s="1"/>
  <c r="BK260" i="1" s="1"/>
  <c r="BL260" i="1" s="1"/>
  <c r="X260" i="1"/>
  <c r="BN260" i="1" s="1"/>
  <c r="BO260" i="1" s="1"/>
  <c r="BP260" i="1"/>
  <c r="BQ260" i="1" s="1"/>
  <c r="BP266" i="1"/>
  <c r="BQ266" i="1" s="1"/>
  <c r="W266" i="1"/>
  <c r="BH266" i="1" s="1"/>
  <c r="BJ266" i="1" s="1"/>
  <c r="BK266" i="1" s="1"/>
  <c r="BL266" i="1" s="1"/>
  <c r="X266" i="1"/>
  <c r="BN266" i="1" s="1"/>
  <c r="BO266" i="1" s="1"/>
  <c r="W178" i="1"/>
  <c r="BH178" i="1" s="1"/>
  <c r="BJ178" i="1" s="1"/>
  <c r="BK178" i="1" s="1"/>
  <c r="BL178" i="1" s="1"/>
  <c r="X178" i="1"/>
  <c r="BN178" i="1" s="1"/>
  <c r="BO178" i="1" s="1"/>
  <c r="BP178" i="1"/>
  <c r="BQ178" i="1" s="1"/>
  <c r="BP242" i="1"/>
  <c r="BQ242" i="1" s="1"/>
  <c r="X242" i="1"/>
  <c r="BN242" i="1" s="1"/>
  <c r="BO242" i="1" s="1"/>
  <c r="W242" i="1"/>
  <c r="BH242" i="1" s="1"/>
  <c r="BJ242" i="1" s="1"/>
  <c r="BK242" i="1" s="1"/>
  <c r="BL242" i="1" s="1"/>
  <c r="BP70" i="1"/>
  <c r="BQ70" i="1" s="1"/>
  <c r="X70" i="1"/>
  <c r="BN70" i="1" s="1"/>
  <c r="BO70" i="1" s="1"/>
  <c r="W70" i="1"/>
  <c r="BH70" i="1" s="1"/>
  <c r="BJ70" i="1" s="1"/>
  <c r="BK70" i="1" s="1"/>
  <c r="BL70" i="1" s="1"/>
  <c r="X181" i="1"/>
  <c r="BN181" i="1" s="1"/>
  <c r="BO181" i="1" s="1"/>
  <c r="BP181" i="1"/>
  <c r="BQ181" i="1" s="1"/>
  <c r="W181" i="1"/>
  <c r="BH181" i="1" s="1"/>
  <c r="BJ181" i="1" s="1"/>
  <c r="BK181" i="1" s="1"/>
  <c r="BL181" i="1" s="1"/>
  <c r="W192" i="1"/>
  <c r="BH192" i="1" s="1"/>
  <c r="BJ192" i="1" s="1"/>
  <c r="BK192" i="1" s="1"/>
  <c r="BL192" i="1" s="1"/>
  <c r="X192" i="1"/>
  <c r="BN192" i="1" s="1"/>
  <c r="BO192" i="1" s="1"/>
  <c r="BP192" i="1"/>
  <c r="BQ192" i="1" s="1"/>
  <c r="W200" i="1"/>
  <c r="BH200" i="1" s="1"/>
  <c r="BJ200" i="1" s="1"/>
  <c r="BK200" i="1" s="1"/>
  <c r="BL200" i="1" s="1"/>
  <c r="X200" i="1"/>
  <c r="BN200" i="1" s="1"/>
  <c r="BO200" i="1" s="1"/>
  <c r="BP200" i="1"/>
  <c r="BQ200" i="1" s="1"/>
  <c r="X118" i="1"/>
  <c r="BN118" i="1" s="1"/>
  <c r="BO118" i="1" s="1"/>
  <c r="BP118" i="1"/>
  <c r="BQ118" i="1" s="1"/>
  <c r="W118" i="1"/>
  <c r="BH118" i="1" s="1"/>
  <c r="BJ118" i="1" s="1"/>
  <c r="BK118" i="1" s="1"/>
  <c r="BL118" i="1" s="1"/>
  <c r="BP223" i="1"/>
  <c r="BQ223" i="1" s="1"/>
  <c r="X223" i="1"/>
  <c r="BN223" i="1" s="1"/>
  <c r="BO223" i="1" s="1"/>
  <c r="W223" i="1"/>
  <c r="BH223" i="1" s="1"/>
  <c r="BJ223" i="1" s="1"/>
  <c r="BK223" i="1" s="1"/>
  <c r="BL223" i="1" s="1"/>
  <c r="W241" i="1"/>
  <c r="BH241" i="1" s="1"/>
  <c r="BJ241" i="1" s="1"/>
  <c r="BK241" i="1" s="1"/>
  <c r="BL241" i="1" s="1"/>
  <c r="BP241" i="1"/>
  <c r="BQ241" i="1" s="1"/>
  <c r="X241" i="1"/>
  <c r="BN241" i="1" s="1"/>
  <c r="BO241" i="1" s="1"/>
  <c r="W163" i="1"/>
  <c r="BH163" i="1" s="1"/>
  <c r="BJ163" i="1" s="1"/>
  <c r="BK163" i="1" s="1"/>
  <c r="BL163" i="1" s="1"/>
  <c r="BP163" i="1"/>
  <c r="BQ163" i="1" s="1"/>
  <c r="X163" i="1"/>
  <c r="BN163" i="1" s="1"/>
  <c r="BO163" i="1" s="1"/>
  <c r="BP203" i="1"/>
  <c r="BQ203" i="1" s="1"/>
  <c r="X203" i="1"/>
  <c r="BN203" i="1" s="1"/>
  <c r="BO203" i="1" s="1"/>
  <c r="W203" i="1"/>
  <c r="BH203" i="1" s="1"/>
  <c r="BJ203" i="1" s="1"/>
  <c r="BK203" i="1" s="1"/>
  <c r="BL203" i="1" s="1"/>
  <c r="BP210" i="1"/>
  <c r="BQ210" i="1" s="1"/>
  <c r="W210" i="1"/>
  <c r="BH210" i="1" s="1"/>
  <c r="BJ210" i="1" s="1"/>
  <c r="BK210" i="1" s="1"/>
  <c r="BL210" i="1" s="1"/>
  <c r="X210" i="1"/>
  <c r="BN210" i="1" s="1"/>
  <c r="BO210" i="1" s="1"/>
  <c r="W65" i="1"/>
  <c r="BH65" i="1" s="1"/>
  <c r="BJ65" i="1" s="1"/>
  <c r="BP65" i="1"/>
  <c r="X65" i="1"/>
  <c r="BN65" i="1" s="1"/>
  <c r="W85" i="1"/>
  <c r="BH85" i="1" s="1"/>
  <c r="BJ85" i="1" s="1"/>
  <c r="BK85" i="1" s="1"/>
  <c r="BL85" i="1" s="1"/>
  <c r="BP85" i="1"/>
  <c r="BQ85" i="1" s="1"/>
  <c r="X85" i="1"/>
  <c r="BN85" i="1" s="1"/>
  <c r="BO85" i="1" s="1"/>
  <c r="W209" i="1"/>
  <c r="BH209" i="1" s="1"/>
  <c r="BJ209" i="1" s="1"/>
  <c r="BK209" i="1" s="1"/>
  <c r="BL209" i="1" s="1"/>
  <c r="BP209" i="1"/>
  <c r="BQ209" i="1" s="1"/>
  <c r="X209" i="1"/>
  <c r="BN209" i="1" s="1"/>
  <c r="BO209" i="1" s="1"/>
  <c r="W137" i="1"/>
  <c r="BH137" i="1" s="1"/>
  <c r="BJ137" i="1" s="1"/>
  <c r="BK137" i="1" s="1"/>
  <c r="BL137" i="1" s="1"/>
  <c r="X137" i="1"/>
  <c r="BN137" i="1" s="1"/>
  <c r="BO137" i="1" s="1"/>
  <c r="BP137" i="1"/>
  <c r="BQ137" i="1" s="1"/>
  <c r="BP140" i="1"/>
  <c r="BQ140" i="1" s="1"/>
  <c r="X140" i="1"/>
  <c r="BN140" i="1" s="1"/>
  <c r="BO140" i="1" s="1"/>
  <c r="W140" i="1"/>
  <c r="BH140" i="1" s="1"/>
  <c r="BJ140" i="1" s="1"/>
  <c r="BK140" i="1" s="1"/>
  <c r="BL140" i="1" s="1"/>
  <c r="W226" i="1"/>
  <c r="BH226" i="1" s="1"/>
  <c r="BJ226" i="1" s="1"/>
  <c r="BK226" i="1" s="1"/>
  <c r="BL226" i="1" s="1"/>
  <c r="BP226" i="1"/>
  <c r="BQ226" i="1" s="1"/>
  <c r="X226" i="1"/>
  <c r="BN226" i="1" s="1"/>
  <c r="BO226" i="1" s="1"/>
  <c r="BP134" i="1"/>
  <c r="BQ134" i="1" s="1"/>
  <c r="W134" i="1"/>
  <c r="BH134" i="1" s="1"/>
  <c r="BJ134" i="1" s="1"/>
  <c r="BK134" i="1" s="1"/>
  <c r="BL134" i="1" s="1"/>
  <c r="X134" i="1"/>
  <c r="BN134" i="1" s="1"/>
  <c r="BO134" i="1" s="1"/>
  <c r="X247" i="1"/>
  <c r="BN247" i="1" s="1"/>
  <c r="BO247" i="1" s="1"/>
  <c r="W247" i="1"/>
  <c r="BH247" i="1" s="1"/>
  <c r="BJ247" i="1" s="1"/>
  <c r="BK247" i="1" s="1"/>
  <c r="BL247" i="1" s="1"/>
  <c r="BP247" i="1"/>
  <c r="BQ247" i="1" s="1"/>
  <c r="BP176" i="1"/>
  <c r="BQ176" i="1" s="1"/>
  <c r="X176" i="1"/>
  <c r="BN176" i="1" s="1"/>
  <c r="BO176" i="1" s="1"/>
  <c r="W176" i="1"/>
  <c r="BH176" i="1" s="1"/>
  <c r="BJ176" i="1" s="1"/>
  <c r="BK176" i="1" s="1"/>
  <c r="BL176" i="1" s="1"/>
  <c r="W105" i="1"/>
  <c r="BH105" i="1" s="1"/>
  <c r="BJ105" i="1" s="1"/>
  <c r="BK105" i="1" s="1"/>
  <c r="BL105" i="1" s="1"/>
  <c r="X105" i="1"/>
  <c r="BN105" i="1" s="1"/>
  <c r="BO105" i="1" s="1"/>
  <c r="BP105" i="1"/>
  <c r="BQ105" i="1" s="1"/>
  <c r="BP175" i="1"/>
  <c r="BQ175" i="1" s="1"/>
  <c r="X175" i="1"/>
  <c r="BN175" i="1" s="1"/>
  <c r="BO175" i="1" s="1"/>
  <c r="W175" i="1"/>
  <c r="BH175" i="1" s="1"/>
  <c r="BJ175" i="1" s="1"/>
  <c r="BK175" i="1" s="1"/>
  <c r="BL175" i="1" s="1"/>
  <c r="W206" i="1"/>
  <c r="BH206" i="1" s="1"/>
  <c r="BJ206" i="1" s="1"/>
  <c r="BK206" i="1" s="1"/>
  <c r="BL206" i="1" s="1"/>
  <c r="BP206" i="1"/>
  <c r="BQ206" i="1" s="1"/>
  <c r="X206" i="1"/>
  <c r="BN206" i="1" s="1"/>
  <c r="BO206" i="1" s="1"/>
  <c r="BP130" i="1"/>
  <c r="BQ130" i="1" s="1"/>
  <c r="W130" i="1"/>
  <c r="BH130" i="1" s="1"/>
  <c r="BJ130" i="1" s="1"/>
  <c r="BK130" i="1" s="1"/>
  <c r="BL130" i="1" s="1"/>
  <c r="X130" i="1"/>
  <c r="BN130" i="1" s="1"/>
  <c r="BO130" i="1" s="1"/>
  <c r="W232" i="1"/>
  <c r="BH232" i="1" s="1"/>
  <c r="BJ232" i="1" s="1"/>
  <c r="BK232" i="1" s="1"/>
  <c r="BL232" i="1" s="1"/>
  <c r="BP232" i="1"/>
  <c r="BQ232" i="1" s="1"/>
  <c r="X232" i="1"/>
  <c r="BN232" i="1" s="1"/>
  <c r="BO232" i="1" s="1"/>
  <c r="X11" i="1"/>
  <c r="BN11" i="1" s="1"/>
  <c r="BO11" i="1" s="1"/>
  <c r="W11" i="1"/>
  <c r="BH11" i="1" s="1"/>
  <c r="BP11" i="1"/>
  <c r="BQ11" i="1" s="1"/>
  <c r="BX11" i="1" s="1"/>
  <c r="BY11" i="1" s="1"/>
  <c r="W145" i="1"/>
  <c r="BH145" i="1" s="1"/>
  <c r="BJ145" i="1" s="1"/>
  <c r="BK145" i="1" s="1"/>
  <c r="BL145" i="1" s="1"/>
  <c r="BP145" i="1"/>
  <c r="BQ145" i="1" s="1"/>
  <c r="X145" i="1"/>
  <c r="BN145" i="1" s="1"/>
  <c r="BO145" i="1" s="1"/>
  <c r="W179" i="1"/>
  <c r="BH179" i="1" s="1"/>
  <c r="BJ179" i="1" s="1"/>
  <c r="BK179" i="1" s="1"/>
  <c r="BL179" i="1" s="1"/>
  <c r="BP179" i="1"/>
  <c r="BQ179" i="1" s="1"/>
  <c r="X179" i="1"/>
  <c r="BN179" i="1" s="1"/>
  <c r="BO179" i="1" s="1"/>
  <c r="X86" i="1"/>
  <c r="BN86" i="1" s="1"/>
  <c r="BO86" i="1" s="1"/>
  <c r="BP86" i="1"/>
  <c r="BQ86" i="1" s="1"/>
  <c r="W86" i="1"/>
  <c r="BH86" i="1" s="1"/>
  <c r="BJ86" i="1" s="1"/>
  <c r="BK86" i="1" s="1"/>
  <c r="BL86" i="1" s="1"/>
  <c r="BP164" i="1"/>
  <c r="BQ164" i="1" s="1"/>
  <c r="W164" i="1"/>
  <c r="BH164" i="1" s="1"/>
  <c r="BJ164" i="1" s="1"/>
  <c r="BK164" i="1" s="1"/>
  <c r="BL164" i="1" s="1"/>
  <c r="X164" i="1"/>
  <c r="BN164" i="1" s="1"/>
  <c r="BO164" i="1" s="1"/>
  <c r="W79" i="1"/>
  <c r="BH79" i="1" s="1"/>
  <c r="BJ79" i="1" s="1"/>
  <c r="BK79" i="1" s="1"/>
  <c r="BL79" i="1" s="1"/>
  <c r="BP79" i="1"/>
  <c r="BQ79" i="1" s="1"/>
  <c r="X79" i="1"/>
  <c r="BN79" i="1" s="1"/>
  <c r="BO79" i="1" s="1"/>
  <c r="BP165" i="1"/>
  <c r="BQ165" i="1" s="1"/>
  <c r="W165" i="1"/>
  <c r="BH165" i="1" s="1"/>
  <c r="BJ165" i="1" s="1"/>
  <c r="BK165" i="1" s="1"/>
  <c r="BL165" i="1" s="1"/>
  <c r="X165" i="1"/>
  <c r="BN165" i="1" s="1"/>
  <c r="BO165" i="1" s="1"/>
  <c r="X249" i="1"/>
  <c r="BN249" i="1" s="1"/>
  <c r="BO249" i="1" s="1"/>
  <c r="BP249" i="1"/>
  <c r="BQ249" i="1" s="1"/>
  <c r="W249" i="1"/>
  <c r="BH249" i="1" s="1"/>
  <c r="BJ249" i="1" s="1"/>
  <c r="BK249" i="1" s="1"/>
  <c r="BL249" i="1" s="1"/>
  <c r="W155" i="1"/>
  <c r="BH155" i="1" s="1"/>
  <c r="BJ155" i="1" s="1"/>
  <c r="BK155" i="1" s="1"/>
  <c r="BL155" i="1" s="1"/>
  <c r="X155" i="1"/>
  <c r="BN155" i="1" s="1"/>
  <c r="BO155" i="1" s="1"/>
  <c r="BP155" i="1"/>
  <c r="BQ155" i="1" s="1"/>
  <c r="W107" i="1"/>
  <c r="BH107" i="1" s="1"/>
  <c r="BJ107" i="1" s="1"/>
  <c r="BK107" i="1" s="1"/>
  <c r="BL107" i="1" s="1"/>
  <c r="BP107" i="1"/>
  <c r="BQ107" i="1" s="1"/>
  <c r="X107" i="1"/>
  <c r="BN107" i="1" s="1"/>
  <c r="BO107" i="1" s="1"/>
  <c r="X236" i="1"/>
  <c r="BN236" i="1" s="1"/>
  <c r="BO236" i="1" s="1"/>
  <c r="W236" i="1"/>
  <c r="BH236" i="1" s="1"/>
  <c r="BJ236" i="1" s="1"/>
  <c r="BK236" i="1" s="1"/>
  <c r="BL236" i="1" s="1"/>
  <c r="BP236" i="1"/>
  <c r="BQ236" i="1" s="1"/>
  <c r="X243" i="1"/>
  <c r="BN243" i="1" s="1"/>
  <c r="BO243" i="1" s="1"/>
  <c r="BP243" i="1"/>
  <c r="BQ243" i="1" s="1"/>
  <c r="W243" i="1"/>
  <c r="BH243" i="1" s="1"/>
  <c r="BJ243" i="1" s="1"/>
  <c r="BK243" i="1" s="1"/>
  <c r="BL243" i="1" s="1"/>
  <c r="BP88" i="1"/>
  <c r="BQ88" i="1" s="1"/>
  <c r="X88" i="1"/>
  <c r="BN88" i="1" s="1"/>
  <c r="BO88" i="1" s="1"/>
  <c r="W88" i="1"/>
  <c r="BH88" i="1" s="1"/>
  <c r="BJ88" i="1" s="1"/>
  <c r="BK88" i="1" s="1"/>
  <c r="BL88" i="1" s="1"/>
  <c r="W139" i="1"/>
  <c r="BH139" i="1" s="1"/>
  <c r="BJ139" i="1" s="1"/>
  <c r="BK139" i="1" s="1"/>
  <c r="BL139" i="1" s="1"/>
  <c r="X139" i="1"/>
  <c r="BN139" i="1" s="1"/>
  <c r="BO139" i="1" s="1"/>
  <c r="BP139" i="1"/>
  <c r="BQ139" i="1" s="1"/>
  <c r="AY63" i="1"/>
  <c r="AZ63" i="1" s="1"/>
  <c r="AY72" i="1"/>
  <c r="AZ72" i="1" s="1"/>
  <c r="AY66" i="1"/>
  <c r="AZ66" i="1" s="1"/>
  <c r="BF69" i="1"/>
  <c r="BD69" i="1"/>
  <c r="BE69" i="1"/>
  <c r="BC69" i="1"/>
  <c r="BB69" i="1"/>
  <c r="AY69" i="1"/>
  <c r="AZ69" i="1" s="1"/>
  <c r="BE72" i="1"/>
  <c r="BC72" i="1"/>
  <c r="BB72" i="1"/>
  <c r="BD72" i="1"/>
  <c r="BF72" i="1"/>
  <c r="BF63" i="1"/>
  <c r="BE63" i="1"/>
  <c r="BC63" i="1"/>
  <c r="BD63" i="1"/>
  <c r="BB63" i="1"/>
  <c r="AX70" i="1"/>
  <c r="AY70" i="1" s="1"/>
  <c r="AZ70" i="1" s="1"/>
  <c r="BE70" i="1"/>
  <c r="BC70" i="1"/>
  <c r="BD70" i="1"/>
  <c r="BF70" i="1"/>
  <c r="BB70" i="1"/>
  <c r="BB67" i="1"/>
  <c r="BC67" i="1"/>
  <c r="BF67" i="1"/>
  <c r="BE67" i="1"/>
  <c r="BD67" i="1"/>
  <c r="BC64" i="1"/>
  <c r="BB64" i="1"/>
  <c r="BF64" i="1"/>
  <c r="BD64" i="1"/>
  <c r="BE64" i="1"/>
  <c r="BE66" i="1"/>
  <c r="BB66" i="1"/>
  <c r="BC66" i="1"/>
  <c r="BF66" i="1"/>
  <c r="BD66" i="1"/>
  <c r="AY64" i="1"/>
  <c r="AZ64" i="1" s="1"/>
  <c r="AY67" i="1"/>
  <c r="AZ67" i="1" s="1"/>
  <c r="AX71" i="1"/>
  <c r="AY71" i="1" s="1"/>
  <c r="AZ71" i="1" s="1"/>
  <c r="BB71" i="1"/>
  <c r="BE71" i="1"/>
  <c r="BF71" i="1"/>
  <c r="BD71" i="1"/>
  <c r="BC71" i="1"/>
  <c r="AX68" i="1"/>
  <c r="AY68" i="1" s="1"/>
  <c r="AZ68" i="1" s="1"/>
  <c r="BD68" i="1"/>
  <c r="BE68" i="1"/>
  <c r="BF68" i="1"/>
  <c r="BC68" i="1"/>
  <c r="BB68" i="1"/>
  <c r="BX260" i="1" l="1"/>
  <c r="BZ260" i="1" s="1"/>
  <c r="BX72" i="1"/>
  <c r="BZ72" i="1" s="1"/>
  <c r="BX256" i="1"/>
  <c r="BY256" i="1" s="1"/>
  <c r="BX261" i="1"/>
  <c r="BY261" i="1" s="1"/>
  <c r="BX258" i="1"/>
  <c r="BZ258" i="1" s="1"/>
  <c r="BX68" i="1"/>
  <c r="BZ68" i="1" s="1"/>
  <c r="BX71" i="1"/>
  <c r="BY71" i="1" s="1"/>
  <c r="BX67" i="1"/>
  <c r="BY67" i="1" s="1"/>
  <c r="BX255" i="1"/>
  <c r="BY255" i="1" s="1"/>
  <c r="BX70" i="1"/>
  <c r="BZ70" i="1" s="1"/>
  <c r="BX262" i="1"/>
  <c r="BZ262" i="1" s="1"/>
  <c r="BX259" i="1"/>
  <c r="BZ259" i="1" s="1"/>
  <c r="BX272" i="1"/>
  <c r="BY272" i="1" s="1"/>
  <c r="BX254" i="1"/>
  <c r="BY254" i="1" s="1"/>
  <c r="BX257" i="1"/>
  <c r="BZ257" i="1" s="1"/>
  <c r="BX63" i="1"/>
  <c r="BY63" i="1" s="1"/>
  <c r="BX66" i="1"/>
  <c r="BZ66" i="1" s="1"/>
  <c r="BX64" i="1"/>
  <c r="BZ64" i="1" s="1"/>
  <c r="BX69" i="1"/>
  <c r="BY69" i="1" s="1"/>
  <c r="BX221" i="1"/>
  <c r="BY221" i="1" s="1"/>
  <c r="BX129" i="1"/>
  <c r="BZ129" i="1" s="1"/>
  <c r="BX175" i="1"/>
  <c r="BZ175" i="1" s="1"/>
  <c r="BX176" i="1"/>
  <c r="BY176" i="1" s="1"/>
  <c r="BX140" i="1"/>
  <c r="BZ140" i="1" s="1"/>
  <c r="BX192" i="1"/>
  <c r="BY192" i="1" s="1"/>
  <c r="BX178" i="1"/>
  <c r="BZ178" i="1" s="1"/>
  <c r="BX149" i="1"/>
  <c r="BY149" i="1" s="1"/>
  <c r="BX74" i="1"/>
  <c r="BY74" i="1" s="1"/>
  <c r="BX103" i="1"/>
  <c r="BY103" i="1" s="1"/>
  <c r="BX228" i="1"/>
  <c r="BY228" i="1" s="1"/>
  <c r="BX265" i="1"/>
  <c r="BY265" i="1" s="1"/>
  <c r="BX168" i="1"/>
  <c r="BZ168" i="1" s="1"/>
  <c r="BX133" i="1"/>
  <c r="BY133" i="1" s="1"/>
  <c r="BX248" i="1"/>
  <c r="BZ248" i="1" s="1"/>
  <c r="BX211" i="1"/>
  <c r="BY211" i="1" s="1"/>
  <c r="BX232" i="1"/>
  <c r="BY232" i="1" s="1"/>
  <c r="BX120" i="1"/>
  <c r="BZ120" i="1" s="1"/>
  <c r="BX85" i="1"/>
  <c r="BY85" i="1" s="1"/>
  <c r="BX118" i="1"/>
  <c r="BY118" i="1" s="1"/>
  <c r="BX116" i="1"/>
  <c r="BZ116" i="1" s="1"/>
  <c r="BX111" i="1"/>
  <c r="BZ111" i="1" s="1"/>
  <c r="BX202" i="1"/>
  <c r="BY202" i="1" s="1"/>
  <c r="BX159" i="1"/>
  <c r="BZ159" i="1" s="1"/>
  <c r="BX89" i="1"/>
  <c r="BY89" i="1" s="1"/>
  <c r="BX99" i="1"/>
  <c r="BZ99" i="1" s="1"/>
  <c r="BX268" i="1"/>
  <c r="BY268" i="1" s="1"/>
  <c r="BX146" i="1"/>
  <c r="BY146" i="1" s="1"/>
  <c r="BX167" i="1"/>
  <c r="BZ167" i="1" s="1"/>
  <c r="BX104" i="1"/>
  <c r="BZ104" i="1" s="1"/>
  <c r="BX101" i="1"/>
  <c r="BY101" i="1" s="1"/>
  <c r="BX249" i="1"/>
  <c r="BZ249" i="1" s="1"/>
  <c r="BX86" i="1"/>
  <c r="BZ86" i="1" s="1"/>
  <c r="BX130" i="1"/>
  <c r="BY130" i="1" s="1"/>
  <c r="BX212" i="1"/>
  <c r="BY212" i="1" s="1"/>
  <c r="BX214" i="1"/>
  <c r="BZ214" i="1" s="1"/>
  <c r="BX141" i="1"/>
  <c r="BZ141" i="1" s="1"/>
  <c r="BX194" i="1"/>
  <c r="BY194" i="1" s="1"/>
  <c r="BX250" i="1"/>
  <c r="BY250" i="1" s="1"/>
  <c r="BX152" i="1"/>
  <c r="BZ152" i="1" s="1"/>
  <c r="BX186" i="1"/>
  <c r="BZ186" i="1" s="1"/>
  <c r="BX77" i="1"/>
  <c r="BZ77" i="1" s="1"/>
  <c r="BX222" i="1"/>
  <c r="BZ222" i="1" s="1"/>
  <c r="BX114" i="1"/>
  <c r="BY114" i="1" s="1"/>
  <c r="BX230" i="1"/>
  <c r="BY230" i="1" s="1"/>
  <c r="BX92" i="1"/>
  <c r="BY92" i="1" s="1"/>
  <c r="BX241" i="1"/>
  <c r="BZ241" i="1" s="1"/>
  <c r="BX165" i="1"/>
  <c r="BZ165" i="1" s="1"/>
  <c r="BX187" i="1"/>
  <c r="BY187" i="1" s="1"/>
  <c r="BX109" i="1"/>
  <c r="BZ109" i="1" s="1"/>
  <c r="BX150" i="1"/>
  <c r="BZ150" i="1" s="1"/>
  <c r="BX270" i="1"/>
  <c r="BZ270" i="1" s="1"/>
  <c r="BX102" i="1"/>
  <c r="BY102" i="1" s="1"/>
  <c r="BX153" i="1"/>
  <c r="BZ153" i="1" s="1"/>
  <c r="BX208" i="1"/>
  <c r="BZ208" i="1" s="1"/>
  <c r="BX183" i="1"/>
  <c r="BZ183" i="1" s="1"/>
  <c r="BX239" i="1"/>
  <c r="BZ239" i="1" s="1"/>
  <c r="BX220" i="1"/>
  <c r="BY220" i="1" s="1"/>
  <c r="BX90" i="1"/>
  <c r="BZ90" i="1" s="1"/>
  <c r="BX171" i="1"/>
  <c r="BY171" i="1" s="1"/>
  <c r="BX157" i="1"/>
  <c r="BY157" i="1" s="1"/>
  <c r="BX117" i="1"/>
  <c r="BY117" i="1" s="1"/>
  <c r="BX75" i="1"/>
  <c r="BZ75" i="1" s="1"/>
  <c r="BX97" i="1"/>
  <c r="BY97" i="1" s="1"/>
  <c r="BX207" i="1"/>
  <c r="BZ207" i="1" s="1"/>
  <c r="BX110" i="1"/>
  <c r="BY110" i="1" s="1"/>
  <c r="BX88" i="1"/>
  <c r="BY88" i="1" s="1"/>
  <c r="BX224" i="1"/>
  <c r="BY224" i="1" s="1"/>
  <c r="BX164" i="1"/>
  <c r="BY164" i="1" s="1"/>
  <c r="BX142" i="1"/>
  <c r="BZ142" i="1" s="1"/>
  <c r="BX213" i="1"/>
  <c r="BY213" i="1" s="1"/>
  <c r="BX246" i="1"/>
  <c r="BZ246" i="1" s="1"/>
  <c r="BX217" i="1"/>
  <c r="BZ217" i="1" s="1"/>
  <c r="BX216" i="1"/>
  <c r="BZ216" i="1" s="1"/>
  <c r="BX196" i="1"/>
  <c r="BY196" i="1" s="1"/>
  <c r="BX182" i="1"/>
  <c r="BZ182" i="1" s="1"/>
  <c r="BX98" i="1"/>
  <c r="BY98" i="1" s="1"/>
  <c r="BX237" i="1"/>
  <c r="BY237" i="1" s="1"/>
  <c r="BX139" i="1"/>
  <c r="BY139" i="1" s="1"/>
  <c r="BX138" i="1"/>
  <c r="BY138" i="1" s="1"/>
  <c r="BX82" i="1"/>
  <c r="BZ82" i="1" s="1"/>
  <c r="BX235" i="1"/>
  <c r="BX143" i="1"/>
  <c r="BX128" i="1"/>
  <c r="BX94" i="1"/>
  <c r="BX160" i="1"/>
  <c r="BX162" i="1"/>
  <c r="BX91" i="1"/>
  <c r="BZ91" i="1" s="1"/>
  <c r="BX136" i="1"/>
  <c r="BY136" i="1" s="1"/>
  <c r="BX201" i="1"/>
  <c r="BZ201" i="1" s="1"/>
  <c r="BX218" i="1"/>
  <c r="BZ218" i="1" s="1"/>
  <c r="BX225" i="1"/>
  <c r="BZ225" i="1" s="1"/>
  <c r="BX231" i="1"/>
  <c r="BZ231" i="1" s="1"/>
  <c r="BX269" i="1"/>
  <c r="BZ269" i="1" s="1"/>
  <c r="BX132" i="1"/>
  <c r="BZ132" i="1" s="1"/>
  <c r="BX144" i="1"/>
  <c r="BZ144" i="1" s="1"/>
  <c r="BX204" i="1"/>
  <c r="BZ204" i="1" s="1"/>
  <c r="BX267" i="1"/>
  <c r="BZ267" i="1" s="1"/>
  <c r="BX127" i="1"/>
  <c r="BZ127" i="1" s="1"/>
  <c r="BX135" i="1"/>
  <c r="BY135" i="1" s="1"/>
  <c r="BX185" i="1"/>
  <c r="BZ185" i="1" s="1"/>
  <c r="BX84" i="1"/>
  <c r="BZ84" i="1" s="1"/>
  <c r="BX80" i="1"/>
  <c r="BZ80" i="1" s="1"/>
  <c r="BX105" i="1"/>
  <c r="BZ105" i="1" s="1"/>
  <c r="BX137" i="1"/>
  <c r="BZ137" i="1" s="1"/>
  <c r="BX190" i="1"/>
  <c r="BY190" i="1" s="1"/>
  <c r="BX191" i="1"/>
  <c r="BZ191" i="1" s="1"/>
  <c r="BX227" i="1"/>
  <c r="BX215" i="1"/>
  <c r="BX158" i="1"/>
  <c r="BX206" i="1"/>
  <c r="BY206" i="1" s="1"/>
  <c r="BX238" i="1"/>
  <c r="BZ238" i="1" s="1"/>
  <c r="BX236" i="1"/>
  <c r="BY236" i="1" s="1"/>
  <c r="BX79" i="1"/>
  <c r="BZ79" i="1" s="1"/>
  <c r="BX145" i="1"/>
  <c r="BZ145" i="1" s="1"/>
  <c r="BX247" i="1"/>
  <c r="BZ247" i="1" s="1"/>
  <c r="BX203" i="1"/>
  <c r="BY203" i="1" s="1"/>
  <c r="BX252" i="1"/>
  <c r="BZ252" i="1" s="1"/>
  <c r="BX264" i="1"/>
  <c r="BZ264" i="1" s="1"/>
  <c r="BX163" i="1"/>
  <c r="BY163" i="1" s="1"/>
  <c r="BX210" i="1"/>
  <c r="BY210" i="1" s="1"/>
  <c r="BX266" i="1"/>
  <c r="BZ266" i="1" s="1"/>
  <c r="BX100" i="1"/>
  <c r="BY100" i="1" s="1"/>
  <c r="BX124" i="1"/>
  <c r="BY124" i="1" s="1"/>
  <c r="BX106" i="1"/>
  <c r="BY106" i="1" s="1"/>
  <c r="BX93" i="1"/>
  <c r="BZ93" i="1" s="1"/>
  <c r="BX172" i="1"/>
  <c r="BY172" i="1" s="1"/>
  <c r="BX233" i="1"/>
  <c r="BY233" i="1" s="1"/>
  <c r="BX184" i="1"/>
  <c r="BZ184" i="1" s="1"/>
  <c r="BX193" i="1"/>
  <c r="BX229" i="1"/>
  <c r="BZ229" i="1" s="1"/>
  <c r="BX112" i="1"/>
  <c r="BX151" i="1"/>
  <c r="BX76" i="1"/>
  <c r="BY76" i="1" s="1"/>
  <c r="BX251" i="1"/>
  <c r="BZ251" i="1" s="1"/>
  <c r="BX166" i="1"/>
  <c r="BZ166" i="1" s="1"/>
  <c r="BX188" i="1"/>
  <c r="BY188" i="1" s="1"/>
  <c r="BX119" i="1"/>
  <c r="BX173" i="1"/>
  <c r="BZ173" i="1" s="1"/>
  <c r="BX81" i="1"/>
  <c r="BY81" i="1" s="1"/>
  <c r="BX198" i="1"/>
  <c r="BY198" i="1" s="1"/>
  <c r="BX219" i="1"/>
  <c r="BZ219" i="1" s="1"/>
  <c r="BX180" i="1"/>
  <c r="BZ180" i="1" s="1"/>
  <c r="BX234" i="1"/>
  <c r="BY234" i="1" s="1"/>
  <c r="BX195" i="1"/>
  <c r="BX245" i="1"/>
  <c r="BY245" i="1" s="1"/>
  <c r="BX134" i="1"/>
  <c r="BZ134" i="1" s="1"/>
  <c r="BX181" i="1"/>
  <c r="BZ181" i="1" s="1"/>
  <c r="BX242" i="1"/>
  <c r="BY242" i="1" s="1"/>
  <c r="BX148" i="1"/>
  <c r="BX174" i="1"/>
  <c r="BP273" i="1"/>
  <c r="M108" i="2" s="1"/>
  <c r="BX147" i="1"/>
  <c r="BX205" i="1"/>
  <c r="BX223" i="1"/>
  <c r="BX200" i="1"/>
  <c r="BX108" i="1"/>
  <c r="BX115" i="1"/>
  <c r="BX131" i="1"/>
  <c r="BX170" i="1"/>
  <c r="BX243" i="1"/>
  <c r="BX107" i="1"/>
  <c r="BX179" i="1"/>
  <c r="BX154" i="1"/>
  <c r="BX169" i="1"/>
  <c r="BX155" i="1"/>
  <c r="BX199" i="1"/>
  <c r="BX226" i="1"/>
  <c r="BX197" i="1"/>
  <c r="BX271" i="1"/>
  <c r="BX161" i="1"/>
  <c r="BX113" i="1"/>
  <c r="BX78" i="1"/>
  <c r="BX96" i="1"/>
  <c r="BX209" i="1"/>
  <c r="BX83" i="1"/>
  <c r="BX253" i="1"/>
  <c r="BX177" i="1"/>
  <c r="BX244" i="1"/>
  <c r="BX156" i="1"/>
  <c r="BX240" i="1"/>
  <c r="BX189" i="1"/>
  <c r="BX95" i="1"/>
  <c r="BZ11" i="1"/>
  <c r="BS66" i="1"/>
  <c r="BS70" i="1"/>
  <c r="BS63" i="1"/>
  <c r="BS69" i="1"/>
  <c r="BS68" i="1"/>
  <c r="BS64" i="1"/>
  <c r="BS67" i="1"/>
  <c r="BS72" i="1"/>
  <c r="BS71" i="1"/>
  <c r="BY260" i="1" l="1"/>
  <c r="BY68" i="1"/>
  <c r="BY258" i="1"/>
  <c r="BY66" i="1"/>
  <c r="BY70" i="1"/>
  <c r="BZ255" i="1"/>
  <c r="BY64" i="1"/>
  <c r="BZ254" i="1"/>
  <c r="BY72" i="1"/>
  <c r="BY259" i="1"/>
  <c r="BZ261" i="1"/>
  <c r="BZ69" i="1"/>
  <c r="BZ256" i="1"/>
  <c r="BZ192" i="1"/>
  <c r="BY257" i="1"/>
  <c r="BZ272" i="1"/>
  <c r="BY262" i="1"/>
  <c r="BY111" i="1"/>
  <c r="BZ228" i="1"/>
  <c r="BY178" i="1"/>
  <c r="BZ221" i="1"/>
  <c r="BZ133" i="1"/>
  <c r="BY99" i="1"/>
  <c r="BZ130" i="1"/>
  <c r="BY77" i="1"/>
  <c r="BY175" i="1"/>
  <c r="BZ149" i="1"/>
  <c r="BZ103" i="1"/>
  <c r="BY129" i="1"/>
  <c r="BY168" i="1"/>
  <c r="BZ232" i="1"/>
  <c r="BZ176" i="1"/>
  <c r="BZ265" i="1"/>
  <c r="BZ74" i="1"/>
  <c r="BY140" i="1"/>
  <c r="BZ211" i="1"/>
  <c r="BZ268" i="1"/>
  <c r="BZ85" i="1"/>
  <c r="BZ202" i="1"/>
  <c r="BY248" i="1"/>
  <c r="BZ101" i="1"/>
  <c r="BY173" i="1"/>
  <c r="BZ146" i="1"/>
  <c r="BY214" i="1"/>
  <c r="BZ92" i="1"/>
  <c r="BY120" i="1"/>
  <c r="BY159" i="1"/>
  <c r="BY104" i="1"/>
  <c r="BZ194" i="1"/>
  <c r="BZ118" i="1"/>
  <c r="BY249" i="1"/>
  <c r="BY152" i="1"/>
  <c r="BZ89" i="1"/>
  <c r="BY167" i="1"/>
  <c r="BY116" i="1"/>
  <c r="BY86" i="1"/>
  <c r="BY264" i="1"/>
  <c r="BZ230" i="1"/>
  <c r="BY186" i="1"/>
  <c r="BY141" i="1"/>
  <c r="BZ88" i="1"/>
  <c r="BY222" i="1"/>
  <c r="BZ250" i="1"/>
  <c r="BZ212" i="1"/>
  <c r="BY165" i="1"/>
  <c r="BZ114" i="1"/>
  <c r="BY80" i="1"/>
  <c r="BY270" i="1"/>
  <c r="BY247" i="1"/>
  <c r="BZ233" i="1"/>
  <c r="BY229" i="1"/>
  <c r="BZ190" i="1"/>
  <c r="BY267" i="1"/>
  <c r="BY241" i="1"/>
  <c r="BY201" i="1"/>
  <c r="BY269" i="1"/>
  <c r="BY90" i="1"/>
  <c r="BY208" i="1"/>
  <c r="BZ100" i="1"/>
  <c r="BZ213" i="1"/>
  <c r="BY84" i="1"/>
  <c r="BY150" i="1"/>
  <c r="BY75" i="1"/>
  <c r="BZ139" i="1"/>
  <c r="BZ172" i="1"/>
  <c r="BZ196" i="1"/>
  <c r="BZ206" i="1"/>
  <c r="BY239" i="1"/>
  <c r="BY216" i="1"/>
  <c r="BZ220" i="1"/>
  <c r="BY134" i="1"/>
  <c r="BY109" i="1"/>
  <c r="BZ117" i="1"/>
  <c r="BZ187" i="1"/>
  <c r="BY153" i="1"/>
  <c r="BY231" i="1"/>
  <c r="BZ136" i="1"/>
  <c r="BY142" i="1"/>
  <c r="BY93" i="1"/>
  <c r="BY79" i="1"/>
  <c r="BZ76" i="1"/>
  <c r="BY204" i="1"/>
  <c r="BZ237" i="1"/>
  <c r="BY252" i="1"/>
  <c r="BY185" i="1"/>
  <c r="BY137" i="1"/>
  <c r="BY91" i="1"/>
  <c r="BY183" i="1"/>
  <c r="BY217" i="1"/>
  <c r="BZ98" i="1"/>
  <c r="BY225" i="1"/>
  <c r="BZ97" i="1"/>
  <c r="BZ171" i="1"/>
  <c r="BY82" i="1"/>
  <c r="BZ135" i="1"/>
  <c r="BY144" i="1"/>
  <c r="BZ102" i="1"/>
  <c r="BZ157" i="1"/>
  <c r="BZ164" i="1"/>
  <c r="BY207" i="1"/>
  <c r="BY105" i="1"/>
  <c r="BZ224" i="1"/>
  <c r="BY182" i="1"/>
  <c r="BZ124" i="1"/>
  <c r="BY218" i="1"/>
  <c r="BY246" i="1"/>
  <c r="BY166" i="1"/>
  <c r="BZ110" i="1"/>
  <c r="BZ234" i="1"/>
  <c r="BY191" i="1"/>
  <c r="BY132" i="1"/>
  <c r="BY238" i="1"/>
  <c r="BZ163" i="1"/>
  <c r="BY181" i="1"/>
  <c r="BZ138" i="1"/>
  <c r="BY94" i="1"/>
  <c r="BZ94" i="1"/>
  <c r="BY235" i="1"/>
  <c r="BZ235" i="1"/>
  <c r="BZ162" i="1"/>
  <c r="BY162" i="1"/>
  <c r="BZ128" i="1"/>
  <c r="BY128" i="1"/>
  <c r="BY160" i="1"/>
  <c r="BZ160" i="1"/>
  <c r="BZ143" i="1"/>
  <c r="BY143" i="1"/>
  <c r="BY127" i="1"/>
  <c r="BY180" i="1"/>
  <c r="BY145" i="1"/>
  <c r="BZ81" i="1"/>
  <c r="BZ215" i="1"/>
  <c r="BY215" i="1"/>
  <c r="BZ227" i="1"/>
  <c r="BY227" i="1"/>
  <c r="BZ210" i="1"/>
  <c r="BZ188" i="1"/>
  <c r="BZ242" i="1"/>
  <c r="BZ245" i="1"/>
  <c r="BZ203" i="1"/>
  <c r="BZ106" i="1"/>
  <c r="BY158" i="1"/>
  <c r="BZ158" i="1"/>
  <c r="BZ198" i="1"/>
  <c r="BZ236" i="1"/>
  <c r="BY184" i="1"/>
  <c r="BY266" i="1"/>
  <c r="BY219" i="1"/>
  <c r="BY251" i="1"/>
  <c r="BY112" i="1"/>
  <c r="BZ112" i="1"/>
  <c r="BY119" i="1"/>
  <c r="BZ119" i="1"/>
  <c r="BZ193" i="1"/>
  <c r="BY193" i="1"/>
  <c r="BY195" i="1"/>
  <c r="BZ195" i="1"/>
  <c r="BZ151" i="1"/>
  <c r="BY151" i="1"/>
  <c r="BZ174" i="1"/>
  <c r="BY174" i="1"/>
  <c r="BY148" i="1"/>
  <c r="BZ148" i="1"/>
  <c r="BZ147" i="1"/>
  <c r="BY147" i="1"/>
  <c r="BY108" i="1"/>
  <c r="BZ108" i="1"/>
  <c r="BY200" i="1"/>
  <c r="BZ200" i="1"/>
  <c r="BY131" i="1"/>
  <c r="BZ131" i="1"/>
  <c r="BY223" i="1"/>
  <c r="BZ223" i="1"/>
  <c r="BZ115" i="1"/>
  <c r="BY115" i="1"/>
  <c r="BZ205" i="1"/>
  <c r="BY205" i="1"/>
  <c r="BY161" i="1"/>
  <c r="BZ161" i="1"/>
  <c r="BY199" i="1"/>
  <c r="BZ199" i="1"/>
  <c r="BZ179" i="1"/>
  <c r="BY179" i="1"/>
  <c r="BY271" i="1"/>
  <c r="BZ271" i="1"/>
  <c r="BZ155" i="1"/>
  <c r="BY155" i="1"/>
  <c r="BZ107" i="1"/>
  <c r="BY107" i="1"/>
  <c r="BY197" i="1"/>
  <c r="BZ197" i="1"/>
  <c r="BZ169" i="1"/>
  <c r="BY169" i="1"/>
  <c r="BY243" i="1"/>
  <c r="BZ243" i="1"/>
  <c r="BY113" i="1"/>
  <c r="BZ113" i="1"/>
  <c r="BZ226" i="1"/>
  <c r="BY226" i="1"/>
  <c r="BZ154" i="1"/>
  <c r="BY154" i="1"/>
  <c r="BY170" i="1"/>
  <c r="BZ170" i="1"/>
  <c r="BY96" i="1"/>
  <c r="BZ96" i="1"/>
  <c r="BY78" i="1"/>
  <c r="BZ78" i="1"/>
  <c r="BZ189" i="1"/>
  <c r="BY189" i="1"/>
  <c r="BY177" i="1"/>
  <c r="BZ177" i="1"/>
  <c r="BY240" i="1"/>
  <c r="BZ240" i="1"/>
  <c r="BZ253" i="1"/>
  <c r="BY253" i="1"/>
  <c r="BZ156" i="1"/>
  <c r="BY156" i="1"/>
  <c r="BY83" i="1"/>
  <c r="BZ83" i="1"/>
  <c r="BY95" i="1"/>
  <c r="BZ95" i="1"/>
  <c r="BY244" i="1"/>
  <c r="BZ244" i="1"/>
  <c r="BZ209" i="1"/>
  <c r="BY209" i="1"/>
  <c r="O33" i="13" l="1"/>
  <c r="O34" i="13"/>
  <c r="BZ71" i="1" l="1"/>
  <c r="BZ67" i="1"/>
  <c r="BZ63" i="1"/>
  <c r="F98" i="26" l="1"/>
  <c r="N102" i="26"/>
  <c r="F101" i="26"/>
  <c r="L105" i="26"/>
  <c r="M96" i="26"/>
  <c r="I107" i="26"/>
  <c r="T106" i="26"/>
  <c r="V95" i="26"/>
  <c r="G95" i="26"/>
  <c r="Q104" i="26"/>
  <c r="O97" i="26"/>
  <c r="G102" i="26"/>
  <c r="W98" i="26"/>
  <c r="R99" i="26"/>
  <c r="H99" i="26"/>
  <c r="H101" i="26"/>
  <c r="G100" i="26"/>
  <c r="U103" i="26"/>
  <c r="R105" i="26"/>
  <c r="O105" i="26"/>
  <c r="I96" i="26"/>
  <c r="E107" i="26"/>
  <c r="V94" i="26"/>
  <c r="P106" i="26"/>
  <c r="M106" i="26"/>
  <c r="F95" i="26"/>
  <c r="J104" i="26"/>
  <c r="E97" i="26"/>
  <c r="W104" i="26"/>
  <c r="U97" i="26"/>
  <c r="S102" i="26"/>
  <c r="L98" i="26"/>
  <c r="N98" i="26"/>
  <c r="G99" i="26"/>
  <c r="T101" i="26"/>
  <c r="V100" i="26"/>
  <c r="Q103" i="26"/>
  <c r="Q105" i="26"/>
  <c r="S96" i="26"/>
  <c r="N107" i="26"/>
  <c r="O94" i="26"/>
  <c r="L106" i="26"/>
  <c r="I106" i="26"/>
  <c r="P95" i="26"/>
  <c r="V104" i="26"/>
  <c r="Q97" i="26"/>
  <c r="O102" i="26"/>
  <c r="H98" i="26"/>
  <c r="J98" i="26"/>
  <c r="P99" i="26"/>
  <c r="W101" i="26"/>
  <c r="R100" i="26"/>
  <c r="M103" i="26"/>
  <c r="J105" i="26"/>
  <c r="G105" i="26"/>
  <c r="R96" i="26"/>
  <c r="P107" i="26"/>
  <c r="N94" i="26"/>
  <c r="H106" i="26"/>
  <c r="E106" i="26"/>
  <c r="K95" i="26"/>
  <c r="R104" i="26"/>
  <c r="M97" i="26"/>
  <c r="K90" i="26"/>
  <c r="H90" i="26"/>
  <c r="I84" i="26"/>
  <c r="R81" i="26"/>
  <c r="M86" i="26"/>
  <c r="Q88" i="26"/>
  <c r="S93" i="26"/>
  <c r="P89" i="26"/>
  <c r="Q79" i="26"/>
  <c r="R79" i="26"/>
  <c r="E92" i="26"/>
  <c r="F80" i="26"/>
  <c r="T87" i="26"/>
  <c r="E91" i="26"/>
  <c r="K82" i="26"/>
  <c r="H82" i="26"/>
  <c r="N83" i="26"/>
  <c r="S85" i="26"/>
  <c r="G90" i="26"/>
  <c r="R84" i="26"/>
  <c r="M81" i="26"/>
  <c r="J81" i="26"/>
  <c r="I86" i="26"/>
  <c r="J88" i="26"/>
  <c r="E93" i="26"/>
  <c r="I89" i="26"/>
  <c r="N89" i="26"/>
  <c r="J79" i="26"/>
  <c r="Q92" i="26"/>
  <c r="R80" i="26"/>
  <c r="M87" i="26"/>
  <c r="N87" i="26"/>
  <c r="V91" i="26"/>
  <c r="M82" i="26"/>
  <c r="O83" i="26"/>
  <c r="H85" i="26"/>
  <c r="S90" i="26"/>
  <c r="P90" i="26"/>
  <c r="H84" i="26"/>
  <c r="N81" i="26"/>
  <c r="G104" i="26"/>
  <c r="K97" i="26"/>
  <c r="V102" i="26"/>
  <c r="S98" i="26"/>
  <c r="N99" i="26"/>
  <c r="T99" i="26"/>
  <c r="K101" i="26"/>
  <c r="Q100" i="26"/>
  <c r="T103" i="26"/>
  <c r="T105" i="26"/>
  <c r="U96" i="26"/>
  <c r="Q107" i="26"/>
  <c r="R94" i="26"/>
  <c r="S106" i="26"/>
  <c r="U95" i="26"/>
  <c r="N95" i="26"/>
  <c r="F104" i="26"/>
  <c r="W97" i="26"/>
  <c r="R102" i="26"/>
  <c r="O98" i="26"/>
  <c r="J99" i="26"/>
  <c r="J101" i="26"/>
  <c r="G101" i="26"/>
  <c r="M100" i="26"/>
  <c r="P103" i="26"/>
  <c r="M105" i="26"/>
  <c r="H96" i="26"/>
  <c r="F96" i="26"/>
  <c r="W107" i="26"/>
  <c r="Q94" i="26"/>
  <c r="O106" i="26"/>
  <c r="Q95" i="26"/>
  <c r="J95" i="26"/>
  <c r="U104" i="26"/>
  <c r="S97" i="26"/>
  <c r="N90" i="26"/>
  <c r="S84" i="26"/>
  <c r="Q81" i="26"/>
  <c r="W86" i="26"/>
  <c r="H86" i="26"/>
  <c r="P88" i="26"/>
  <c r="R93" i="26"/>
  <c r="W89" i="26"/>
  <c r="T79" i="26"/>
  <c r="O92" i="26"/>
  <c r="P92" i="26"/>
  <c r="I80" i="26"/>
  <c r="K87" i="26"/>
  <c r="H91" i="26"/>
  <c r="N82" i="26"/>
  <c r="I83" i="26"/>
  <c r="R83" i="26"/>
  <c r="R85" i="26"/>
  <c r="J90" i="26"/>
  <c r="U84" i="26"/>
  <c r="W81" i="26"/>
  <c r="S86" i="26"/>
  <c r="T86" i="26"/>
  <c r="M88" i="26"/>
  <c r="H93" i="26"/>
  <c r="L89" i="26"/>
  <c r="M79" i="26"/>
  <c r="N79" i="26"/>
  <c r="H92" i="26"/>
  <c r="U80" i="26"/>
  <c r="P87" i="26"/>
  <c r="Q91" i="26"/>
  <c r="W82" i="26"/>
  <c r="U83" i="26"/>
  <c r="J83" i="26"/>
  <c r="O85" i="26"/>
  <c r="V90" i="26"/>
  <c r="K84" i="26"/>
  <c r="L84" i="26"/>
  <c r="K81" i="26"/>
  <c r="U86" i="26"/>
  <c r="F88" i="26"/>
  <c r="T93" i="26"/>
  <c r="E89" i="26"/>
  <c r="I79" i="26"/>
  <c r="W92" i="26"/>
  <c r="T92" i="26"/>
  <c r="M104" i="26"/>
  <c r="T97" i="26"/>
  <c r="F102" i="26"/>
  <c r="U98" i="26"/>
  <c r="Q99" i="26"/>
  <c r="N101" i="26"/>
  <c r="L100" i="26"/>
  <c r="J100" i="26"/>
  <c r="K103" i="26"/>
  <c r="K105" i="26"/>
  <c r="E96" i="26"/>
  <c r="T107" i="26"/>
  <c r="U94" i="26"/>
  <c r="V106" i="26"/>
  <c r="O95" i="26"/>
  <c r="L104" i="26"/>
  <c r="I104" i="26"/>
  <c r="G97" i="26"/>
  <c r="U102" i="26"/>
  <c r="Q98" i="26"/>
  <c r="M99" i="26"/>
  <c r="M101" i="26"/>
  <c r="H100" i="26"/>
  <c r="F100" i="26"/>
  <c r="W103" i="26"/>
  <c r="P105" i="26"/>
  <c r="O96" i="26"/>
  <c r="J107" i="26"/>
  <c r="G107" i="26"/>
  <c r="L94" i="26"/>
  <c r="R106" i="26"/>
  <c r="M95" i="26"/>
  <c r="H104" i="26"/>
  <c r="E104" i="26"/>
  <c r="L97" i="26"/>
  <c r="Q90" i="26"/>
  <c r="V84" i="26"/>
  <c r="L81" i="26"/>
  <c r="G86" i="26"/>
  <c r="K88" i="26"/>
  <c r="I93" i="26"/>
  <c r="V93" i="26"/>
  <c r="G89" i="26"/>
  <c r="W79" i="26"/>
  <c r="R92" i="26"/>
  <c r="S80" i="26"/>
  <c r="P80" i="26"/>
  <c r="R87" i="26"/>
  <c r="O91" i="26"/>
  <c r="Q82" i="26"/>
  <c r="L83" i="26"/>
  <c r="I85" i="26"/>
  <c r="F85" i="26"/>
  <c r="M90" i="26"/>
  <c r="E84" i="26"/>
  <c r="V81" i="26"/>
  <c r="V86" i="26"/>
  <c r="W88" i="26"/>
  <c r="L88" i="26"/>
  <c r="O93" i="26"/>
  <c r="S89" i="26"/>
  <c r="P79" i="26"/>
  <c r="K92" i="26"/>
  <c r="L92" i="26"/>
  <c r="E80" i="26"/>
  <c r="W87" i="26"/>
  <c r="T91" i="26"/>
  <c r="G82" i="26"/>
  <c r="E83" i="26"/>
  <c r="U85" i="26"/>
  <c r="N85" i="26"/>
  <c r="F90" i="26"/>
  <c r="N84" i="26"/>
  <c r="T81" i="26"/>
  <c r="F81" i="26"/>
  <c r="E86" i="26"/>
  <c r="I88" i="26"/>
  <c r="K93" i="26"/>
  <c r="H89" i="26"/>
  <c r="L79" i="26"/>
  <c r="G92" i="26"/>
  <c r="K80" i="26"/>
  <c r="H80" i="26"/>
  <c r="V87" i="26"/>
  <c r="W91" i="26"/>
  <c r="R97" i="26"/>
  <c r="L102" i="26"/>
  <c r="I102" i="26"/>
  <c r="E98" i="26"/>
  <c r="W99" i="26"/>
  <c r="Q101" i="26"/>
  <c r="S100" i="26"/>
  <c r="N103" i="26"/>
  <c r="N105" i="26"/>
  <c r="L96" i="26"/>
  <c r="V96" i="26"/>
  <c r="K107" i="26"/>
  <c r="E94" i="26"/>
  <c r="F106" i="26"/>
  <c r="T95" i="26"/>
  <c r="S104" i="26"/>
  <c r="N97" i="26"/>
  <c r="H102" i="26"/>
  <c r="E102" i="26"/>
  <c r="V98" i="26"/>
  <c r="S99" i="26"/>
  <c r="P101" i="26"/>
  <c r="O100" i="26"/>
  <c r="J103" i="26"/>
  <c r="G103" i="26"/>
  <c r="W105" i="26"/>
  <c r="Q96" i="26"/>
  <c r="M107" i="26"/>
  <c r="K94" i="26"/>
  <c r="P94" i="26"/>
  <c r="U106" i="26"/>
  <c r="L95" i="26"/>
  <c r="O104" i="26"/>
  <c r="J97" i="26"/>
  <c r="P97" i="26"/>
  <c r="T90" i="26"/>
  <c r="F84" i="26"/>
  <c r="E81" i="26"/>
  <c r="J86" i="26"/>
  <c r="N88" i="26"/>
  <c r="L93" i="26"/>
  <c r="M89" i="26"/>
  <c r="R89" i="26"/>
  <c r="G79" i="26"/>
  <c r="U92" i="26"/>
  <c r="V80" i="26"/>
  <c r="Q87" i="26"/>
  <c r="U91" i="26"/>
  <c r="J91" i="26"/>
  <c r="T82" i="26"/>
  <c r="S83" i="26"/>
  <c r="L85" i="26"/>
  <c r="W90" i="26"/>
  <c r="O84" i="26"/>
  <c r="P84" i="26"/>
  <c r="S81" i="26"/>
  <c r="F86" i="26"/>
  <c r="G88" i="26"/>
  <c r="U93" i="26"/>
  <c r="N93" i="26"/>
  <c r="J89" i="26"/>
  <c r="S79" i="26"/>
  <c r="N92" i="26"/>
  <c r="O80" i="26"/>
  <c r="L80" i="26"/>
  <c r="G87" i="26"/>
  <c r="K91" i="26"/>
  <c r="J82" i="26"/>
  <c r="H83" i="26"/>
  <c r="E85" i="26"/>
  <c r="O81" i="26"/>
  <c r="V88" i="26"/>
  <c r="U89" i="26"/>
  <c r="V79" i="26"/>
  <c r="Q80" i="26"/>
  <c r="S87" i="26"/>
  <c r="G91" i="26"/>
  <c r="F82" i="26"/>
  <c r="T83" i="26"/>
  <c r="O90" i="26"/>
  <c r="L90" i="26"/>
  <c r="M84" i="26"/>
  <c r="I81" i="26"/>
  <c r="N86" i="26"/>
  <c r="O88" i="26"/>
  <c r="T88" i="26"/>
  <c r="G93" i="26"/>
  <c r="K89" i="26"/>
  <c r="H79" i="26"/>
  <c r="V92" i="26"/>
  <c r="G80" i="26"/>
  <c r="E87" i="26"/>
  <c r="I91" i="26"/>
  <c r="R91" i="26"/>
  <c r="E82" i="26"/>
  <c r="W83" i="26"/>
  <c r="P85" i="26"/>
  <c r="K85" i="26"/>
  <c r="H312" i="15"/>
  <c r="E318" i="15"/>
  <c r="U297" i="15"/>
  <c r="R297" i="15"/>
  <c r="O295" i="15"/>
  <c r="H298" i="15"/>
  <c r="E315" i="15"/>
  <c r="U314" i="15"/>
  <c r="R314" i="15"/>
  <c r="O305" i="15"/>
  <c r="H302" i="15"/>
  <c r="E323" i="15"/>
  <c r="U310" i="15"/>
  <c r="R310" i="15"/>
  <c r="O303" i="15"/>
  <c r="H322" i="15"/>
  <c r="E300" i="15"/>
  <c r="U301" i="15"/>
  <c r="R301" i="15"/>
  <c r="O320" i="15"/>
  <c r="K312" i="15"/>
  <c r="K318" i="15"/>
  <c r="K297" i="15"/>
  <c r="K295" i="15"/>
  <c r="K298" i="15"/>
  <c r="K315" i="15"/>
  <c r="K314" i="15"/>
  <c r="K305" i="15"/>
  <c r="K302" i="15"/>
  <c r="K323" i="15"/>
  <c r="K310" i="15"/>
  <c r="K303" i="15"/>
  <c r="K322" i="15"/>
  <c r="K300" i="15"/>
  <c r="K301" i="15"/>
  <c r="K320" i="15"/>
  <c r="W312" i="15"/>
  <c r="P318" i="15"/>
  <c r="M297" i="15"/>
  <c r="J297" i="15"/>
  <c r="G295" i="15"/>
  <c r="W298" i="15"/>
  <c r="P315" i="15"/>
  <c r="M314" i="15"/>
  <c r="J314" i="15"/>
  <c r="G305" i="15"/>
  <c r="W302" i="15"/>
  <c r="P323" i="15"/>
  <c r="M310" i="15"/>
  <c r="J310" i="15"/>
  <c r="G303" i="15"/>
  <c r="W322" i="15"/>
  <c r="P300" i="15"/>
  <c r="M301" i="15"/>
  <c r="J301" i="15"/>
  <c r="G320" i="15"/>
  <c r="T85" i="26"/>
  <c r="O86" i="26"/>
  <c r="H88" i="26"/>
  <c r="O89" i="26"/>
  <c r="J92" i="26"/>
  <c r="T80" i="26"/>
  <c r="J87" i="26"/>
  <c r="F91" i="26"/>
  <c r="I82" i="26"/>
  <c r="K83" i="26"/>
  <c r="R90" i="26"/>
  <c r="W84" i="26"/>
  <c r="T84" i="26"/>
  <c r="H81" i="26"/>
  <c r="Q86" i="26"/>
  <c r="R88" i="26"/>
  <c r="M93" i="26"/>
  <c r="F93" i="26"/>
  <c r="F89" i="26"/>
  <c r="K79" i="26"/>
  <c r="F92" i="26"/>
  <c r="J80" i="26"/>
  <c r="H87" i="26"/>
  <c r="L91" i="26"/>
  <c r="O82" i="26"/>
  <c r="L82" i="26"/>
  <c r="G83" i="26"/>
  <c r="W85" i="26"/>
  <c r="J85" i="26"/>
  <c r="O312" i="15"/>
  <c r="H318" i="15"/>
  <c r="E297" i="15"/>
  <c r="U295" i="15"/>
  <c r="R295" i="15"/>
  <c r="O298" i="15"/>
  <c r="H315" i="15"/>
  <c r="E314" i="15"/>
  <c r="U305" i="15"/>
  <c r="R305" i="15"/>
  <c r="O302" i="15"/>
  <c r="H323" i="15"/>
  <c r="E310" i="15"/>
  <c r="U303" i="15"/>
  <c r="R303" i="15"/>
  <c r="O322" i="15"/>
  <c r="H300" i="15"/>
  <c r="E301" i="15"/>
  <c r="U320" i="15"/>
  <c r="R320" i="15"/>
  <c r="N312" i="15"/>
  <c r="N318" i="15"/>
  <c r="N297" i="15"/>
  <c r="N295" i="15"/>
  <c r="N298" i="15"/>
  <c r="N315" i="15"/>
  <c r="N314" i="15"/>
  <c r="N305" i="15"/>
  <c r="N302" i="15"/>
  <c r="N323" i="15"/>
  <c r="N310" i="15"/>
  <c r="N303" i="15"/>
  <c r="N322" i="15"/>
  <c r="N300" i="15"/>
  <c r="N301" i="15"/>
  <c r="N320" i="15"/>
  <c r="G312" i="15"/>
  <c r="W318" i="15"/>
  <c r="P297" i="15"/>
  <c r="M295" i="15"/>
  <c r="J295" i="15"/>
  <c r="G298" i="15"/>
  <c r="W315" i="15"/>
  <c r="P314" i="15"/>
  <c r="M305" i="15"/>
  <c r="J305" i="15"/>
  <c r="G302" i="15"/>
  <c r="W323" i="15"/>
  <c r="P310" i="15"/>
  <c r="M303" i="15"/>
  <c r="J303" i="15"/>
  <c r="G322" i="15"/>
  <c r="W300" i="15"/>
  <c r="P301" i="15"/>
  <c r="M320" i="15"/>
  <c r="J320" i="15"/>
  <c r="I90" i="26"/>
  <c r="R86" i="26"/>
  <c r="Q93" i="26"/>
  <c r="V89" i="26"/>
  <c r="M92" i="26"/>
  <c r="I87" i="26"/>
  <c r="M91" i="26"/>
  <c r="S82" i="26"/>
  <c r="P82" i="26"/>
  <c r="V83" i="26"/>
  <c r="U90" i="26"/>
  <c r="G84" i="26"/>
  <c r="U81" i="26"/>
  <c r="G81" i="26"/>
  <c r="L86" i="26"/>
  <c r="U88" i="26"/>
  <c r="P93" i="26"/>
  <c r="Q89" i="26"/>
  <c r="U79" i="26"/>
  <c r="F79" i="26"/>
  <c r="I92" i="26"/>
  <c r="M80" i="26"/>
  <c r="O87" i="26"/>
  <c r="S91" i="26"/>
  <c r="R82" i="26"/>
  <c r="M83" i="26"/>
  <c r="F83" i="26"/>
  <c r="G85" i="26"/>
  <c r="U312" i="15"/>
  <c r="R312" i="15"/>
  <c r="O318" i="15"/>
  <c r="H297" i="15"/>
  <c r="E295" i="15"/>
  <c r="U298" i="15"/>
  <c r="R298" i="15"/>
  <c r="O315" i="15"/>
  <c r="H314" i="15"/>
  <c r="E305" i="15"/>
  <c r="U302" i="15"/>
  <c r="R302" i="15"/>
  <c r="O323" i="15"/>
  <c r="H310" i="15"/>
  <c r="E303" i="15"/>
  <c r="U322" i="15"/>
  <c r="R322" i="15"/>
  <c r="O300" i="15"/>
  <c r="H301" i="15"/>
  <c r="E320" i="15"/>
  <c r="Q312" i="15"/>
  <c r="Q318" i="15"/>
  <c r="Q297" i="15"/>
  <c r="Q295" i="15"/>
  <c r="Q298" i="15"/>
  <c r="Q315" i="15"/>
  <c r="Q314" i="15"/>
  <c r="Q305" i="15"/>
  <c r="Q302" i="15"/>
  <c r="Q323" i="15"/>
  <c r="Q310" i="15"/>
  <c r="Q303" i="15"/>
  <c r="Q322" i="15"/>
  <c r="Q300" i="15"/>
  <c r="Q301" i="15"/>
  <c r="Q320" i="15"/>
  <c r="M312" i="15"/>
  <c r="J312" i="15"/>
  <c r="G318" i="15"/>
  <c r="W297" i="15"/>
  <c r="P295" i="15"/>
  <c r="M298" i="15"/>
  <c r="J298" i="15"/>
  <c r="G315" i="15"/>
  <c r="W314" i="15"/>
  <c r="P305" i="15"/>
  <c r="M302" i="15"/>
  <c r="Q84" i="26"/>
  <c r="S88" i="26"/>
  <c r="J93" i="26"/>
  <c r="O79" i="26"/>
  <c r="N80" i="26"/>
  <c r="L87" i="26"/>
  <c r="P91" i="26"/>
  <c r="V82" i="26"/>
  <c r="Q83" i="26"/>
  <c r="Q85" i="26"/>
  <c r="E90" i="26"/>
  <c r="J84" i="26"/>
  <c r="P81" i="26"/>
  <c r="K86" i="26"/>
  <c r="P86" i="26"/>
  <c r="E88" i="26"/>
  <c r="W93" i="26"/>
  <c r="T89" i="26"/>
  <c r="E79" i="26"/>
  <c r="S92" i="26"/>
  <c r="W80" i="26"/>
  <c r="U87" i="26"/>
  <c r="F87" i="26"/>
  <c r="M85" i="26"/>
  <c r="R318" i="15"/>
  <c r="U315" i="15"/>
  <c r="E302" i="15"/>
  <c r="H303" i="15"/>
  <c r="O301" i="15"/>
  <c r="T297" i="15"/>
  <c r="T314" i="15"/>
  <c r="T310" i="15"/>
  <c r="T301" i="15"/>
  <c r="J318" i="15"/>
  <c r="M315" i="15"/>
  <c r="P302" i="15"/>
  <c r="J323" i="15"/>
  <c r="W303" i="15"/>
  <c r="M300" i="15"/>
  <c r="G301" i="15"/>
  <c r="L312" i="15"/>
  <c r="I318" i="15"/>
  <c r="F318" i="15"/>
  <c r="V297" i="15"/>
  <c r="S295" i="15"/>
  <c r="L298" i="15"/>
  <c r="I315" i="15"/>
  <c r="F315" i="15"/>
  <c r="V314" i="15"/>
  <c r="S305" i="15"/>
  <c r="L302" i="15"/>
  <c r="I323" i="15"/>
  <c r="F323" i="15"/>
  <c r="V310" i="15"/>
  <c r="S303" i="15"/>
  <c r="L322" i="15"/>
  <c r="I300" i="15"/>
  <c r="F300" i="15"/>
  <c r="L320" i="15"/>
  <c r="O321" i="15"/>
  <c r="H308" i="15"/>
  <c r="E304" i="15"/>
  <c r="U317" i="15"/>
  <c r="R317" i="15"/>
  <c r="O316" i="15"/>
  <c r="H307" i="15"/>
  <c r="E306" i="15"/>
  <c r="U311" i="15"/>
  <c r="R311" i="15"/>
  <c r="O309" i="15"/>
  <c r="H296" i="15"/>
  <c r="E313" i="15"/>
  <c r="U319" i="15"/>
  <c r="R319" i="15"/>
  <c r="O299" i="15"/>
  <c r="Q321" i="15"/>
  <c r="Q308" i="15"/>
  <c r="Q304" i="15"/>
  <c r="Q317" i="15"/>
  <c r="Q316" i="15"/>
  <c r="Q307" i="15"/>
  <c r="Q306" i="15"/>
  <c r="Q311" i="15"/>
  <c r="Q309" i="15"/>
  <c r="Q296" i="15"/>
  <c r="Q313" i="15"/>
  <c r="Q319" i="15"/>
  <c r="Q299" i="15"/>
  <c r="F301" i="15"/>
  <c r="W321" i="15"/>
  <c r="P308" i="15"/>
  <c r="M304" i="15"/>
  <c r="J304" i="15"/>
  <c r="G317" i="15"/>
  <c r="W316" i="15"/>
  <c r="P307" i="15"/>
  <c r="M306" i="15"/>
  <c r="J306" i="15"/>
  <c r="G311" i="15"/>
  <c r="W309" i="15"/>
  <c r="P296" i="15"/>
  <c r="M313" i="15"/>
  <c r="J313" i="15"/>
  <c r="G319" i="15"/>
  <c r="W299" i="15"/>
  <c r="F320" i="15"/>
  <c r="V321" i="15"/>
  <c r="N91" i="26"/>
  <c r="V85" i="26"/>
  <c r="O297" i="15"/>
  <c r="R315" i="15"/>
  <c r="U323" i="15"/>
  <c r="E322" i="15"/>
  <c r="H320" i="15"/>
  <c r="T295" i="15"/>
  <c r="T305" i="15"/>
  <c r="T303" i="15"/>
  <c r="T320" i="15"/>
  <c r="G297" i="15"/>
  <c r="J315" i="15"/>
  <c r="J302" i="15"/>
  <c r="W310" i="15"/>
  <c r="M322" i="15"/>
  <c r="G300" i="15"/>
  <c r="P320" i="15"/>
  <c r="S312" i="15"/>
  <c r="L318" i="15"/>
  <c r="I297" i="15"/>
  <c r="F297" i="15"/>
  <c r="V295" i="15"/>
  <c r="S298" i="15"/>
  <c r="L315" i="15"/>
  <c r="I314" i="15"/>
  <c r="F314" i="15"/>
  <c r="V305" i="15"/>
  <c r="S302" i="15"/>
  <c r="L323" i="15"/>
  <c r="I310" i="15"/>
  <c r="F310" i="15"/>
  <c r="V303" i="15"/>
  <c r="S322" i="15"/>
  <c r="L300" i="15"/>
  <c r="I301" i="15"/>
  <c r="U321" i="15"/>
  <c r="R321" i="15"/>
  <c r="O308" i="15"/>
  <c r="H304" i="15"/>
  <c r="E317" i="15"/>
  <c r="U316" i="15"/>
  <c r="R316" i="15"/>
  <c r="O307" i="15"/>
  <c r="H306" i="15"/>
  <c r="E311" i="15"/>
  <c r="U309" i="15"/>
  <c r="R309" i="15"/>
  <c r="O296" i="15"/>
  <c r="H313" i="15"/>
  <c r="E319" i="15"/>
  <c r="U299" i="15"/>
  <c r="R299" i="15"/>
  <c r="T321" i="15"/>
  <c r="T308" i="15"/>
  <c r="T304" i="15"/>
  <c r="T317" i="15"/>
  <c r="T316" i="15"/>
  <c r="T307" i="15"/>
  <c r="T306" i="15"/>
  <c r="T311" i="15"/>
  <c r="T309" i="15"/>
  <c r="T296" i="15"/>
  <c r="T313" i="15"/>
  <c r="T319" i="15"/>
  <c r="T299" i="15"/>
  <c r="V320" i="15"/>
  <c r="G321" i="15"/>
  <c r="W308" i="15"/>
  <c r="P304" i="15"/>
  <c r="M317" i="15"/>
  <c r="J317" i="15"/>
  <c r="G316" i="15"/>
  <c r="W307" i="15"/>
  <c r="P306" i="15"/>
  <c r="M311" i="15"/>
  <c r="J311" i="15"/>
  <c r="G309" i="15"/>
  <c r="W296" i="15"/>
  <c r="P313" i="15"/>
  <c r="M319" i="15"/>
  <c r="J319" i="15"/>
  <c r="G299" i="15"/>
  <c r="I321" i="15"/>
  <c r="F321" i="15"/>
  <c r="U82" i="26"/>
  <c r="E312" i="15"/>
  <c r="H295" i="15"/>
  <c r="O314" i="15"/>
  <c r="R323" i="15"/>
  <c r="U300" i="15"/>
  <c r="T312" i="15"/>
  <c r="T298" i="15"/>
  <c r="T302" i="15"/>
  <c r="T322" i="15"/>
  <c r="P312" i="15"/>
  <c r="W295" i="15"/>
  <c r="G314" i="15"/>
  <c r="M323" i="15"/>
  <c r="G310" i="15"/>
  <c r="P322" i="15"/>
  <c r="J300" i="15"/>
  <c r="W320" i="15"/>
  <c r="V312" i="15"/>
  <c r="S318" i="15"/>
  <c r="L297" i="15"/>
  <c r="I295" i="15"/>
  <c r="F295" i="15"/>
  <c r="V298" i="15"/>
  <c r="S315" i="15"/>
  <c r="L314" i="15"/>
  <c r="I305" i="15"/>
  <c r="F305" i="15"/>
  <c r="V302" i="15"/>
  <c r="S323" i="15"/>
  <c r="L310" i="15"/>
  <c r="I303" i="15"/>
  <c r="F303" i="15"/>
  <c r="V322" i="15"/>
  <c r="S300" i="15"/>
  <c r="L301" i="15"/>
  <c r="E321" i="15"/>
  <c r="U308" i="15"/>
  <c r="R308" i="15"/>
  <c r="O304" i="15"/>
  <c r="H317" i="15"/>
  <c r="E316" i="15"/>
  <c r="U307" i="15"/>
  <c r="R307" i="15"/>
  <c r="O306" i="15"/>
  <c r="H311" i="15"/>
  <c r="E309" i="15"/>
  <c r="U296" i="15"/>
  <c r="R296" i="15"/>
  <c r="O313" i="15"/>
  <c r="H319" i="15"/>
  <c r="E299" i="15"/>
  <c r="V301" i="15"/>
  <c r="K321" i="15"/>
  <c r="K308" i="15"/>
  <c r="K304" i="15"/>
  <c r="K317" i="15"/>
  <c r="K316" i="15"/>
  <c r="K307" i="15"/>
  <c r="K306" i="15"/>
  <c r="K311" i="15"/>
  <c r="K309" i="15"/>
  <c r="K296" i="15"/>
  <c r="K313" i="15"/>
  <c r="K319" i="15"/>
  <c r="K299" i="15"/>
  <c r="M321" i="15"/>
  <c r="J321" i="15"/>
  <c r="G308" i="15"/>
  <c r="W304" i="15"/>
  <c r="P317" i="15"/>
  <c r="M316" i="15"/>
  <c r="J316" i="15"/>
  <c r="G307" i="15"/>
  <c r="W306" i="15"/>
  <c r="P311" i="15"/>
  <c r="M309" i="15"/>
  <c r="J309" i="15"/>
  <c r="G296" i="15"/>
  <c r="W313" i="15"/>
  <c r="P319" i="15"/>
  <c r="M299" i="15"/>
  <c r="J299" i="15"/>
  <c r="L321" i="15"/>
  <c r="I308" i="15"/>
  <c r="F308" i="15"/>
  <c r="V304" i="15"/>
  <c r="S317" i="15"/>
  <c r="L316" i="15"/>
  <c r="P83" i="26"/>
  <c r="U318" i="15"/>
  <c r="E298" i="15"/>
  <c r="H305" i="15"/>
  <c r="O310" i="15"/>
  <c r="R300" i="15"/>
  <c r="T318" i="15"/>
  <c r="T315" i="15"/>
  <c r="T323" i="15"/>
  <c r="T300" i="15"/>
  <c r="M318" i="15"/>
  <c r="P298" i="15"/>
  <c r="W305" i="15"/>
  <c r="G323" i="15"/>
  <c r="P303" i="15"/>
  <c r="J322" i="15"/>
  <c r="W301" i="15"/>
  <c r="I312" i="15"/>
  <c r="F312" i="15"/>
  <c r="V318" i="15"/>
  <c r="S297" i="15"/>
  <c r="L295" i="15"/>
  <c r="I298" i="15"/>
  <c r="F298" i="15"/>
  <c r="V315" i="15"/>
  <c r="S314" i="15"/>
  <c r="L305" i="15"/>
  <c r="I302" i="15"/>
  <c r="F302" i="15"/>
  <c r="V323" i="15"/>
  <c r="S310" i="15"/>
  <c r="L303" i="15"/>
  <c r="I322" i="15"/>
  <c r="F322" i="15"/>
  <c r="V300" i="15"/>
  <c r="S301" i="15"/>
  <c r="H321" i="15"/>
  <c r="E308" i="15"/>
  <c r="U304" i="15"/>
  <c r="R304" i="15"/>
  <c r="O317" i="15"/>
  <c r="H316" i="15"/>
  <c r="E307" i="15"/>
  <c r="U306" i="15"/>
  <c r="R306" i="15"/>
  <c r="O311" i="15"/>
  <c r="H309" i="15"/>
  <c r="E296" i="15"/>
  <c r="U313" i="15"/>
  <c r="R313" i="15"/>
  <c r="O319" i="15"/>
  <c r="H299" i="15"/>
  <c r="S320" i="15"/>
  <c r="N321" i="15"/>
  <c r="N308" i="15"/>
  <c r="N304" i="15"/>
  <c r="N317" i="15"/>
  <c r="N316" i="15"/>
  <c r="N307" i="15"/>
  <c r="N306" i="15"/>
  <c r="N311" i="15"/>
  <c r="N309" i="15"/>
  <c r="N296" i="15"/>
  <c r="N313" i="15"/>
  <c r="N319" i="15"/>
  <c r="N299" i="15"/>
  <c r="P321" i="15"/>
  <c r="M308" i="15"/>
  <c r="J308" i="15"/>
  <c r="G304" i="15"/>
  <c r="W317" i="15"/>
  <c r="P316" i="15"/>
  <c r="M307" i="15"/>
  <c r="J307" i="15"/>
  <c r="G306" i="15"/>
  <c r="W311" i="15"/>
  <c r="P309" i="15"/>
  <c r="M296" i="15"/>
  <c r="J296" i="15"/>
  <c r="G313" i="15"/>
  <c r="W319" i="15"/>
  <c r="P299" i="15"/>
  <c r="I320" i="15"/>
  <c r="V308" i="15"/>
  <c r="F304" i="15"/>
  <c r="F317" i="15"/>
  <c r="F316" i="15"/>
  <c r="V307" i="15"/>
  <c r="S306" i="15"/>
  <c r="L311" i="15"/>
  <c r="I309" i="15"/>
  <c r="F309" i="15"/>
  <c r="V296" i="15"/>
  <c r="S313" i="15"/>
  <c r="L319" i="15"/>
  <c r="I299" i="15"/>
  <c r="F299" i="15"/>
  <c r="S321" i="15"/>
  <c r="I304" i="15"/>
  <c r="I317" i="15"/>
  <c r="I316" i="15"/>
  <c r="I307" i="15"/>
  <c r="F307" i="15"/>
  <c r="V306" i="15"/>
  <c r="S311" i="15"/>
  <c r="L309" i="15"/>
  <c r="I296" i="15"/>
  <c r="F296" i="15"/>
  <c r="V313" i="15"/>
  <c r="S319" i="15"/>
  <c r="L299" i="15"/>
  <c r="L308" i="15"/>
  <c r="L304" i="15"/>
  <c r="L317" i="15"/>
  <c r="S316" i="15"/>
  <c r="L307" i="15"/>
  <c r="I306" i="15"/>
  <c r="F306" i="15"/>
  <c r="V311" i="15"/>
  <c r="S309" i="15"/>
  <c r="L296" i="15"/>
  <c r="I313" i="15"/>
  <c r="F313" i="15"/>
  <c r="V319" i="15"/>
  <c r="S299" i="15"/>
  <c r="S308" i="15"/>
  <c r="S304" i="15"/>
  <c r="V317" i="15"/>
  <c r="V316" i="15"/>
  <c r="S307" i="15"/>
  <c r="L306" i="15"/>
  <c r="I311" i="15"/>
  <c r="F311" i="15"/>
  <c r="V309" i="15"/>
  <c r="S296" i="15"/>
  <c r="L313" i="15"/>
  <c r="I319" i="15"/>
  <c r="F319" i="15"/>
  <c r="V299" i="15"/>
  <c r="D104" i="26"/>
  <c r="D97" i="26"/>
  <c r="D106" i="26"/>
  <c r="D99" i="26"/>
  <c r="D101" i="26"/>
  <c r="D107" i="26"/>
  <c r="D98" i="26"/>
  <c r="D83" i="26"/>
  <c r="E78" i="26"/>
  <c r="F78" i="26"/>
  <c r="M78" i="26"/>
  <c r="D80" i="26"/>
  <c r="D300" i="15"/>
  <c r="I294" i="15"/>
  <c r="R294" i="15"/>
  <c r="D296" i="15"/>
  <c r="T294" i="15"/>
  <c r="D306" i="15"/>
  <c r="D303" i="15"/>
  <c r="D311" i="15"/>
  <c r="U294" i="15"/>
  <c r="H294" i="15"/>
  <c r="D305" i="15"/>
  <c r="D297" i="15"/>
  <c r="D295" i="15"/>
  <c r="F294" i="15"/>
  <c r="V294" i="15"/>
  <c r="E294" i="15"/>
  <c r="D71" i="26"/>
  <c r="X71" i="26" s="1"/>
  <c r="D35" i="26"/>
  <c r="X35" i="26" s="1"/>
  <c r="U78" i="26"/>
  <c r="V78" i="26"/>
  <c r="J78" i="26"/>
  <c r="D92" i="26"/>
  <c r="D93" i="26"/>
  <c r="H78" i="26"/>
  <c r="D90" i="26"/>
  <c r="D84" i="26"/>
  <c r="Q78" i="26"/>
  <c r="O78" i="26"/>
  <c r="D91" i="26"/>
  <c r="W78" i="26"/>
  <c r="D79" i="26"/>
  <c r="D308" i="15"/>
  <c r="D301" i="15"/>
  <c r="D302" i="15"/>
  <c r="J294" i="15"/>
  <c r="L294" i="15"/>
  <c r="D299" i="15"/>
  <c r="K294" i="15"/>
  <c r="D105" i="26"/>
  <c r="D95" i="26"/>
  <c r="D103" i="26"/>
  <c r="D94" i="26"/>
  <c r="D102" i="26"/>
  <c r="D96" i="26"/>
  <c r="D100" i="26"/>
  <c r="N78" i="26"/>
  <c r="D89" i="26"/>
  <c r="D88" i="26"/>
  <c r="D87" i="26"/>
  <c r="D322" i="15"/>
  <c r="D314" i="15"/>
  <c r="W294" i="15"/>
  <c r="D309" i="15"/>
  <c r="D319" i="15"/>
  <c r="D320" i="15"/>
  <c r="D315" i="15"/>
  <c r="D312" i="15"/>
  <c r="M294" i="15"/>
  <c r="D307" i="15"/>
  <c r="D313" i="15"/>
  <c r="O294" i="15"/>
  <c r="D321" i="15"/>
  <c r="D323" i="15"/>
  <c r="D304" i="15"/>
  <c r="D316" i="15"/>
  <c r="N294" i="15"/>
  <c r="D294" i="15"/>
  <c r="K78" i="26"/>
  <c r="D82" i="26"/>
  <c r="D86" i="26"/>
  <c r="D81" i="26"/>
  <c r="P78" i="26"/>
  <c r="R78" i="26"/>
  <c r="S78" i="26"/>
  <c r="G78" i="26"/>
  <c r="D85" i="26"/>
  <c r="T78" i="26"/>
  <c r="I78" i="26"/>
  <c r="L78" i="26"/>
  <c r="P294" i="15"/>
  <c r="D310" i="15"/>
  <c r="D318" i="15"/>
  <c r="S294" i="15"/>
  <c r="Q294" i="15"/>
  <c r="D317" i="15"/>
  <c r="G294" i="15"/>
  <c r="D298" i="15"/>
  <c r="D78" i="26"/>
  <c r="X87" i="26" l="1"/>
  <c r="X84" i="26"/>
  <c r="X90" i="26"/>
  <c r="X86" i="26"/>
  <c r="X92" i="26"/>
  <c r="X317" i="15"/>
  <c r="X295" i="15"/>
  <c r="X321" i="15"/>
  <c r="X322" i="15"/>
  <c r="T324" i="15"/>
  <c r="X316" i="15"/>
  <c r="X315" i="15"/>
  <c r="L324" i="15"/>
  <c r="E324" i="15"/>
  <c r="W324" i="15"/>
  <c r="X319" i="15"/>
  <c r="X298" i="15"/>
  <c r="X88" i="26"/>
  <c r="X82" i="26"/>
  <c r="X314" i="15"/>
  <c r="X79" i="26"/>
  <c r="X311" i="15"/>
  <c r="X312" i="15"/>
  <c r="X297" i="15"/>
  <c r="X81" i="26"/>
  <c r="X323" i="15"/>
  <c r="X313" i="15"/>
  <c r="X302" i="15"/>
  <c r="X93" i="26"/>
  <c r="X305" i="15"/>
  <c r="X80" i="26"/>
  <c r="X83" i="26"/>
  <c r="S324" i="15"/>
  <c r="X304" i="15"/>
  <c r="N324" i="15"/>
  <c r="X308" i="15"/>
  <c r="X300" i="15"/>
  <c r="X310" i="15"/>
  <c r="M324" i="15"/>
  <c r="K324" i="15"/>
  <c r="U324" i="15"/>
  <c r="X303" i="15"/>
  <c r="V324" i="15"/>
  <c r="Q324" i="15"/>
  <c r="X85" i="26"/>
  <c r="X318" i="15"/>
  <c r="X89" i="26"/>
  <c r="X301" i="15"/>
  <c r="X91" i="26"/>
  <c r="R324" i="15"/>
  <c r="U291" i="15"/>
  <c r="W291" i="15" s="1"/>
  <c r="X307" i="15"/>
  <c r="H324" i="15"/>
  <c r="I324" i="15"/>
  <c r="G324" i="15"/>
  <c r="O324" i="15"/>
  <c r="X309" i="15"/>
  <c r="J324" i="15"/>
  <c r="X296" i="15"/>
  <c r="P324" i="15"/>
  <c r="X320" i="15"/>
  <c r="X299" i="15"/>
  <c r="F324" i="15"/>
  <c r="X306" i="15"/>
  <c r="D108" i="26"/>
  <c r="E95" i="26"/>
  <c r="U107" i="26"/>
  <c r="R103" i="26"/>
  <c r="R98" i="26"/>
  <c r="N104" i="26"/>
  <c r="W94" i="26"/>
  <c r="L103" i="26"/>
  <c r="F99" i="26"/>
  <c r="G106" i="26"/>
  <c r="W96" i="26"/>
  <c r="P100" i="26"/>
  <c r="M102" i="26"/>
  <c r="I95" i="26"/>
  <c r="V107" i="26"/>
  <c r="N100" i="26"/>
  <c r="T98" i="26"/>
  <c r="W106" i="26"/>
  <c r="P96" i="26"/>
  <c r="O101" i="26"/>
  <c r="J102" i="26"/>
  <c r="W95" i="26"/>
  <c r="N96" i="26"/>
  <c r="K100" i="26"/>
  <c r="Q102" i="26"/>
  <c r="X294" i="15"/>
  <c r="G94" i="26"/>
  <c r="S103" i="26"/>
  <c r="I99" i="26"/>
  <c r="J106" i="26"/>
  <c r="G96" i="26"/>
  <c r="W100" i="26"/>
  <c r="P98" i="26"/>
  <c r="H95" i="26"/>
  <c r="F107" i="26"/>
  <c r="I100" i="26"/>
  <c r="K98" i="26"/>
  <c r="I94" i="26"/>
  <c r="E105" i="26"/>
  <c r="U101" i="26"/>
  <c r="P102" i="26"/>
  <c r="N106" i="26"/>
  <c r="T96" i="26"/>
  <c r="L101" i="26"/>
  <c r="T102" i="26"/>
  <c r="F94" i="26"/>
  <c r="U105" i="26"/>
  <c r="R101" i="26"/>
  <c r="H97" i="26"/>
  <c r="K106" i="26"/>
  <c r="S105" i="26"/>
  <c r="I101" i="26"/>
  <c r="D324" i="15"/>
  <c r="V103" i="26"/>
  <c r="M98" i="26"/>
  <c r="T94" i="26"/>
  <c r="H105" i="26"/>
  <c r="E101" i="26"/>
  <c r="W102" i="26"/>
  <c r="Q106" i="26"/>
  <c r="K96" i="26"/>
  <c r="S101" i="26"/>
  <c r="K102" i="26"/>
  <c r="O107" i="26"/>
  <c r="H103" i="26"/>
  <c r="E99" i="26"/>
  <c r="F97" i="26"/>
  <c r="M94" i="26"/>
  <c r="F105" i="26"/>
  <c r="L99" i="26"/>
  <c r="P104" i="26"/>
  <c r="H107" i="26"/>
  <c r="E103" i="26"/>
  <c r="U99" i="26"/>
  <c r="V97" i="26"/>
  <c r="J94" i="26"/>
  <c r="V105" i="26"/>
  <c r="O99" i="26"/>
  <c r="X78" i="26"/>
  <c r="T100" i="26"/>
  <c r="S94" i="26"/>
  <c r="O103" i="26"/>
  <c r="K99" i="26"/>
  <c r="I97" i="26"/>
  <c r="H94" i="26"/>
  <c r="I105" i="26"/>
  <c r="V101" i="26"/>
  <c r="S95" i="26"/>
  <c r="R107" i="26"/>
  <c r="E100" i="26"/>
  <c r="I98" i="26"/>
  <c r="K104" i="26"/>
  <c r="S107" i="26"/>
  <c r="I103" i="26"/>
  <c r="V99" i="26"/>
  <c r="R95" i="26"/>
  <c r="J96" i="26"/>
  <c r="U100" i="26"/>
  <c r="G98" i="26"/>
  <c r="T104" i="26"/>
  <c r="L107" i="26"/>
  <c r="F103" i="26"/>
  <c r="X324" i="15" l="1"/>
  <c r="Q108" i="26"/>
  <c r="U75" i="26"/>
  <c r="W75" i="26" s="1"/>
  <c r="X98" i="26"/>
  <c r="X103" i="26"/>
  <c r="X97" i="26"/>
  <c r="X100" i="26"/>
  <c r="J108" i="26"/>
  <c r="M108" i="26"/>
  <c r="T108" i="26"/>
  <c r="X105" i="26"/>
  <c r="X107" i="26"/>
  <c r="G108" i="26"/>
  <c r="X102" i="26"/>
  <c r="R108" i="26"/>
  <c r="U108" i="26"/>
  <c r="L108" i="26"/>
  <c r="X99" i="26"/>
  <c r="X96" i="26"/>
  <c r="X106" i="26"/>
  <c r="E108" i="26"/>
  <c r="X95" i="26"/>
  <c r="H108" i="26"/>
  <c r="S108" i="26"/>
  <c r="V108" i="26"/>
  <c r="X94" i="26"/>
  <c r="I108" i="26"/>
  <c r="X104" i="26"/>
  <c r="O108" i="26"/>
  <c r="X101" i="26"/>
  <c r="K108" i="26"/>
  <c r="N108" i="26"/>
  <c r="P108" i="26"/>
  <c r="W108" i="26"/>
  <c r="F108" i="26"/>
  <c r="X108" i="26" l="1"/>
  <c r="AU123" i="1" l="1"/>
  <c r="BK123" i="1" s="1"/>
  <c r="AU87" i="1"/>
  <c r="BK87" i="1" s="1"/>
  <c r="AU126" i="1"/>
  <c r="BK126" i="1" s="1"/>
  <c r="BL126" i="1" s="1"/>
  <c r="AU122" i="1"/>
  <c r="BQ122" i="1" s="1"/>
  <c r="AU125" i="1"/>
  <c r="BQ125" i="1" s="1"/>
  <c r="AU121" i="1"/>
  <c r="BK121" i="1" s="1"/>
  <c r="G75" i="2"/>
  <c r="AX123" i="1" l="1"/>
  <c r="BO123" i="1"/>
  <c r="AT123" i="1"/>
  <c r="BO125" i="1"/>
  <c r="AT126" i="1"/>
  <c r="AW125" i="1"/>
  <c r="BC125" i="1" s="1"/>
  <c r="AX122" i="1"/>
  <c r="AX125" i="1"/>
  <c r="AW122" i="1"/>
  <c r="BF122" i="1" s="1"/>
  <c r="AT122" i="1"/>
  <c r="BO122" i="1"/>
  <c r="AW126" i="1"/>
  <c r="BB126" i="1" s="1"/>
  <c r="AT121" i="1"/>
  <c r="BO87" i="1"/>
  <c r="BO126" i="1"/>
  <c r="AT125" i="1"/>
  <c r="AX126" i="1"/>
  <c r="AW123" i="1"/>
  <c r="BC123" i="1" s="1"/>
  <c r="AT87" i="1"/>
  <c r="BK125" i="1"/>
  <c r="BL125" i="1" s="1"/>
  <c r="BX125" i="1" s="1"/>
  <c r="BZ125" i="1" s="1"/>
  <c r="BQ126" i="1"/>
  <c r="BX126" i="1" s="1"/>
  <c r="BY126" i="1" s="1"/>
  <c r="BQ123" i="1"/>
  <c r="BK122" i="1"/>
  <c r="BL122" i="1" s="1"/>
  <c r="BX122" i="1" s="1"/>
  <c r="BL123" i="1"/>
  <c r="AW121" i="1"/>
  <c r="AW87" i="1"/>
  <c r="BQ121" i="1"/>
  <c r="BQ87" i="1"/>
  <c r="BL121" i="1"/>
  <c r="BL87" i="1"/>
  <c r="BO121" i="1"/>
  <c r="AX121" i="1"/>
  <c r="AX87" i="1"/>
  <c r="G78" i="2"/>
  <c r="AC24" i="1" s="1"/>
  <c r="AI24" i="1" s="1"/>
  <c r="AF24" i="1" l="1"/>
  <c r="AM24" i="1"/>
  <c r="AG24" i="1"/>
  <c r="AC54" i="1"/>
  <c r="AI54" i="1" s="1"/>
  <c r="AG54" i="1" s="1"/>
  <c r="AC37" i="1"/>
  <c r="AI37" i="1" s="1"/>
  <c r="AM37" i="1" s="1"/>
  <c r="AC40" i="1"/>
  <c r="AI40" i="1" s="1"/>
  <c r="AC43" i="1"/>
  <c r="AI43" i="1" s="1"/>
  <c r="AC41" i="1"/>
  <c r="AI41" i="1" s="1"/>
  <c r="AC44" i="1"/>
  <c r="AI44" i="1" s="1"/>
  <c r="AC32" i="1"/>
  <c r="AI32" i="1" s="1"/>
  <c r="AC58" i="1"/>
  <c r="AI58" i="1" s="1"/>
  <c r="AC31" i="1"/>
  <c r="AI31" i="1" s="1"/>
  <c r="AM31" i="1" s="1"/>
  <c r="AC59" i="1"/>
  <c r="AI59" i="1" s="1"/>
  <c r="AC18" i="1"/>
  <c r="AI18" i="1" s="1"/>
  <c r="AM18" i="1" s="1"/>
  <c r="AC35" i="1"/>
  <c r="AI35" i="1" s="1"/>
  <c r="AM35" i="1" s="1"/>
  <c r="AC34" i="1"/>
  <c r="AI34" i="1" s="1"/>
  <c r="AC22" i="1"/>
  <c r="AI22" i="1" s="1"/>
  <c r="AC27" i="1"/>
  <c r="AI27" i="1" s="1"/>
  <c r="AC26" i="1"/>
  <c r="AI26" i="1" s="1"/>
  <c r="AC28" i="1"/>
  <c r="AI28" i="1" s="1"/>
  <c r="AC23" i="1"/>
  <c r="AI23" i="1" s="1"/>
  <c r="AC21" i="1"/>
  <c r="AI21" i="1" s="1"/>
  <c r="AC17" i="1"/>
  <c r="AI17" i="1" s="1"/>
  <c r="AC30" i="1"/>
  <c r="AI30" i="1" s="1"/>
  <c r="AC20" i="1"/>
  <c r="AI20" i="1" s="1"/>
  <c r="AC60" i="1"/>
  <c r="AI60" i="1" s="1"/>
  <c r="AC47" i="1"/>
  <c r="AI47" i="1" s="1"/>
  <c r="AC49" i="1"/>
  <c r="AI49" i="1" s="1"/>
  <c r="AF49" i="1" s="1"/>
  <c r="AC48" i="1"/>
  <c r="AI48" i="1" s="1"/>
  <c r="AM48" i="1" s="1"/>
  <c r="BB122" i="1"/>
  <c r="BD122" i="1"/>
  <c r="BC122" i="1"/>
  <c r="AY122" i="1"/>
  <c r="AZ122" i="1" s="1"/>
  <c r="BD125" i="1"/>
  <c r="BF125" i="1"/>
  <c r="AY125" i="1"/>
  <c r="AZ125" i="1" s="1"/>
  <c r="BB125" i="1"/>
  <c r="BE125" i="1"/>
  <c r="AY121" i="1"/>
  <c r="AZ121" i="1" s="1"/>
  <c r="BD123" i="1"/>
  <c r="BE122" i="1"/>
  <c r="BE126" i="1"/>
  <c r="BF126" i="1"/>
  <c r="BD126" i="1"/>
  <c r="BX121" i="1"/>
  <c r="BY121" i="1" s="1"/>
  <c r="AY126" i="1"/>
  <c r="AZ126" i="1" s="1"/>
  <c r="BC126" i="1"/>
  <c r="BX123" i="1"/>
  <c r="BZ123" i="1" s="1"/>
  <c r="BF123" i="1"/>
  <c r="AY123" i="1"/>
  <c r="AZ123" i="1" s="1"/>
  <c r="BB123" i="1"/>
  <c r="BE123" i="1"/>
  <c r="BZ126" i="1"/>
  <c r="BY125" i="1"/>
  <c r="BY122" i="1"/>
  <c r="BZ122" i="1"/>
  <c r="BX87" i="1"/>
  <c r="BZ87" i="1" s="1"/>
  <c r="BE87" i="1"/>
  <c r="BB87" i="1"/>
  <c r="BF87" i="1"/>
  <c r="BD87" i="1"/>
  <c r="BC87" i="1"/>
  <c r="BF121" i="1"/>
  <c r="BC121" i="1"/>
  <c r="BB121" i="1"/>
  <c r="BD121" i="1"/>
  <c r="BE121" i="1"/>
  <c r="AY87" i="1"/>
  <c r="AZ87" i="1" s="1"/>
  <c r="AC200" i="1"/>
  <c r="AI200" i="1" s="1"/>
  <c r="AC246" i="1"/>
  <c r="AI246" i="1" s="1"/>
  <c r="AC51" i="1"/>
  <c r="AI51" i="1" s="1"/>
  <c r="AC210" i="1"/>
  <c r="AI210" i="1" s="1"/>
  <c r="AC238" i="1"/>
  <c r="AI238" i="1" s="1"/>
  <c r="AC64" i="1"/>
  <c r="AI64" i="1" s="1"/>
  <c r="AC110" i="1"/>
  <c r="AI110" i="1" s="1"/>
  <c r="AC80" i="1"/>
  <c r="AI80" i="1" s="1"/>
  <c r="AC236" i="1"/>
  <c r="AI236" i="1" s="1"/>
  <c r="AC73" i="1"/>
  <c r="AI73" i="1" s="1"/>
  <c r="AC214" i="1"/>
  <c r="AI214" i="1" s="1"/>
  <c r="AC136" i="1"/>
  <c r="AI136" i="1" s="1"/>
  <c r="AC69" i="1"/>
  <c r="AI69" i="1" s="1"/>
  <c r="AC143" i="1"/>
  <c r="AI143" i="1" s="1"/>
  <c r="AC206" i="1"/>
  <c r="AI206" i="1" s="1"/>
  <c r="AC190" i="1"/>
  <c r="AI190" i="1" s="1"/>
  <c r="AC134" i="1"/>
  <c r="AI134" i="1" s="1"/>
  <c r="AC248" i="1"/>
  <c r="AI248" i="1" s="1"/>
  <c r="AC170" i="1"/>
  <c r="AI170" i="1" s="1"/>
  <c r="AC264" i="1"/>
  <c r="AI264" i="1" s="1"/>
  <c r="AC105" i="1"/>
  <c r="AI105" i="1" s="1"/>
  <c r="AC227" i="1"/>
  <c r="AI227" i="1" s="1"/>
  <c r="AC99" i="1"/>
  <c r="AI99" i="1" s="1"/>
  <c r="AC132" i="1"/>
  <c r="AI132" i="1" s="1"/>
  <c r="AC213" i="1"/>
  <c r="AI213" i="1" s="1"/>
  <c r="AC223" i="1"/>
  <c r="AI223" i="1" s="1"/>
  <c r="AC57" i="1"/>
  <c r="AI57" i="1" s="1"/>
  <c r="AC218" i="1"/>
  <c r="AI218" i="1" s="1"/>
  <c r="AC265" i="1"/>
  <c r="AI265" i="1" s="1"/>
  <c r="AC77" i="1"/>
  <c r="AI77" i="1" s="1"/>
  <c r="AC239" i="1"/>
  <c r="AI239" i="1" s="1"/>
  <c r="AC89" i="1"/>
  <c r="AI89" i="1" s="1"/>
  <c r="AC96" i="1"/>
  <c r="AI96" i="1" s="1"/>
  <c r="AC145" i="1"/>
  <c r="AI145" i="1" s="1"/>
  <c r="AC66" i="1"/>
  <c r="AI66" i="1" s="1"/>
  <c r="AC140" i="1"/>
  <c r="AI140" i="1" s="1"/>
  <c r="AC205" i="1"/>
  <c r="AI205" i="1" s="1"/>
  <c r="AC221" i="1"/>
  <c r="AI221" i="1" s="1"/>
  <c r="AC219" i="1"/>
  <c r="AI219" i="1" s="1"/>
  <c r="AC141" i="1"/>
  <c r="AI141" i="1" s="1"/>
  <c r="AC251" i="1"/>
  <c r="AI251" i="1" s="1"/>
  <c r="AC121" i="1"/>
  <c r="AI121" i="1" s="1"/>
  <c r="AC111" i="1"/>
  <c r="AI111" i="1" s="1"/>
  <c r="AC83" i="1"/>
  <c r="AI83" i="1" s="1"/>
  <c r="AC75" i="1"/>
  <c r="AI75" i="1" s="1"/>
  <c r="AC95" i="1"/>
  <c r="AI95" i="1" s="1"/>
  <c r="AC198" i="1"/>
  <c r="AI198" i="1" s="1"/>
  <c r="AC256" i="1"/>
  <c r="AI256" i="1" s="1"/>
  <c r="AC180" i="1"/>
  <c r="AI180" i="1" s="1"/>
  <c r="AC86" i="1"/>
  <c r="AI86" i="1" s="1"/>
  <c r="AC119" i="1"/>
  <c r="AI119" i="1" s="1"/>
  <c r="AC112" i="1"/>
  <c r="AI112" i="1" s="1"/>
  <c r="AC146" i="1"/>
  <c r="AI146" i="1" s="1"/>
  <c r="AC194" i="1"/>
  <c r="AI194" i="1" s="1"/>
  <c r="AC172" i="1"/>
  <c r="AI172" i="1" s="1"/>
  <c r="AC122" i="1"/>
  <c r="AI122" i="1" s="1"/>
  <c r="AC139" i="1"/>
  <c r="AI139" i="1" s="1"/>
  <c r="AC153" i="1"/>
  <c r="AI153" i="1" s="1"/>
  <c r="AC262" i="1"/>
  <c r="AI262" i="1" s="1"/>
  <c r="AC163" i="1"/>
  <c r="AI163" i="1" s="1"/>
  <c r="AC268" i="1"/>
  <c r="AI268" i="1" s="1"/>
  <c r="AC193" i="1"/>
  <c r="AI193" i="1" s="1"/>
  <c r="AC234" i="1"/>
  <c r="AI234" i="1" s="1"/>
  <c r="AC182" i="1"/>
  <c r="AI182" i="1" s="1"/>
  <c r="AC272" i="1"/>
  <c r="AI272" i="1" s="1"/>
  <c r="AC135" i="1"/>
  <c r="AI135" i="1" s="1"/>
  <c r="AC67" i="1"/>
  <c r="AI67" i="1" s="1"/>
  <c r="AC233" i="1"/>
  <c r="AI233" i="1" s="1"/>
  <c r="AC258" i="1"/>
  <c r="AI258" i="1" s="1"/>
  <c r="AC244" i="1"/>
  <c r="AI244" i="1" s="1"/>
  <c r="AC116" i="1"/>
  <c r="AI116" i="1" s="1"/>
  <c r="AC81" i="1"/>
  <c r="AI81" i="1" s="1"/>
  <c r="AC91" i="1"/>
  <c r="AI91" i="1" s="1"/>
  <c r="AC260" i="1"/>
  <c r="AI260" i="1" s="1"/>
  <c r="AC92" i="1"/>
  <c r="AI92" i="1" s="1"/>
  <c r="AC183" i="1"/>
  <c r="AI183" i="1" s="1"/>
  <c r="AC159" i="1"/>
  <c r="AI159" i="1" s="1"/>
  <c r="AC155" i="1"/>
  <c r="AI155" i="1" s="1"/>
  <c r="AC154" i="1"/>
  <c r="AI154" i="1" s="1"/>
  <c r="AC263" i="1"/>
  <c r="AI263" i="1" s="1"/>
  <c r="AC261" i="1"/>
  <c r="AI261" i="1" s="1"/>
  <c r="AC232" i="1"/>
  <c r="AI232" i="1" s="1"/>
  <c r="AC196" i="1"/>
  <c r="AI196" i="1" s="1"/>
  <c r="AC217" i="1"/>
  <c r="AI217" i="1" s="1"/>
  <c r="AC203" i="1"/>
  <c r="AI203" i="1" s="1"/>
  <c r="AC138" i="1"/>
  <c r="AI138" i="1" s="1"/>
  <c r="AC231" i="1"/>
  <c r="AI231" i="1" s="1"/>
  <c r="AC118" i="1"/>
  <c r="AI118" i="1" s="1"/>
  <c r="AC108" i="1"/>
  <c r="AI108" i="1" s="1"/>
  <c r="AC128" i="1"/>
  <c r="AI128" i="1" s="1"/>
  <c r="AC208" i="1"/>
  <c r="AI208" i="1" s="1"/>
  <c r="AC166" i="1"/>
  <c r="AI166" i="1" s="1"/>
  <c r="AC252" i="1"/>
  <c r="AI252" i="1" s="1"/>
  <c r="AC197" i="1"/>
  <c r="AI197" i="1" s="1"/>
  <c r="AC186" i="1"/>
  <c r="AI186" i="1" s="1"/>
  <c r="AC158" i="1"/>
  <c r="AI158" i="1" s="1"/>
  <c r="AC88" i="1"/>
  <c r="AI88" i="1" s="1"/>
  <c r="AC224" i="1"/>
  <c r="AI224" i="1" s="1"/>
  <c r="AC93" i="1"/>
  <c r="AI93" i="1" s="1"/>
  <c r="AC117" i="1"/>
  <c r="AI117" i="1" s="1"/>
  <c r="AC97" i="1"/>
  <c r="AI97" i="1" s="1"/>
  <c r="AC207" i="1"/>
  <c r="AI207" i="1" s="1"/>
  <c r="AC176" i="1"/>
  <c r="AI176" i="1" s="1"/>
  <c r="AC247" i="1"/>
  <c r="AI247" i="1" s="1"/>
  <c r="AC71" i="1"/>
  <c r="AI71" i="1" s="1"/>
  <c r="AC184" i="1"/>
  <c r="AI184" i="1" s="1"/>
  <c r="AC179" i="1"/>
  <c r="AI179" i="1" s="1"/>
  <c r="AC178" i="1"/>
  <c r="AI178" i="1" s="1"/>
  <c r="AC211" i="1"/>
  <c r="AI211" i="1" s="1"/>
  <c r="AC189" i="1"/>
  <c r="AI189" i="1" s="1"/>
  <c r="AC123" i="1"/>
  <c r="AI123" i="1" s="1"/>
  <c r="AC202" i="1"/>
  <c r="AI202" i="1" s="1"/>
  <c r="AC79" i="1"/>
  <c r="AI79" i="1" s="1"/>
  <c r="AC250" i="1"/>
  <c r="AI250" i="1" s="1"/>
  <c r="AC150" i="1"/>
  <c r="AI150" i="1" s="1"/>
  <c r="AC114" i="1"/>
  <c r="AI114" i="1" s="1"/>
  <c r="AC84" i="1"/>
  <c r="AI84" i="1" s="1"/>
  <c r="AC94" i="1"/>
  <c r="AI94" i="1" s="1"/>
  <c r="AC124" i="1"/>
  <c r="AI124" i="1" s="1"/>
  <c r="AC175" i="1"/>
  <c r="AI175" i="1" s="1"/>
  <c r="AC173" i="1"/>
  <c r="AI173" i="1" s="1"/>
  <c r="AC222" i="1"/>
  <c r="AI222" i="1" s="1"/>
  <c r="AC185" i="1"/>
  <c r="AI185" i="1" s="1"/>
  <c r="AC101" i="1"/>
  <c r="AI101" i="1" s="1"/>
  <c r="AC149" i="1"/>
  <c r="AI149" i="1" s="1"/>
  <c r="AC113" i="1"/>
  <c r="AI113" i="1" s="1"/>
  <c r="AC74" i="1"/>
  <c r="AI74" i="1" s="1"/>
  <c r="AC177" i="1"/>
  <c r="AI177" i="1" s="1"/>
  <c r="AC82" i="1"/>
  <c r="AI82" i="1" s="1"/>
  <c r="AC65" i="1"/>
  <c r="AI65" i="1" s="1"/>
  <c r="AC171" i="1"/>
  <c r="AI171" i="1" s="1"/>
  <c r="AC212" i="1"/>
  <c r="AI212" i="1" s="1"/>
  <c r="AC107" i="1"/>
  <c r="AI107" i="1" s="1"/>
  <c r="AC191" i="1"/>
  <c r="AI191" i="1" s="1"/>
  <c r="AC76" i="1"/>
  <c r="AI76" i="1" s="1"/>
  <c r="AC174" i="1"/>
  <c r="AI174" i="1" s="1"/>
  <c r="AC254" i="1"/>
  <c r="AI254" i="1" s="1"/>
  <c r="AC226" i="1"/>
  <c r="AI226" i="1" s="1"/>
  <c r="AC209" i="1"/>
  <c r="AI209" i="1" s="1"/>
  <c r="AC147" i="1"/>
  <c r="AI147" i="1" s="1"/>
  <c r="AC156" i="1"/>
  <c r="AI156" i="1" s="1"/>
  <c r="AC241" i="1"/>
  <c r="AI241" i="1" s="1"/>
  <c r="AC68" i="1"/>
  <c r="AI68" i="1" s="1"/>
  <c r="AC230" i="1"/>
  <c r="AI230" i="1" s="1"/>
  <c r="AC152" i="1"/>
  <c r="AI152" i="1" s="1"/>
  <c r="AC204" i="1"/>
  <c r="AI204" i="1" s="1"/>
  <c r="AC115" i="1"/>
  <c r="AI115" i="1" s="1"/>
  <c r="AC240" i="1"/>
  <c r="AI240" i="1" s="1"/>
  <c r="AC52" i="1"/>
  <c r="AI52" i="1" s="1"/>
  <c r="AC55" i="1"/>
  <c r="AI55" i="1" s="1"/>
  <c r="AC120" i="1"/>
  <c r="AI120" i="1" s="1"/>
  <c r="AC269" i="1"/>
  <c r="AI269" i="1" s="1"/>
  <c r="AC229" i="1"/>
  <c r="AI229" i="1" s="1"/>
  <c r="AC133" i="1"/>
  <c r="AI133" i="1" s="1"/>
  <c r="AC237" i="1"/>
  <c r="AI237" i="1" s="1"/>
  <c r="AC103" i="1"/>
  <c r="AI103" i="1" s="1"/>
  <c r="AC63" i="1"/>
  <c r="AI63" i="1" s="1"/>
  <c r="AC130" i="1"/>
  <c r="AI130" i="1" s="1"/>
  <c r="AC220" i="1"/>
  <c r="AI220" i="1" s="1"/>
  <c r="AC235" i="1"/>
  <c r="AI235" i="1" s="1"/>
  <c r="AC148" i="1"/>
  <c r="AI148" i="1" s="1"/>
  <c r="AC151" i="1"/>
  <c r="AI151" i="1" s="1"/>
  <c r="AC104" i="1"/>
  <c r="AI104" i="1" s="1"/>
  <c r="AC98" i="1"/>
  <c r="AI98" i="1" s="1"/>
  <c r="AC228" i="1"/>
  <c r="AI228" i="1" s="1"/>
  <c r="AC270" i="1"/>
  <c r="AI270" i="1" s="1"/>
  <c r="AC87" i="1"/>
  <c r="AI87" i="1" s="1"/>
  <c r="AC161" i="1"/>
  <c r="AI161" i="1" s="1"/>
  <c r="AC243" i="1"/>
  <c r="AI243" i="1" s="1"/>
  <c r="AC70" i="1"/>
  <c r="AI70" i="1" s="1"/>
  <c r="AC257" i="1"/>
  <c r="AI257" i="1" s="1"/>
  <c r="AC168" i="1"/>
  <c r="AI168" i="1" s="1"/>
  <c r="AC129" i="1"/>
  <c r="AI129" i="1" s="1"/>
  <c r="AC142" i="1"/>
  <c r="AI142" i="1" s="1"/>
  <c r="AC225" i="1"/>
  <c r="AI225" i="1" s="1"/>
  <c r="AC126" i="1"/>
  <c r="AI126" i="1" s="1"/>
  <c r="AC188" i="1"/>
  <c r="AI188" i="1" s="1"/>
  <c r="AC162" i="1"/>
  <c r="AI162" i="1" s="1"/>
  <c r="AC56" i="1"/>
  <c r="AI56" i="1" s="1"/>
  <c r="AC271" i="1"/>
  <c r="AI271" i="1" s="1"/>
  <c r="AC255" i="1"/>
  <c r="AI255" i="1" s="1"/>
  <c r="AC78" i="1"/>
  <c r="AI78" i="1" s="1"/>
  <c r="AC167" i="1"/>
  <c r="AI167" i="1" s="1"/>
  <c r="AC109" i="1"/>
  <c r="AI109" i="1" s="1"/>
  <c r="AC131" i="1"/>
  <c r="AI131" i="1" s="1"/>
  <c r="AC195" i="1"/>
  <c r="AI195" i="1" s="1"/>
  <c r="AC187" i="1"/>
  <c r="AI187" i="1" s="1"/>
  <c r="AC11" i="1"/>
  <c r="AI11" i="1" s="1"/>
  <c r="AC165" i="1"/>
  <c r="AI165" i="1" s="1"/>
  <c r="AC215" i="1"/>
  <c r="AI215" i="1" s="1"/>
  <c r="AC181" i="1"/>
  <c r="AI181" i="1" s="1"/>
  <c r="AC106" i="1"/>
  <c r="AI106" i="1" s="1"/>
  <c r="AC242" i="1"/>
  <c r="AI242" i="1" s="1"/>
  <c r="AC125" i="1"/>
  <c r="AI125" i="1" s="1"/>
  <c r="AC216" i="1"/>
  <c r="AI216" i="1" s="1"/>
  <c r="AC157" i="1"/>
  <c r="AI157" i="1" s="1"/>
  <c r="AC201" i="1"/>
  <c r="AI201" i="1" s="1"/>
  <c r="AC192" i="1"/>
  <c r="AI192" i="1" s="1"/>
  <c r="AC199" i="1"/>
  <c r="AI199" i="1" s="1"/>
  <c r="AC90" i="1"/>
  <c r="AI90" i="1" s="1"/>
  <c r="AC169" i="1"/>
  <c r="AI169" i="1" s="1"/>
  <c r="AC100" i="1"/>
  <c r="AI100" i="1" s="1"/>
  <c r="AC253" i="1"/>
  <c r="AI253" i="1" s="1"/>
  <c r="AC249" i="1"/>
  <c r="AI249" i="1" s="1"/>
  <c r="AC259" i="1"/>
  <c r="AI259" i="1" s="1"/>
  <c r="AC72" i="1"/>
  <c r="AI72" i="1" s="1"/>
  <c r="AC164" i="1"/>
  <c r="AI164" i="1" s="1"/>
  <c r="AC127" i="1"/>
  <c r="AI127" i="1" s="1"/>
  <c r="AC267" i="1"/>
  <c r="AI267" i="1" s="1"/>
  <c r="AC160" i="1"/>
  <c r="AI160" i="1" s="1"/>
  <c r="AC266" i="1"/>
  <c r="AI266" i="1" s="1"/>
  <c r="AC137" i="1"/>
  <c r="AI137" i="1" s="1"/>
  <c r="AC144" i="1"/>
  <c r="AI144" i="1" s="1"/>
  <c r="AC85" i="1"/>
  <c r="AI85" i="1" s="1"/>
  <c r="AC102" i="1"/>
  <c r="AI102" i="1" s="1"/>
  <c r="AC245" i="1"/>
  <c r="AI245" i="1" s="1"/>
  <c r="AC61" i="1"/>
  <c r="AI61" i="1" s="1"/>
  <c r="AR24" i="1" l="1"/>
  <c r="AL24" i="1"/>
  <c r="AO24" i="1" s="1"/>
  <c r="DX24" i="1"/>
  <c r="AM54" i="1"/>
  <c r="AR54" i="1" s="1"/>
  <c r="F81" i="15" s="1"/>
  <c r="AF54" i="1"/>
  <c r="AF37" i="1"/>
  <c r="AG37" i="1"/>
  <c r="AM44" i="1"/>
  <c r="AG44" i="1"/>
  <c r="AF44" i="1"/>
  <c r="AM41" i="1"/>
  <c r="AG41" i="1"/>
  <c r="AF41" i="1"/>
  <c r="AG43" i="1"/>
  <c r="AF43" i="1"/>
  <c r="AM43" i="1"/>
  <c r="AG40" i="1"/>
  <c r="AF40" i="1"/>
  <c r="AM40" i="1"/>
  <c r="AR37" i="1"/>
  <c r="AL37" i="1"/>
  <c r="DX37" i="1"/>
  <c r="AM32" i="1"/>
  <c r="AG32" i="1"/>
  <c r="AF32" i="1"/>
  <c r="AF58" i="1"/>
  <c r="AM58" i="1"/>
  <c r="AG58" i="1"/>
  <c r="AF31" i="1"/>
  <c r="AG31" i="1"/>
  <c r="AM59" i="1"/>
  <c r="AG59" i="1"/>
  <c r="AF59" i="1"/>
  <c r="AL31" i="1"/>
  <c r="AR31" i="1"/>
  <c r="DX31" i="1"/>
  <c r="AF18" i="1"/>
  <c r="AG18" i="1"/>
  <c r="AR18" i="1"/>
  <c r="AL18" i="1"/>
  <c r="DX18" i="1"/>
  <c r="AF35" i="1"/>
  <c r="AG35" i="1"/>
  <c r="DX35" i="1"/>
  <c r="AR35" i="1"/>
  <c r="AL35" i="1"/>
  <c r="AM34" i="1"/>
  <c r="AG34" i="1"/>
  <c r="AF34" i="1"/>
  <c r="AM22" i="1"/>
  <c r="AG22" i="1"/>
  <c r="AF22" i="1"/>
  <c r="AM30" i="1"/>
  <c r="AG30" i="1"/>
  <c r="AF30" i="1"/>
  <c r="AF23" i="1"/>
  <c r="AG23" i="1"/>
  <c r="AM23" i="1"/>
  <c r="AF28" i="1"/>
  <c r="AM28" i="1"/>
  <c r="AG28" i="1"/>
  <c r="AF20" i="1"/>
  <c r="AG20" i="1"/>
  <c r="AM20" i="1"/>
  <c r="AG21" i="1"/>
  <c r="AF21" i="1"/>
  <c r="AM21" i="1"/>
  <c r="AM26" i="1"/>
  <c r="AG26" i="1"/>
  <c r="AF26" i="1"/>
  <c r="AG17" i="1"/>
  <c r="AM17" i="1"/>
  <c r="AF17" i="1"/>
  <c r="AM27" i="1"/>
  <c r="AG27" i="1"/>
  <c r="AF27" i="1"/>
  <c r="AF60" i="1"/>
  <c r="AM60" i="1"/>
  <c r="AG60" i="1"/>
  <c r="AF47" i="1"/>
  <c r="AM47" i="1"/>
  <c r="AG47" i="1"/>
  <c r="AG49" i="1"/>
  <c r="AM49" i="1"/>
  <c r="DX49" i="1" s="1"/>
  <c r="AF48" i="1"/>
  <c r="AG48" i="1"/>
  <c r="DX48" i="1"/>
  <c r="AR48" i="1"/>
  <c r="AL48" i="1"/>
  <c r="BS125" i="1"/>
  <c r="BS122" i="1"/>
  <c r="BS126" i="1"/>
  <c r="BZ121" i="1"/>
  <c r="BS123" i="1"/>
  <c r="BY123" i="1"/>
  <c r="BY87" i="1"/>
  <c r="BS87" i="1"/>
  <c r="BS121" i="1"/>
  <c r="AM160" i="1"/>
  <c r="AF160" i="1"/>
  <c r="AG160" i="1"/>
  <c r="AG157" i="1"/>
  <c r="AF157" i="1"/>
  <c r="AM157" i="1"/>
  <c r="AG109" i="1"/>
  <c r="AF109" i="1"/>
  <c r="AM109" i="1"/>
  <c r="AM168" i="1"/>
  <c r="AF168" i="1"/>
  <c r="AG168" i="1"/>
  <c r="AM148" i="1"/>
  <c r="AG148" i="1"/>
  <c r="AF148" i="1"/>
  <c r="AG229" i="1"/>
  <c r="AM229" i="1"/>
  <c r="AF229" i="1"/>
  <c r="AM68" i="1"/>
  <c r="AG68" i="1"/>
  <c r="AF68" i="1"/>
  <c r="AG212" i="1"/>
  <c r="AM212" i="1"/>
  <c r="AF212" i="1"/>
  <c r="AG175" i="1"/>
  <c r="AM175" i="1"/>
  <c r="AF175" i="1"/>
  <c r="AF178" i="1"/>
  <c r="AG178" i="1"/>
  <c r="AM178" i="1"/>
  <c r="AM88" i="1"/>
  <c r="AG88" i="1"/>
  <c r="AF88" i="1"/>
  <c r="AG108" i="1"/>
  <c r="AM108" i="1"/>
  <c r="AF108" i="1"/>
  <c r="AF261" i="1"/>
  <c r="AG261" i="1"/>
  <c r="AM261" i="1"/>
  <c r="AF159" i="1"/>
  <c r="AM159" i="1"/>
  <c r="AG159" i="1"/>
  <c r="AM135" i="1"/>
  <c r="AG135" i="1"/>
  <c r="AF135" i="1"/>
  <c r="AG262" i="1"/>
  <c r="AM262" i="1"/>
  <c r="AF262" i="1"/>
  <c r="AF172" i="1"/>
  <c r="AG172" i="1"/>
  <c r="AM172" i="1"/>
  <c r="AG119" i="1"/>
  <c r="AM119" i="1"/>
  <c r="AF119" i="1"/>
  <c r="AM198" i="1"/>
  <c r="AF198" i="1"/>
  <c r="AG198" i="1"/>
  <c r="AG111" i="1"/>
  <c r="AM111" i="1"/>
  <c r="AF111" i="1"/>
  <c r="AM219" i="1"/>
  <c r="AG219" i="1"/>
  <c r="AF219" i="1"/>
  <c r="AM66" i="1"/>
  <c r="AG66" i="1"/>
  <c r="AF66" i="1"/>
  <c r="AG239" i="1"/>
  <c r="AM239" i="1"/>
  <c r="AF239" i="1"/>
  <c r="AG57" i="1"/>
  <c r="AF57" i="1"/>
  <c r="AM57" i="1"/>
  <c r="AG99" i="1"/>
  <c r="AF99" i="1"/>
  <c r="AM99" i="1"/>
  <c r="AG264" i="1"/>
  <c r="AM264" i="1"/>
  <c r="AF264" i="1"/>
  <c r="AG190" i="1"/>
  <c r="AM190" i="1"/>
  <c r="AF190" i="1"/>
  <c r="AM136" i="1"/>
  <c r="AF136" i="1"/>
  <c r="AG136" i="1"/>
  <c r="AG80" i="1"/>
  <c r="AF80" i="1"/>
  <c r="AM80" i="1"/>
  <c r="AG210" i="1"/>
  <c r="AM210" i="1"/>
  <c r="AF210" i="1"/>
  <c r="AG61" i="1"/>
  <c r="AF61" i="1"/>
  <c r="AM61" i="1"/>
  <c r="AM144" i="1"/>
  <c r="AG144" i="1"/>
  <c r="AF144" i="1"/>
  <c r="AM267" i="1"/>
  <c r="AG267" i="1"/>
  <c r="AF267" i="1"/>
  <c r="AG259" i="1"/>
  <c r="AF259" i="1"/>
  <c r="AM259" i="1"/>
  <c r="AM169" i="1"/>
  <c r="AF169" i="1"/>
  <c r="AG169" i="1"/>
  <c r="AG216" i="1"/>
  <c r="AF216" i="1"/>
  <c r="AM216" i="1"/>
  <c r="AG181" i="1"/>
  <c r="AM181" i="1"/>
  <c r="AF181" i="1"/>
  <c r="AG187" i="1"/>
  <c r="AF187" i="1"/>
  <c r="AM187" i="1"/>
  <c r="AG167" i="1"/>
  <c r="AF167" i="1"/>
  <c r="AM167" i="1"/>
  <c r="AG56" i="1"/>
  <c r="AF56" i="1"/>
  <c r="AM56" i="1"/>
  <c r="AG225" i="1"/>
  <c r="AM225" i="1"/>
  <c r="AF225" i="1"/>
  <c r="AG257" i="1"/>
  <c r="AF257" i="1"/>
  <c r="AM257" i="1"/>
  <c r="AG87" i="1"/>
  <c r="AF87" i="1"/>
  <c r="AM87" i="1"/>
  <c r="AG104" i="1"/>
  <c r="AF104" i="1"/>
  <c r="AM104" i="1"/>
  <c r="AG235" i="1"/>
  <c r="AF235" i="1"/>
  <c r="AM235" i="1"/>
  <c r="AG103" i="1"/>
  <c r="AM103" i="1"/>
  <c r="AF103" i="1"/>
  <c r="AG269" i="1"/>
  <c r="AM269" i="1"/>
  <c r="AF269" i="1"/>
  <c r="AF240" i="1"/>
  <c r="AG240" i="1"/>
  <c r="AM240" i="1"/>
  <c r="AG204" i="1"/>
  <c r="AM204" i="1"/>
  <c r="AF204" i="1"/>
  <c r="AM241" i="1"/>
  <c r="AG241" i="1"/>
  <c r="AF241" i="1"/>
  <c r="AF209" i="1"/>
  <c r="AG209" i="1"/>
  <c r="AM209" i="1"/>
  <c r="AG76" i="1"/>
  <c r="AM76" i="1"/>
  <c r="AF76" i="1"/>
  <c r="AG171" i="1"/>
  <c r="AM171" i="1"/>
  <c r="AF171" i="1"/>
  <c r="AG74" i="1"/>
  <c r="AM74" i="1"/>
  <c r="AF74" i="1"/>
  <c r="AM185" i="1"/>
  <c r="AF185" i="1"/>
  <c r="AG185" i="1"/>
  <c r="AG124" i="1"/>
  <c r="AF124" i="1"/>
  <c r="AM124" i="1"/>
  <c r="AG150" i="1"/>
  <c r="AM150" i="1"/>
  <c r="AF150" i="1"/>
  <c r="AG123" i="1"/>
  <c r="AM123" i="1"/>
  <c r="AF123" i="1"/>
  <c r="AF179" i="1"/>
  <c r="AG179" i="1"/>
  <c r="AM179" i="1"/>
  <c r="AM247" i="1"/>
  <c r="AG247" i="1"/>
  <c r="AF247" i="1"/>
  <c r="AG117" i="1"/>
  <c r="AF117" i="1"/>
  <c r="AM117" i="1"/>
  <c r="AG158" i="1"/>
  <c r="AF158" i="1"/>
  <c r="AM158" i="1"/>
  <c r="AM166" i="1"/>
  <c r="AG166" i="1"/>
  <c r="AF166" i="1"/>
  <c r="AG118" i="1"/>
  <c r="AF118" i="1"/>
  <c r="AM118" i="1"/>
  <c r="AG217" i="1"/>
  <c r="AM217" i="1"/>
  <c r="AF217" i="1"/>
  <c r="AG263" i="1"/>
  <c r="AM263" i="1"/>
  <c r="AF263" i="1"/>
  <c r="AG183" i="1"/>
  <c r="AM183" i="1"/>
  <c r="AF183" i="1"/>
  <c r="AM91" i="1"/>
  <c r="AF91" i="1"/>
  <c r="AG91" i="1"/>
  <c r="AM258" i="1"/>
  <c r="AG258" i="1"/>
  <c r="AF258" i="1"/>
  <c r="AF272" i="1"/>
  <c r="AG272" i="1"/>
  <c r="AM272" i="1"/>
  <c r="AG153" i="1"/>
  <c r="AF153" i="1"/>
  <c r="AM153" i="1"/>
  <c r="AG194" i="1"/>
  <c r="AF194" i="1"/>
  <c r="AM194" i="1"/>
  <c r="AG86" i="1"/>
  <c r="AM86" i="1"/>
  <c r="AF86" i="1"/>
  <c r="AM95" i="1"/>
  <c r="AF95" i="1"/>
  <c r="AG95" i="1"/>
  <c r="AM121" i="1"/>
  <c r="AF121" i="1"/>
  <c r="AG121" i="1"/>
  <c r="AM221" i="1"/>
  <c r="AF221" i="1"/>
  <c r="AG221" i="1"/>
  <c r="AM145" i="1"/>
  <c r="AG145" i="1"/>
  <c r="AF145" i="1"/>
  <c r="AF77" i="1"/>
  <c r="AG77" i="1"/>
  <c r="AM77" i="1"/>
  <c r="AF223" i="1"/>
  <c r="AM223" i="1"/>
  <c r="AG223" i="1"/>
  <c r="AI273" i="1"/>
  <c r="AF170" i="1"/>
  <c r="AM170" i="1"/>
  <c r="AG170" i="1"/>
  <c r="AF206" i="1"/>
  <c r="AM206" i="1"/>
  <c r="AG206" i="1"/>
  <c r="AG214" i="1"/>
  <c r="AM214" i="1"/>
  <c r="AF214" i="1"/>
  <c r="AG110" i="1"/>
  <c r="AM110" i="1"/>
  <c r="AF110" i="1"/>
  <c r="AF51" i="1"/>
  <c r="AG51" i="1"/>
  <c r="AM51" i="1"/>
  <c r="AG85" i="1"/>
  <c r="AF85" i="1"/>
  <c r="AM85" i="1"/>
  <c r="AG100" i="1"/>
  <c r="AM100" i="1"/>
  <c r="AF100" i="1"/>
  <c r="AF106" i="1"/>
  <c r="AM106" i="1"/>
  <c r="AG106" i="1"/>
  <c r="AG271" i="1"/>
  <c r="AM271" i="1"/>
  <c r="AF271" i="1"/>
  <c r="AM161" i="1"/>
  <c r="AG161" i="1"/>
  <c r="AF161" i="1"/>
  <c r="AG63" i="1"/>
  <c r="AM63" i="1"/>
  <c r="AF63" i="1"/>
  <c r="AG115" i="1"/>
  <c r="AF115" i="1"/>
  <c r="AM115" i="1"/>
  <c r="AM174" i="1"/>
  <c r="AG174" i="1"/>
  <c r="AF174" i="1"/>
  <c r="AF101" i="1"/>
  <c r="AG101" i="1"/>
  <c r="AM101" i="1"/>
  <c r="AG252" i="1"/>
  <c r="AM252" i="1"/>
  <c r="AF252" i="1"/>
  <c r="AM193" i="1"/>
  <c r="AG193" i="1"/>
  <c r="AF193" i="1"/>
  <c r="AG245" i="1"/>
  <c r="AM245" i="1"/>
  <c r="AF245" i="1"/>
  <c r="AM137" i="1"/>
  <c r="AF137" i="1"/>
  <c r="AG137" i="1"/>
  <c r="AG127" i="1"/>
  <c r="AF127" i="1"/>
  <c r="AM127" i="1"/>
  <c r="AG249" i="1"/>
  <c r="AM249" i="1"/>
  <c r="AF249" i="1"/>
  <c r="AG90" i="1"/>
  <c r="AM90" i="1"/>
  <c r="AF90" i="1"/>
  <c r="AM125" i="1"/>
  <c r="AF125" i="1"/>
  <c r="AG125" i="1"/>
  <c r="AM215" i="1"/>
  <c r="AF215" i="1"/>
  <c r="AG215" i="1"/>
  <c r="AG195" i="1"/>
  <c r="AF195" i="1"/>
  <c r="AM195" i="1"/>
  <c r="AM78" i="1"/>
  <c r="AG78" i="1"/>
  <c r="AF78" i="1"/>
  <c r="AM162" i="1"/>
  <c r="AF162" i="1"/>
  <c r="AG162" i="1"/>
  <c r="AM142" i="1"/>
  <c r="AG142" i="1"/>
  <c r="AF142" i="1"/>
  <c r="AG70" i="1"/>
  <c r="AF70" i="1"/>
  <c r="AM70" i="1"/>
  <c r="AG270" i="1"/>
  <c r="AM270" i="1"/>
  <c r="AF270" i="1"/>
  <c r="AM220" i="1"/>
  <c r="AG220" i="1"/>
  <c r="AF220" i="1"/>
  <c r="AG237" i="1"/>
  <c r="AM237" i="1"/>
  <c r="AF237" i="1"/>
  <c r="AF120" i="1"/>
  <c r="AG120" i="1"/>
  <c r="AM120" i="1"/>
  <c r="AM152" i="1"/>
  <c r="AF152" i="1"/>
  <c r="AG152" i="1"/>
  <c r="AF226" i="1"/>
  <c r="AM226" i="1"/>
  <c r="AG226" i="1"/>
  <c r="AG191" i="1"/>
  <c r="AF191" i="1"/>
  <c r="AM191" i="1"/>
  <c r="AF65" i="1"/>
  <c r="AG65" i="1"/>
  <c r="AM65" i="1"/>
  <c r="AG113" i="1"/>
  <c r="AM113" i="1"/>
  <c r="AF113" i="1"/>
  <c r="AG222" i="1"/>
  <c r="AM222" i="1"/>
  <c r="AF222" i="1"/>
  <c r="AG94" i="1"/>
  <c r="AF94" i="1"/>
  <c r="AM94" i="1"/>
  <c r="AM250" i="1"/>
  <c r="AF250" i="1"/>
  <c r="AG250" i="1"/>
  <c r="AG189" i="1"/>
  <c r="AF189" i="1"/>
  <c r="AM189" i="1"/>
  <c r="AG184" i="1"/>
  <c r="AM184" i="1"/>
  <c r="AF184" i="1"/>
  <c r="AM176" i="1"/>
  <c r="AF176" i="1"/>
  <c r="AG176" i="1"/>
  <c r="AM93" i="1"/>
  <c r="AG93" i="1"/>
  <c r="AF93" i="1"/>
  <c r="AG186" i="1"/>
  <c r="AM186" i="1"/>
  <c r="AF186" i="1"/>
  <c r="AM208" i="1"/>
  <c r="AG208" i="1"/>
  <c r="AF208" i="1"/>
  <c r="AM231" i="1"/>
  <c r="AG231" i="1"/>
  <c r="AF231" i="1"/>
  <c r="AG196" i="1"/>
  <c r="AM196" i="1"/>
  <c r="AF196" i="1"/>
  <c r="AG154" i="1"/>
  <c r="AM154" i="1"/>
  <c r="AF154" i="1"/>
  <c r="AG92" i="1"/>
  <c r="AM92" i="1"/>
  <c r="AF92" i="1"/>
  <c r="AM81" i="1"/>
  <c r="AG81" i="1"/>
  <c r="AF81" i="1"/>
  <c r="AF233" i="1"/>
  <c r="AM233" i="1"/>
  <c r="AG233" i="1"/>
  <c r="AM182" i="1"/>
  <c r="AG182" i="1"/>
  <c r="AF182" i="1"/>
  <c r="AM268" i="1"/>
  <c r="AG268" i="1"/>
  <c r="AF268" i="1"/>
  <c r="AM139" i="1"/>
  <c r="AG139" i="1"/>
  <c r="AF139" i="1"/>
  <c r="AM146" i="1"/>
  <c r="AG146" i="1"/>
  <c r="AF146" i="1"/>
  <c r="AM180" i="1"/>
  <c r="AG180" i="1"/>
  <c r="AF180" i="1"/>
  <c r="AG75" i="1"/>
  <c r="AM75" i="1"/>
  <c r="AF75" i="1"/>
  <c r="AF251" i="1"/>
  <c r="AM251" i="1"/>
  <c r="AG251" i="1"/>
  <c r="AG205" i="1"/>
  <c r="AF205" i="1"/>
  <c r="AM205" i="1"/>
  <c r="AM96" i="1"/>
  <c r="AG96" i="1"/>
  <c r="AF96" i="1"/>
  <c r="AF265" i="1"/>
  <c r="AM265" i="1"/>
  <c r="AG265" i="1"/>
  <c r="AF213" i="1"/>
  <c r="AG213" i="1"/>
  <c r="AM213" i="1"/>
  <c r="AM227" i="1"/>
  <c r="AG227" i="1"/>
  <c r="AF227" i="1"/>
  <c r="AF248" i="1"/>
  <c r="AM248" i="1"/>
  <c r="AG248" i="1"/>
  <c r="AM143" i="1"/>
  <c r="AG143" i="1"/>
  <c r="AF143" i="1"/>
  <c r="AF73" i="1"/>
  <c r="AG73" i="1"/>
  <c r="AM73" i="1"/>
  <c r="AG64" i="1"/>
  <c r="AF64" i="1"/>
  <c r="AM64" i="1"/>
  <c r="AF246" i="1"/>
  <c r="AG246" i="1"/>
  <c r="AM246" i="1"/>
  <c r="AM72" i="1"/>
  <c r="AG72" i="1"/>
  <c r="AF72" i="1"/>
  <c r="AG192" i="1"/>
  <c r="AM192" i="1"/>
  <c r="AF192" i="1"/>
  <c r="AM11" i="1"/>
  <c r="AG11" i="1"/>
  <c r="AF11" i="1"/>
  <c r="AM126" i="1"/>
  <c r="AG126" i="1"/>
  <c r="AF126" i="1"/>
  <c r="AF98" i="1"/>
  <c r="AG98" i="1"/>
  <c r="AM98" i="1"/>
  <c r="AG52" i="1"/>
  <c r="AM52" i="1"/>
  <c r="AF52" i="1"/>
  <c r="AF147" i="1"/>
  <c r="AG147" i="1"/>
  <c r="AM147" i="1"/>
  <c r="AG177" i="1"/>
  <c r="AF177" i="1"/>
  <c r="AM177" i="1"/>
  <c r="AM114" i="1"/>
  <c r="AG114" i="1"/>
  <c r="AF114" i="1"/>
  <c r="AF202" i="1"/>
  <c r="AM202" i="1"/>
  <c r="AG202" i="1"/>
  <c r="AG97" i="1"/>
  <c r="AF97" i="1"/>
  <c r="AM97" i="1"/>
  <c r="AM203" i="1"/>
  <c r="AG203" i="1"/>
  <c r="AF203" i="1"/>
  <c r="AG244" i="1"/>
  <c r="AF244" i="1"/>
  <c r="AM244" i="1"/>
  <c r="AG102" i="1"/>
  <c r="AF102" i="1"/>
  <c r="AM102" i="1"/>
  <c r="AM266" i="1"/>
  <c r="AG266" i="1"/>
  <c r="AF266" i="1"/>
  <c r="AG164" i="1"/>
  <c r="AM164" i="1"/>
  <c r="AF164" i="1"/>
  <c r="AG253" i="1"/>
  <c r="AM253" i="1"/>
  <c r="AF253" i="1"/>
  <c r="AG199" i="1"/>
  <c r="AM199" i="1"/>
  <c r="AF199" i="1"/>
  <c r="AG201" i="1"/>
  <c r="AM201" i="1"/>
  <c r="AF201" i="1"/>
  <c r="AF242" i="1"/>
  <c r="AM242" i="1"/>
  <c r="AG242" i="1"/>
  <c r="AM165" i="1"/>
  <c r="AG165" i="1"/>
  <c r="AF165" i="1"/>
  <c r="AG131" i="1"/>
  <c r="AF131" i="1"/>
  <c r="AM131" i="1"/>
  <c r="AG255" i="1"/>
  <c r="AM255" i="1"/>
  <c r="AF255" i="1"/>
  <c r="AG188" i="1"/>
  <c r="AM188" i="1"/>
  <c r="AF188" i="1"/>
  <c r="AF129" i="1"/>
  <c r="AM129" i="1"/>
  <c r="AG129" i="1"/>
  <c r="AG243" i="1"/>
  <c r="AM243" i="1"/>
  <c r="AF243" i="1"/>
  <c r="AG228" i="1"/>
  <c r="AM228" i="1"/>
  <c r="AF228" i="1"/>
  <c r="AG151" i="1"/>
  <c r="AM151" i="1"/>
  <c r="AF151" i="1"/>
  <c r="AM130" i="1"/>
  <c r="AG130" i="1"/>
  <c r="AF130" i="1"/>
  <c r="AG133" i="1"/>
  <c r="AF133" i="1"/>
  <c r="AM133" i="1"/>
  <c r="AM55" i="1"/>
  <c r="AG55" i="1"/>
  <c r="AF55" i="1"/>
  <c r="AG230" i="1"/>
  <c r="AF230" i="1"/>
  <c r="AM230" i="1"/>
  <c r="AG156" i="1"/>
  <c r="AM156" i="1"/>
  <c r="AF156" i="1"/>
  <c r="AM254" i="1"/>
  <c r="AG254" i="1"/>
  <c r="AF254" i="1"/>
  <c r="AM107" i="1"/>
  <c r="AG107" i="1"/>
  <c r="AF107" i="1"/>
  <c r="AG82" i="1"/>
  <c r="AM82" i="1"/>
  <c r="AF82" i="1"/>
  <c r="AF149" i="1"/>
  <c r="AG149" i="1"/>
  <c r="AM149" i="1"/>
  <c r="AF173" i="1"/>
  <c r="AM173" i="1"/>
  <c r="AG173" i="1"/>
  <c r="AM84" i="1"/>
  <c r="AG84" i="1"/>
  <c r="AF84" i="1"/>
  <c r="AG79" i="1"/>
  <c r="AF79" i="1"/>
  <c r="AM79" i="1"/>
  <c r="AM211" i="1"/>
  <c r="AF211" i="1"/>
  <c r="AG211" i="1"/>
  <c r="AG71" i="1"/>
  <c r="AM71" i="1"/>
  <c r="AF71" i="1"/>
  <c r="AM207" i="1"/>
  <c r="AG207" i="1"/>
  <c r="AF207" i="1"/>
  <c r="AG224" i="1"/>
  <c r="AF224" i="1"/>
  <c r="AM224" i="1"/>
  <c r="AM197" i="1"/>
  <c r="AG197" i="1"/>
  <c r="AF197" i="1"/>
  <c r="AM128" i="1"/>
  <c r="AG128" i="1"/>
  <c r="AF128" i="1"/>
  <c r="AG138" i="1"/>
  <c r="AM138" i="1"/>
  <c r="AF138" i="1"/>
  <c r="AM232" i="1"/>
  <c r="AG232" i="1"/>
  <c r="AF232" i="1"/>
  <c r="AM155" i="1"/>
  <c r="AG155" i="1"/>
  <c r="AF155" i="1"/>
  <c r="AM260" i="1"/>
  <c r="AG260" i="1"/>
  <c r="AF260" i="1"/>
  <c r="AG116" i="1"/>
  <c r="AM116" i="1"/>
  <c r="AF116" i="1"/>
  <c r="AG67" i="1"/>
  <c r="AM67" i="1"/>
  <c r="AF67" i="1"/>
  <c r="AF234" i="1"/>
  <c r="AM234" i="1"/>
  <c r="AG234" i="1"/>
  <c r="AG163" i="1"/>
  <c r="AF163" i="1"/>
  <c r="AM163" i="1"/>
  <c r="AG122" i="1"/>
  <c r="AF122" i="1"/>
  <c r="AM122" i="1"/>
  <c r="AG112" i="1"/>
  <c r="AF112" i="1"/>
  <c r="AM112" i="1"/>
  <c r="AG256" i="1"/>
  <c r="AF256" i="1"/>
  <c r="AM256" i="1"/>
  <c r="AG83" i="1"/>
  <c r="AM83" i="1"/>
  <c r="AF83" i="1"/>
  <c r="AG141" i="1"/>
  <c r="AM141" i="1"/>
  <c r="AF141" i="1"/>
  <c r="AM140" i="1"/>
  <c r="AG140" i="1"/>
  <c r="AF140" i="1"/>
  <c r="AG89" i="1"/>
  <c r="AF89" i="1"/>
  <c r="AM89" i="1"/>
  <c r="AM218" i="1"/>
  <c r="AG218" i="1"/>
  <c r="AF218" i="1"/>
  <c r="AG132" i="1"/>
  <c r="AM132" i="1"/>
  <c r="AF132" i="1"/>
  <c r="AM105" i="1"/>
  <c r="AF105" i="1"/>
  <c r="AG105" i="1"/>
  <c r="AG134" i="1"/>
  <c r="AF134" i="1"/>
  <c r="AM134" i="1"/>
  <c r="AG69" i="1"/>
  <c r="AF69" i="1"/>
  <c r="AM69" i="1"/>
  <c r="AF236" i="1"/>
  <c r="AG236" i="1"/>
  <c r="AM236" i="1"/>
  <c r="AG238" i="1"/>
  <c r="AM238" i="1"/>
  <c r="AF238" i="1"/>
  <c r="AM200" i="1"/>
  <c r="AG200" i="1"/>
  <c r="AF200" i="1"/>
  <c r="AU24" i="1" l="1"/>
  <c r="AQ24" i="1"/>
  <c r="AL54" i="1"/>
  <c r="AO54" i="1" s="1"/>
  <c r="DX54" i="1"/>
  <c r="F45" i="26" s="1"/>
  <c r="AO37" i="1"/>
  <c r="AU54" i="1"/>
  <c r="AQ54" i="1"/>
  <c r="DX40" i="1"/>
  <c r="AL40" i="1"/>
  <c r="AO40" i="1" s="1"/>
  <c r="AR40" i="1"/>
  <c r="AL43" i="1"/>
  <c r="AO43" i="1" s="1"/>
  <c r="AR43" i="1"/>
  <c r="DX43" i="1"/>
  <c r="AL41" i="1"/>
  <c r="AO41" i="1" s="1"/>
  <c r="AR41" i="1"/>
  <c r="DX41" i="1"/>
  <c r="AR44" i="1"/>
  <c r="AL44" i="1"/>
  <c r="AO44" i="1" s="1"/>
  <c r="DX44" i="1"/>
  <c r="AU37" i="1"/>
  <c r="AQ37" i="1"/>
  <c r="AR32" i="1"/>
  <c r="AL32" i="1"/>
  <c r="AO32" i="1" s="1"/>
  <c r="DX32" i="1"/>
  <c r="AR58" i="1"/>
  <c r="AL58" i="1"/>
  <c r="AO58" i="1" s="1"/>
  <c r="DX58" i="1"/>
  <c r="AO31" i="1"/>
  <c r="AR59" i="1"/>
  <c r="AU59" i="1" s="1"/>
  <c r="AL59" i="1"/>
  <c r="AO59" i="1" s="1"/>
  <c r="DX59" i="1"/>
  <c r="AU31" i="1"/>
  <c r="AQ31" i="1"/>
  <c r="AO18" i="1"/>
  <c r="AQ18" i="1"/>
  <c r="AU18" i="1"/>
  <c r="AO35" i="1"/>
  <c r="AU35" i="1"/>
  <c r="AQ35" i="1"/>
  <c r="AR34" i="1"/>
  <c r="AL34" i="1"/>
  <c r="AO34" i="1" s="1"/>
  <c r="DX34" i="1"/>
  <c r="I88" i="2"/>
  <c r="AR22" i="1"/>
  <c r="AL22" i="1"/>
  <c r="AO22" i="1" s="1"/>
  <c r="DX22" i="1"/>
  <c r="AR20" i="1"/>
  <c r="AL20" i="1"/>
  <c r="AO20" i="1" s="1"/>
  <c r="DX20" i="1"/>
  <c r="AR28" i="1"/>
  <c r="AL28" i="1"/>
  <c r="AO28" i="1" s="1"/>
  <c r="DX28" i="1"/>
  <c r="AR27" i="1"/>
  <c r="AL27" i="1"/>
  <c r="AO27" i="1" s="1"/>
  <c r="DX27" i="1"/>
  <c r="DX26" i="1"/>
  <c r="AR26" i="1"/>
  <c r="AL26" i="1"/>
  <c r="AO26" i="1" s="1"/>
  <c r="DX17" i="1"/>
  <c r="AR17" i="1"/>
  <c r="AL17" i="1"/>
  <c r="AO17" i="1" s="1"/>
  <c r="AL21" i="1"/>
  <c r="AO21" i="1" s="1"/>
  <c r="AR21" i="1"/>
  <c r="DX21" i="1"/>
  <c r="AR23" i="1"/>
  <c r="AL23" i="1"/>
  <c r="AO23" i="1" s="1"/>
  <c r="DX23" i="1"/>
  <c r="AR30" i="1"/>
  <c r="AL30" i="1"/>
  <c r="AO30" i="1" s="1"/>
  <c r="DX30" i="1"/>
  <c r="AR60" i="1"/>
  <c r="AL60" i="1"/>
  <c r="AO60" i="1" s="1"/>
  <c r="DX60" i="1"/>
  <c r="AR47" i="1"/>
  <c r="AL47" i="1"/>
  <c r="AO47" i="1" s="1"/>
  <c r="DX47" i="1"/>
  <c r="D88" i="15"/>
  <c r="AR49" i="1"/>
  <c r="AQ49" i="1" s="1"/>
  <c r="AL49" i="1"/>
  <c r="AO49" i="1" s="1"/>
  <c r="D52" i="26"/>
  <c r="D87" i="15"/>
  <c r="D51" i="26"/>
  <c r="E93" i="15"/>
  <c r="X93" i="15" s="1"/>
  <c r="D54" i="26"/>
  <c r="D53" i="26"/>
  <c r="AO48" i="1"/>
  <c r="AU48" i="1"/>
  <c r="AQ48" i="1"/>
  <c r="F84" i="15"/>
  <c r="F48" i="26"/>
  <c r="E81" i="15"/>
  <c r="E45" i="26"/>
  <c r="D100" i="15"/>
  <c r="X100" i="15" s="1"/>
  <c r="D101" i="15"/>
  <c r="X101" i="15" s="1"/>
  <c r="D65" i="26"/>
  <c r="X65" i="26" s="1"/>
  <c r="I109" i="2"/>
  <c r="I101" i="2"/>
  <c r="I95" i="2"/>
  <c r="I100" i="2"/>
  <c r="I99" i="2"/>
  <c r="D64" i="26"/>
  <c r="X64" i="26" s="1"/>
  <c r="E57" i="26"/>
  <c r="X57" i="26" s="1"/>
  <c r="J96" i="25"/>
  <c r="J157" i="25"/>
  <c r="AL227" i="1"/>
  <c r="AO227" i="1" s="1"/>
  <c r="AR227" i="1"/>
  <c r="AL146" i="1"/>
  <c r="AO146" i="1" s="1"/>
  <c r="AR146" i="1"/>
  <c r="AL154" i="1"/>
  <c r="AO154" i="1" s="1"/>
  <c r="AR154" i="1"/>
  <c r="AL186" i="1"/>
  <c r="AO186" i="1" s="1"/>
  <c r="AR186" i="1"/>
  <c r="AL113" i="1"/>
  <c r="AO113" i="1" s="1"/>
  <c r="AR113" i="1"/>
  <c r="AL120" i="1"/>
  <c r="AO120" i="1" s="1"/>
  <c r="AR120" i="1"/>
  <c r="AR220" i="1"/>
  <c r="AL220" i="1"/>
  <c r="AO220" i="1" s="1"/>
  <c r="AL70" i="1"/>
  <c r="AO70" i="1" s="1"/>
  <c r="AR70" i="1"/>
  <c r="AL162" i="1"/>
  <c r="AO162" i="1" s="1"/>
  <c r="AR162" i="1"/>
  <c r="AL195" i="1"/>
  <c r="AO195" i="1" s="1"/>
  <c r="AR195" i="1"/>
  <c r="AR110" i="1"/>
  <c r="AL110" i="1"/>
  <c r="AO110" i="1" s="1"/>
  <c r="I90" i="2"/>
  <c r="AL77" i="1"/>
  <c r="AO77" i="1" s="1"/>
  <c r="AR77" i="1"/>
  <c r="AR221" i="1"/>
  <c r="AL221" i="1"/>
  <c r="AO221" i="1" s="1"/>
  <c r="AL86" i="1"/>
  <c r="AO86" i="1" s="1"/>
  <c r="AR86" i="1"/>
  <c r="AL123" i="1"/>
  <c r="AO123" i="1" s="1"/>
  <c r="AR123" i="1"/>
  <c r="AL209" i="1"/>
  <c r="AO209" i="1" s="1"/>
  <c r="AR209" i="1"/>
  <c r="AL167" i="1"/>
  <c r="AO167" i="1" s="1"/>
  <c r="AR167" i="1"/>
  <c r="AL267" i="1"/>
  <c r="AO267" i="1" s="1"/>
  <c r="AR267" i="1"/>
  <c r="AR119" i="1"/>
  <c r="AL119" i="1"/>
  <c r="AO119" i="1" s="1"/>
  <c r="AL134" i="1"/>
  <c r="AO134" i="1" s="1"/>
  <c r="AR134" i="1"/>
  <c r="AL256" i="1"/>
  <c r="AO256" i="1" s="1"/>
  <c r="AR256" i="1"/>
  <c r="AR67" i="1"/>
  <c r="AL67" i="1"/>
  <c r="AO67" i="1" s="1"/>
  <c r="I87" i="2"/>
  <c r="AR207" i="1"/>
  <c r="AL207" i="1"/>
  <c r="AO207" i="1" s="1"/>
  <c r="AL84" i="1"/>
  <c r="AO84" i="1" s="1"/>
  <c r="AR84" i="1"/>
  <c r="AL107" i="1"/>
  <c r="AO107" i="1" s="1"/>
  <c r="AR107" i="1"/>
  <c r="AR228" i="1"/>
  <c r="AL228" i="1"/>
  <c r="AO228" i="1" s="1"/>
  <c r="AR255" i="1"/>
  <c r="AL255" i="1"/>
  <c r="AO255" i="1" s="1"/>
  <c r="AL201" i="1"/>
  <c r="AO201" i="1" s="1"/>
  <c r="AR201" i="1"/>
  <c r="AL177" i="1"/>
  <c r="AO177" i="1" s="1"/>
  <c r="AR177" i="1"/>
  <c r="AR73" i="1"/>
  <c r="AL73" i="1"/>
  <c r="AO73" i="1" s="1"/>
  <c r="AL213" i="1"/>
  <c r="AO213" i="1" s="1"/>
  <c r="AR213" i="1"/>
  <c r="AL265" i="1"/>
  <c r="AO265" i="1" s="1"/>
  <c r="AR265" i="1"/>
  <c r="AL96" i="1"/>
  <c r="AO96" i="1" s="1"/>
  <c r="AR96" i="1"/>
  <c r="AL75" i="1"/>
  <c r="AO75" i="1" s="1"/>
  <c r="AR75" i="1"/>
  <c r="AR180" i="1"/>
  <c r="AL180" i="1"/>
  <c r="AO180" i="1" s="1"/>
  <c r="AR182" i="1"/>
  <c r="AL182" i="1"/>
  <c r="AO182" i="1" s="1"/>
  <c r="AL92" i="1"/>
  <c r="AO92" i="1" s="1"/>
  <c r="I98" i="2"/>
  <c r="AR92" i="1"/>
  <c r="AL184" i="1"/>
  <c r="AO184" i="1" s="1"/>
  <c r="AR184" i="1"/>
  <c r="AL94" i="1"/>
  <c r="AO94" i="1" s="1"/>
  <c r="AR94" i="1"/>
  <c r="AL222" i="1"/>
  <c r="AO222" i="1" s="1"/>
  <c r="AR222" i="1"/>
  <c r="AR191" i="1"/>
  <c r="AL191" i="1"/>
  <c r="AO191" i="1" s="1"/>
  <c r="AL226" i="1"/>
  <c r="AO226" i="1" s="1"/>
  <c r="AR226" i="1"/>
  <c r="I116" i="2"/>
  <c r="AR142" i="1"/>
  <c r="AL142" i="1"/>
  <c r="AO142" i="1" s="1"/>
  <c r="AL215" i="1"/>
  <c r="AO215" i="1" s="1"/>
  <c r="AR215" i="1"/>
  <c r="AL90" i="1"/>
  <c r="AO90" i="1" s="1"/>
  <c r="AR90" i="1"/>
  <c r="AL245" i="1"/>
  <c r="AO245" i="1" s="1"/>
  <c r="AR245" i="1"/>
  <c r="AR193" i="1"/>
  <c r="AL193" i="1"/>
  <c r="AO193" i="1" s="1"/>
  <c r="I94" i="2"/>
  <c r="AL101" i="1"/>
  <c r="AO101" i="1" s="1"/>
  <c r="AR101" i="1"/>
  <c r="AR271" i="1"/>
  <c r="AL271" i="1"/>
  <c r="AO271" i="1" s="1"/>
  <c r="AL85" i="1"/>
  <c r="AO85" i="1" s="1"/>
  <c r="AR85" i="1"/>
  <c r="AL170" i="1"/>
  <c r="AO170" i="1" s="1"/>
  <c r="AR170" i="1"/>
  <c r="AR145" i="1"/>
  <c r="AL145" i="1"/>
  <c r="AO145" i="1" s="1"/>
  <c r="AL153" i="1"/>
  <c r="AO153" i="1" s="1"/>
  <c r="AR153" i="1"/>
  <c r="AL183" i="1"/>
  <c r="AO183" i="1" s="1"/>
  <c r="AR183" i="1"/>
  <c r="AL118" i="1"/>
  <c r="AO118" i="1" s="1"/>
  <c r="AR118" i="1"/>
  <c r="AL124" i="1"/>
  <c r="AO124" i="1" s="1"/>
  <c r="AR124" i="1"/>
  <c r="AL241" i="1"/>
  <c r="AO241" i="1" s="1"/>
  <c r="AR241" i="1"/>
  <c r="AR240" i="1"/>
  <c r="AL240" i="1"/>
  <c r="AO240" i="1" s="1"/>
  <c r="AR269" i="1"/>
  <c r="AL269" i="1"/>
  <c r="AO269" i="1" s="1"/>
  <c r="AL104" i="1"/>
  <c r="AO104" i="1" s="1"/>
  <c r="AR104" i="1"/>
  <c r="DX56" i="1"/>
  <c r="AL56" i="1"/>
  <c r="AO56" i="1" s="1"/>
  <c r="AR56" i="1"/>
  <c r="AL216" i="1"/>
  <c r="AO216" i="1" s="1"/>
  <c r="AR216" i="1"/>
  <c r="AL190" i="1"/>
  <c r="AO190" i="1" s="1"/>
  <c r="AR190" i="1"/>
  <c r="DX57" i="1"/>
  <c r="AL57" i="1"/>
  <c r="AO57" i="1" s="1"/>
  <c r="I106" i="2"/>
  <c r="AR57" i="1"/>
  <c r="AL239" i="1"/>
  <c r="AO239" i="1" s="1"/>
  <c r="AR239" i="1"/>
  <c r="AL66" i="1"/>
  <c r="AO66" i="1" s="1"/>
  <c r="AR66" i="1"/>
  <c r="AL261" i="1"/>
  <c r="AO261" i="1" s="1"/>
  <c r="AR261" i="1"/>
  <c r="AR108" i="1"/>
  <c r="AL108" i="1"/>
  <c r="AO108" i="1" s="1"/>
  <c r="AR88" i="1"/>
  <c r="AL88" i="1"/>
  <c r="AO88" i="1" s="1"/>
  <c r="AL212" i="1"/>
  <c r="AO212" i="1" s="1"/>
  <c r="AR212" i="1"/>
  <c r="AL68" i="1"/>
  <c r="AO68" i="1" s="1"/>
  <c r="AR68" i="1"/>
  <c r="AR132" i="1"/>
  <c r="AL132" i="1"/>
  <c r="AO132" i="1" s="1"/>
  <c r="AR218" i="1"/>
  <c r="AL218" i="1"/>
  <c r="AO218" i="1" s="1"/>
  <c r="AR141" i="1"/>
  <c r="AL141" i="1"/>
  <c r="AO141" i="1" s="1"/>
  <c r="AL112" i="1"/>
  <c r="AO112" i="1" s="1"/>
  <c r="AR112" i="1"/>
  <c r="AL260" i="1"/>
  <c r="AO260" i="1" s="1"/>
  <c r="AR260" i="1"/>
  <c r="AR138" i="1"/>
  <c r="AL138" i="1"/>
  <c r="AO138" i="1" s="1"/>
  <c r="AR128" i="1"/>
  <c r="AL128" i="1"/>
  <c r="AO128" i="1" s="1"/>
  <c r="AL79" i="1"/>
  <c r="AO79" i="1" s="1"/>
  <c r="AR79" i="1"/>
  <c r="AL254" i="1"/>
  <c r="AO254" i="1" s="1"/>
  <c r="AR254" i="1"/>
  <c r="AL230" i="1"/>
  <c r="AO230" i="1" s="1"/>
  <c r="AR230" i="1"/>
  <c r="AL130" i="1"/>
  <c r="AO130" i="1" s="1"/>
  <c r="AR130" i="1"/>
  <c r="AR165" i="1"/>
  <c r="AL165" i="1"/>
  <c r="AO165" i="1" s="1"/>
  <c r="AL199" i="1"/>
  <c r="AO199" i="1" s="1"/>
  <c r="AR199" i="1"/>
  <c r="I91" i="2"/>
  <c r="AL97" i="1"/>
  <c r="AO97" i="1" s="1"/>
  <c r="AR97" i="1"/>
  <c r="AR202" i="1"/>
  <c r="AL202" i="1"/>
  <c r="AO202" i="1" s="1"/>
  <c r="AL114" i="1"/>
  <c r="AO114" i="1" s="1"/>
  <c r="I92" i="2"/>
  <c r="AR114" i="1"/>
  <c r="AL147" i="1"/>
  <c r="AO147" i="1" s="1"/>
  <c r="AR147" i="1"/>
  <c r="AL52" i="1"/>
  <c r="AO52" i="1" s="1"/>
  <c r="I113" i="2"/>
  <c r="DX52" i="1"/>
  <c r="AR52" i="1"/>
  <c r="AL248" i="1"/>
  <c r="AO248" i="1" s="1"/>
  <c r="AR248" i="1"/>
  <c r="AR93" i="1"/>
  <c r="AL93" i="1"/>
  <c r="AO93" i="1" s="1"/>
  <c r="AL250" i="1"/>
  <c r="AO250" i="1" s="1"/>
  <c r="AR250" i="1"/>
  <c r="AR152" i="1"/>
  <c r="AL152" i="1"/>
  <c r="AO152" i="1" s="1"/>
  <c r="AL237" i="1"/>
  <c r="AO237" i="1" s="1"/>
  <c r="AR237" i="1"/>
  <c r="AR125" i="1"/>
  <c r="AL125" i="1"/>
  <c r="AO125" i="1" s="1"/>
  <c r="AL249" i="1"/>
  <c r="AO249" i="1" s="1"/>
  <c r="AR249" i="1"/>
  <c r="AL179" i="1"/>
  <c r="AO179" i="1" s="1"/>
  <c r="AR179" i="1"/>
  <c r="AL103" i="1"/>
  <c r="AO103" i="1" s="1"/>
  <c r="AR103" i="1"/>
  <c r="DX61" i="1"/>
  <c r="AL61" i="1"/>
  <c r="AO61" i="1" s="1"/>
  <c r="I122" i="2"/>
  <c r="AR61" i="1"/>
  <c r="AL264" i="1"/>
  <c r="AO264" i="1" s="1"/>
  <c r="AR264" i="1"/>
  <c r="AR219" i="1"/>
  <c r="AL219" i="1"/>
  <c r="AO219" i="1" s="1"/>
  <c r="I114" i="2"/>
  <c r="AL238" i="1"/>
  <c r="AO238" i="1" s="1"/>
  <c r="AR238" i="1"/>
  <c r="AR89" i="1"/>
  <c r="AL89" i="1"/>
  <c r="AO89" i="1" s="1"/>
  <c r="AL149" i="1"/>
  <c r="AO149" i="1" s="1"/>
  <c r="AR149" i="1"/>
  <c r="AL82" i="1"/>
  <c r="AO82" i="1" s="1"/>
  <c r="AR82" i="1"/>
  <c r="DX55" i="1"/>
  <c r="I115" i="2"/>
  <c r="AL55" i="1"/>
  <c r="AO55" i="1" s="1"/>
  <c r="AR55" i="1"/>
  <c r="J94" i="25" s="1"/>
  <c r="AL69" i="1"/>
  <c r="AO69" i="1" s="1"/>
  <c r="AR69" i="1"/>
  <c r="AR105" i="1"/>
  <c r="AL105" i="1"/>
  <c r="AO105" i="1" s="1"/>
  <c r="AR140" i="1"/>
  <c r="AL140" i="1"/>
  <c r="AO140" i="1" s="1"/>
  <c r="AL163" i="1"/>
  <c r="AO163" i="1" s="1"/>
  <c r="AR163" i="1"/>
  <c r="AL234" i="1"/>
  <c r="AO234" i="1" s="1"/>
  <c r="AR234" i="1"/>
  <c r="AR232" i="1"/>
  <c r="AL232" i="1"/>
  <c r="AO232" i="1" s="1"/>
  <c r="AL156" i="1"/>
  <c r="AO156" i="1" s="1"/>
  <c r="AR156" i="1"/>
  <c r="AR151" i="1"/>
  <c r="AL151" i="1"/>
  <c r="AO151" i="1" s="1"/>
  <c r="AL188" i="1"/>
  <c r="AO188" i="1" s="1"/>
  <c r="AR188" i="1"/>
  <c r="AL242" i="1"/>
  <c r="AO242" i="1" s="1"/>
  <c r="AR242" i="1"/>
  <c r="AL164" i="1"/>
  <c r="AO164" i="1" s="1"/>
  <c r="AR164" i="1"/>
  <c r="AR266" i="1"/>
  <c r="AL266" i="1"/>
  <c r="AO266" i="1" s="1"/>
  <c r="AL244" i="1"/>
  <c r="AO244" i="1" s="1"/>
  <c r="AR244" i="1"/>
  <c r="AL98" i="1"/>
  <c r="AO98" i="1" s="1"/>
  <c r="AR98" i="1"/>
  <c r="AR11" i="1"/>
  <c r="AL11" i="1"/>
  <c r="DX11" i="1"/>
  <c r="AL192" i="1"/>
  <c r="AO192" i="1" s="1"/>
  <c r="AR192" i="1"/>
  <c r="AL72" i="1"/>
  <c r="AO72" i="1" s="1"/>
  <c r="AR72" i="1"/>
  <c r="AL64" i="1"/>
  <c r="AO64" i="1" s="1"/>
  <c r="AR64" i="1"/>
  <c r="AL143" i="1"/>
  <c r="AO143" i="1" s="1"/>
  <c r="AR143" i="1"/>
  <c r="AL205" i="1"/>
  <c r="AO205" i="1" s="1"/>
  <c r="AR205" i="1"/>
  <c r="AR251" i="1"/>
  <c r="AL251" i="1"/>
  <c r="AO251" i="1" s="1"/>
  <c r="AR268" i="1"/>
  <c r="AL268" i="1"/>
  <c r="AO268" i="1" s="1"/>
  <c r="AL208" i="1"/>
  <c r="AO208" i="1" s="1"/>
  <c r="AR208" i="1"/>
  <c r="AL65" i="1"/>
  <c r="AO65" i="1" s="1"/>
  <c r="AR65" i="1"/>
  <c r="AL270" i="1"/>
  <c r="AO270" i="1" s="1"/>
  <c r="AR270" i="1"/>
  <c r="I105" i="2"/>
  <c r="AR127" i="1"/>
  <c r="AL127" i="1"/>
  <c r="AO127" i="1" s="1"/>
  <c r="AL174" i="1"/>
  <c r="AO174" i="1" s="1"/>
  <c r="AR174" i="1"/>
  <c r="AL206" i="1"/>
  <c r="AO206" i="1" s="1"/>
  <c r="AR206" i="1"/>
  <c r="AL223" i="1"/>
  <c r="AO223" i="1" s="1"/>
  <c r="AR223" i="1"/>
  <c r="AL95" i="1"/>
  <c r="AO95" i="1" s="1"/>
  <c r="AR95" i="1"/>
  <c r="AL194" i="1"/>
  <c r="AO194" i="1" s="1"/>
  <c r="AR194" i="1"/>
  <c r="AL166" i="1"/>
  <c r="AO166" i="1" s="1"/>
  <c r="AR166" i="1"/>
  <c r="AL117" i="1"/>
  <c r="AO117" i="1" s="1"/>
  <c r="AR117" i="1"/>
  <c r="AL185" i="1"/>
  <c r="AO185" i="1" s="1"/>
  <c r="AR185" i="1"/>
  <c r="AR76" i="1"/>
  <c r="AL76" i="1"/>
  <c r="AO76" i="1" s="1"/>
  <c r="AL235" i="1"/>
  <c r="AO235" i="1" s="1"/>
  <c r="AR235" i="1"/>
  <c r="AL169" i="1"/>
  <c r="AO169" i="1" s="1"/>
  <c r="AR169" i="1"/>
  <c r="AR80" i="1"/>
  <c r="AL80" i="1"/>
  <c r="AO80" i="1" s="1"/>
  <c r="AL99" i="1"/>
  <c r="AO99" i="1" s="1"/>
  <c r="AR99" i="1"/>
  <c r="AL111" i="1"/>
  <c r="AO111" i="1" s="1"/>
  <c r="AR111" i="1"/>
  <c r="AL198" i="1"/>
  <c r="AO198" i="1" s="1"/>
  <c r="AR198" i="1"/>
  <c r="AL172" i="1"/>
  <c r="AO172" i="1" s="1"/>
  <c r="AR172" i="1"/>
  <c r="AL262" i="1"/>
  <c r="AO262" i="1" s="1"/>
  <c r="AR262" i="1"/>
  <c r="AL135" i="1"/>
  <c r="AO135" i="1" s="1"/>
  <c r="AR135" i="1"/>
  <c r="AL178" i="1"/>
  <c r="AO178" i="1" s="1"/>
  <c r="AR178" i="1"/>
  <c r="AL175" i="1"/>
  <c r="AO175" i="1" s="1"/>
  <c r="AR175" i="1"/>
  <c r="AL168" i="1"/>
  <c r="AO168" i="1" s="1"/>
  <c r="AR168" i="1"/>
  <c r="AL157" i="1"/>
  <c r="AO157" i="1" s="1"/>
  <c r="AR157" i="1"/>
  <c r="AL116" i="1"/>
  <c r="AO116" i="1" s="1"/>
  <c r="AR116" i="1"/>
  <c r="AL224" i="1"/>
  <c r="AO224" i="1" s="1"/>
  <c r="AR224" i="1"/>
  <c r="AR243" i="1"/>
  <c r="AL243" i="1"/>
  <c r="AO243" i="1" s="1"/>
  <c r="AL106" i="1"/>
  <c r="AO106" i="1" s="1"/>
  <c r="AR106" i="1"/>
  <c r="I107" i="2"/>
  <c r="DX51" i="1"/>
  <c r="AR51" i="1"/>
  <c r="AL51" i="1"/>
  <c r="AO51" i="1" s="1"/>
  <c r="AL258" i="1"/>
  <c r="AO258" i="1" s="1"/>
  <c r="AR258" i="1"/>
  <c r="AR263" i="1"/>
  <c r="AL263" i="1"/>
  <c r="AO263" i="1" s="1"/>
  <c r="AL74" i="1"/>
  <c r="AO74" i="1" s="1"/>
  <c r="AR74" i="1"/>
  <c r="AR87" i="1"/>
  <c r="AL87" i="1"/>
  <c r="AO87" i="1" s="1"/>
  <c r="AR210" i="1"/>
  <c r="AL210" i="1"/>
  <c r="AO210" i="1" s="1"/>
  <c r="AL200" i="1"/>
  <c r="AO200" i="1" s="1"/>
  <c r="AR200" i="1"/>
  <c r="AL236" i="1"/>
  <c r="AO236" i="1" s="1"/>
  <c r="AR236" i="1"/>
  <c r="AL83" i="1"/>
  <c r="AO83" i="1" s="1"/>
  <c r="AR83" i="1"/>
  <c r="AL122" i="1"/>
  <c r="AO122" i="1" s="1"/>
  <c r="I93" i="2"/>
  <c r="AR122" i="1"/>
  <c r="AR155" i="1"/>
  <c r="AL155" i="1"/>
  <c r="AO155" i="1" s="1"/>
  <c r="AL197" i="1"/>
  <c r="AO197" i="1" s="1"/>
  <c r="AR197" i="1"/>
  <c r="AL71" i="1"/>
  <c r="AO71" i="1" s="1"/>
  <c r="AR71" i="1"/>
  <c r="AR211" i="1"/>
  <c r="AL211" i="1"/>
  <c r="AO211" i="1" s="1"/>
  <c r="AL173" i="1"/>
  <c r="AO173" i="1" s="1"/>
  <c r="AR173" i="1"/>
  <c r="AL133" i="1"/>
  <c r="AO133" i="1" s="1"/>
  <c r="AR133" i="1"/>
  <c r="AR129" i="1"/>
  <c r="AL129" i="1"/>
  <c r="AO129" i="1" s="1"/>
  <c r="AR131" i="1"/>
  <c r="AL131" i="1"/>
  <c r="AO131" i="1" s="1"/>
  <c r="AL253" i="1"/>
  <c r="AO253" i="1" s="1"/>
  <c r="AR253" i="1"/>
  <c r="AL102" i="1"/>
  <c r="AO102" i="1" s="1"/>
  <c r="AR102" i="1"/>
  <c r="AR203" i="1"/>
  <c r="AL203" i="1"/>
  <c r="AO203" i="1" s="1"/>
  <c r="AL126" i="1"/>
  <c r="AO126" i="1" s="1"/>
  <c r="AR126" i="1"/>
  <c r="AL246" i="1"/>
  <c r="AO246" i="1" s="1"/>
  <c r="AR246" i="1"/>
  <c r="AL139" i="1"/>
  <c r="AO139" i="1" s="1"/>
  <c r="AR139" i="1"/>
  <c r="AL233" i="1"/>
  <c r="AO233" i="1" s="1"/>
  <c r="AR233" i="1"/>
  <c r="AL81" i="1"/>
  <c r="AO81" i="1" s="1"/>
  <c r="AR81" i="1"/>
  <c r="AR196" i="1"/>
  <c r="AL196" i="1"/>
  <c r="AO196" i="1" s="1"/>
  <c r="AL231" i="1"/>
  <c r="AO231" i="1" s="1"/>
  <c r="AR231" i="1"/>
  <c r="AL176" i="1"/>
  <c r="AO176" i="1" s="1"/>
  <c r="AR176" i="1"/>
  <c r="AL189" i="1"/>
  <c r="AO189" i="1" s="1"/>
  <c r="AR189" i="1"/>
  <c r="I104" i="2"/>
  <c r="AR78" i="1"/>
  <c r="AL78" i="1"/>
  <c r="AO78" i="1" s="1"/>
  <c r="AL137" i="1"/>
  <c r="AO137" i="1" s="1"/>
  <c r="AR137" i="1"/>
  <c r="AL252" i="1"/>
  <c r="AO252" i="1" s="1"/>
  <c r="AR252" i="1"/>
  <c r="AL115" i="1"/>
  <c r="AO115" i="1" s="1"/>
  <c r="AR115" i="1"/>
  <c r="AL63" i="1"/>
  <c r="AO63" i="1" s="1"/>
  <c r="I86" i="2"/>
  <c r="AR63" i="1"/>
  <c r="AL161" i="1"/>
  <c r="AO161" i="1" s="1"/>
  <c r="AR161" i="1"/>
  <c r="AR100" i="1"/>
  <c r="AL100" i="1"/>
  <c r="AO100" i="1" s="1"/>
  <c r="AL214" i="1"/>
  <c r="AO214" i="1" s="1"/>
  <c r="AR214" i="1"/>
  <c r="AF273" i="1"/>
  <c r="AG273" i="1"/>
  <c r="AM273" i="1"/>
  <c r="AR121" i="1"/>
  <c r="AL121" i="1"/>
  <c r="AO121" i="1" s="1"/>
  <c r="AL272" i="1"/>
  <c r="AO272" i="1" s="1"/>
  <c r="AR272" i="1"/>
  <c r="AL91" i="1"/>
  <c r="AO91" i="1" s="1"/>
  <c r="AR91" i="1"/>
  <c r="AL217" i="1"/>
  <c r="AO217" i="1" s="1"/>
  <c r="AR217" i="1"/>
  <c r="AR158" i="1"/>
  <c r="AL158" i="1"/>
  <c r="AO158" i="1" s="1"/>
  <c r="AL247" i="1"/>
  <c r="AO247" i="1" s="1"/>
  <c r="AR247" i="1"/>
  <c r="AL150" i="1"/>
  <c r="AO150" i="1" s="1"/>
  <c r="AR150" i="1"/>
  <c r="AL171" i="1"/>
  <c r="AO171" i="1" s="1"/>
  <c r="AR171" i="1"/>
  <c r="AR204" i="1"/>
  <c r="AL204" i="1"/>
  <c r="AO204" i="1" s="1"/>
  <c r="AL257" i="1"/>
  <c r="AO257" i="1" s="1"/>
  <c r="AR257" i="1"/>
  <c r="AL225" i="1"/>
  <c r="AO225" i="1" s="1"/>
  <c r="AR225" i="1"/>
  <c r="AL187" i="1"/>
  <c r="AO187" i="1" s="1"/>
  <c r="AR187" i="1"/>
  <c r="AR181" i="1"/>
  <c r="AL181" i="1"/>
  <c r="AO181" i="1" s="1"/>
  <c r="AL259" i="1"/>
  <c r="AO259" i="1" s="1"/>
  <c r="AR259" i="1"/>
  <c r="AL144" i="1"/>
  <c r="AO144" i="1" s="1"/>
  <c r="AR144" i="1"/>
  <c r="AR136" i="1"/>
  <c r="AL136" i="1"/>
  <c r="AO136" i="1" s="1"/>
  <c r="AL159" i="1"/>
  <c r="AO159" i="1" s="1"/>
  <c r="AR159" i="1"/>
  <c r="AR229" i="1"/>
  <c r="AL229" i="1"/>
  <c r="AO229" i="1" s="1"/>
  <c r="AL148" i="1"/>
  <c r="AO148" i="1" s="1"/>
  <c r="AR148" i="1"/>
  <c r="AL109" i="1"/>
  <c r="AO109" i="1" s="1"/>
  <c r="AR109" i="1"/>
  <c r="AL160" i="1"/>
  <c r="AO160" i="1" s="1"/>
  <c r="AR160" i="1"/>
  <c r="AW24" i="1" l="1"/>
  <c r="AT24" i="1"/>
  <c r="DY24" i="1"/>
  <c r="BO24" i="1"/>
  <c r="BQ24" i="1"/>
  <c r="BK24" i="1"/>
  <c r="BL24" i="1" s="1"/>
  <c r="BQ54" i="1"/>
  <c r="BO54" i="1"/>
  <c r="AW54" i="1"/>
  <c r="AT54" i="1"/>
  <c r="DY54" i="1"/>
  <c r="F9" i="26" s="1"/>
  <c r="BK54" i="1"/>
  <c r="BL54" i="1" s="1"/>
  <c r="AQ44" i="1"/>
  <c r="AU44" i="1"/>
  <c r="AU43" i="1"/>
  <c r="AQ43" i="1"/>
  <c r="AQ41" i="1"/>
  <c r="AU41" i="1"/>
  <c r="AU40" i="1"/>
  <c r="AQ40" i="1"/>
  <c r="BO37" i="1"/>
  <c r="AW37" i="1"/>
  <c r="AX37" i="1" s="1"/>
  <c r="BQ37" i="1"/>
  <c r="AT37" i="1"/>
  <c r="DY37" i="1"/>
  <c r="BK37" i="1"/>
  <c r="BL37" i="1" s="1"/>
  <c r="AQ32" i="1"/>
  <c r="AU32" i="1"/>
  <c r="AQ58" i="1"/>
  <c r="AU58" i="1"/>
  <c r="AT59" i="1"/>
  <c r="DY59" i="1"/>
  <c r="AW59" i="1"/>
  <c r="BQ59" i="1"/>
  <c r="BO59" i="1"/>
  <c r="BK59" i="1"/>
  <c r="BL59" i="1" s="1"/>
  <c r="AQ59" i="1"/>
  <c r="AW31" i="1"/>
  <c r="BO31" i="1"/>
  <c r="AT31" i="1"/>
  <c r="BQ31" i="1"/>
  <c r="DY31" i="1"/>
  <c r="BK31" i="1"/>
  <c r="BL31" i="1" s="1"/>
  <c r="H78" i="15"/>
  <c r="H42" i="26"/>
  <c r="G43" i="26"/>
  <c r="G107" i="15"/>
  <c r="G79" i="15"/>
  <c r="G80" i="15"/>
  <c r="G44" i="26"/>
  <c r="I42" i="26"/>
  <c r="I72" i="26" s="1"/>
  <c r="I78" i="15"/>
  <c r="I108" i="15" s="1"/>
  <c r="G78" i="15"/>
  <c r="G42" i="26"/>
  <c r="H80" i="15"/>
  <c r="F80" i="15"/>
  <c r="H44" i="26"/>
  <c r="F44" i="26"/>
  <c r="H107" i="15"/>
  <c r="H79" i="15"/>
  <c r="H81" i="15"/>
  <c r="F42" i="26"/>
  <c r="H43" i="26"/>
  <c r="H45" i="26"/>
  <c r="F78" i="15"/>
  <c r="BO18" i="1"/>
  <c r="AT18" i="1"/>
  <c r="BQ18" i="1"/>
  <c r="AW18" i="1"/>
  <c r="AX18" i="1" s="1"/>
  <c r="AY18" i="1" s="1"/>
  <c r="AZ18" i="1" s="1"/>
  <c r="DY18" i="1"/>
  <c r="BK18" i="1"/>
  <c r="BL18" i="1" s="1"/>
  <c r="BO35" i="1"/>
  <c r="AT35" i="1"/>
  <c r="BQ35" i="1"/>
  <c r="AW35" i="1"/>
  <c r="AX35" i="1" s="1"/>
  <c r="DY35" i="1"/>
  <c r="BK35" i="1"/>
  <c r="BL35" i="1" s="1"/>
  <c r="AQ34" i="1"/>
  <c r="AU34" i="1"/>
  <c r="AU22" i="1"/>
  <c r="AQ22" i="1"/>
  <c r="AQ21" i="1"/>
  <c r="AU21" i="1"/>
  <c r="AU17" i="1"/>
  <c r="AQ17" i="1"/>
  <c r="AQ26" i="1"/>
  <c r="AU26" i="1"/>
  <c r="AU27" i="1"/>
  <c r="AQ27" i="1"/>
  <c r="AU30" i="1"/>
  <c r="AQ30" i="1"/>
  <c r="AQ23" i="1"/>
  <c r="AU23" i="1"/>
  <c r="AQ28" i="1"/>
  <c r="AU28" i="1"/>
  <c r="AQ20" i="1"/>
  <c r="AU20" i="1"/>
  <c r="AQ60" i="1"/>
  <c r="AU60" i="1"/>
  <c r="AQ47" i="1"/>
  <c r="AU47" i="1"/>
  <c r="F43" i="26"/>
  <c r="F79" i="15"/>
  <c r="E42" i="26"/>
  <c r="E78" i="15"/>
  <c r="J24" i="25"/>
  <c r="H24" i="25" s="1"/>
  <c r="F107" i="15"/>
  <c r="E43" i="26"/>
  <c r="J79" i="25"/>
  <c r="H79" i="25" s="1"/>
  <c r="F59" i="26"/>
  <c r="F94" i="15"/>
  <c r="D16" i="26"/>
  <c r="AU49" i="1"/>
  <c r="AW49" i="1" s="1"/>
  <c r="AX49" i="1" s="1"/>
  <c r="AY49" i="1" s="1"/>
  <c r="AZ49" i="1" s="1"/>
  <c r="F95" i="15"/>
  <c r="F58" i="26"/>
  <c r="E79" i="15"/>
  <c r="D89" i="15"/>
  <c r="D90" i="15"/>
  <c r="D55" i="26"/>
  <c r="E46" i="26"/>
  <c r="D91" i="15"/>
  <c r="E47" i="26"/>
  <c r="E83" i="15"/>
  <c r="E82" i="15"/>
  <c r="F92" i="15"/>
  <c r="F56" i="26"/>
  <c r="J44" i="25"/>
  <c r="H44" i="25" s="1"/>
  <c r="J63" i="25"/>
  <c r="H63" i="25" s="1"/>
  <c r="J61" i="25"/>
  <c r="H61" i="25" s="1"/>
  <c r="J47" i="25"/>
  <c r="H47" i="25" s="1"/>
  <c r="J42" i="25"/>
  <c r="H42" i="25" s="1"/>
  <c r="J59" i="25"/>
  <c r="H59" i="25" s="1"/>
  <c r="J43" i="25"/>
  <c r="H43" i="25" s="1"/>
  <c r="J27" i="25"/>
  <c r="H27" i="25" s="1"/>
  <c r="J35" i="25"/>
  <c r="H35" i="25" s="1"/>
  <c r="J120" i="25"/>
  <c r="H120" i="25" s="1"/>
  <c r="J116" i="25"/>
  <c r="H116" i="25" s="1"/>
  <c r="J75" i="25"/>
  <c r="H75" i="25" s="1"/>
  <c r="J51" i="25"/>
  <c r="H51" i="25" s="1"/>
  <c r="J102" i="25"/>
  <c r="H102" i="25" s="1"/>
  <c r="J74" i="25"/>
  <c r="H74" i="25" s="1"/>
  <c r="J48" i="25"/>
  <c r="H48" i="25" s="1"/>
  <c r="J60" i="25"/>
  <c r="H60" i="25" s="1"/>
  <c r="J107" i="25"/>
  <c r="H107" i="25" s="1"/>
  <c r="J86" i="25"/>
  <c r="H86" i="25" s="1"/>
  <c r="J134" i="25"/>
  <c r="H134" i="25" s="1"/>
  <c r="J108" i="25"/>
  <c r="H108" i="25" s="1"/>
  <c r="J50" i="25"/>
  <c r="H50" i="25" s="1"/>
  <c r="J64" i="25"/>
  <c r="H64" i="25" s="1"/>
  <c r="J95" i="25"/>
  <c r="H95" i="25" s="1"/>
  <c r="J110" i="25"/>
  <c r="H110" i="25" s="1"/>
  <c r="J70" i="25"/>
  <c r="H70" i="25" s="1"/>
  <c r="J109" i="25"/>
  <c r="H109" i="25" s="1"/>
  <c r="J19" i="25"/>
  <c r="H19" i="25" s="1"/>
  <c r="J54" i="25"/>
  <c r="J115" i="25"/>
  <c r="H115" i="25" s="1"/>
  <c r="J187" i="25"/>
  <c r="J81" i="25"/>
  <c r="H81" i="25" s="1"/>
  <c r="J13" i="25"/>
  <c r="J28" i="25"/>
  <c r="H28" i="25" s="1"/>
  <c r="J30" i="25"/>
  <c r="H157" i="25"/>
  <c r="J68" i="25"/>
  <c r="H68" i="25" s="1"/>
  <c r="J149" i="25"/>
  <c r="K90" i="25"/>
  <c r="J90" i="25"/>
  <c r="H96" i="25"/>
  <c r="J23" i="25"/>
  <c r="J32" i="25"/>
  <c r="H32" i="25" s="1"/>
  <c r="J73" i="25"/>
  <c r="J9" i="25"/>
  <c r="H9" i="25" s="1"/>
  <c r="J52" i="25"/>
  <c r="J80" i="25"/>
  <c r="H80" i="25" s="1"/>
  <c r="J62" i="25"/>
  <c r="J8" i="25"/>
  <c r="H8" i="25" s="1"/>
  <c r="J16" i="25"/>
  <c r="J46" i="25"/>
  <c r="H46" i="25" s="1"/>
  <c r="J12" i="25"/>
  <c r="J125" i="25"/>
  <c r="H125" i="25" s="1"/>
  <c r="J11" i="25"/>
  <c r="J93" i="25"/>
  <c r="H93" i="25" s="1"/>
  <c r="J77" i="25"/>
  <c r="J49" i="25"/>
  <c r="H49" i="25" s="1"/>
  <c r="J33" i="25"/>
  <c r="J111" i="25"/>
  <c r="H111" i="25" s="1"/>
  <c r="J66" i="25"/>
  <c r="J126" i="25"/>
  <c r="H126" i="25" s="1"/>
  <c r="J26" i="25"/>
  <c r="J38" i="25"/>
  <c r="H38" i="25" s="1"/>
  <c r="J25" i="25"/>
  <c r="K146" i="25"/>
  <c r="J146" i="25"/>
  <c r="J137" i="25"/>
  <c r="J91" i="25"/>
  <c r="J160" i="25"/>
  <c r="J148" i="25"/>
  <c r="K186" i="25"/>
  <c r="J186" i="25"/>
  <c r="K88" i="25"/>
  <c r="J88" i="25"/>
  <c r="K185" i="25"/>
  <c r="J185" i="25"/>
  <c r="K184" i="25"/>
  <c r="J184" i="25"/>
  <c r="K183" i="25"/>
  <c r="J183" i="25"/>
  <c r="K128" i="25"/>
  <c r="J128" i="25"/>
  <c r="J87" i="25"/>
  <c r="K175" i="25"/>
  <c r="J175" i="25"/>
  <c r="K166" i="25"/>
  <c r="J166" i="25"/>
  <c r="J172" i="25"/>
  <c r="K165" i="25"/>
  <c r="J165" i="25"/>
  <c r="K151" i="25"/>
  <c r="J151" i="25"/>
  <c r="J154" i="25"/>
  <c r="J67" i="25"/>
  <c r="J162" i="25"/>
  <c r="K132" i="25"/>
  <c r="J132" i="25"/>
  <c r="J179" i="25"/>
  <c r="J150" i="25"/>
  <c r="K101" i="25"/>
  <c r="J101" i="25"/>
  <c r="J180" i="25"/>
  <c r="J167" i="25"/>
  <c r="K131" i="25"/>
  <c r="J131" i="25"/>
  <c r="J124" i="25"/>
  <c r="K129" i="25"/>
  <c r="J129" i="25"/>
  <c r="J138" i="25"/>
  <c r="K140" i="25"/>
  <c r="J140" i="25"/>
  <c r="K114" i="25"/>
  <c r="J114" i="25"/>
  <c r="J121" i="25"/>
  <c r="J122" i="25"/>
  <c r="J123" i="25"/>
  <c r="J169" i="25"/>
  <c r="J89" i="25"/>
  <c r="J133" i="25"/>
  <c r="J97" i="25"/>
  <c r="J136" i="25"/>
  <c r="J31" i="25"/>
  <c r="K142" i="25"/>
  <c r="J142" i="25"/>
  <c r="K164" i="25"/>
  <c r="J164" i="25"/>
  <c r="K156" i="25"/>
  <c r="J156" i="25"/>
  <c r="K135" i="25"/>
  <c r="J135" i="25"/>
  <c r="K130" i="25"/>
  <c r="J130" i="25"/>
  <c r="K161" i="25"/>
  <c r="J161" i="25"/>
  <c r="K92" i="25"/>
  <c r="J92" i="25"/>
  <c r="K98" i="25"/>
  <c r="J98" i="25"/>
  <c r="K145" i="25"/>
  <c r="J145" i="25"/>
  <c r="K119" i="25"/>
  <c r="J119" i="25"/>
  <c r="K170" i="25"/>
  <c r="J170" i="25"/>
  <c r="K177" i="25"/>
  <c r="J177" i="25"/>
  <c r="K147" i="25"/>
  <c r="J147" i="25"/>
  <c r="K181" i="25"/>
  <c r="J181" i="25"/>
  <c r="K163" i="25"/>
  <c r="J163" i="25"/>
  <c r="K143" i="25"/>
  <c r="J143" i="25"/>
  <c r="K178" i="25"/>
  <c r="J178" i="25"/>
  <c r="K168" i="25"/>
  <c r="J168" i="25"/>
  <c r="K173" i="25"/>
  <c r="J173" i="25"/>
  <c r="K159" i="25"/>
  <c r="J159" i="25"/>
  <c r="K171" i="25"/>
  <c r="J171" i="25"/>
  <c r="K155" i="25"/>
  <c r="J155" i="25"/>
  <c r="K182" i="25"/>
  <c r="J182" i="25"/>
  <c r="K174" i="25"/>
  <c r="J174" i="25"/>
  <c r="K158" i="25"/>
  <c r="J158" i="25"/>
  <c r="K141" i="25"/>
  <c r="J141" i="25"/>
  <c r="K176" i="25"/>
  <c r="J176" i="25"/>
  <c r="J117" i="25"/>
  <c r="H117" i="25" s="1"/>
  <c r="D18" i="26"/>
  <c r="D18" i="15"/>
  <c r="DY48" i="1"/>
  <c r="AW48" i="1"/>
  <c r="AX48" i="1" s="1"/>
  <c r="BO48" i="1"/>
  <c r="AT48" i="1"/>
  <c r="BQ48" i="1"/>
  <c r="BK48" i="1"/>
  <c r="BL48" i="1" s="1"/>
  <c r="J112" i="25"/>
  <c r="H112" i="25" s="1"/>
  <c r="D59" i="26"/>
  <c r="J113" i="25"/>
  <c r="H113" i="25" s="1"/>
  <c r="J34" i="25"/>
  <c r="H34" i="25" s="1"/>
  <c r="E62" i="26"/>
  <c r="X62" i="26" s="1"/>
  <c r="E61" i="26"/>
  <c r="X61" i="26" s="1"/>
  <c r="E63" i="26"/>
  <c r="X63" i="26" s="1"/>
  <c r="E98" i="15"/>
  <c r="X98" i="15" s="1"/>
  <c r="E97" i="15"/>
  <c r="X97" i="15" s="1"/>
  <c r="E99" i="15"/>
  <c r="X99" i="15" s="1"/>
  <c r="J99" i="25"/>
  <c r="H99" i="25" s="1"/>
  <c r="J78" i="25"/>
  <c r="H78" i="25" s="1"/>
  <c r="E52" i="26"/>
  <c r="X52" i="26" s="1"/>
  <c r="E89" i="15"/>
  <c r="E54" i="26"/>
  <c r="X54" i="26" s="1"/>
  <c r="E88" i="15"/>
  <c r="X88" i="15" s="1"/>
  <c r="E91" i="15"/>
  <c r="D82" i="15"/>
  <c r="E51" i="26"/>
  <c r="X51" i="26" s="1"/>
  <c r="E56" i="26"/>
  <c r="E53" i="26"/>
  <c r="X53" i="26" s="1"/>
  <c r="E90" i="15"/>
  <c r="E55" i="26"/>
  <c r="E87" i="15"/>
  <c r="X87" i="15" s="1"/>
  <c r="E92" i="15"/>
  <c r="E60" i="26"/>
  <c r="J85" i="25"/>
  <c r="H85" i="25" s="1"/>
  <c r="E96" i="15"/>
  <c r="D49" i="26"/>
  <c r="X49" i="26" s="1"/>
  <c r="D46" i="26"/>
  <c r="D48" i="26"/>
  <c r="X48" i="26" s="1"/>
  <c r="D50" i="26"/>
  <c r="X50" i="26" s="1"/>
  <c r="D85" i="15"/>
  <c r="X85" i="15" s="1"/>
  <c r="D86" i="15"/>
  <c r="X86" i="15" s="1"/>
  <c r="D81" i="15"/>
  <c r="D45" i="26"/>
  <c r="D47" i="26"/>
  <c r="D83" i="15"/>
  <c r="D84" i="15"/>
  <c r="X84" i="15" s="1"/>
  <c r="J57" i="25"/>
  <c r="H57" i="25" s="1"/>
  <c r="D95" i="15"/>
  <c r="D42" i="26"/>
  <c r="D60" i="26"/>
  <c r="D78" i="15"/>
  <c r="E58" i="26"/>
  <c r="D96" i="15"/>
  <c r="D94" i="15"/>
  <c r="D58" i="26"/>
  <c r="E94" i="15"/>
  <c r="E80" i="15"/>
  <c r="E44" i="26"/>
  <c r="J29" i="25"/>
  <c r="H29" i="25" s="1"/>
  <c r="J100" i="25"/>
  <c r="H100" i="25" s="1"/>
  <c r="J83" i="25"/>
  <c r="H83" i="25" s="1"/>
  <c r="J40" i="25"/>
  <c r="H40" i="25" s="1"/>
  <c r="J6" i="25"/>
  <c r="J144" i="25"/>
  <c r="J55" i="25"/>
  <c r="J18" i="25"/>
  <c r="J104" i="25"/>
  <c r="J21" i="25"/>
  <c r="J45" i="25"/>
  <c r="H45" i="25" s="1"/>
  <c r="J39" i="25"/>
  <c r="H39" i="25" s="1"/>
  <c r="J103" i="25"/>
  <c r="J84" i="25"/>
  <c r="J58" i="25"/>
  <c r="J72" i="25"/>
  <c r="H94" i="25"/>
  <c r="J17" i="25"/>
  <c r="J118" i="25"/>
  <c r="J14" i="25"/>
  <c r="J53" i="25"/>
  <c r="J71" i="25"/>
  <c r="J22" i="25"/>
  <c r="J5" i="25"/>
  <c r="J15" i="25"/>
  <c r="E21" i="26"/>
  <c r="X21" i="26" s="1"/>
  <c r="E21" i="15"/>
  <c r="D44" i="26"/>
  <c r="D43" i="26"/>
  <c r="DX273" i="1"/>
  <c r="AO273" i="1"/>
  <c r="C6" i="3" s="1"/>
  <c r="AG274" i="1"/>
  <c r="M91" i="2"/>
  <c r="AQ109" i="1"/>
  <c r="BT109" i="1"/>
  <c r="BU109" i="1" s="1"/>
  <c r="AQ144" i="1"/>
  <c r="BT144" i="1"/>
  <c r="BU144" i="1" s="1"/>
  <c r="AQ225" i="1"/>
  <c r="BT225" i="1"/>
  <c r="BU225" i="1" s="1"/>
  <c r="AQ247" i="1"/>
  <c r="BT247" i="1"/>
  <c r="BU247" i="1" s="1"/>
  <c r="BT158" i="1"/>
  <c r="BU158" i="1" s="1"/>
  <c r="AQ158" i="1"/>
  <c r="BT91" i="1"/>
  <c r="BU91" i="1" s="1"/>
  <c r="AQ91" i="1"/>
  <c r="AQ161" i="1"/>
  <c r="BT161" i="1"/>
  <c r="BU161" i="1" s="1"/>
  <c r="AQ252" i="1"/>
  <c r="BT252" i="1"/>
  <c r="BU252" i="1" s="1"/>
  <c r="J65" i="25"/>
  <c r="AQ189" i="1"/>
  <c r="BT189" i="1"/>
  <c r="BU189" i="1" s="1"/>
  <c r="AQ196" i="1"/>
  <c r="BT196" i="1"/>
  <c r="BU196" i="1" s="1"/>
  <c r="AQ233" i="1"/>
  <c r="BT233" i="1"/>
  <c r="BU233" i="1" s="1"/>
  <c r="AQ246" i="1"/>
  <c r="BT246" i="1"/>
  <c r="BU246" i="1" s="1"/>
  <c r="AQ102" i="1"/>
  <c r="BT102" i="1"/>
  <c r="BU102" i="1" s="1"/>
  <c r="AQ173" i="1"/>
  <c r="BT173" i="1"/>
  <c r="BU173" i="1" s="1"/>
  <c r="AQ211" i="1"/>
  <c r="BT211" i="1"/>
  <c r="BU211" i="1" s="1"/>
  <c r="AQ197" i="1"/>
  <c r="BT197" i="1"/>
  <c r="BU197" i="1" s="1"/>
  <c r="AQ155" i="1"/>
  <c r="BT155" i="1"/>
  <c r="BU155" i="1" s="1"/>
  <c r="BT122" i="1"/>
  <c r="BU122" i="1" s="1"/>
  <c r="AQ122" i="1"/>
  <c r="BT236" i="1"/>
  <c r="BU236" i="1" s="1"/>
  <c r="AQ236" i="1"/>
  <c r="AQ210" i="1"/>
  <c r="BT210" i="1"/>
  <c r="BU210" i="1" s="1"/>
  <c r="AQ263" i="1"/>
  <c r="J7" i="25"/>
  <c r="AU263" i="1"/>
  <c r="AQ106" i="1"/>
  <c r="BT106" i="1"/>
  <c r="BU106" i="1" s="1"/>
  <c r="AQ243" i="1"/>
  <c r="BT243" i="1"/>
  <c r="BU243" i="1" s="1"/>
  <c r="AQ178" i="1"/>
  <c r="BT178" i="1"/>
  <c r="BU178" i="1" s="1"/>
  <c r="AQ262" i="1"/>
  <c r="BT262" i="1"/>
  <c r="BU262" i="1" s="1"/>
  <c r="AQ198" i="1"/>
  <c r="BT198" i="1"/>
  <c r="BU198" i="1" s="1"/>
  <c r="AQ169" i="1"/>
  <c r="BT169" i="1"/>
  <c r="BU169" i="1" s="1"/>
  <c r="AQ76" i="1"/>
  <c r="BT76" i="1"/>
  <c r="BU76" i="1" s="1"/>
  <c r="AQ194" i="1"/>
  <c r="BT194" i="1"/>
  <c r="BU194" i="1" s="1"/>
  <c r="BT174" i="1"/>
  <c r="BU174" i="1" s="1"/>
  <c r="AQ174" i="1"/>
  <c r="AQ250" i="1"/>
  <c r="BT250" i="1"/>
  <c r="BU250" i="1" s="1"/>
  <c r="AQ93" i="1"/>
  <c r="BT93" i="1"/>
  <c r="BU93" i="1" s="1"/>
  <c r="F78" i="2"/>
  <c r="F117" i="2"/>
  <c r="BE4" i="30" s="1"/>
  <c r="M87" i="2"/>
  <c r="AQ193" i="1"/>
  <c r="BT193" i="1"/>
  <c r="BU193" i="1" s="1"/>
  <c r="AQ201" i="1"/>
  <c r="BT201" i="1"/>
  <c r="BU201" i="1" s="1"/>
  <c r="AQ119" i="1"/>
  <c r="BT119" i="1"/>
  <c r="BU119" i="1" s="1"/>
  <c r="AQ167" i="1"/>
  <c r="BT167" i="1"/>
  <c r="BU167" i="1" s="1"/>
  <c r="AQ86" i="1"/>
  <c r="BT86" i="1"/>
  <c r="BU86" i="1" s="1"/>
  <c r="AQ77" i="1"/>
  <c r="BT77" i="1"/>
  <c r="BU77" i="1" s="1"/>
  <c r="AQ110" i="1"/>
  <c r="BT110" i="1"/>
  <c r="BU110" i="1" s="1"/>
  <c r="AQ220" i="1"/>
  <c r="BT220" i="1"/>
  <c r="BU220" i="1" s="1"/>
  <c r="AQ154" i="1"/>
  <c r="BT154" i="1"/>
  <c r="BU154" i="1" s="1"/>
  <c r="AQ160" i="1"/>
  <c r="BT160" i="1"/>
  <c r="BU160" i="1" s="1"/>
  <c r="AQ229" i="1"/>
  <c r="BT229" i="1"/>
  <c r="BU229" i="1" s="1"/>
  <c r="AQ159" i="1"/>
  <c r="BT159" i="1"/>
  <c r="BU159" i="1" s="1"/>
  <c r="BT136" i="1"/>
  <c r="BU136" i="1" s="1"/>
  <c r="AQ136" i="1"/>
  <c r="AQ181" i="1"/>
  <c r="BT181" i="1"/>
  <c r="BU181" i="1" s="1"/>
  <c r="AQ150" i="1"/>
  <c r="BT150" i="1"/>
  <c r="BU150" i="1" s="1"/>
  <c r="BT217" i="1"/>
  <c r="BU217" i="1" s="1"/>
  <c r="AQ217" i="1"/>
  <c r="AQ115" i="1"/>
  <c r="BT115" i="1"/>
  <c r="BU115" i="1" s="1"/>
  <c r="AQ78" i="1"/>
  <c r="BT78" i="1"/>
  <c r="BU78" i="1" s="1"/>
  <c r="BT231" i="1"/>
  <c r="BU231" i="1" s="1"/>
  <c r="AQ231" i="1"/>
  <c r="AQ129" i="1"/>
  <c r="BT129" i="1"/>
  <c r="BU129" i="1" s="1"/>
  <c r="AQ71" i="1"/>
  <c r="BT71" i="1"/>
  <c r="BU71" i="1" s="1"/>
  <c r="AQ74" i="1"/>
  <c r="BT74" i="1"/>
  <c r="BU74" i="1" s="1"/>
  <c r="AQ258" i="1"/>
  <c r="BT258" i="1"/>
  <c r="BU258" i="1" s="1"/>
  <c r="J69" i="25"/>
  <c r="AU51" i="1"/>
  <c r="AQ51" i="1"/>
  <c r="AQ224" i="1"/>
  <c r="BT224" i="1"/>
  <c r="BU224" i="1" s="1"/>
  <c r="BT157" i="1"/>
  <c r="BU157" i="1" s="1"/>
  <c r="AQ157" i="1"/>
  <c r="AQ166" i="1"/>
  <c r="BT166" i="1"/>
  <c r="BU166" i="1" s="1"/>
  <c r="AQ206" i="1"/>
  <c r="BT206" i="1"/>
  <c r="BU206" i="1" s="1"/>
  <c r="AQ244" i="1"/>
  <c r="BT244" i="1"/>
  <c r="BU244" i="1" s="1"/>
  <c r="AQ164" i="1"/>
  <c r="BT164" i="1"/>
  <c r="BU164" i="1" s="1"/>
  <c r="AQ234" i="1"/>
  <c r="BT234" i="1"/>
  <c r="BU234" i="1" s="1"/>
  <c r="AQ82" i="1"/>
  <c r="BT82" i="1"/>
  <c r="BU82" i="1" s="1"/>
  <c r="AQ238" i="1"/>
  <c r="BT238" i="1"/>
  <c r="BU238" i="1" s="1"/>
  <c r="J41" i="25"/>
  <c r="AQ61" i="1"/>
  <c r="AU61" i="1"/>
  <c r="BT125" i="1"/>
  <c r="BU125" i="1" s="1"/>
  <c r="AQ125" i="1"/>
  <c r="BT248" i="1"/>
  <c r="BU248" i="1" s="1"/>
  <c r="AQ248" i="1"/>
  <c r="AO11" i="1"/>
  <c r="I108" i="2"/>
  <c r="AQ114" i="1"/>
  <c r="BT114" i="1"/>
  <c r="BU114" i="1" s="1"/>
  <c r="AQ202" i="1"/>
  <c r="BT202" i="1"/>
  <c r="BU202" i="1" s="1"/>
  <c r="AQ254" i="1"/>
  <c r="BT254" i="1"/>
  <c r="BU254" i="1" s="1"/>
  <c r="AQ79" i="1"/>
  <c r="BT79" i="1"/>
  <c r="BU79" i="1" s="1"/>
  <c r="AQ68" i="1"/>
  <c r="BT68" i="1"/>
  <c r="BU68" i="1" s="1"/>
  <c r="AQ108" i="1"/>
  <c r="BT108" i="1"/>
  <c r="BU108" i="1" s="1"/>
  <c r="AQ239" i="1"/>
  <c r="BT239" i="1"/>
  <c r="BU239" i="1" s="1"/>
  <c r="AQ241" i="1"/>
  <c r="BT241" i="1"/>
  <c r="BU241" i="1" s="1"/>
  <c r="AQ124" i="1"/>
  <c r="BT124" i="1"/>
  <c r="BU124" i="1" s="1"/>
  <c r="J20" i="25"/>
  <c r="AQ170" i="1"/>
  <c r="BT170" i="1"/>
  <c r="BU170" i="1" s="1"/>
  <c r="BT101" i="1"/>
  <c r="BU101" i="1" s="1"/>
  <c r="AQ101" i="1"/>
  <c r="AQ245" i="1"/>
  <c r="BT245" i="1"/>
  <c r="BU245" i="1" s="1"/>
  <c r="AQ94" i="1"/>
  <c r="BT94" i="1"/>
  <c r="BU94" i="1" s="1"/>
  <c r="AQ96" i="1"/>
  <c r="BT96" i="1"/>
  <c r="BU96" i="1" s="1"/>
  <c r="AQ213" i="1"/>
  <c r="BT213" i="1"/>
  <c r="BU213" i="1" s="1"/>
  <c r="J37" i="25"/>
  <c r="AQ73" i="1"/>
  <c r="AU73" i="1"/>
  <c r="AQ107" i="1"/>
  <c r="BT107" i="1"/>
  <c r="BU107" i="1" s="1"/>
  <c r="AQ134" i="1"/>
  <c r="BT134" i="1"/>
  <c r="BU134" i="1" s="1"/>
  <c r="AQ123" i="1"/>
  <c r="BT123" i="1"/>
  <c r="BU123" i="1" s="1"/>
  <c r="AQ195" i="1"/>
  <c r="BT195" i="1"/>
  <c r="BU195" i="1" s="1"/>
  <c r="AQ70" i="1"/>
  <c r="BT70" i="1"/>
  <c r="BU70" i="1" s="1"/>
  <c r="AQ120" i="1"/>
  <c r="BT120" i="1"/>
  <c r="BU120" i="1" s="1"/>
  <c r="BT227" i="1"/>
  <c r="BU227" i="1" s="1"/>
  <c r="AQ227" i="1"/>
  <c r="AQ208" i="1"/>
  <c r="BT208" i="1"/>
  <c r="BU208" i="1" s="1"/>
  <c r="BT268" i="1"/>
  <c r="BU268" i="1" s="1"/>
  <c r="AQ268" i="1"/>
  <c r="AQ205" i="1"/>
  <c r="BT205" i="1"/>
  <c r="BU205" i="1" s="1"/>
  <c r="BT143" i="1"/>
  <c r="BU143" i="1" s="1"/>
  <c r="AQ143" i="1"/>
  <c r="BT72" i="1"/>
  <c r="BU72" i="1" s="1"/>
  <c r="AQ72" i="1"/>
  <c r="AQ98" i="1"/>
  <c r="BT98" i="1"/>
  <c r="BU98" i="1" s="1"/>
  <c r="AQ266" i="1"/>
  <c r="BT266" i="1"/>
  <c r="BU266" i="1" s="1"/>
  <c r="AQ242" i="1"/>
  <c r="BT242" i="1"/>
  <c r="BU242" i="1" s="1"/>
  <c r="AQ156" i="1"/>
  <c r="BT156" i="1"/>
  <c r="BU156" i="1" s="1"/>
  <c r="AQ140" i="1"/>
  <c r="BT140" i="1"/>
  <c r="BU140" i="1" s="1"/>
  <c r="AQ105" i="1"/>
  <c r="BT105" i="1"/>
  <c r="BU105" i="1" s="1"/>
  <c r="AQ55" i="1"/>
  <c r="J82" i="25"/>
  <c r="AU55" i="1"/>
  <c r="K94" i="25" s="1"/>
  <c r="I94" i="25" s="1"/>
  <c r="J127" i="25"/>
  <c r="AQ130" i="1"/>
  <c r="BT130" i="1"/>
  <c r="BU130" i="1" s="1"/>
  <c r="AQ128" i="1"/>
  <c r="BT128" i="1"/>
  <c r="BU128" i="1" s="1"/>
  <c r="BT260" i="1"/>
  <c r="BU260" i="1" s="1"/>
  <c r="AQ260" i="1"/>
  <c r="AQ218" i="1"/>
  <c r="BT218" i="1"/>
  <c r="BU218" i="1" s="1"/>
  <c r="I103" i="2"/>
  <c r="J105" i="2" s="1"/>
  <c r="AQ176" i="1"/>
  <c r="BT176" i="1"/>
  <c r="BU176" i="1" s="1"/>
  <c r="AQ81" i="1"/>
  <c r="BT81" i="1"/>
  <c r="BU81" i="1" s="1"/>
  <c r="AQ126" i="1"/>
  <c r="BT126" i="1"/>
  <c r="BU126" i="1" s="1"/>
  <c r="BT203" i="1"/>
  <c r="BU203" i="1" s="1"/>
  <c r="AQ203" i="1"/>
  <c r="AQ253" i="1"/>
  <c r="BT253" i="1"/>
  <c r="BU253" i="1" s="1"/>
  <c r="AQ200" i="1"/>
  <c r="BT200" i="1"/>
  <c r="BU200" i="1" s="1"/>
  <c r="AQ175" i="1"/>
  <c r="BT175" i="1"/>
  <c r="BU175" i="1" s="1"/>
  <c r="AQ135" i="1"/>
  <c r="BT135" i="1"/>
  <c r="BU135" i="1" s="1"/>
  <c r="BT172" i="1"/>
  <c r="BU172" i="1" s="1"/>
  <c r="AQ172" i="1"/>
  <c r="AQ111" i="1"/>
  <c r="BT111" i="1"/>
  <c r="BU111" i="1" s="1"/>
  <c r="AQ99" i="1"/>
  <c r="BT99" i="1"/>
  <c r="BU99" i="1" s="1"/>
  <c r="AQ80" i="1"/>
  <c r="BT80" i="1"/>
  <c r="BU80" i="1" s="1"/>
  <c r="BT185" i="1"/>
  <c r="BU185" i="1" s="1"/>
  <c r="AQ185" i="1"/>
  <c r="AQ95" i="1"/>
  <c r="BT95" i="1"/>
  <c r="BU95" i="1" s="1"/>
  <c r="BT223" i="1"/>
  <c r="BU223" i="1" s="1"/>
  <c r="AQ223" i="1"/>
  <c r="AQ127" i="1"/>
  <c r="BT127" i="1"/>
  <c r="BU127" i="1" s="1"/>
  <c r="BT64" i="1"/>
  <c r="BU64" i="1" s="1"/>
  <c r="AQ64" i="1"/>
  <c r="AQ192" i="1"/>
  <c r="BT192" i="1"/>
  <c r="BU192" i="1" s="1"/>
  <c r="BT151" i="1"/>
  <c r="BU151" i="1" s="1"/>
  <c r="AQ151" i="1"/>
  <c r="BT69" i="1"/>
  <c r="BU69" i="1" s="1"/>
  <c r="AQ69" i="1"/>
  <c r="BT89" i="1"/>
  <c r="BU89" i="1" s="1"/>
  <c r="AQ89" i="1"/>
  <c r="BT219" i="1"/>
  <c r="BU219" i="1" s="1"/>
  <c r="AQ219" i="1"/>
  <c r="AQ103" i="1"/>
  <c r="BT103" i="1"/>
  <c r="BU103" i="1" s="1"/>
  <c r="AQ249" i="1"/>
  <c r="BT249" i="1"/>
  <c r="BU249" i="1" s="1"/>
  <c r="AQ152" i="1"/>
  <c r="BT152" i="1"/>
  <c r="BU152" i="1" s="1"/>
  <c r="AQ97" i="1"/>
  <c r="BT97" i="1"/>
  <c r="BU97" i="1" s="1"/>
  <c r="BT138" i="1"/>
  <c r="BU138" i="1" s="1"/>
  <c r="AQ138" i="1"/>
  <c r="AQ141" i="1"/>
  <c r="BT141" i="1"/>
  <c r="BU141" i="1" s="1"/>
  <c r="AQ132" i="1"/>
  <c r="BT132" i="1"/>
  <c r="BU132" i="1" s="1"/>
  <c r="AQ261" i="1"/>
  <c r="BT261" i="1"/>
  <c r="BU261" i="1" s="1"/>
  <c r="AQ269" i="1"/>
  <c r="BT269" i="1"/>
  <c r="BU269" i="1" s="1"/>
  <c r="AQ183" i="1"/>
  <c r="BT183" i="1"/>
  <c r="BU183" i="1" s="1"/>
  <c r="AQ215" i="1"/>
  <c r="BT215" i="1"/>
  <c r="BU215" i="1" s="1"/>
  <c r="AQ191" i="1"/>
  <c r="BT191" i="1"/>
  <c r="BU191" i="1" s="1"/>
  <c r="AQ92" i="1"/>
  <c r="BT92" i="1"/>
  <c r="BU92" i="1" s="1"/>
  <c r="AQ180" i="1"/>
  <c r="BT180" i="1"/>
  <c r="BU180" i="1" s="1"/>
  <c r="AQ177" i="1"/>
  <c r="BT177" i="1"/>
  <c r="BU177" i="1" s="1"/>
  <c r="AQ228" i="1"/>
  <c r="BT228" i="1"/>
  <c r="BU228" i="1" s="1"/>
  <c r="AQ207" i="1"/>
  <c r="BT207" i="1"/>
  <c r="BU207" i="1" s="1"/>
  <c r="BT67" i="1"/>
  <c r="BU67" i="1" s="1"/>
  <c r="AQ67" i="1"/>
  <c r="AQ267" i="1"/>
  <c r="BT267" i="1"/>
  <c r="BU267" i="1" s="1"/>
  <c r="BT113" i="1"/>
  <c r="BU113" i="1" s="1"/>
  <c r="AQ113" i="1"/>
  <c r="AQ186" i="1"/>
  <c r="BT186" i="1"/>
  <c r="BU186" i="1" s="1"/>
  <c r="BT204" i="1"/>
  <c r="BU204" i="1" s="1"/>
  <c r="AQ204" i="1"/>
  <c r="AQ179" i="1"/>
  <c r="BT179" i="1"/>
  <c r="BU179" i="1" s="1"/>
  <c r="AQ216" i="1"/>
  <c r="BT216" i="1"/>
  <c r="BU216" i="1" s="1"/>
  <c r="AQ240" i="1"/>
  <c r="BT240" i="1"/>
  <c r="BU240" i="1" s="1"/>
  <c r="AQ118" i="1"/>
  <c r="BT118" i="1"/>
  <c r="BU118" i="1" s="1"/>
  <c r="AQ153" i="1"/>
  <c r="BT153" i="1"/>
  <c r="BU153" i="1" s="1"/>
  <c r="AQ145" i="1"/>
  <c r="BT145" i="1"/>
  <c r="BU145" i="1" s="1"/>
  <c r="AQ148" i="1"/>
  <c r="BT148" i="1"/>
  <c r="BU148" i="1" s="1"/>
  <c r="AQ259" i="1"/>
  <c r="BT259" i="1"/>
  <c r="BU259" i="1" s="1"/>
  <c r="AQ187" i="1"/>
  <c r="BT187" i="1"/>
  <c r="BU187" i="1" s="1"/>
  <c r="AQ257" i="1"/>
  <c r="BT257" i="1"/>
  <c r="BU257" i="1" s="1"/>
  <c r="AQ171" i="1"/>
  <c r="BT171" i="1"/>
  <c r="BU171" i="1" s="1"/>
  <c r="AQ272" i="1"/>
  <c r="BT272" i="1"/>
  <c r="BU272" i="1" s="1"/>
  <c r="AQ63" i="1"/>
  <c r="BT63" i="1"/>
  <c r="BU63" i="1" s="1"/>
  <c r="D107" i="15"/>
  <c r="AQ121" i="1"/>
  <c r="BT121" i="1"/>
  <c r="BU121" i="1" s="1"/>
  <c r="AR273" i="1"/>
  <c r="AQ214" i="1"/>
  <c r="BT214" i="1"/>
  <c r="BU214" i="1" s="1"/>
  <c r="AQ100" i="1"/>
  <c r="BT100" i="1"/>
  <c r="BU100" i="1" s="1"/>
  <c r="I85" i="2"/>
  <c r="J91" i="2" s="1"/>
  <c r="BT137" i="1"/>
  <c r="BU137" i="1" s="1"/>
  <c r="AQ137" i="1"/>
  <c r="BT139" i="1"/>
  <c r="BU139" i="1" s="1"/>
  <c r="AQ139" i="1"/>
  <c r="AQ131" i="1"/>
  <c r="BT131" i="1"/>
  <c r="BU131" i="1" s="1"/>
  <c r="AQ133" i="1"/>
  <c r="BT133" i="1"/>
  <c r="BU133" i="1" s="1"/>
  <c r="AQ83" i="1"/>
  <c r="BT83" i="1"/>
  <c r="BU83" i="1" s="1"/>
  <c r="AQ87" i="1"/>
  <c r="BT87" i="1"/>
  <c r="BU87" i="1" s="1"/>
  <c r="AQ116" i="1"/>
  <c r="BT116" i="1"/>
  <c r="BU116" i="1" s="1"/>
  <c r="AQ168" i="1"/>
  <c r="BT168" i="1"/>
  <c r="BU168" i="1" s="1"/>
  <c r="BT235" i="1"/>
  <c r="BU235" i="1" s="1"/>
  <c r="AQ235" i="1"/>
  <c r="BT117" i="1"/>
  <c r="BU117" i="1" s="1"/>
  <c r="AQ117" i="1"/>
  <c r="J56" i="25"/>
  <c r="AQ270" i="1"/>
  <c r="BT270" i="1"/>
  <c r="BU270" i="1" s="1"/>
  <c r="J76" i="25"/>
  <c r="AQ65" i="1"/>
  <c r="AU65" i="1"/>
  <c r="AQ251" i="1"/>
  <c r="BT251" i="1"/>
  <c r="BU251" i="1" s="1"/>
  <c r="AQ11" i="1"/>
  <c r="BT11" i="1"/>
  <c r="BU11" i="1" s="1"/>
  <c r="AQ188" i="1"/>
  <c r="BT188" i="1"/>
  <c r="BU188" i="1" s="1"/>
  <c r="AQ232" i="1"/>
  <c r="BT232" i="1"/>
  <c r="BU232" i="1" s="1"/>
  <c r="BT163" i="1"/>
  <c r="BU163" i="1" s="1"/>
  <c r="AQ163" i="1"/>
  <c r="AQ149" i="1"/>
  <c r="BT149" i="1"/>
  <c r="BU149" i="1" s="1"/>
  <c r="AQ264" i="1"/>
  <c r="BT264" i="1"/>
  <c r="BU264" i="1" s="1"/>
  <c r="AQ237" i="1"/>
  <c r="BT237" i="1"/>
  <c r="BU237" i="1" s="1"/>
  <c r="AQ52" i="1"/>
  <c r="J105" i="25"/>
  <c r="AU52" i="1"/>
  <c r="AQ147" i="1"/>
  <c r="BT147" i="1"/>
  <c r="BU147" i="1" s="1"/>
  <c r="AQ199" i="1"/>
  <c r="BT199" i="1"/>
  <c r="BU199" i="1" s="1"/>
  <c r="AQ165" i="1"/>
  <c r="BT165" i="1"/>
  <c r="BU165" i="1" s="1"/>
  <c r="AQ230" i="1"/>
  <c r="BT230" i="1"/>
  <c r="BU230" i="1" s="1"/>
  <c r="BT112" i="1"/>
  <c r="BU112" i="1" s="1"/>
  <c r="AQ112" i="1"/>
  <c r="AQ212" i="1"/>
  <c r="BT212" i="1"/>
  <c r="BU212" i="1" s="1"/>
  <c r="BT88" i="1"/>
  <c r="BU88" i="1" s="1"/>
  <c r="AQ88" i="1"/>
  <c r="AQ66" i="1"/>
  <c r="BT66" i="1"/>
  <c r="BU66" i="1" s="1"/>
  <c r="AQ57" i="1"/>
  <c r="J139" i="25"/>
  <c r="AU57" i="1"/>
  <c r="BT190" i="1"/>
  <c r="BU190" i="1" s="1"/>
  <c r="AQ190" i="1"/>
  <c r="AQ56" i="1"/>
  <c r="J152" i="25"/>
  <c r="AU56" i="1"/>
  <c r="AQ104" i="1"/>
  <c r="BT104" i="1"/>
  <c r="BU104" i="1" s="1"/>
  <c r="AQ85" i="1"/>
  <c r="BT85" i="1"/>
  <c r="BU85" i="1" s="1"/>
  <c r="AQ271" i="1"/>
  <c r="BT271" i="1"/>
  <c r="BU271" i="1" s="1"/>
  <c r="J10" i="25"/>
  <c r="AQ90" i="1"/>
  <c r="BT90" i="1"/>
  <c r="BU90" i="1" s="1"/>
  <c r="AQ142" i="1"/>
  <c r="BT142" i="1"/>
  <c r="BU142" i="1" s="1"/>
  <c r="AQ226" i="1"/>
  <c r="BT226" i="1"/>
  <c r="BU226" i="1" s="1"/>
  <c r="AQ222" i="1"/>
  <c r="BT222" i="1"/>
  <c r="BU222" i="1" s="1"/>
  <c r="AQ184" i="1"/>
  <c r="BT184" i="1"/>
  <c r="BU184" i="1" s="1"/>
  <c r="AQ182" i="1"/>
  <c r="BT182" i="1"/>
  <c r="BU182" i="1" s="1"/>
  <c r="BT75" i="1"/>
  <c r="BU75" i="1" s="1"/>
  <c r="AQ75" i="1"/>
  <c r="AQ265" i="1"/>
  <c r="BT265" i="1"/>
  <c r="BU265" i="1" s="1"/>
  <c r="BT255" i="1"/>
  <c r="BU255" i="1" s="1"/>
  <c r="AQ255" i="1"/>
  <c r="AQ84" i="1"/>
  <c r="BT84" i="1"/>
  <c r="BU84" i="1" s="1"/>
  <c r="BT256" i="1"/>
  <c r="BU256" i="1" s="1"/>
  <c r="AQ256" i="1"/>
  <c r="BT209" i="1"/>
  <c r="BU209" i="1" s="1"/>
  <c r="AQ209" i="1"/>
  <c r="BT221" i="1"/>
  <c r="BU221" i="1" s="1"/>
  <c r="AQ221" i="1"/>
  <c r="AQ162" i="1"/>
  <c r="BT162" i="1"/>
  <c r="BU162" i="1" s="1"/>
  <c r="J36" i="25"/>
  <c r="BT146" i="1"/>
  <c r="BU146" i="1" s="1"/>
  <c r="AQ146" i="1"/>
  <c r="BX24" i="1" l="1"/>
  <c r="BY24" i="1" s="1"/>
  <c r="BF24" i="1"/>
  <c r="BE24" i="1"/>
  <c r="BD24" i="1"/>
  <c r="BC24" i="1"/>
  <c r="BB24" i="1"/>
  <c r="AX24" i="1"/>
  <c r="AY24" i="1" s="1"/>
  <c r="AZ24" i="1" s="1"/>
  <c r="BX54" i="1"/>
  <c r="BY54" i="1" s="1"/>
  <c r="F9" i="15"/>
  <c r="BC54" i="1"/>
  <c r="F117" i="15" s="1"/>
  <c r="BB54" i="1"/>
  <c r="F153" i="15" s="1"/>
  <c r="BE54" i="1"/>
  <c r="F189" i="15" s="1"/>
  <c r="BF54" i="1"/>
  <c r="F225" i="15" s="1"/>
  <c r="BD54" i="1"/>
  <c r="F261" i="15" s="1"/>
  <c r="AX54" i="1"/>
  <c r="AY54" i="1" s="1"/>
  <c r="AZ54" i="1" s="1"/>
  <c r="BX37" i="1"/>
  <c r="BY37" i="1" s="1"/>
  <c r="BQ43" i="1"/>
  <c r="BO43" i="1"/>
  <c r="AW43" i="1"/>
  <c r="AX43" i="1" s="1"/>
  <c r="AT43" i="1"/>
  <c r="DY43" i="1"/>
  <c r="BK43" i="1"/>
  <c r="BL43" i="1" s="1"/>
  <c r="AT44" i="1"/>
  <c r="BQ44" i="1"/>
  <c r="DY44" i="1"/>
  <c r="BO44" i="1"/>
  <c r="AW44" i="1"/>
  <c r="AX44" i="1" s="1"/>
  <c r="BK44" i="1"/>
  <c r="BL44" i="1" s="1"/>
  <c r="BO40" i="1"/>
  <c r="AW40" i="1"/>
  <c r="AX40" i="1" s="1"/>
  <c r="AT40" i="1"/>
  <c r="BQ40" i="1"/>
  <c r="DY40" i="1"/>
  <c r="BK40" i="1"/>
  <c r="BL40" i="1" s="1"/>
  <c r="BQ41" i="1"/>
  <c r="BO41" i="1"/>
  <c r="AW41" i="1"/>
  <c r="AX41" i="1" s="1"/>
  <c r="AT41" i="1"/>
  <c r="DY41" i="1"/>
  <c r="BK41" i="1"/>
  <c r="BL41" i="1" s="1"/>
  <c r="BF37" i="1"/>
  <c r="BE37" i="1"/>
  <c r="BB37" i="1"/>
  <c r="BD37" i="1"/>
  <c r="BC37" i="1"/>
  <c r="AY37" i="1"/>
  <c r="AZ37" i="1" s="1"/>
  <c r="AT32" i="1"/>
  <c r="BQ32" i="1"/>
  <c r="BO32" i="1"/>
  <c r="AW32" i="1"/>
  <c r="AX32" i="1" s="1"/>
  <c r="DY32" i="1"/>
  <c r="BK32" i="1"/>
  <c r="BL32" i="1" s="1"/>
  <c r="BQ58" i="1"/>
  <c r="AW58" i="1"/>
  <c r="AX58" i="1" s="1"/>
  <c r="AY58" i="1" s="1"/>
  <c r="AZ58" i="1" s="1"/>
  <c r="BO58" i="1"/>
  <c r="AT58" i="1"/>
  <c r="Z6" i="11" s="1"/>
  <c r="DY58" i="1"/>
  <c r="BK58" i="1"/>
  <c r="BL58" i="1" s="1"/>
  <c r="BX59" i="1"/>
  <c r="BY59" i="1" s="1"/>
  <c r="BB59" i="1"/>
  <c r="BD59" i="1"/>
  <c r="BE59" i="1"/>
  <c r="BC59" i="1"/>
  <c r="BF59" i="1"/>
  <c r="AX59" i="1"/>
  <c r="AY59" i="1" s="1"/>
  <c r="AZ59" i="1" s="1"/>
  <c r="BX31" i="1"/>
  <c r="BY31" i="1" s="1"/>
  <c r="BE31" i="1"/>
  <c r="BD31" i="1"/>
  <c r="BC31" i="1"/>
  <c r="BF31" i="1"/>
  <c r="BB31" i="1"/>
  <c r="AX31" i="1"/>
  <c r="AY31" i="1" s="1"/>
  <c r="AZ31" i="1" s="1"/>
  <c r="X45" i="26"/>
  <c r="G72" i="26"/>
  <c r="G108" i="15"/>
  <c r="X81" i="15"/>
  <c r="H72" i="26"/>
  <c r="H108" i="15"/>
  <c r="BX18" i="1"/>
  <c r="BY18" i="1" s="1"/>
  <c r="BE18" i="1"/>
  <c r="BD18" i="1"/>
  <c r="BC18" i="1"/>
  <c r="BF18" i="1"/>
  <c r="BB18" i="1"/>
  <c r="BL4" i="30"/>
  <c r="Q111" i="2"/>
  <c r="BX35" i="1"/>
  <c r="BY35" i="1" s="1"/>
  <c r="AY35" i="1"/>
  <c r="AZ35" i="1" s="1"/>
  <c r="BE35" i="1"/>
  <c r="BD35" i="1"/>
  <c r="BC35" i="1"/>
  <c r="BF35" i="1"/>
  <c r="BB35" i="1"/>
  <c r="BO34" i="1"/>
  <c r="AT34" i="1"/>
  <c r="BQ34" i="1"/>
  <c r="AW34" i="1"/>
  <c r="AX34" i="1" s="1"/>
  <c r="AY34" i="1" s="1"/>
  <c r="AZ34" i="1" s="1"/>
  <c r="DY34" i="1"/>
  <c r="BK34" i="1"/>
  <c r="BL34" i="1" s="1"/>
  <c r="BO22" i="1"/>
  <c r="AT22" i="1"/>
  <c r="BQ22" i="1"/>
  <c r="AW22" i="1"/>
  <c r="AX22" i="1" s="1"/>
  <c r="AY22" i="1" s="1"/>
  <c r="AZ22" i="1" s="1"/>
  <c r="DY22" i="1"/>
  <c r="BK22" i="1"/>
  <c r="BL22" i="1" s="1"/>
  <c r="BQ23" i="1"/>
  <c r="AW23" i="1"/>
  <c r="AX23" i="1" s="1"/>
  <c r="AT23" i="1"/>
  <c r="BO23" i="1"/>
  <c r="DY23" i="1"/>
  <c r="BK23" i="1"/>
  <c r="BL23" i="1" s="1"/>
  <c r="BQ21" i="1"/>
  <c r="AW21" i="1"/>
  <c r="AX21" i="1" s="1"/>
  <c r="DY21" i="1"/>
  <c r="BO21" i="1"/>
  <c r="AT21" i="1"/>
  <c r="BK21" i="1"/>
  <c r="BL21" i="1" s="1"/>
  <c r="BQ20" i="1"/>
  <c r="AW20" i="1"/>
  <c r="AX20" i="1" s="1"/>
  <c r="AY20" i="1" s="1"/>
  <c r="AZ20" i="1" s="1"/>
  <c r="BO20" i="1"/>
  <c r="AT20" i="1"/>
  <c r="DY20" i="1"/>
  <c r="BK20" i="1"/>
  <c r="BL20" i="1" s="1"/>
  <c r="DY28" i="1"/>
  <c r="BQ28" i="1"/>
  <c r="AW28" i="1"/>
  <c r="AX28" i="1" s="1"/>
  <c r="AT28" i="1"/>
  <c r="BO28" i="1"/>
  <c r="BK28" i="1"/>
  <c r="BL28" i="1" s="1"/>
  <c r="BO30" i="1"/>
  <c r="AT30" i="1"/>
  <c r="BQ30" i="1"/>
  <c r="AW30" i="1"/>
  <c r="AX30" i="1" s="1"/>
  <c r="DY30" i="1"/>
  <c r="BK30" i="1"/>
  <c r="BL30" i="1" s="1"/>
  <c r="BO27" i="1"/>
  <c r="AT27" i="1"/>
  <c r="DY27" i="1"/>
  <c r="AW27" i="1"/>
  <c r="AX27" i="1" s="1"/>
  <c r="BQ27" i="1"/>
  <c r="BK27" i="1"/>
  <c r="BL27" i="1" s="1"/>
  <c r="BQ26" i="1"/>
  <c r="AW26" i="1"/>
  <c r="AX26" i="1" s="1"/>
  <c r="BO26" i="1"/>
  <c r="AT26" i="1"/>
  <c r="DY26" i="1"/>
  <c r="BK26" i="1"/>
  <c r="BL26" i="1" s="1"/>
  <c r="BQ17" i="1"/>
  <c r="AW17" i="1"/>
  <c r="BO17" i="1"/>
  <c r="DY17" i="1"/>
  <c r="AT17" i="1"/>
  <c r="BK17" i="1"/>
  <c r="BL17" i="1" s="1"/>
  <c r="DY60" i="1"/>
  <c r="BQ60" i="1"/>
  <c r="AW60" i="1"/>
  <c r="AX60" i="1" s="1"/>
  <c r="AY60" i="1" s="1"/>
  <c r="AZ60" i="1" s="1"/>
  <c r="BO60" i="1"/>
  <c r="AT60" i="1"/>
  <c r="BK60" i="1"/>
  <c r="BL60" i="1" s="1"/>
  <c r="BQ47" i="1"/>
  <c r="AW47" i="1"/>
  <c r="AX47" i="1" s="1"/>
  <c r="BO47" i="1"/>
  <c r="AT47" i="1"/>
  <c r="DY47" i="1"/>
  <c r="BK47" i="1"/>
  <c r="BL47" i="1" s="1"/>
  <c r="X107" i="15"/>
  <c r="X78" i="15"/>
  <c r="X55" i="26"/>
  <c r="BK49" i="1"/>
  <c r="BL49" i="1" s="1"/>
  <c r="X42" i="26"/>
  <c r="X83" i="15"/>
  <c r="X82" i="15"/>
  <c r="X56" i="26"/>
  <c r="X46" i="26"/>
  <c r="X95" i="15"/>
  <c r="X47" i="26"/>
  <c r="K31" i="25"/>
  <c r="I31" i="25" s="1"/>
  <c r="AT49" i="1"/>
  <c r="Z11" i="11" s="1"/>
  <c r="BQ49" i="1"/>
  <c r="BO49" i="1"/>
  <c r="DY49" i="1"/>
  <c r="X59" i="26"/>
  <c r="F72" i="26"/>
  <c r="K22" i="25"/>
  <c r="I22" i="25" s="1"/>
  <c r="K79" i="25"/>
  <c r="I79" i="25" s="1"/>
  <c r="F108" i="15"/>
  <c r="X89" i="15"/>
  <c r="X90" i="15"/>
  <c r="X92" i="15"/>
  <c r="X91" i="15"/>
  <c r="D16" i="15"/>
  <c r="K43" i="25"/>
  <c r="I43" i="25" s="1"/>
  <c r="BC49" i="1"/>
  <c r="BF49" i="1"/>
  <c r="BB49" i="1"/>
  <c r="BE49" i="1"/>
  <c r="BD49" i="1"/>
  <c r="K59" i="25"/>
  <c r="I59" i="25" s="1"/>
  <c r="K23" i="25"/>
  <c r="I23" i="25" s="1"/>
  <c r="D15" i="26"/>
  <c r="D15" i="15"/>
  <c r="K74" i="25"/>
  <c r="I74" i="25" s="1"/>
  <c r="K187" i="25"/>
  <c r="I187" i="25" s="1"/>
  <c r="K64" i="25"/>
  <c r="I64" i="25" s="1"/>
  <c r="K60" i="25"/>
  <c r="I60" i="25" s="1"/>
  <c r="K104" i="25"/>
  <c r="I104" i="25" s="1"/>
  <c r="K75" i="25"/>
  <c r="I75" i="25" s="1"/>
  <c r="K48" i="25"/>
  <c r="I48" i="25" s="1"/>
  <c r="K102" i="25"/>
  <c r="I102" i="25" s="1"/>
  <c r="K116" i="25"/>
  <c r="I116" i="25" s="1"/>
  <c r="K134" i="25"/>
  <c r="I134" i="25" s="1"/>
  <c r="K85" i="25"/>
  <c r="I85" i="25" s="1"/>
  <c r="K50" i="25"/>
  <c r="I50" i="25" s="1"/>
  <c r="K136" i="25"/>
  <c r="I136" i="25" s="1"/>
  <c r="K133" i="25"/>
  <c r="I133" i="25" s="1"/>
  <c r="K169" i="25"/>
  <c r="I169" i="25" s="1"/>
  <c r="K122" i="25"/>
  <c r="I122" i="25" s="1"/>
  <c r="K138" i="25"/>
  <c r="I138" i="25" s="1"/>
  <c r="K124" i="25"/>
  <c r="I124" i="25" s="1"/>
  <c r="K167" i="25"/>
  <c r="I167" i="25" s="1"/>
  <c r="K179" i="25"/>
  <c r="I179" i="25" s="1"/>
  <c r="K162" i="25"/>
  <c r="I162" i="25" s="1"/>
  <c r="K154" i="25"/>
  <c r="I154" i="25" s="1"/>
  <c r="K87" i="25"/>
  <c r="I87" i="25" s="1"/>
  <c r="K148" i="25"/>
  <c r="I148" i="25" s="1"/>
  <c r="K91" i="25"/>
  <c r="I91" i="25" s="1"/>
  <c r="K35" i="25"/>
  <c r="I35" i="25" s="1"/>
  <c r="K42" i="25"/>
  <c r="I42" i="25" s="1"/>
  <c r="K120" i="25"/>
  <c r="I120" i="25" s="1"/>
  <c r="K110" i="25"/>
  <c r="I110" i="25" s="1"/>
  <c r="K47" i="25"/>
  <c r="I47" i="25" s="1"/>
  <c r="K44" i="25"/>
  <c r="I44" i="25" s="1"/>
  <c r="K70" i="25"/>
  <c r="I70" i="25" s="1"/>
  <c r="K86" i="25"/>
  <c r="I86" i="25" s="1"/>
  <c r="K97" i="25"/>
  <c r="I97" i="25" s="1"/>
  <c r="K89" i="25"/>
  <c r="I89" i="25" s="1"/>
  <c r="K123" i="25"/>
  <c r="I123" i="25" s="1"/>
  <c r="K121" i="25"/>
  <c r="I121" i="25" s="1"/>
  <c r="K180" i="25"/>
  <c r="I180" i="25" s="1"/>
  <c r="K150" i="25"/>
  <c r="I150" i="25" s="1"/>
  <c r="K67" i="25"/>
  <c r="I67" i="25" s="1"/>
  <c r="K172" i="25"/>
  <c r="I172" i="25" s="1"/>
  <c r="K160" i="25"/>
  <c r="I160" i="25" s="1"/>
  <c r="K137" i="25"/>
  <c r="I137" i="25" s="1"/>
  <c r="K19" i="25"/>
  <c r="I19" i="25" s="1"/>
  <c r="K54" i="25"/>
  <c r="I54" i="25" s="1"/>
  <c r="K28" i="25"/>
  <c r="I28" i="25" s="1"/>
  <c r="K30" i="25"/>
  <c r="I30" i="25" s="1"/>
  <c r="K81" i="25"/>
  <c r="I81" i="25" s="1"/>
  <c r="K13" i="25"/>
  <c r="I13" i="25" s="1"/>
  <c r="K68" i="25"/>
  <c r="I68" i="25" s="1"/>
  <c r="K149" i="25"/>
  <c r="I149" i="25" s="1"/>
  <c r="K32" i="25"/>
  <c r="I32" i="25" s="1"/>
  <c r="K73" i="25"/>
  <c r="I73" i="25" s="1"/>
  <c r="K9" i="25"/>
  <c r="I9" i="25" s="1"/>
  <c r="K52" i="25"/>
  <c r="I52" i="25" s="1"/>
  <c r="K80" i="25"/>
  <c r="I80" i="25" s="1"/>
  <c r="K62" i="25"/>
  <c r="I62" i="25" s="1"/>
  <c r="K8" i="25"/>
  <c r="I8" i="25" s="1"/>
  <c r="K16" i="25"/>
  <c r="I16" i="25" s="1"/>
  <c r="K38" i="25"/>
  <c r="I38" i="25" s="1"/>
  <c r="K25" i="25"/>
  <c r="I25" i="25" s="1"/>
  <c r="K126" i="25"/>
  <c r="I126" i="25" s="1"/>
  <c r="K26" i="25"/>
  <c r="I26" i="25" s="1"/>
  <c r="K111" i="25"/>
  <c r="I111" i="25" s="1"/>
  <c r="K66" i="25"/>
  <c r="I66" i="25" s="1"/>
  <c r="K49" i="25"/>
  <c r="I49" i="25" s="1"/>
  <c r="K33" i="25"/>
  <c r="I33" i="25" s="1"/>
  <c r="K93" i="25"/>
  <c r="I93" i="25" s="1"/>
  <c r="K77" i="25"/>
  <c r="I77" i="25" s="1"/>
  <c r="K125" i="25"/>
  <c r="I125" i="25" s="1"/>
  <c r="K11" i="25"/>
  <c r="I11" i="25" s="1"/>
  <c r="K46" i="25"/>
  <c r="I46" i="25" s="1"/>
  <c r="K12" i="25"/>
  <c r="I12" i="25" s="1"/>
  <c r="K15" i="25"/>
  <c r="I15" i="25" s="1"/>
  <c r="K157" i="25"/>
  <c r="I157" i="25" s="1"/>
  <c r="K5" i="25"/>
  <c r="I5" i="25" s="1"/>
  <c r="K108" i="25"/>
  <c r="I108" i="25" s="1"/>
  <c r="K53" i="25"/>
  <c r="I53" i="25" s="1"/>
  <c r="K61" i="25"/>
  <c r="I61" i="25" s="1"/>
  <c r="K14" i="25"/>
  <c r="I14" i="25" s="1"/>
  <c r="K24" i="25"/>
  <c r="I24" i="25" s="1"/>
  <c r="K118" i="25"/>
  <c r="I118" i="25" s="1"/>
  <c r="K107" i="25"/>
  <c r="I107" i="25" s="1"/>
  <c r="K72" i="25"/>
  <c r="I72" i="25" s="1"/>
  <c r="K96" i="25"/>
  <c r="I96" i="25" s="1"/>
  <c r="K58" i="25"/>
  <c r="I58" i="25" s="1"/>
  <c r="K109" i="25"/>
  <c r="I109" i="25" s="1"/>
  <c r="K84" i="25"/>
  <c r="I84" i="25" s="1"/>
  <c r="K51" i="25"/>
  <c r="I51" i="25" s="1"/>
  <c r="K144" i="25"/>
  <c r="I144" i="25" s="1"/>
  <c r="K95" i="25"/>
  <c r="I95" i="25" s="1"/>
  <c r="K6" i="25"/>
  <c r="I6" i="25" s="1"/>
  <c r="K63" i="25"/>
  <c r="I63" i="25" s="1"/>
  <c r="K27" i="25"/>
  <c r="I27" i="25" s="1"/>
  <c r="I176" i="25"/>
  <c r="H176" i="25"/>
  <c r="H141" i="25"/>
  <c r="I141" i="25"/>
  <c r="H158" i="25"/>
  <c r="I158" i="25"/>
  <c r="I174" i="25"/>
  <c r="H174" i="25"/>
  <c r="H182" i="25"/>
  <c r="I182" i="25"/>
  <c r="I155" i="25"/>
  <c r="H155" i="25"/>
  <c r="H171" i="25"/>
  <c r="I171" i="25"/>
  <c r="H159" i="25"/>
  <c r="I159" i="25"/>
  <c r="H173" i="25"/>
  <c r="I173" i="25"/>
  <c r="I168" i="25"/>
  <c r="H168" i="25"/>
  <c r="H178" i="25"/>
  <c r="I178" i="25"/>
  <c r="H143" i="25"/>
  <c r="I143" i="25"/>
  <c r="I163" i="25"/>
  <c r="H163" i="25"/>
  <c r="I181" i="25"/>
  <c r="H181" i="25"/>
  <c r="I147" i="25"/>
  <c r="H147" i="25"/>
  <c r="H177" i="25"/>
  <c r="I177" i="25"/>
  <c r="H170" i="25"/>
  <c r="I170" i="25"/>
  <c r="H119" i="25"/>
  <c r="I119" i="25"/>
  <c r="H145" i="25"/>
  <c r="I145" i="25"/>
  <c r="I98" i="25"/>
  <c r="H98" i="25"/>
  <c r="I92" i="25"/>
  <c r="H92" i="25"/>
  <c r="I161" i="25"/>
  <c r="H161" i="25"/>
  <c r="I130" i="25"/>
  <c r="H130" i="25"/>
  <c r="I135" i="25"/>
  <c r="H135" i="25"/>
  <c r="H156" i="25"/>
  <c r="I156" i="25"/>
  <c r="I164" i="25"/>
  <c r="H164" i="25"/>
  <c r="H142" i="25"/>
  <c r="I142" i="25"/>
  <c r="H31" i="25"/>
  <c r="H136" i="25"/>
  <c r="H97" i="25"/>
  <c r="H133" i="25"/>
  <c r="H89" i="25"/>
  <c r="H169" i="25"/>
  <c r="H123" i="25"/>
  <c r="H122" i="25"/>
  <c r="H121" i="25"/>
  <c r="I114" i="25"/>
  <c r="H114" i="25"/>
  <c r="I140" i="25"/>
  <c r="H140" i="25"/>
  <c r="H138" i="25"/>
  <c r="I129" i="25"/>
  <c r="H129" i="25"/>
  <c r="H124" i="25"/>
  <c r="I131" i="25"/>
  <c r="H131" i="25"/>
  <c r="H167" i="25"/>
  <c r="H180" i="25"/>
  <c r="H101" i="25"/>
  <c r="I101" i="25"/>
  <c r="H150" i="25"/>
  <c r="H179" i="25"/>
  <c r="H132" i="25"/>
  <c r="I132" i="25"/>
  <c r="H162" i="25"/>
  <c r="H67" i="25"/>
  <c r="H154" i="25"/>
  <c r="H151" i="25"/>
  <c r="I151" i="25"/>
  <c r="H165" i="25"/>
  <c r="I165" i="25"/>
  <c r="H172" i="25"/>
  <c r="H166" i="25"/>
  <c r="I166" i="25"/>
  <c r="H175" i="25"/>
  <c r="I175" i="25"/>
  <c r="H87" i="25"/>
  <c r="I128" i="25"/>
  <c r="H128" i="25"/>
  <c r="I183" i="25"/>
  <c r="H183" i="25"/>
  <c r="H184" i="25"/>
  <c r="I184" i="25"/>
  <c r="I185" i="25"/>
  <c r="H185" i="25"/>
  <c r="I88" i="25"/>
  <c r="H88" i="25"/>
  <c r="I186" i="25"/>
  <c r="H186" i="25"/>
  <c r="H148" i="25"/>
  <c r="H160" i="25"/>
  <c r="H91" i="25"/>
  <c r="H137" i="25"/>
  <c r="I146" i="25"/>
  <c r="H146" i="25"/>
  <c r="H25" i="25"/>
  <c r="H26" i="25"/>
  <c r="H66" i="25"/>
  <c r="H33" i="25"/>
  <c r="H77" i="25"/>
  <c r="H11" i="25"/>
  <c r="H12" i="25"/>
  <c r="H16" i="25"/>
  <c r="H62" i="25"/>
  <c r="H52" i="25"/>
  <c r="H73" i="25"/>
  <c r="H23" i="25"/>
  <c r="I90" i="25"/>
  <c r="H90" i="25"/>
  <c r="H149" i="25"/>
  <c r="H30" i="25"/>
  <c r="H13" i="25"/>
  <c r="H187" i="25"/>
  <c r="H54" i="25"/>
  <c r="K39" i="25"/>
  <c r="I39" i="25" s="1"/>
  <c r="K71" i="25"/>
  <c r="I71" i="25" s="1"/>
  <c r="D17" i="26"/>
  <c r="D17" i="15"/>
  <c r="D126" i="15"/>
  <c r="D234" i="15"/>
  <c r="D162" i="15"/>
  <c r="D270" i="15"/>
  <c r="D198" i="15"/>
  <c r="BX48" i="1"/>
  <c r="AY48" i="1"/>
  <c r="AZ48" i="1" s="1"/>
  <c r="BF48" i="1"/>
  <c r="BB48" i="1"/>
  <c r="BE48" i="1"/>
  <c r="BD48" i="1"/>
  <c r="BC48" i="1"/>
  <c r="K57" i="25"/>
  <c r="I57" i="25" s="1"/>
  <c r="F12" i="26"/>
  <c r="F12" i="15"/>
  <c r="K113" i="25"/>
  <c r="I113" i="25" s="1"/>
  <c r="K40" i="25"/>
  <c r="I40" i="25" s="1"/>
  <c r="K112" i="25"/>
  <c r="I112" i="25" s="1"/>
  <c r="K117" i="25"/>
  <c r="I117" i="25" s="1"/>
  <c r="E9" i="26"/>
  <c r="E9" i="15"/>
  <c r="X58" i="26"/>
  <c r="X60" i="26"/>
  <c r="K99" i="25"/>
  <c r="I99" i="25" s="1"/>
  <c r="K34" i="25"/>
  <c r="I34" i="25" s="1"/>
  <c r="K17" i="25"/>
  <c r="I17" i="25" s="1"/>
  <c r="K78" i="25"/>
  <c r="I78" i="25" s="1"/>
  <c r="K29" i="25"/>
  <c r="I29" i="25" s="1"/>
  <c r="X96" i="15"/>
  <c r="X21" i="15"/>
  <c r="X44" i="26"/>
  <c r="E72" i="26"/>
  <c r="E108" i="15"/>
  <c r="X94" i="15"/>
  <c r="K100" i="25"/>
  <c r="I100" i="25" s="1"/>
  <c r="K45" i="25"/>
  <c r="I45" i="25" s="1"/>
  <c r="K106" i="25"/>
  <c r="K115" i="25"/>
  <c r="I115" i="25" s="1"/>
  <c r="K55" i="25"/>
  <c r="I55" i="25" s="1"/>
  <c r="H71" i="25"/>
  <c r="H53" i="25"/>
  <c r="H118" i="25"/>
  <c r="H58" i="25"/>
  <c r="H103" i="25"/>
  <c r="H18" i="25"/>
  <c r="H6" i="25"/>
  <c r="K21" i="25"/>
  <c r="I21" i="25" s="1"/>
  <c r="K103" i="25"/>
  <c r="I103" i="25" s="1"/>
  <c r="K83" i="25"/>
  <c r="I83" i="25" s="1"/>
  <c r="H15" i="25"/>
  <c r="H21" i="25"/>
  <c r="H55" i="25"/>
  <c r="H14" i="25"/>
  <c r="H17" i="25"/>
  <c r="H72" i="25"/>
  <c r="H84" i="25"/>
  <c r="H104" i="25"/>
  <c r="H144" i="25"/>
  <c r="K18" i="25"/>
  <c r="I18" i="25" s="1"/>
  <c r="H5" i="25"/>
  <c r="H22" i="25"/>
  <c r="E129" i="15"/>
  <c r="X129" i="15" s="1"/>
  <c r="E201" i="15"/>
  <c r="X201" i="15" s="1"/>
  <c r="E273" i="15"/>
  <c r="X273" i="15" s="1"/>
  <c r="E237" i="15"/>
  <c r="E165" i="15"/>
  <c r="X165" i="15" s="1"/>
  <c r="D72" i="26"/>
  <c r="D80" i="15"/>
  <c r="X80" i="15" s="1"/>
  <c r="J153" i="25"/>
  <c r="H153" i="25" s="1"/>
  <c r="U39" i="26"/>
  <c r="X43" i="26"/>
  <c r="J106" i="2"/>
  <c r="J107" i="2"/>
  <c r="H56" i="25"/>
  <c r="F76" i="2"/>
  <c r="F77" i="2"/>
  <c r="E132" i="2" s="1"/>
  <c r="E134" i="2" s="1"/>
  <c r="F75" i="2"/>
  <c r="F74" i="2"/>
  <c r="K127" i="25"/>
  <c r="DY55" i="1"/>
  <c r="BQ55" i="1"/>
  <c r="BK55" i="1"/>
  <c r="BL55" i="1" s="1"/>
  <c r="AT55" i="1"/>
  <c r="BO55" i="1"/>
  <c r="AW55" i="1"/>
  <c r="AX55" i="1" s="1"/>
  <c r="AY55" i="1" s="1"/>
  <c r="AZ55" i="1" s="1"/>
  <c r="K82" i="25"/>
  <c r="I82" i="25" s="1"/>
  <c r="H20" i="25"/>
  <c r="BK51" i="1"/>
  <c r="BL51" i="1" s="1"/>
  <c r="DY51" i="1"/>
  <c r="AT51" i="1"/>
  <c r="BO51" i="1"/>
  <c r="BQ51" i="1"/>
  <c r="AW51" i="1"/>
  <c r="K69" i="25"/>
  <c r="M88" i="2"/>
  <c r="H36" i="25"/>
  <c r="AU273" i="1"/>
  <c r="K10" i="25"/>
  <c r="I10" i="25" s="1"/>
  <c r="K153" i="25"/>
  <c r="J92" i="2"/>
  <c r="H7" i="25"/>
  <c r="H10" i="25"/>
  <c r="DY56" i="1"/>
  <c r="BQ56" i="1"/>
  <c r="BO56" i="1"/>
  <c r="AT56" i="1"/>
  <c r="BK56" i="1"/>
  <c r="BL56" i="1" s="1"/>
  <c r="AW56" i="1"/>
  <c r="AX56" i="1" s="1"/>
  <c r="AY56" i="1" s="1"/>
  <c r="AZ56" i="1" s="1"/>
  <c r="K152" i="25"/>
  <c r="H152" i="25"/>
  <c r="K56" i="25"/>
  <c r="I56" i="25" s="1"/>
  <c r="H127" i="25"/>
  <c r="H37" i="25"/>
  <c r="H41" i="25"/>
  <c r="AL273" i="1"/>
  <c r="H69" i="25"/>
  <c r="BO263" i="1"/>
  <c r="BQ263" i="1"/>
  <c r="K7" i="25"/>
  <c r="I7" i="25" s="1"/>
  <c r="AW263" i="1"/>
  <c r="AX263" i="1" s="1"/>
  <c r="AY263" i="1" s="1"/>
  <c r="AZ263" i="1" s="1"/>
  <c r="AT263" i="1"/>
  <c r="BK263" i="1"/>
  <c r="BL263" i="1" s="1"/>
  <c r="K65" i="25"/>
  <c r="I65" i="25" s="1"/>
  <c r="H139" i="25"/>
  <c r="DY52" i="1"/>
  <c r="AT52" i="1"/>
  <c r="BQ52" i="1"/>
  <c r="BO52" i="1"/>
  <c r="BK52" i="1"/>
  <c r="BL52" i="1" s="1"/>
  <c r="K105" i="25"/>
  <c r="I105" i="25" s="1"/>
  <c r="AW52" i="1"/>
  <c r="AX52" i="1" s="1"/>
  <c r="AY52" i="1" s="1"/>
  <c r="AZ52" i="1" s="1"/>
  <c r="BO65" i="1"/>
  <c r="BQ65" i="1"/>
  <c r="AT65" i="1"/>
  <c r="BK65" i="1"/>
  <c r="BL65" i="1" s="1"/>
  <c r="AW65" i="1"/>
  <c r="K76" i="25"/>
  <c r="J95" i="2"/>
  <c r="J102" i="2"/>
  <c r="I123" i="2"/>
  <c r="J85" i="2" s="1"/>
  <c r="J100" i="2"/>
  <c r="J97" i="2"/>
  <c r="J89" i="2"/>
  <c r="J99" i="2"/>
  <c r="J101" i="2"/>
  <c r="J96" i="2"/>
  <c r="J88" i="2"/>
  <c r="J94" i="2"/>
  <c r="H65" i="25"/>
  <c r="K36" i="25"/>
  <c r="I36" i="25" s="1"/>
  <c r="H105" i="25"/>
  <c r="J106" i="25"/>
  <c r="D79" i="15"/>
  <c r="J98" i="2"/>
  <c r="DY57" i="1"/>
  <c r="BQ57" i="1"/>
  <c r="BK57" i="1"/>
  <c r="BL57" i="1" s="1"/>
  <c r="AT57" i="1"/>
  <c r="BO57" i="1"/>
  <c r="AW57" i="1"/>
  <c r="AX57" i="1" s="1"/>
  <c r="AY57" i="1" s="1"/>
  <c r="AZ57" i="1" s="1"/>
  <c r="K139" i="25"/>
  <c r="H76" i="25"/>
  <c r="J86" i="2"/>
  <c r="J90" i="2"/>
  <c r="J104" i="2"/>
  <c r="H82" i="25"/>
  <c r="BQ73" i="1"/>
  <c r="AT73" i="1"/>
  <c r="BO73" i="1"/>
  <c r="BK73" i="1"/>
  <c r="BL73" i="1" s="1"/>
  <c r="AW73" i="1"/>
  <c r="AX73" i="1" s="1"/>
  <c r="AY73" i="1" s="1"/>
  <c r="AZ73" i="1" s="1"/>
  <c r="K37" i="25"/>
  <c r="K20" i="25"/>
  <c r="I20" i="25" s="1"/>
  <c r="BK61" i="1"/>
  <c r="BL61" i="1" s="1"/>
  <c r="BO61" i="1"/>
  <c r="AT61" i="1"/>
  <c r="Z13" i="11" s="1"/>
  <c r="BQ61" i="1"/>
  <c r="K41" i="25"/>
  <c r="AW61" i="1"/>
  <c r="DY61" i="1"/>
  <c r="J93" i="2"/>
  <c r="J87" i="2"/>
  <c r="F123" i="2"/>
  <c r="G117" i="2" s="1"/>
  <c r="H32" i="13"/>
  <c r="AS3" i="13" s="1"/>
  <c r="F119" i="2"/>
  <c r="BG4" i="30" s="1"/>
  <c r="F121" i="2"/>
  <c r="BI4" i="30" s="1"/>
  <c r="F120" i="2"/>
  <c r="E136" i="2" s="1"/>
  <c r="F118" i="2"/>
  <c r="BF4" i="30" s="1"/>
  <c r="BT24" i="1" l="1"/>
  <c r="BS24" i="1"/>
  <c r="K345" i="15"/>
  <c r="D345" i="15" s="1"/>
  <c r="Q345" i="15" s="1"/>
  <c r="K355" i="15"/>
  <c r="D355" i="15" s="1"/>
  <c r="Q355" i="15" s="1"/>
  <c r="F45" i="15"/>
  <c r="BT54" i="1"/>
  <c r="BS54" i="1"/>
  <c r="BX43" i="1"/>
  <c r="BY43" i="1" s="1"/>
  <c r="BX41" i="1"/>
  <c r="BY41" i="1" s="1"/>
  <c r="BX40" i="1"/>
  <c r="BY40" i="1" s="1"/>
  <c r="BX44" i="1"/>
  <c r="BY44" i="1" s="1"/>
  <c r="AY41" i="1"/>
  <c r="AZ41" i="1" s="1"/>
  <c r="AY44" i="1"/>
  <c r="AZ44" i="1" s="1"/>
  <c r="BC40" i="1"/>
  <c r="BF40" i="1"/>
  <c r="BE40" i="1"/>
  <c r="BD40" i="1"/>
  <c r="BB40" i="1"/>
  <c r="BE41" i="1"/>
  <c r="BD41" i="1"/>
  <c r="BC41" i="1"/>
  <c r="BB41" i="1"/>
  <c r="BF41" i="1"/>
  <c r="BC43" i="1"/>
  <c r="BB43" i="1"/>
  <c r="BE43" i="1"/>
  <c r="BF43" i="1"/>
  <c r="BD43" i="1"/>
  <c r="AY40" i="1"/>
  <c r="AZ40" i="1" s="1"/>
  <c r="AY43" i="1"/>
  <c r="AZ43" i="1" s="1"/>
  <c r="BF44" i="1"/>
  <c r="BE44" i="1"/>
  <c r="BD44" i="1"/>
  <c r="BC44" i="1"/>
  <c r="BB44" i="1"/>
  <c r="BT37" i="1"/>
  <c r="BS37" i="1"/>
  <c r="BX32" i="1"/>
  <c r="BY32" i="1" s="1"/>
  <c r="BF32" i="1"/>
  <c r="BE32" i="1"/>
  <c r="BD32" i="1"/>
  <c r="BC32" i="1"/>
  <c r="BB32" i="1"/>
  <c r="AY32" i="1"/>
  <c r="AZ32" i="1" s="1"/>
  <c r="BX58" i="1"/>
  <c r="BY58" i="1" s="1"/>
  <c r="BC58" i="1"/>
  <c r="BF58" i="1"/>
  <c r="BB58" i="1"/>
  <c r="BE58" i="1"/>
  <c r="BD58" i="1"/>
  <c r="BS59" i="1"/>
  <c r="BT59" i="1"/>
  <c r="BT31" i="1"/>
  <c r="BS31" i="1"/>
  <c r="H6" i="15"/>
  <c r="H6" i="26"/>
  <c r="G7" i="15"/>
  <c r="G7" i="26"/>
  <c r="G8" i="26"/>
  <c r="G35" i="15"/>
  <c r="G8" i="15"/>
  <c r="I6" i="15"/>
  <c r="I6" i="26"/>
  <c r="I36" i="26" s="1"/>
  <c r="G6" i="26"/>
  <c r="F6" i="15"/>
  <c r="F8" i="15"/>
  <c r="G6" i="15"/>
  <c r="H8" i="15"/>
  <c r="F6" i="26"/>
  <c r="H8" i="26"/>
  <c r="F8" i="26"/>
  <c r="H35" i="15"/>
  <c r="H7" i="26"/>
  <c r="H7" i="15"/>
  <c r="H9" i="15"/>
  <c r="H9" i="26"/>
  <c r="D9" i="15"/>
  <c r="BT18" i="1"/>
  <c r="BS18" i="1"/>
  <c r="BX28" i="1"/>
  <c r="BY28" i="1" s="1"/>
  <c r="BX60" i="1"/>
  <c r="BY60" i="1" s="1"/>
  <c r="BH4" i="30"/>
  <c r="BT35" i="1"/>
  <c r="BS35" i="1"/>
  <c r="BX34" i="1"/>
  <c r="BY34" i="1" s="1"/>
  <c r="BD34" i="1"/>
  <c r="BC34" i="1"/>
  <c r="BF34" i="1"/>
  <c r="BB34" i="1"/>
  <c r="BE34" i="1"/>
  <c r="N87" i="2"/>
  <c r="BK4" i="30"/>
  <c r="BX27" i="1"/>
  <c r="BY27" i="1" s="1"/>
  <c r="BX26" i="1"/>
  <c r="BY26" i="1" s="1"/>
  <c r="BX21" i="1"/>
  <c r="BY21" i="1" s="1"/>
  <c r="BX22" i="1"/>
  <c r="BY22" i="1" s="1"/>
  <c r="BX23" i="1"/>
  <c r="BY23" i="1" s="1"/>
  <c r="BE22" i="1"/>
  <c r="BB22" i="1"/>
  <c r="BD22" i="1"/>
  <c r="BF22" i="1"/>
  <c r="BC22" i="1"/>
  <c r="BX30" i="1"/>
  <c r="BY30" i="1" s="1"/>
  <c r="BX20" i="1"/>
  <c r="BY20" i="1" s="1"/>
  <c r="BX17" i="1"/>
  <c r="BY17" i="1" s="1"/>
  <c r="AY30" i="1"/>
  <c r="AZ30" i="1" s="1"/>
  <c r="BF26" i="1"/>
  <c r="BB26" i="1"/>
  <c r="BE26" i="1"/>
  <c r="BD26" i="1"/>
  <c r="BC26" i="1"/>
  <c r="AY27" i="1"/>
  <c r="AZ27" i="1" s="1"/>
  <c r="BD30" i="1"/>
  <c r="BC30" i="1"/>
  <c r="BF30" i="1"/>
  <c r="BE30" i="1"/>
  <c r="BB30" i="1"/>
  <c r="AY28" i="1"/>
  <c r="AZ28" i="1" s="1"/>
  <c r="AY21" i="1"/>
  <c r="AZ21" i="1" s="1"/>
  <c r="BE17" i="1"/>
  <c r="BF17" i="1"/>
  <c r="BD17" i="1"/>
  <c r="BC17" i="1"/>
  <c r="BB17" i="1"/>
  <c r="BC28" i="1"/>
  <c r="BF28" i="1"/>
  <c r="BB28" i="1"/>
  <c r="BE28" i="1"/>
  <c r="BD28" i="1"/>
  <c r="AY23" i="1"/>
  <c r="AZ23" i="1" s="1"/>
  <c r="BE27" i="1"/>
  <c r="BD27" i="1"/>
  <c r="BC27" i="1"/>
  <c r="BF27" i="1"/>
  <c r="BB27" i="1"/>
  <c r="BF21" i="1"/>
  <c r="BB21" i="1"/>
  <c r="BE21" i="1"/>
  <c r="BD21" i="1"/>
  <c r="BC21" i="1"/>
  <c r="BC23" i="1"/>
  <c r="BF23" i="1"/>
  <c r="BB23" i="1"/>
  <c r="BE23" i="1"/>
  <c r="BD23" i="1"/>
  <c r="AX17" i="1"/>
  <c r="AY17" i="1" s="1"/>
  <c r="AZ17" i="1" s="1"/>
  <c r="AY26" i="1"/>
  <c r="AZ26" i="1" s="1"/>
  <c r="BC20" i="1"/>
  <c r="BE20" i="1"/>
  <c r="BD20" i="1"/>
  <c r="BB20" i="1"/>
  <c r="BF20" i="1"/>
  <c r="BC60" i="1"/>
  <c r="BF60" i="1"/>
  <c r="BB60" i="1"/>
  <c r="BE60" i="1"/>
  <c r="BD60" i="1"/>
  <c r="BX47" i="1"/>
  <c r="BY47" i="1" s="1"/>
  <c r="Z3" i="11"/>
  <c r="AY47" i="1"/>
  <c r="AZ47" i="1" s="1"/>
  <c r="BC47" i="1"/>
  <c r="BF47" i="1"/>
  <c r="BB47" i="1"/>
  <c r="BE47" i="1"/>
  <c r="BD47" i="1"/>
  <c r="BX49" i="1"/>
  <c r="BY49" i="1" s="1"/>
  <c r="F7" i="15"/>
  <c r="F35" i="15"/>
  <c r="F7" i="26"/>
  <c r="E6" i="26"/>
  <c r="E6" i="15"/>
  <c r="D232" i="15"/>
  <c r="E7" i="26"/>
  <c r="E7" i="15"/>
  <c r="D160" i="15"/>
  <c r="D268" i="15"/>
  <c r="D124" i="15"/>
  <c r="D196" i="15"/>
  <c r="D19" i="26"/>
  <c r="D19" i="15"/>
  <c r="F22" i="26"/>
  <c r="F23" i="26"/>
  <c r="F23" i="15"/>
  <c r="F22" i="15"/>
  <c r="D54" i="15"/>
  <c r="E11" i="26"/>
  <c r="E11" i="15"/>
  <c r="E10" i="15"/>
  <c r="E10" i="26"/>
  <c r="F20" i="26"/>
  <c r="F20" i="15"/>
  <c r="BT49" i="1"/>
  <c r="BS49" i="1"/>
  <c r="E25" i="26"/>
  <c r="X25" i="26" s="1"/>
  <c r="E25" i="15"/>
  <c r="X25" i="15" s="1"/>
  <c r="D123" i="15"/>
  <c r="D231" i="15"/>
  <c r="D159" i="15"/>
  <c r="D195" i="15"/>
  <c r="D267" i="15"/>
  <c r="D12" i="15"/>
  <c r="D12" i="26"/>
  <c r="X12" i="26" s="1"/>
  <c r="E262" i="15"/>
  <c r="D125" i="15"/>
  <c r="D161" i="15"/>
  <c r="D197" i="15"/>
  <c r="D269" i="15"/>
  <c r="BY48" i="1"/>
  <c r="BT48" i="1"/>
  <c r="BS48" i="1"/>
  <c r="F120" i="15"/>
  <c r="F228" i="15"/>
  <c r="F156" i="15"/>
  <c r="F192" i="15"/>
  <c r="F264" i="15"/>
  <c r="E261" i="15"/>
  <c r="E117" i="15"/>
  <c r="E225" i="15"/>
  <c r="E153" i="15"/>
  <c r="E189" i="15"/>
  <c r="D28" i="15"/>
  <c r="D29" i="15"/>
  <c r="D28" i="26"/>
  <c r="X28" i="26" s="1"/>
  <c r="D29" i="26"/>
  <c r="X29" i="26" s="1"/>
  <c r="E27" i="26"/>
  <c r="X27" i="26" s="1"/>
  <c r="E241" i="15"/>
  <c r="E26" i="15"/>
  <c r="E133" i="15"/>
  <c r="X133" i="15" s="1"/>
  <c r="E26" i="26"/>
  <c r="X26" i="26" s="1"/>
  <c r="E277" i="15"/>
  <c r="X277" i="15" s="1"/>
  <c r="E27" i="15"/>
  <c r="X27" i="15" s="1"/>
  <c r="E169" i="15"/>
  <c r="X169" i="15" s="1"/>
  <c r="E205" i="15"/>
  <c r="X205" i="15" s="1"/>
  <c r="D13" i="26"/>
  <c r="X13" i="26" s="1"/>
  <c r="D13" i="15"/>
  <c r="D6" i="26"/>
  <c r="D6" i="15"/>
  <c r="I340" i="15" s="1"/>
  <c r="E15" i="15"/>
  <c r="E15" i="26"/>
  <c r="X15" i="26" s="1"/>
  <c r="X72" i="26"/>
  <c r="E20" i="26"/>
  <c r="E19" i="26"/>
  <c r="E16" i="15"/>
  <c r="E17" i="15"/>
  <c r="E18" i="15"/>
  <c r="E24" i="26"/>
  <c r="E17" i="26"/>
  <c r="X17" i="26" s="1"/>
  <c r="E18" i="26"/>
  <c r="X18" i="26" s="1"/>
  <c r="E24" i="15"/>
  <c r="E20" i="15"/>
  <c r="E19" i="15"/>
  <c r="E16" i="26"/>
  <c r="X16" i="26" s="1"/>
  <c r="E57" i="15"/>
  <c r="X57" i="15" s="1"/>
  <c r="X237" i="15"/>
  <c r="D11" i="15"/>
  <c r="D14" i="15"/>
  <c r="D14" i="26"/>
  <c r="X14" i="26" s="1"/>
  <c r="D10" i="26"/>
  <c r="D11" i="26"/>
  <c r="D9" i="26"/>
  <c r="D10" i="15"/>
  <c r="D24" i="15"/>
  <c r="D23" i="15"/>
  <c r="D24" i="26"/>
  <c r="D23" i="26"/>
  <c r="E22" i="15"/>
  <c r="E22" i="26"/>
  <c r="D22" i="15"/>
  <c r="D22" i="26"/>
  <c r="E8" i="15"/>
  <c r="E8" i="26"/>
  <c r="I139" i="25"/>
  <c r="Z10" i="11"/>
  <c r="Z5" i="11"/>
  <c r="Z8" i="11"/>
  <c r="Z4" i="11"/>
  <c r="Z12" i="11"/>
  <c r="Z9" i="11"/>
  <c r="Z7" i="11"/>
  <c r="J3" i="25"/>
  <c r="D8" i="26"/>
  <c r="D8" i="15"/>
  <c r="DY273" i="1"/>
  <c r="D7" i="26"/>
  <c r="D35" i="15"/>
  <c r="D7" i="15"/>
  <c r="BX263" i="1"/>
  <c r="BY263" i="1" s="1"/>
  <c r="J103" i="2"/>
  <c r="BX73" i="1"/>
  <c r="BY73" i="1" s="1"/>
  <c r="BX65" i="1"/>
  <c r="BY65" i="1" s="1"/>
  <c r="BX56" i="1"/>
  <c r="BY56" i="1" s="1"/>
  <c r="BX61" i="1"/>
  <c r="BY61" i="1" s="1"/>
  <c r="BX57" i="1"/>
  <c r="BY57" i="1" s="1"/>
  <c r="BB263" i="1"/>
  <c r="BC263" i="1"/>
  <c r="BE263" i="1"/>
  <c r="BF263" i="1"/>
  <c r="BD263" i="1"/>
  <c r="BQ273" i="1"/>
  <c r="J108" i="2"/>
  <c r="G118" i="2"/>
  <c r="H33" i="13"/>
  <c r="G120" i="2"/>
  <c r="H35" i="13"/>
  <c r="BB61" i="1"/>
  <c r="BD61" i="1"/>
  <c r="BE61" i="1"/>
  <c r="BF61" i="1"/>
  <c r="BC61" i="1"/>
  <c r="M95" i="2"/>
  <c r="F71" i="2"/>
  <c r="N88" i="2"/>
  <c r="K3" i="25"/>
  <c r="L8" i="25" s="1"/>
  <c r="AW273" i="1"/>
  <c r="G121" i="2"/>
  <c r="H36" i="13"/>
  <c r="X79" i="15"/>
  <c r="X108" i="15" s="1"/>
  <c r="D108" i="15"/>
  <c r="U75" i="15"/>
  <c r="BF65" i="1"/>
  <c r="BD65" i="1"/>
  <c r="BC65" i="1"/>
  <c r="BB65" i="1"/>
  <c r="BE65" i="1"/>
  <c r="BF52" i="1"/>
  <c r="BD52" i="1"/>
  <c r="G259" i="15" s="1"/>
  <c r="BC52" i="1"/>
  <c r="BB52" i="1"/>
  <c r="BE52" i="1"/>
  <c r="BX52" i="1"/>
  <c r="G119" i="2"/>
  <c r="H34" i="13"/>
  <c r="G108" i="2"/>
  <c r="G116" i="2"/>
  <c r="G122" i="2"/>
  <c r="G103" i="2"/>
  <c r="G115" i="2"/>
  <c r="G114" i="2"/>
  <c r="G85" i="2"/>
  <c r="F124" i="2"/>
  <c r="AX61" i="1"/>
  <c r="AY61" i="1" s="1"/>
  <c r="AZ61" i="1" s="1"/>
  <c r="BC73" i="1"/>
  <c r="BE73" i="1"/>
  <c r="BD73" i="1"/>
  <c r="BB73" i="1"/>
  <c r="BF73" i="1"/>
  <c r="I76" i="25"/>
  <c r="BD57" i="1"/>
  <c r="BF57" i="1"/>
  <c r="BC57" i="1"/>
  <c r="BB57" i="1"/>
  <c r="BE57" i="1"/>
  <c r="H106" i="25"/>
  <c r="I106" i="25"/>
  <c r="AX65" i="1"/>
  <c r="AY65" i="1" s="1"/>
  <c r="AZ65" i="1" s="1"/>
  <c r="I69" i="25"/>
  <c r="I41" i="25"/>
  <c r="I127" i="25"/>
  <c r="I152" i="25"/>
  <c r="BL273" i="1"/>
  <c r="BK273" i="1"/>
  <c r="M107" i="2" s="1"/>
  <c r="BF51" i="1"/>
  <c r="BC51" i="1"/>
  <c r="BE51" i="1"/>
  <c r="BD51" i="1"/>
  <c r="BB51" i="1"/>
  <c r="BX51" i="1"/>
  <c r="BE55" i="1"/>
  <c r="BB55" i="1"/>
  <c r="BF55" i="1"/>
  <c r="BC55" i="1"/>
  <c r="BD55" i="1"/>
  <c r="M131" i="2"/>
  <c r="M132" i="2" s="1"/>
  <c r="AK38" i="4"/>
  <c r="I153" i="25"/>
  <c r="J112" i="2"/>
  <c r="J110" i="2"/>
  <c r="J109" i="2"/>
  <c r="J111" i="2"/>
  <c r="I124" i="2"/>
  <c r="J114" i="2"/>
  <c r="J116" i="2"/>
  <c r="J122" i="2"/>
  <c r="J113" i="2"/>
  <c r="J115" i="2"/>
  <c r="I37" i="25"/>
  <c r="BF56" i="1"/>
  <c r="BD56" i="1"/>
  <c r="BE56" i="1"/>
  <c r="BC56" i="1"/>
  <c r="BB56" i="1"/>
  <c r="N86" i="2"/>
  <c r="M93" i="2"/>
  <c r="BM4" i="30" s="1"/>
  <c r="AX51" i="1"/>
  <c r="AY51" i="1" s="1"/>
  <c r="AZ51" i="1" s="1"/>
  <c r="BX55" i="1"/>
  <c r="BU24" i="1" l="1"/>
  <c r="K340" i="15"/>
  <c r="J340" i="15"/>
  <c r="K341" i="15"/>
  <c r="I341" i="15"/>
  <c r="J341" i="15"/>
  <c r="K344" i="15"/>
  <c r="D344" i="15" s="1"/>
  <c r="Q344" i="15" s="1"/>
  <c r="BU54" i="1"/>
  <c r="BT40" i="1"/>
  <c r="BS40" i="1"/>
  <c r="BT43" i="1"/>
  <c r="BS43" i="1"/>
  <c r="BT44" i="1"/>
  <c r="BS44" i="1"/>
  <c r="BT41" i="1"/>
  <c r="BS41" i="1"/>
  <c r="BU37" i="1"/>
  <c r="BT32" i="1"/>
  <c r="BS32" i="1"/>
  <c r="BT58" i="1"/>
  <c r="BS58" i="1"/>
  <c r="BU59" i="1"/>
  <c r="BU31" i="1"/>
  <c r="H222" i="15"/>
  <c r="H258" i="15"/>
  <c r="H114" i="15"/>
  <c r="H186" i="15"/>
  <c r="H150" i="15"/>
  <c r="G36" i="26"/>
  <c r="G187" i="15"/>
  <c r="G215" i="15"/>
  <c r="G251" i="15"/>
  <c r="G188" i="15"/>
  <c r="G223" i="15"/>
  <c r="G151" i="15"/>
  <c r="G115" i="15"/>
  <c r="G179" i="15"/>
  <c r="G152" i="15"/>
  <c r="G143" i="15"/>
  <c r="G224" i="15"/>
  <c r="G287" i="15"/>
  <c r="G260" i="15"/>
  <c r="G116" i="15"/>
  <c r="X9" i="26"/>
  <c r="I36" i="15"/>
  <c r="I150" i="15"/>
  <c r="I180" i="15" s="1"/>
  <c r="I114" i="15"/>
  <c r="I144" i="15" s="1"/>
  <c r="I186" i="15"/>
  <c r="I216" i="15" s="1"/>
  <c r="I222" i="15"/>
  <c r="I252" i="15" s="1"/>
  <c r="I258" i="15"/>
  <c r="I288" i="15" s="1"/>
  <c r="G36" i="15"/>
  <c r="H36" i="26"/>
  <c r="F260" i="15"/>
  <c r="H223" i="15"/>
  <c r="H152" i="15"/>
  <c r="F188" i="15"/>
  <c r="H224" i="15"/>
  <c r="F152" i="15"/>
  <c r="H260" i="15"/>
  <c r="H116" i="15"/>
  <c r="F224" i="15"/>
  <c r="H215" i="15"/>
  <c r="H251" i="15"/>
  <c r="H188" i="15"/>
  <c r="F116" i="15"/>
  <c r="H115" i="15"/>
  <c r="H36" i="15"/>
  <c r="H187" i="15"/>
  <c r="H189" i="15"/>
  <c r="F114" i="15"/>
  <c r="F258" i="15"/>
  <c r="G150" i="15"/>
  <c r="H151" i="15"/>
  <c r="H179" i="15"/>
  <c r="H153" i="15"/>
  <c r="F186" i="15"/>
  <c r="G222" i="15"/>
  <c r="H259" i="15"/>
  <c r="H143" i="15"/>
  <c r="H225" i="15"/>
  <c r="F222" i="15"/>
  <c r="G114" i="15"/>
  <c r="H287" i="15"/>
  <c r="H261" i="15"/>
  <c r="H117" i="15"/>
  <c r="F150" i="15"/>
  <c r="G186" i="15"/>
  <c r="G258" i="15"/>
  <c r="BU18" i="1"/>
  <c r="BU35" i="1"/>
  <c r="BT34" i="1"/>
  <c r="BS34" i="1"/>
  <c r="BN4" i="30"/>
  <c r="BT22" i="1"/>
  <c r="BS22" i="1"/>
  <c r="BT28" i="1"/>
  <c r="BS28" i="1"/>
  <c r="BT23" i="1"/>
  <c r="BS23" i="1"/>
  <c r="BT26" i="1"/>
  <c r="BS26" i="1"/>
  <c r="BT27" i="1"/>
  <c r="BS27" i="1"/>
  <c r="BT20" i="1"/>
  <c r="BS20" i="1"/>
  <c r="BT21" i="1"/>
  <c r="BS21" i="1"/>
  <c r="BT17" i="1"/>
  <c r="BS17" i="1"/>
  <c r="BT30" i="1"/>
  <c r="BS30" i="1"/>
  <c r="P34" i="13"/>
  <c r="T34" i="13"/>
  <c r="S36" i="13"/>
  <c r="Q36" i="13"/>
  <c r="T36" i="13"/>
  <c r="R36" i="13"/>
  <c r="P35" i="13"/>
  <c r="K35" i="13"/>
  <c r="S35" i="13"/>
  <c r="L35" i="13"/>
  <c r="Q35" i="13"/>
  <c r="R35" i="13"/>
  <c r="N35" i="13"/>
  <c r="J35" i="13"/>
  <c r="T35" i="13"/>
  <c r="M35" i="13"/>
  <c r="I35" i="13"/>
  <c r="O35" i="13"/>
  <c r="P33" i="13"/>
  <c r="R33" i="13"/>
  <c r="X13" i="15"/>
  <c r="BT60" i="1"/>
  <c r="BS60" i="1"/>
  <c r="BT47" i="1"/>
  <c r="BS47" i="1"/>
  <c r="X12" i="15"/>
  <c r="X6" i="26"/>
  <c r="X23" i="26"/>
  <c r="X35" i="15"/>
  <c r="F143" i="15"/>
  <c r="X6" i="15"/>
  <c r="F223" i="15"/>
  <c r="F287" i="15"/>
  <c r="F151" i="15"/>
  <c r="F259" i="15"/>
  <c r="F115" i="15"/>
  <c r="F179" i="15"/>
  <c r="E114" i="15"/>
  <c r="E186" i="15"/>
  <c r="F187" i="15"/>
  <c r="F215" i="15"/>
  <c r="F251" i="15"/>
  <c r="E222" i="15"/>
  <c r="E150" i="15"/>
  <c r="E258" i="15"/>
  <c r="F48" i="15"/>
  <c r="X19" i="26"/>
  <c r="D52" i="15"/>
  <c r="E223" i="15"/>
  <c r="E259" i="15"/>
  <c r="E151" i="15"/>
  <c r="E187" i="15"/>
  <c r="E115" i="15"/>
  <c r="F36" i="15"/>
  <c r="F166" i="15"/>
  <c r="D235" i="15"/>
  <c r="X10" i="26"/>
  <c r="F238" i="15"/>
  <c r="F36" i="26"/>
  <c r="F275" i="15"/>
  <c r="F203" i="15"/>
  <c r="F167" i="15"/>
  <c r="F131" i="15"/>
  <c r="F239" i="15"/>
  <c r="F274" i="15"/>
  <c r="F130" i="15"/>
  <c r="F202" i="15"/>
  <c r="D51" i="15"/>
  <c r="D233" i="15"/>
  <c r="D53" i="15" s="1"/>
  <c r="D264" i="15"/>
  <c r="X264" i="15" s="1"/>
  <c r="D271" i="15"/>
  <c r="D199" i="15"/>
  <c r="D163" i="15"/>
  <c r="D127" i="15"/>
  <c r="D120" i="15"/>
  <c r="X120" i="15" s="1"/>
  <c r="E226" i="15"/>
  <c r="D228" i="15"/>
  <c r="X228" i="15" s="1"/>
  <c r="D156" i="15"/>
  <c r="X156" i="15" s="1"/>
  <c r="E155" i="15"/>
  <c r="F236" i="15"/>
  <c r="X11" i="26"/>
  <c r="E191" i="15"/>
  <c r="E119" i="15"/>
  <c r="E227" i="15"/>
  <c r="E263" i="15"/>
  <c r="X20" i="26"/>
  <c r="E190" i="15"/>
  <c r="E118" i="15"/>
  <c r="E154" i="15"/>
  <c r="E45" i="15"/>
  <c r="F164" i="15"/>
  <c r="F200" i="15"/>
  <c r="F272" i="15"/>
  <c r="F128" i="15"/>
  <c r="BU49" i="1"/>
  <c r="D192" i="15"/>
  <c r="X192" i="15" s="1"/>
  <c r="BU48" i="1"/>
  <c r="X28" i="15"/>
  <c r="D136" i="15"/>
  <c r="X136" i="15" s="1"/>
  <c r="D137" i="15"/>
  <c r="X137" i="15" s="1"/>
  <c r="D208" i="15"/>
  <c r="X208" i="15" s="1"/>
  <c r="D209" i="15"/>
  <c r="X209" i="15" s="1"/>
  <c r="D280" i="15"/>
  <c r="X280" i="15" s="1"/>
  <c r="D281" i="15"/>
  <c r="X281" i="15" s="1"/>
  <c r="D172" i="15"/>
  <c r="X172" i="15" s="1"/>
  <c r="D173" i="15"/>
  <c r="X173" i="15" s="1"/>
  <c r="X29" i="15"/>
  <c r="D244" i="15"/>
  <c r="X244" i="15" s="1"/>
  <c r="D245" i="15"/>
  <c r="E242" i="15"/>
  <c r="X242" i="15" s="1"/>
  <c r="E207" i="15"/>
  <c r="X207" i="15" s="1"/>
  <c r="E170" i="15"/>
  <c r="X170" i="15" s="1"/>
  <c r="E171" i="15"/>
  <c r="X171" i="15" s="1"/>
  <c r="X26" i="15"/>
  <c r="E206" i="15"/>
  <c r="X206" i="15" s="1"/>
  <c r="E134" i="15"/>
  <c r="X134" i="15" s="1"/>
  <c r="E243" i="15"/>
  <c r="E61" i="15"/>
  <c r="X61" i="15" s="1"/>
  <c r="X241" i="15"/>
  <c r="E278" i="15"/>
  <c r="X278" i="15" s="1"/>
  <c r="E279" i="15"/>
  <c r="X279" i="15" s="1"/>
  <c r="E135" i="15"/>
  <c r="X135" i="15" s="1"/>
  <c r="X17" i="15"/>
  <c r="X19" i="15"/>
  <c r="X20" i="15"/>
  <c r="X15" i="15"/>
  <c r="X18" i="15"/>
  <c r="D157" i="15"/>
  <c r="X157" i="15" s="1"/>
  <c r="D121" i="15"/>
  <c r="X121" i="15" s="1"/>
  <c r="D229" i="15"/>
  <c r="X229" i="15" s="1"/>
  <c r="D193" i="15"/>
  <c r="X193" i="15" s="1"/>
  <c r="D265" i="15"/>
  <c r="X265" i="15" s="1"/>
  <c r="D258" i="15"/>
  <c r="D186" i="15"/>
  <c r="D114" i="15"/>
  <c r="D150" i="15"/>
  <c r="D222" i="15"/>
  <c r="X24" i="26"/>
  <c r="E164" i="15"/>
  <c r="D226" i="15"/>
  <c r="D261" i="15"/>
  <c r="E234" i="15"/>
  <c r="X234" i="15" s="1"/>
  <c r="E272" i="15"/>
  <c r="E196" i="15"/>
  <c r="X196" i="15" s="1"/>
  <c r="E195" i="15"/>
  <c r="X195" i="15" s="1"/>
  <c r="E231" i="15"/>
  <c r="X231" i="15" s="1"/>
  <c r="E267" i="15"/>
  <c r="X267" i="15" s="1"/>
  <c r="E161" i="15"/>
  <c r="X161" i="15" s="1"/>
  <c r="E123" i="15"/>
  <c r="X123" i="15" s="1"/>
  <c r="E159" i="15"/>
  <c r="X159" i="15" s="1"/>
  <c r="E270" i="15"/>
  <c r="X270" i="15" s="1"/>
  <c r="E163" i="15"/>
  <c r="E125" i="15"/>
  <c r="X125" i="15" s="1"/>
  <c r="E198" i="15"/>
  <c r="X198" i="15" s="1"/>
  <c r="E236" i="15"/>
  <c r="E127" i="15"/>
  <c r="E204" i="15"/>
  <c r="E132" i="15"/>
  <c r="E232" i="15"/>
  <c r="X232" i="15" s="1"/>
  <c r="E124" i="15"/>
  <c r="X124" i="15" s="1"/>
  <c r="E126" i="15"/>
  <c r="X126" i="15" s="1"/>
  <c r="E197" i="15"/>
  <c r="X197" i="15" s="1"/>
  <c r="E162" i="15"/>
  <c r="X162" i="15" s="1"/>
  <c r="E128" i="15"/>
  <c r="E199" i="15"/>
  <c r="E271" i="15"/>
  <c r="E168" i="15"/>
  <c r="X16" i="15"/>
  <c r="E233" i="15"/>
  <c r="E235" i="15"/>
  <c r="E240" i="15"/>
  <c r="E160" i="15"/>
  <c r="X160" i="15" s="1"/>
  <c r="E269" i="15"/>
  <c r="X269" i="15" s="1"/>
  <c r="E200" i="15"/>
  <c r="E276" i="15"/>
  <c r="E268" i="15"/>
  <c r="X268" i="15" s="1"/>
  <c r="X23" i="15"/>
  <c r="X24" i="15"/>
  <c r="X9" i="15"/>
  <c r="X10" i="15"/>
  <c r="X14" i="15"/>
  <c r="X11" i="15"/>
  <c r="E36" i="15"/>
  <c r="X22" i="15"/>
  <c r="D263" i="15"/>
  <c r="D230" i="15"/>
  <c r="D119" i="15"/>
  <c r="D158" i="15"/>
  <c r="X158" i="15" s="1"/>
  <c r="D155" i="15"/>
  <c r="D227" i="15"/>
  <c r="D266" i="15"/>
  <c r="X266" i="15" s="1"/>
  <c r="D122" i="15"/>
  <c r="X122" i="15" s="1"/>
  <c r="D118" i="15"/>
  <c r="D191" i="15"/>
  <c r="D194" i="15"/>
  <c r="X194" i="15" s="1"/>
  <c r="E36" i="26"/>
  <c r="X22" i="26"/>
  <c r="D190" i="15"/>
  <c r="D153" i="15"/>
  <c r="D262" i="15"/>
  <c r="X262" i="15" s="1"/>
  <c r="D117" i="15"/>
  <c r="D189" i="15"/>
  <c r="D154" i="15"/>
  <c r="D225" i="15"/>
  <c r="D276" i="15"/>
  <c r="D275" i="15"/>
  <c r="D168" i="15"/>
  <c r="D167" i="15"/>
  <c r="D204" i="15"/>
  <c r="D203" i="15"/>
  <c r="D240" i="15"/>
  <c r="D239" i="15"/>
  <c r="D132" i="15"/>
  <c r="D131" i="15"/>
  <c r="E202" i="15"/>
  <c r="E238" i="15"/>
  <c r="E130" i="15"/>
  <c r="E166" i="15"/>
  <c r="E274" i="15"/>
  <c r="D166" i="15"/>
  <c r="D274" i="15"/>
  <c r="D130" i="15"/>
  <c r="D202" i="15"/>
  <c r="D238" i="15"/>
  <c r="X8" i="15"/>
  <c r="X8" i="26"/>
  <c r="E116" i="15"/>
  <c r="E152" i="15"/>
  <c r="E188" i="15"/>
  <c r="E260" i="15"/>
  <c r="E224" i="15"/>
  <c r="D260" i="15"/>
  <c r="D116" i="15"/>
  <c r="D224" i="15"/>
  <c r="D188" i="15"/>
  <c r="D36" i="26"/>
  <c r="X7" i="26"/>
  <c r="U3" i="26"/>
  <c r="D36" i="15"/>
  <c r="U3" i="15"/>
  <c r="X7" i="15"/>
  <c r="N93" i="2"/>
  <c r="S68" i="2"/>
  <c r="S69" i="2"/>
  <c r="S70" i="2"/>
  <c r="S65" i="2"/>
  <c r="S66" i="2"/>
  <c r="S67" i="2"/>
  <c r="S64" i="2"/>
  <c r="L12" i="25"/>
  <c r="L6" i="25"/>
  <c r="L13" i="25"/>
  <c r="L9" i="25"/>
  <c r="D143" i="15"/>
  <c r="L19" i="25"/>
  <c r="L20" i="25"/>
  <c r="L7" i="25"/>
  <c r="L5" i="25"/>
  <c r="L15" i="25"/>
  <c r="BY55" i="1"/>
  <c r="D287" i="15"/>
  <c r="BF273" i="1"/>
  <c r="M101" i="2" s="1"/>
  <c r="D223" i="15"/>
  <c r="L21" i="25"/>
  <c r="L35" i="25"/>
  <c r="L298" i="25"/>
  <c r="L108" i="25"/>
  <c r="L305" i="25"/>
  <c r="L264" i="25"/>
  <c r="L122" i="25"/>
  <c r="L127" i="25"/>
  <c r="L183" i="25"/>
  <c r="L238" i="25"/>
  <c r="L195" i="25"/>
  <c r="L130" i="25"/>
  <c r="L154" i="25"/>
  <c r="L178" i="25"/>
  <c r="L291" i="25"/>
  <c r="L204" i="25"/>
  <c r="L160" i="25"/>
  <c r="L249" i="25"/>
  <c r="L72" i="25"/>
  <c r="L202" i="25"/>
  <c r="L190" i="25"/>
  <c r="L58" i="25"/>
  <c r="L213" i="25"/>
  <c r="L182" i="25"/>
  <c r="L86" i="25"/>
  <c r="L118" i="25"/>
  <c r="L205" i="25"/>
  <c r="L41" i="25"/>
  <c r="L241" i="25"/>
  <c r="L180" i="25"/>
  <c r="L88" i="25"/>
  <c r="L50" i="25"/>
  <c r="L145" i="25"/>
  <c r="L232" i="25"/>
  <c r="L149" i="25"/>
  <c r="L110" i="25"/>
  <c r="L135" i="25"/>
  <c r="L80" i="25"/>
  <c r="L219" i="25"/>
  <c r="L117" i="25"/>
  <c r="L38" i="25"/>
  <c r="L230" i="25"/>
  <c r="L144" i="25"/>
  <c r="L125" i="25"/>
  <c r="L226" i="25"/>
  <c r="L294" i="25"/>
  <c r="L240" i="25"/>
  <c r="L69" i="25"/>
  <c r="L42" i="25"/>
  <c r="L275" i="25"/>
  <c r="L237" i="25"/>
  <c r="L262" i="25"/>
  <c r="L123" i="25"/>
  <c r="L134" i="25"/>
  <c r="L150" i="25"/>
  <c r="L65" i="25"/>
  <c r="L75" i="25"/>
  <c r="L227" i="25"/>
  <c r="L133" i="25"/>
  <c r="L270" i="25"/>
  <c r="L67" i="25"/>
  <c r="L171" i="25"/>
  <c r="L104" i="25"/>
  <c r="L184" i="25"/>
  <c r="L280" i="25"/>
  <c r="L68" i="25"/>
  <c r="L297" i="25"/>
  <c r="L24" i="25"/>
  <c r="L33" i="25"/>
  <c r="L111" i="25"/>
  <c r="L44" i="25"/>
  <c r="L48" i="25"/>
  <c r="L242" i="25"/>
  <c r="L287" i="25"/>
  <c r="L233" i="25"/>
  <c r="L128" i="25"/>
  <c r="L22" i="25"/>
  <c r="L266" i="25"/>
  <c r="L176" i="25"/>
  <c r="L47" i="25"/>
  <c r="L71" i="25"/>
  <c r="L170" i="25"/>
  <c r="L274" i="25"/>
  <c r="L60" i="25"/>
  <c r="L126" i="25"/>
  <c r="L235" i="25"/>
  <c r="L177" i="25"/>
  <c r="L258" i="25"/>
  <c r="L159" i="25"/>
  <c r="L140" i="25"/>
  <c r="L282" i="25"/>
  <c r="L62" i="25"/>
  <c r="L300" i="25"/>
  <c r="L153" i="25"/>
  <c r="L299" i="25"/>
  <c r="L112" i="25"/>
  <c r="L260" i="25"/>
  <c r="L198" i="25"/>
  <c r="L286" i="25"/>
  <c r="L31" i="25"/>
  <c r="L92" i="25"/>
  <c r="L289" i="25"/>
  <c r="L196" i="25"/>
  <c r="L255" i="25"/>
  <c r="L165" i="25"/>
  <c r="L147" i="25"/>
  <c r="L256" i="25"/>
  <c r="L23" i="25"/>
  <c r="L173" i="25"/>
  <c r="L163" i="25"/>
  <c r="L36" i="25"/>
  <c r="L115" i="25"/>
  <c r="L206" i="25"/>
  <c r="L152" i="25"/>
  <c r="L224" i="25"/>
  <c r="L102" i="25"/>
  <c r="L251" i="25"/>
  <c r="L59" i="25"/>
  <c r="L25" i="25"/>
  <c r="L267" i="25"/>
  <c r="L100" i="25"/>
  <c r="L272" i="25"/>
  <c r="L269" i="25"/>
  <c r="L164" i="25"/>
  <c r="L77" i="25"/>
  <c r="L43" i="25"/>
  <c r="L121" i="25"/>
  <c r="L107" i="25"/>
  <c r="L218" i="25"/>
  <c r="L26" i="25"/>
  <c r="L201" i="25"/>
  <c r="L73" i="25"/>
  <c r="L169" i="25"/>
  <c r="L197" i="25"/>
  <c r="L119" i="25"/>
  <c r="L252" i="25"/>
  <c r="L194" i="25"/>
  <c r="L208" i="25"/>
  <c r="L87" i="25"/>
  <c r="L132" i="25"/>
  <c r="L37" i="25"/>
  <c r="L244" i="25"/>
  <c r="L82" i="25"/>
  <c r="L91" i="25"/>
  <c r="L98" i="25"/>
  <c r="L63" i="25"/>
  <c r="L278" i="25"/>
  <c r="L179" i="25"/>
  <c r="L220" i="25"/>
  <c r="L29" i="25"/>
  <c r="L296" i="25"/>
  <c r="L79" i="25"/>
  <c r="L52" i="25"/>
  <c r="L191" i="25"/>
  <c r="L124" i="25"/>
  <c r="L290" i="25"/>
  <c r="L210" i="25"/>
  <c r="L236" i="25"/>
  <c r="L207" i="25"/>
  <c r="L99" i="25"/>
  <c r="L166" i="25"/>
  <c r="L116" i="25"/>
  <c r="L193" i="25"/>
  <c r="L203" i="25"/>
  <c r="L106" i="25"/>
  <c r="L97" i="25"/>
  <c r="L156" i="25"/>
  <c r="L55" i="25"/>
  <c r="L81" i="25"/>
  <c r="L148" i="25"/>
  <c r="L51" i="25"/>
  <c r="L34" i="25"/>
  <c r="L216" i="25"/>
  <c r="L250" i="25"/>
  <c r="L74" i="25"/>
  <c r="L158" i="25"/>
  <c r="L103" i="25"/>
  <c r="L222" i="25"/>
  <c r="L138" i="25"/>
  <c r="L49" i="25"/>
  <c r="L181" i="25"/>
  <c r="L243" i="25"/>
  <c r="L293" i="25"/>
  <c r="L95" i="25"/>
  <c r="L188" i="25"/>
  <c r="L192" i="25"/>
  <c r="L151" i="25"/>
  <c r="L64" i="25"/>
  <c r="L40" i="25"/>
  <c r="L245" i="25"/>
  <c r="L53" i="25"/>
  <c r="L214" i="25"/>
  <c r="L288" i="25"/>
  <c r="L113" i="25"/>
  <c r="L161" i="25"/>
  <c r="L248" i="25"/>
  <c r="L292" i="25"/>
  <c r="L301" i="25"/>
  <c r="L223" i="25"/>
  <c r="L32" i="25"/>
  <c r="L259" i="25"/>
  <c r="L303" i="25"/>
  <c r="L109" i="25"/>
  <c r="L221" i="25"/>
  <c r="L54" i="25"/>
  <c r="L279" i="25"/>
  <c r="L302" i="25"/>
  <c r="L246" i="25"/>
  <c r="L105" i="25"/>
  <c r="L273" i="25"/>
  <c r="L200" i="25"/>
  <c r="L155" i="25"/>
  <c r="L168" i="25"/>
  <c r="L209" i="25"/>
  <c r="L28" i="25"/>
  <c r="L157" i="25"/>
  <c r="L239" i="25"/>
  <c r="L295" i="25"/>
  <c r="L114" i="25"/>
  <c r="L263" i="25"/>
  <c r="L199" i="25"/>
  <c r="L247" i="25"/>
  <c r="L85" i="25"/>
  <c r="L84" i="25"/>
  <c r="L141" i="25"/>
  <c r="L175" i="25"/>
  <c r="L78" i="25"/>
  <c r="L139" i="25"/>
  <c r="L257" i="25"/>
  <c r="L284" i="25"/>
  <c r="L229" i="25"/>
  <c r="L101" i="25"/>
  <c r="L61" i="25"/>
  <c r="L212" i="25"/>
  <c r="L189" i="25"/>
  <c r="L174" i="25"/>
  <c r="L234" i="25"/>
  <c r="L143" i="25"/>
  <c r="L167" i="25"/>
  <c r="L56" i="25"/>
  <c r="L217" i="25"/>
  <c r="L277" i="25"/>
  <c r="L231" i="25"/>
  <c r="L187" i="25"/>
  <c r="L90" i="25"/>
  <c r="L83" i="25"/>
  <c r="L268" i="25"/>
  <c r="L186" i="25"/>
  <c r="L276" i="25"/>
  <c r="L254" i="25"/>
  <c r="L265" i="25"/>
  <c r="L46" i="25"/>
  <c r="L129" i="25"/>
  <c r="L253" i="25"/>
  <c r="L76" i="25"/>
  <c r="L93" i="25"/>
  <c r="L89" i="25"/>
  <c r="L283" i="25"/>
  <c r="L142" i="25"/>
  <c r="L39" i="25"/>
  <c r="L30" i="25"/>
  <c r="L281" i="25"/>
  <c r="L45" i="25"/>
  <c r="L57" i="25"/>
  <c r="L215" i="25"/>
  <c r="L172" i="25"/>
  <c r="L66" i="25"/>
  <c r="L136" i="25"/>
  <c r="L131" i="25"/>
  <c r="L94" i="25"/>
  <c r="L304" i="25"/>
  <c r="L285" i="25"/>
  <c r="L185" i="25"/>
  <c r="L96" i="25"/>
  <c r="L120" i="25"/>
  <c r="L211" i="25"/>
  <c r="L146" i="25"/>
  <c r="L228" i="25"/>
  <c r="L261" i="25"/>
  <c r="L271" i="25"/>
  <c r="L225" i="25"/>
  <c r="L70" i="25"/>
  <c r="L137" i="25"/>
  <c r="L27" i="25"/>
  <c r="L162" i="25"/>
  <c r="N109" i="2"/>
  <c r="BY51" i="1"/>
  <c r="M96" i="2"/>
  <c r="N91" i="2"/>
  <c r="BT51" i="1"/>
  <c r="BS51" i="1"/>
  <c r="BT73" i="1"/>
  <c r="BS73" i="1"/>
  <c r="BT52" i="1"/>
  <c r="BS52" i="1"/>
  <c r="D215" i="15"/>
  <c r="D251" i="15"/>
  <c r="L17" i="25"/>
  <c r="AX273" i="1"/>
  <c r="D259" i="15"/>
  <c r="BD273" i="1"/>
  <c r="M99" i="2" s="1"/>
  <c r="D152" i="15"/>
  <c r="BT61" i="1"/>
  <c r="BS61" i="1"/>
  <c r="BT263" i="1"/>
  <c r="BS263" i="1"/>
  <c r="L18" i="25"/>
  <c r="L14" i="25"/>
  <c r="BT56" i="1"/>
  <c r="BS56" i="1"/>
  <c r="BX273" i="1"/>
  <c r="E19" i="6"/>
  <c r="BT57" i="1"/>
  <c r="BS57" i="1"/>
  <c r="BY52" i="1"/>
  <c r="BE273" i="1"/>
  <c r="M100" i="2" s="1"/>
  <c r="D187" i="15"/>
  <c r="D115" i="15"/>
  <c r="BC273" i="1"/>
  <c r="M98" i="2" s="1"/>
  <c r="BT55" i="1"/>
  <c r="BS55" i="1"/>
  <c r="D179" i="15"/>
  <c r="BT65" i="1"/>
  <c r="BS65" i="1"/>
  <c r="P36" i="13"/>
  <c r="I36" i="13"/>
  <c r="J36" i="13"/>
  <c r="K36" i="13"/>
  <c r="M36" i="13"/>
  <c r="O36" i="13"/>
  <c r="L36" i="13"/>
  <c r="N36" i="13"/>
  <c r="D151" i="15"/>
  <c r="BB273" i="1"/>
  <c r="M104" i="2" s="1"/>
  <c r="V147" i="15" s="1"/>
  <c r="L10" i="25"/>
  <c r="L16" i="25"/>
  <c r="L11" i="25"/>
  <c r="I351" i="15" l="1"/>
  <c r="D346" i="15"/>
  <c r="Q346" i="15" s="1"/>
  <c r="K350" i="15"/>
  <c r="I350" i="15"/>
  <c r="I338" i="15"/>
  <c r="D340" i="15" s="1"/>
  <c r="K354" i="15"/>
  <c r="D354" i="15" s="1"/>
  <c r="Q354" i="15" s="1"/>
  <c r="J338" i="15"/>
  <c r="E341" i="15" s="1"/>
  <c r="J351" i="15"/>
  <c r="K351" i="15"/>
  <c r="J350" i="15"/>
  <c r="BU41" i="1"/>
  <c r="BU44" i="1"/>
  <c r="BU43" i="1"/>
  <c r="BU40" i="1"/>
  <c r="BU32" i="1"/>
  <c r="BU58" i="1"/>
  <c r="H42" i="15"/>
  <c r="G43" i="15"/>
  <c r="G216" i="15"/>
  <c r="G44" i="15"/>
  <c r="G71" i="15"/>
  <c r="G288" i="15"/>
  <c r="G180" i="15"/>
  <c r="G144" i="15"/>
  <c r="G252" i="15"/>
  <c r="X117" i="15"/>
  <c r="I42" i="15"/>
  <c r="I72" i="15" s="1"/>
  <c r="X261" i="15"/>
  <c r="X225" i="15"/>
  <c r="H43" i="15"/>
  <c r="X153" i="15"/>
  <c r="F44" i="15"/>
  <c r="H45" i="15"/>
  <c r="H216" i="15"/>
  <c r="H144" i="15"/>
  <c r="H71" i="15"/>
  <c r="H44" i="15"/>
  <c r="G42" i="15"/>
  <c r="H252" i="15"/>
  <c r="F42" i="15"/>
  <c r="H288" i="15"/>
  <c r="H180" i="15"/>
  <c r="X189" i="15"/>
  <c r="BU34" i="1"/>
  <c r="BR4" i="30"/>
  <c r="O42" i="13"/>
  <c r="BU22" i="1"/>
  <c r="BU17" i="1"/>
  <c r="BU21" i="1"/>
  <c r="BU27" i="1"/>
  <c r="BU23" i="1"/>
  <c r="BU30" i="1"/>
  <c r="BU20" i="1"/>
  <c r="BU26" i="1"/>
  <c r="BU28" i="1"/>
  <c r="N42" i="13"/>
  <c r="M42" i="13"/>
  <c r="K42" i="13"/>
  <c r="L42" i="13"/>
  <c r="J42" i="13"/>
  <c r="AS33" i="13"/>
  <c r="Q42" i="13"/>
  <c r="P42" i="13"/>
  <c r="S42" i="13"/>
  <c r="AS34" i="13"/>
  <c r="AS35" i="13"/>
  <c r="R42" i="13"/>
  <c r="T42" i="13"/>
  <c r="BU60" i="1"/>
  <c r="F43" i="15"/>
  <c r="BU47" i="1"/>
  <c r="X287" i="15"/>
  <c r="E42" i="15"/>
  <c r="X251" i="15"/>
  <c r="X258" i="15"/>
  <c r="X114" i="15"/>
  <c r="X179" i="15"/>
  <c r="X143" i="15"/>
  <c r="X186" i="15"/>
  <c r="X222" i="15"/>
  <c r="X131" i="15"/>
  <c r="X163" i="15"/>
  <c r="X150" i="15"/>
  <c r="F71" i="15"/>
  <c r="X154" i="15"/>
  <c r="X263" i="15"/>
  <c r="E43" i="15"/>
  <c r="X233" i="15"/>
  <c r="X119" i="15"/>
  <c r="X203" i="15"/>
  <c r="X190" i="15"/>
  <c r="X271" i="15"/>
  <c r="X155" i="15"/>
  <c r="F216" i="15"/>
  <c r="X272" i="15"/>
  <c r="X227" i="15"/>
  <c r="X118" i="15"/>
  <c r="X199" i="15"/>
  <c r="X167" i="15"/>
  <c r="X200" i="15"/>
  <c r="F59" i="15"/>
  <c r="D55" i="15"/>
  <c r="X226" i="15"/>
  <c r="F144" i="15"/>
  <c r="F58" i="15"/>
  <c r="F180" i="15"/>
  <c r="E46" i="15"/>
  <c r="F288" i="15"/>
  <c r="X127" i="15"/>
  <c r="F252" i="15"/>
  <c r="X275" i="15"/>
  <c r="X191" i="15"/>
  <c r="X164" i="15"/>
  <c r="X128" i="15"/>
  <c r="E47" i="15"/>
  <c r="F56" i="15"/>
  <c r="D48" i="15"/>
  <c r="X48" i="15" s="1"/>
  <c r="M133" i="25"/>
  <c r="A133" i="25" s="1"/>
  <c r="M129" i="25"/>
  <c r="A129" i="25" s="1"/>
  <c r="M128" i="25"/>
  <c r="A128" i="25" s="1"/>
  <c r="M136" i="25"/>
  <c r="A136" i="25" s="1"/>
  <c r="M134" i="25"/>
  <c r="A134" i="25" s="1"/>
  <c r="M135" i="25"/>
  <c r="A135" i="25" s="1"/>
  <c r="M131" i="25"/>
  <c r="A131" i="25" s="1"/>
  <c r="M132" i="25"/>
  <c r="A132" i="25" s="1"/>
  <c r="M127" i="25"/>
  <c r="A127" i="25" s="1"/>
  <c r="M173" i="25"/>
  <c r="A173" i="25" s="1"/>
  <c r="M147" i="25"/>
  <c r="A147" i="25" s="1"/>
  <c r="M178" i="25"/>
  <c r="A178" i="25" s="1"/>
  <c r="M161" i="25"/>
  <c r="A161" i="25" s="1"/>
  <c r="M84" i="25"/>
  <c r="A84" i="25" s="1"/>
  <c r="M86" i="25"/>
  <c r="A86" i="25" s="1"/>
  <c r="M160" i="25"/>
  <c r="A160" i="25" s="1"/>
  <c r="M107" i="25"/>
  <c r="A107" i="25" s="1"/>
  <c r="M184" i="25"/>
  <c r="A184" i="25" s="1"/>
  <c r="M115" i="25"/>
  <c r="A115" i="25" s="1"/>
  <c r="M146" i="25"/>
  <c r="A146" i="25" s="1"/>
  <c r="M172" i="25"/>
  <c r="A172" i="25" s="1"/>
  <c r="M174" i="25"/>
  <c r="A174" i="25" s="1"/>
  <c r="M168" i="25"/>
  <c r="A168" i="25" s="1"/>
  <c r="M170" i="25"/>
  <c r="A170" i="25" s="1"/>
  <c r="M137" i="25"/>
  <c r="A137" i="25" s="1"/>
  <c r="M175" i="25"/>
  <c r="A175" i="25" s="1"/>
  <c r="M85" i="25"/>
  <c r="A85" i="25" s="1"/>
  <c r="M154" i="25"/>
  <c r="A154" i="25" s="1"/>
  <c r="M164" i="25"/>
  <c r="A164" i="25" s="1"/>
  <c r="M166" i="25"/>
  <c r="A166" i="25" s="1"/>
  <c r="M112" i="25"/>
  <c r="A112" i="25" s="1"/>
  <c r="M114" i="25"/>
  <c r="A114" i="25" s="1"/>
  <c r="M187" i="25"/>
  <c r="A187" i="25" s="1"/>
  <c r="M97" i="25"/>
  <c r="A97" i="25" s="1"/>
  <c r="M150" i="25"/>
  <c r="A150" i="25" s="1"/>
  <c r="M96" i="25"/>
  <c r="A96" i="25" s="1"/>
  <c r="M98" i="25"/>
  <c r="A98" i="25" s="1"/>
  <c r="M167" i="25"/>
  <c r="A167" i="25" s="1"/>
  <c r="M165" i="25"/>
  <c r="A165" i="25" s="1"/>
  <c r="M155" i="25"/>
  <c r="A155" i="25" s="1"/>
  <c r="M116" i="25"/>
  <c r="A116" i="25" s="1"/>
  <c r="M118" i="25"/>
  <c r="A118" i="25" s="1"/>
  <c r="M111" i="25"/>
  <c r="A111" i="25" s="1"/>
  <c r="M176" i="25"/>
  <c r="A176" i="25" s="1"/>
  <c r="M123" i="25"/>
  <c r="A123" i="25" s="1"/>
  <c r="M117" i="25"/>
  <c r="A117" i="25" s="1"/>
  <c r="M141" i="25"/>
  <c r="A141" i="25" s="1"/>
  <c r="M144" i="25"/>
  <c r="A144" i="25" s="1"/>
  <c r="M99" i="25"/>
  <c r="A99" i="25" s="1"/>
  <c r="M158" i="25"/>
  <c r="A158" i="25" s="1"/>
  <c r="M152" i="25"/>
  <c r="A152" i="25" s="1"/>
  <c r="M138" i="25"/>
  <c r="A138" i="25" s="1"/>
  <c r="M148" i="25"/>
  <c r="A148" i="25" s="1"/>
  <c r="M181" i="25"/>
  <c r="A181" i="25" s="1"/>
  <c r="M171" i="25"/>
  <c r="A171" i="25" s="1"/>
  <c r="M104" i="25"/>
  <c r="A104" i="25" s="1"/>
  <c r="M106" i="25"/>
  <c r="A106" i="25" s="1"/>
  <c r="M92" i="25"/>
  <c r="A92" i="25" s="1"/>
  <c r="M94" i="25"/>
  <c r="A94" i="25" s="1"/>
  <c r="M88" i="25"/>
  <c r="A88" i="25" s="1"/>
  <c r="M90" i="25"/>
  <c r="A90" i="25" s="1"/>
  <c r="M100" i="25"/>
  <c r="A100" i="25" s="1"/>
  <c r="M102" i="25"/>
  <c r="A102" i="25" s="1"/>
  <c r="M157" i="25"/>
  <c r="A157" i="25" s="1"/>
  <c r="M169" i="25"/>
  <c r="A169" i="25" s="1"/>
  <c r="M103" i="25"/>
  <c r="A103" i="25" s="1"/>
  <c r="M101" i="25"/>
  <c r="A101" i="25" s="1"/>
  <c r="M91" i="25"/>
  <c r="A91" i="25" s="1"/>
  <c r="M87" i="25"/>
  <c r="A87" i="25" s="1"/>
  <c r="M125" i="25"/>
  <c r="A125" i="25" s="1"/>
  <c r="M182" i="25"/>
  <c r="A182" i="25" s="1"/>
  <c r="M130" i="25"/>
  <c r="A130" i="25" s="1"/>
  <c r="M156" i="25"/>
  <c r="A156" i="25" s="1"/>
  <c r="M109" i="25"/>
  <c r="A109" i="25" s="1"/>
  <c r="M83" i="25"/>
  <c r="A83" i="25" s="1"/>
  <c r="M121" i="25"/>
  <c r="A121" i="25" s="1"/>
  <c r="M159" i="25"/>
  <c r="A159" i="25" s="1"/>
  <c r="M142" i="25"/>
  <c r="A142" i="25" s="1"/>
  <c r="M105" i="25"/>
  <c r="A105" i="25" s="1"/>
  <c r="M143" i="25"/>
  <c r="A143" i="25" s="1"/>
  <c r="M120" i="25"/>
  <c r="A120" i="25" s="1"/>
  <c r="M122" i="25"/>
  <c r="A122" i="25" s="1"/>
  <c r="M179" i="25"/>
  <c r="A179" i="25" s="1"/>
  <c r="M89" i="25"/>
  <c r="A89" i="25" s="1"/>
  <c r="M108" i="25"/>
  <c r="A108" i="25" s="1"/>
  <c r="M110" i="25"/>
  <c r="A110" i="25" s="1"/>
  <c r="M163" i="25"/>
  <c r="A163" i="25" s="1"/>
  <c r="M185" i="25"/>
  <c r="A185" i="25" s="1"/>
  <c r="M95" i="25"/>
  <c r="A95" i="25" s="1"/>
  <c r="M119" i="25"/>
  <c r="A119" i="25" s="1"/>
  <c r="M162" i="25"/>
  <c r="A162" i="25" s="1"/>
  <c r="M145" i="25"/>
  <c r="A145" i="25" s="1"/>
  <c r="M186" i="25"/>
  <c r="A186" i="25" s="1"/>
  <c r="M153" i="25"/>
  <c r="A153" i="25" s="1"/>
  <c r="M180" i="25"/>
  <c r="A180" i="25" s="1"/>
  <c r="M113" i="25"/>
  <c r="A113" i="25" s="1"/>
  <c r="M140" i="25"/>
  <c r="A140" i="25" s="1"/>
  <c r="M183" i="25"/>
  <c r="A183" i="25" s="1"/>
  <c r="M93" i="25"/>
  <c r="A93" i="25" s="1"/>
  <c r="M124" i="25"/>
  <c r="A124" i="25" s="1"/>
  <c r="M126" i="25"/>
  <c r="A126" i="25" s="1"/>
  <c r="M151" i="25"/>
  <c r="A151" i="25" s="1"/>
  <c r="M149" i="25"/>
  <c r="A149" i="25" s="1"/>
  <c r="M139" i="25"/>
  <c r="A139" i="25" s="1"/>
  <c r="M177" i="25"/>
  <c r="A177" i="25" s="1"/>
  <c r="D42" i="15"/>
  <c r="D65" i="15"/>
  <c r="X65" i="15" s="1"/>
  <c r="X245" i="15"/>
  <c r="D64" i="15"/>
  <c r="X64" i="15" s="1"/>
  <c r="X168" i="15"/>
  <c r="D49" i="15"/>
  <c r="X49" i="15" s="1"/>
  <c r="E55" i="15"/>
  <c r="E62" i="15"/>
  <c r="X62" i="15" s="1"/>
  <c r="E63" i="15"/>
  <c r="X63" i="15" s="1"/>
  <c r="X243" i="15"/>
  <c r="N95" i="2"/>
  <c r="Q112" i="2"/>
  <c r="R111" i="2" s="1"/>
  <c r="X204" i="15"/>
  <c r="X276" i="15"/>
  <c r="E60" i="15"/>
  <c r="X240" i="15"/>
  <c r="X132" i="15"/>
  <c r="E54" i="15"/>
  <c r="X54" i="15" s="1"/>
  <c r="E56" i="15"/>
  <c r="X236" i="15"/>
  <c r="E52" i="15"/>
  <c r="X52" i="15" s="1"/>
  <c r="E51" i="15"/>
  <c r="X51" i="15" s="1"/>
  <c r="X235" i="15"/>
  <c r="E53" i="15"/>
  <c r="X53" i="15" s="1"/>
  <c r="E216" i="15"/>
  <c r="X202" i="15"/>
  <c r="E144" i="15"/>
  <c r="D47" i="15"/>
  <c r="D50" i="15"/>
  <c r="X50" i="15" s="1"/>
  <c r="X230" i="15"/>
  <c r="X36" i="15"/>
  <c r="E288" i="15"/>
  <c r="D46" i="15"/>
  <c r="X36" i="26"/>
  <c r="D45" i="15"/>
  <c r="X130" i="15"/>
  <c r="X166" i="15"/>
  <c r="E180" i="15"/>
  <c r="E58" i="15"/>
  <c r="D60" i="15"/>
  <c r="D59" i="15"/>
  <c r="X239" i="15"/>
  <c r="X274" i="15"/>
  <c r="X260" i="15"/>
  <c r="D58" i="15"/>
  <c r="X238" i="15"/>
  <c r="X116" i="15"/>
  <c r="X188" i="15"/>
  <c r="X152" i="15"/>
  <c r="X224" i="15"/>
  <c r="E44" i="15"/>
  <c r="E252" i="15"/>
  <c r="M80" i="25"/>
  <c r="A80" i="25" s="1"/>
  <c r="M78" i="25"/>
  <c r="A78" i="25" s="1"/>
  <c r="M75" i="25"/>
  <c r="A75" i="25" s="1"/>
  <c r="M81" i="25"/>
  <c r="A81" i="25" s="1"/>
  <c r="M74" i="25"/>
  <c r="A74" i="25" s="1"/>
  <c r="M77" i="25"/>
  <c r="A77" i="25" s="1"/>
  <c r="M76" i="25"/>
  <c r="A76" i="25" s="1"/>
  <c r="M50" i="25"/>
  <c r="A50" i="25" s="1"/>
  <c r="M51" i="25"/>
  <c r="A51" i="25" s="1"/>
  <c r="M47" i="25"/>
  <c r="A47" i="25" s="1"/>
  <c r="M48" i="25"/>
  <c r="A48" i="25" s="1"/>
  <c r="M45" i="25"/>
  <c r="A45" i="25" s="1"/>
  <c r="M44" i="25"/>
  <c r="A44" i="25" s="1"/>
  <c r="M46" i="25"/>
  <c r="A46" i="25" s="1"/>
  <c r="M49" i="25"/>
  <c r="A49" i="25" s="1"/>
  <c r="M72" i="25"/>
  <c r="A72" i="25" s="1"/>
  <c r="M60" i="25"/>
  <c r="A60" i="25" s="1"/>
  <c r="M62" i="25"/>
  <c r="A62" i="25" s="1"/>
  <c r="M56" i="25"/>
  <c r="A56" i="25" s="1"/>
  <c r="M58" i="25"/>
  <c r="A58" i="25" s="1"/>
  <c r="M68" i="25"/>
  <c r="A68" i="25" s="1"/>
  <c r="M70" i="25"/>
  <c r="A70" i="25" s="1"/>
  <c r="M52" i="25"/>
  <c r="A52" i="25" s="1"/>
  <c r="M54" i="25"/>
  <c r="A54" i="25" s="1"/>
  <c r="M82" i="25"/>
  <c r="A82" i="25" s="1"/>
  <c r="M64" i="25"/>
  <c r="A64" i="25" s="1"/>
  <c r="M66" i="25"/>
  <c r="A66" i="25" s="1"/>
  <c r="M57" i="25"/>
  <c r="A57" i="25" s="1"/>
  <c r="M79" i="25"/>
  <c r="A79" i="25" s="1"/>
  <c r="M63" i="25"/>
  <c r="A63" i="25" s="1"/>
  <c r="M71" i="25"/>
  <c r="A71" i="25" s="1"/>
  <c r="M69" i="25"/>
  <c r="A69" i="25" s="1"/>
  <c r="M59" i="25"/>
  <c r="A59" i="25" s="1"/>
  <c r="M55" i="25"/>
  <c r="A55" i="25" s="1"/>
  <c r="M67" i="25"/>
  <c r="A67" i="25" s="1"/>
  <c r="M53" i="25"/>
  <c r="A53" i="25" s="1"/>
  <c r="M65" i="25"/>
  <c r="A65" i="25" s="1"/>
  <c r="M61" i="25"/>
  <c r="A61" i="25" s="1"/>
  <c r="M73" i="25"/>
  <c r="A73" i="25" s="1"/>
  <c r="M31" i="25"/>
  <c r="A31" i="25" s="1"/>
  <c r="M24" i="25"/>
  <c r="A24" i="25" s="1"/>
  <c r="M37" i="25"/>
  <c r="A37" i="25" s="1"/>
  <c r="M22" i="25"/>
  <c r="A22" i="25" s="1"/>
  <c r="M39" i="25"/>
  <c r="A39" i="25" s="1"/>
  <c r="M32" i="25"/>
  <c r="A32" i="25" s="1"/>
  <c r="M30" i="25"/>
  <c r="A30" i="25" s="1"/>
  <c r="M38" i="25"/>
  <c r="A38" i="25" s="1"/>
  <c r="M29" i="25"/>
  <c r="A29" i="25" s="1"/>
  <c r="M36" i="25"/>
  <c r="A36" i="25" s="1"/>
  <c r="M41" i="25"/>
  <c r="A41" i="25" s="1"/>
  <c r="M33" i="25"/>
  <c r="A33" i="25" s="1"/>
  <c r="M43" i="25"/>
  <c r="A43" i="25" s="1"/>
  <c r="M25" i="25"/>
  <c r="A25" i="25" s="1"/>
  <c r="M35" i="25"/>
  <c r="A35" i="25" s="1"/>
  <c r="M42" i="25"/>
  <c r="A42" i="25" s="1"/>
  <c r="M26" i="25"/>
  <c r="A26" i="25" s="1"/>
  <c r="M34" i="25"/>
  <c r="A34" i="25" s="1"/>
  <c r="M40" i="25"/>
  <c r="A40" i="25" s="1"/>
  <c r="M28" i="25"/>
  <c r="A28" i="25" s="1"/>
  <c r="M27" i="25"/>
  <c r="A27" i="25" s="1"/>
  <c r="M23" i="25"/>
  <c r="A23" i="25" s="1"/>
  <c r="D44" i="15"/>
  <c r="M5" i="25"/>
  <c r="A5" i="25" s="1"/>
  <c r="M21" i="25"/>
  <c r="A21" i="25" s="1"/>
  <c r="D43" i="15"/>
  <c r="X215" i="15"/>
  <c r="D71" i="15"/>
  <c r="M8" i="25"/>
  <c r="A8" i="25" s="1"/>
  <c r="M19" i="25"/>
  <c r="A19" i="25" s="1"/>
  <c r="M13" i="25"/>
  <c r="A13" i="25" s="1"/>
  <c r="BU56" i="1"/>
  <c r="BU61" i="1"/>
  <c r="BU57" i="1"/>
  <c r="BU52" i="1"/>
  <c r="BU73" i="1"/>
  <c r="M6" i="25"/>
  <c r="A6" i="25" s="1"/>
  <c r="M9" i="25"/>
  <c r="A9" i="25" s="1"/>
  <c r="M7" i="25"/>
  <c r="A7" i="25" s="1"/>
  <c r="D144" i="15"/>
  <c r="X115" i="15"/>
  <c r="U111" i="15"/>
  <c r="M16" i="25"/>
  <c r="A16" i="25" s="1"/>
  <c r="V255" i="15"/>
  <c r="M12" i="25"/>
  <c r="A12" i="25" s="1"/>
  <c r="D252" i="15"/>
  <c r="X223" i="15"/>
  <c r="U219" i="15"/>
  <c r="M15" i="25"/>
  <c r="A15" i="25" s="1"/>
  <c r="AS36" i="13"/>
  <c r="I42" i="13"/>
  <c r="F19" i="6"/>
  <c r="K10" i="6"/>
  <c r="M10" i="25"/>
  <c r="A10" i="25" s="1"/>
  <c r="O91" i="2"/>
  <c r="I18" i="6"/>
  <c r="I20" i="6" s="1"/>
  <c r="N90" i="2"/>
  <c r="M14" i="25"/>
  <c r="A14" i="25" s="1"/>
  <c r="V219" i="15"/>
  <c r="M20" i="25"/>
  <c r="A20" i="25" s="1"/>
  <c r="D216" i="15"/>
  <c r="U183" i="15"/>
  <c r="X187" i="15"/>
  <c r="D288" i="15"/>
  <c r="X259" i="15"/>
  <c r="U255" i="15"/>
  <c r="D180" i="15"/>
  <c r="U147" i="15"/>
  <c r="W147" i="15" s="1"/>
  <c r="X151" i="15"/>
  <c r="BU65" i="1"/>
  <c r="BU55" i="1"/>
  <c r="V183" i="15"/>
  <c r="BU263" i="1"/>
  <c r="BU51" i="1"/>
  <c r="R71" i="2"/>
  <c r="V39" i="26"/>
  <c r="W39" i="26" s="1"/>
  <c r="F81" i="2"/>
  <c r="V75" i="15"/>
  <c r="W75" i="15" s="1"/>
  <c r="D24" i="24"/>
  <c r="M102" i="2"/>
  <c r="N99" i="2" s="1"/>
  <c r="DX274" i="1"/>
  <c r="N96" i="2"/>
  <c r="M18" i="25"/>
  <c r="A18" i="25" s="1"/>
  <c r="M17" i="25"/>
  <c r="A17" i="25" s="1"/>
  <c r="V111" i="15"/>
  <c r="M11" i="25"/>
  <c r="A11" i="25" s="1"/>
  <c r="AZ273" i="1"/>
  <c r="AY273" i="1"/>
  <c r="D351" i="15" l="1"/>
  <c r="D356" i="15"/>
  <c r="Q356" i="15" s="1"/>
  <c r="D341" i="15"/>
  <c r="E351" i="15"/>
  <c r="E340" i="15"/>
  <c r="E342" i="15" s="1"/>
  <c r="E350" i="15"/>
  <c r="D350" i="15"/>
  <c r="G72" i="15"/>
  <c r="X45" i="15"/>
  <c r="H72" i="15"/>
  <c r="G13" i="24"/>
  <c r="C48" i="13"/>
  <c r="E48" i="13" s="1"/>
  <c r="AS4" i="13"/>
  <c r="AT2" i="13" s="1"/>
  <c r="X42" i="15"/>
  <c r="E128" i="2"/>
  <c r="E130" i="2" s="1"/>
  <c r="X71" i="15"/>
  <c r="X43" i="15"/>
  <c r="X59" i="15"/>
  <c r="X55" i="15"/>
  <c r="X46" i="15"/>
  <c r="F72" i="15"/>
  <c r="X47" i="15"/>
  <c r="X56" i="15"/>
  <c r="X60" i="15"/>
  <c r="E72" i="15"/>
  <c r="X288" i="15"/>
  <c r="X58" i="15"/>
  <c r="X44" i="15"/>
  <c r="X144" i="15"/>
  <c r="X252" i="15"/>
  <c r="X180" i="15"/>
  <c r="X216" i="15"/>
  <c r="U39" i="15"/>
  <c r="D72" i="15"/>
  <c r="W255" i="15"/>
  <c r="N98" i="2"/>
  <c r="N101" i="2"/>
  <c r="W219" i="15"/>
  <c r="N100" i="2"/>
  <c r="C3" i="25"/>
  <c r="G70" i="2"/>
  <c r="F70" i="2" s="1"/>
  <c r="G69" i="2"/>
  <c r="I21" i="6" s="1"/>
  <c r="BZ24" i="1" s="1"/>
  <c r="M90" i="2"/>
  <c r="AE45" i="13"/>
  <c r="AJ45" i="13"/>
  <c r="M45" i="13"/>
  <c r="AS42" i="13"/>
  <c r="AF45" i="13"/>
  <c r="S45" i="13"/>
  <c r="AR45" i="13"/>
  <c r="AB45" i="13"/>
  <c r="Y45" i="13"/>
  <c r="R45" i="13"/>
  <c r="K45" i="13"/>
  <c r="I45" i="13"/>
  <c r="L45" i="13"/>
  <c r="AP45" i="13"/>
  <c r="N45" i="13"/>
  <c r="Q45" i="13"/>
  <c r="AM45" i="13"/>
  <c r="W45" i="13"/>
  <c r="AI45" i="13"/>
  <c r="AD45" i="13"/>
  <c r="AQ45" i="13"/>
  <c r="O45" i="13"/>
  <c r="V45" i="13"/>
  <c r="T45" i="13"/>
  <c r="AK45" i="13"/>
  <c r="AL45" i="13"/>
  <c r="J45" i="13"/>
  <c r="AN45" i="13"/>
  <c r="P45" i="13"/>
  <c r="AC45" i="13"/>
  <c r="AG45" i="13"/>
  <c r="Z45" i="13"/>
  <c r="AO45" i="13"/>
  <c r="AH45" i="13"/>
  <c r="AA45" i="13"/>
  <c r="X45" i="13"/>
  <c r="U45" i="13"/>
  <c r="W111" i="15"/>
  <c r="C11" i="3"/>
  <c r="N74" i="2"/>
  <c r="M105" i="2"/>
  <c r="N102" i="2"/>
  <c r="W183" i="15"/>
  <c r="BU273" i="1"/>
  <c r="C7" i="3" s="1"/>
  <c r="D352" i="15" l="1"/>
  <c r="BZ54" i="1"/>
  <c r="F351" i="15"/>
  <c r="Q351" i="15" s="1"/>
  <c r="E352" i="15"/>
  <c r="F341" i="15"/>
  <c r="Q341" i="15" s="1"/>
  <c r="D342" i="15"/>
  <c r="F342" i="15" s="1"/>
  <c r="Q342" i="15" s="1"/>
  <c r="F350" i="15"/>
  <c r="Q350" i="15" s="1"/>
  <c r="F340" i="15"/>
  <c r="Q340" i="15" s="1"/>
  <c r="BZ37" i="1"/>
  <c r="BZ40" i="1"/>
  <c r="BZ43" i="1"/>
  <c r="BZ44" i="1"/>
  <c r="BZ41" i="1"/>
  <c r="BZ32" i="1"/>
  <c r="BZ58" i="1"/>
  <c r="BZ31" i="1"/>
  <c r="BZ59" i="1"/>
  <c r="BZ18" i="1"/>
  <c r="BZ35" i="1"/>
  <c r="BZ34" i="1"/>
  <c r="BZ28" i="1"/>
  <c r="BZ27" i="1"/>
  <c r="BZ26" i="1"/>
  <c r="BZ21" i="1"/>
  <c r="BZ22" i="1"/>
  <c r="BZ30" i="1"/>
  <c r="BZ23" i="1"/>
  <c r="BZ17" i="1"/>
  <c r="BZ20" i="1"/>
  <c r="BZ60" i="1"/>
  <c r="BZ47" i="1"/>
  <c r="I81" i="2"/>
  <c r="C8" i="3"/>
  <c r="BZ49" i="1"/>
  <c r="BZ48" i="1"/>
  <c r="X72" i="15"/>
  <c r="BZ61" i="1"/>
  <c r="BZ73" i="1"/>
  <c r="BZ65" i="1"/>
  <c r="BZ263" i="1"/>
  <c r="BZ57" i="1"/>
  <c r="BZ52" i="1"/>
  <c r="BZ56" i="1"/>
  <c r="BZ51" i="1"/>
  <c r="BZ55" i="1"/>
  <c r="M109" i="2"/>
  <c r="Q113" i="2" s="1"/>
  <c r="Q115" i="2" s="1"/>
  <c r="R114" i="2" s="1"/>
  <c r="N105" i="2"/>
  <c r="F69" i="2"/>
  <c r="F352" i="15" l="1"/>
  <c r="G346" i="15"/>
  <c r="G340" i="15"/>
  <c r="G341" i="15"/>
  <c r="E20" i="6"/>
  <c r="F20" i="6" s="1"/>
  <c r="D25" i="24"/>
  <c r="N108" i="2"/>
  <c r="M112" i="2"/>
  <c r="DY274" i="1"/>
  <c r="C16" i="3" s="1"/>
  <c r="N107" i="2"/>
  <c r="G356" i="15" l="1"/>
  <c r="Q352" i="15"/>
  <c r="E21" i="6"/>
  <c r="E23" i="6" s="1"/>
  <c r="E28" i="6" s="1"/>
  <c r="Y58" i="2"/>
  <c r="D26" i="24"/>
  <c r="V3" i="15"/>
  <c r="Y61" i="2"/>
  <c r="N111" i="2"/>
  <c r="V3" i="26"/>
  <c r="W3" i="26" s="1"/>
  <c r="C17" i="3" s="1"/>
  <c r="M117" i="2"/>
  <c r="M119" i="2" s="1"/>
  <c r="M120" i="2" s="1"/>
  <c r="K2" i="25"/>
  <c r="G357" i="15" l="1"/>
  <c r="G347" i="15"/>
  <c r="C40" i="13"/>
  <c r="W3" i="15"/>
  <c r="C14" i="3" s="1"/>
  <c r="V39" i="15"/>
  <c r="W39" i="15" s="1"/>
  <c r="F21" i="6"/>
  <c r="F23" i="6" s="1"/>
  <c r="F28" i="6" s="1"/>
  <c r="F29" i="6" s="1"/>
  <c r="E29" i="6"/>
  <c r="G5" i="24" l="1"/>
  <c r="E40" i="13"/>
  <c r="H28" i="6"/>
  <c r="H29" i="6" s="1"/>
  <c r="M73" i="2" l="1"/>
  <c r="M74" i="2" s="1"/>
  <c r="M136" i="2" s="1"/>
  <c r="M137" i="2" s="1"/>
  <c r="G7" i="24" l="1"/>
  <c r="C42" i="13"/>
  <c r="E42" i="13" s="1"/>
  <c r="G10" i="24"/>
  <c r="C43" i="13"/>
  <c r="E43" i="13" s="1"/>
  <c r="G8" i="24"/>
  <c r="C45" i="13"/>
  <c r="E45" i="13" s="1"/>
  <c r="G12" i="24"/>
  <c r="C47" i="13"/>
  <c r="E47" i="13" s="1"/>
  <c r="C41" i="13" l="1"/>
  <c r="E41" i="13" s="1"/>
  <c r="G6" i="24"/>
  <c r="G9" i="24"/>
  <c r="V79" i="2"/>
  <c r="C44" i="13"/>
  <c r="C46" i="13"/>
  <c r="G11" i="24"/>
  <c r="K40" i="13" l="1"/>
  <c r="K43" i="13" s="1"/>
  <c r="S40" i="13"/>
  <c r="S43" i="13" s="1"/>
  <c r="R40" i="13"/>
  <c r="R43" i="13" s="1"/>
  <c r="Q40" i="13"/>
  <c r="Q43" i="13" s="1"/>
  <c r="T40" i="13"/>
  <c r="T43" i="13" s="1"/>
  <c r="I40" i="13"/>
  <c r="I43" i="13" s="1"/>
  <c r="I46" i="13" s="1"/>
  <c r="I47" i="13" s="1"/>
  <c r="I48" i="13" s="1"/>
  <c r="V80" i="2"/>
  <c r="C10" i="3" s="1"/>
  <c r="M40" i="13"/>
  <c r="M43" i="13" s="1"/>
  <c r="AP40" i="13"/>
  <c r="AP43" i="13" s="1"/>
  <c r="AR40" i="13"/>
  <c r="AR43" i="13" s="1"/>
  <c r="AL40" i="13"/>
  <c r="AL43" i="13" s="1"/>
  <c r="AN40" i="13"/>
  <c r="AN43" i="13" s="1"/>
  <c r="AH40" i="13"/>
  <c r="AH43" i="13" s="1"/>
  <c r="P40" i="13"/>
  <c r="P43" i="13" s="1"/>
  <c r="X40" i="13"/>
  <c r="X43" i="13" s="1"/>
  <c r="AI40" i="13"/>
  <c r="AI43" i="13" s="1"/>
  <c r="AF40" i="13"/>
  <c r="AF43" i="13" s="1"/>
  <c r="Z40" i="13"/>
  <c r="Z43" i="13" s="1"/>
  <c r="AB40" i="13"/>
  <c r="AB43" i="13" s="1"/>
  <c r="N40" i="13"/>
  <c r="N43" i="13" s="1"/>
  <c r="L40" i="13"/>
  <c r="L43" i="13" s="1"/>
  <c r="O40" i="13"/>
  <c r="O43" i="13" s="1"/>
  <c r="AQ40" i="13"/>
  <c r="AQ43" i="13" s="1"/>
  <c r="J40" i="13"/>
  <c r="J43" i="13" s="1"/>
  <c r="AM40" i="13"/>
  <c r="AM43" i="13" s="1"/>
  <c r="Y40" i="13"/>
  <c r="Y43" i="13" s="1"/>
  <c r="AK40" i="13"/>
  <c r="AK43" i="13" s="1"/>
  <c r="AE40" i="13"/>
  <c r="AE43" i="13" s="1"/>
  <c r="AG40" i="13"/>
  <c r="AG43" i="13" s="1"/>
  <c r="AA40" i="13"/>
  <c r="AA43" i="13" s="1"/>
  <c r="AC40" i="13"/>
  <c r="AC43" i="13" s="1"/>
  <c r="W40" i="13"/>
  <c r="W43" i="13" s="1"/>
  <c r="AJ40" i="13"/>
  <c r="AJ43" i="13" s="1"/>
  <c r="AD40" i="13"/>
  <c r="AD43" i="13" s="1"/>
  <c r="AO40" i="13"/>
  <c r="AO43" i="13" s="1"/>
  <c r="V40" i="13"/>
  <c r="V43" i="13" s="1"/>
  <c r="E44" i="13"/>
  <c r="U40" i="13"/>
  <c r="E46" i="13"/>
  <c r="J46" i="13" l="1"/>
  <c r="J47" i="13" s="1"/>
  <c r="J48" i="13" s="1"/>
  <c r="N46" i="13"/>
  <c r="N47" i="13" s="1"/>
  <c r="N48" i="13" s="1"/>
  <c r="M46" i="13"/>
  <c r="M47" i="13" s="1"/>
  <c r="M48" i="13" s="1"/>
  <c r="K46" i="13"/>
  <c r="K47" i="13" s="1"/>
  <c r="K48" i="13" s="1"/>
  <c r="P46" i="13"/>
  <c r="P47" i="13" s="1"/>
  <c r="P48" i="13" s="1"/>
  <c r="L46" i="13"/>
  <c r="L47" i="13" s="1"/>
  <c r="L48" i="13" s="1"/>
  <c r="O46" i="13"/>
  <c r="O47" i="13" s="1"/>
  <c r="O48" i="13" s="1"/>
  <c r="Q46" i="13"/>
  <c r="Q47" i="13" s="1"/>
  <c r="Q48" i="13" s="1"/>
  <c r="R46" i="13"/>
  <c r="R47" i="13" s="1"/>
  <c r="R48" i="13" s="1"/>
  <c r="S46" i="13"/>
  <c r="S47" i="13" s="1"/>
  <c r="S48" i="13" s="1"/>
  <c r="T46" i="13"/>
  <c r="T47" i="13" s="1"/>
  <c r="T48" i="13" s="1"/>
  <c r="U43" i="13"/>
  <c r="AS40" i="13"/>
  <c r="AT40" i="13" s="1"/>
  <c r="C9" i="3" s="1"/>
  <c r="AS43" i="13" l="1"/>
  <c r="AM46" i="13"/>
  <c r="AM47" i="13" s="1"/>
  <c r="AM48" i="13" s="1"/>
  <c r="AQ46" i="13"/>
  <c r="AQ47" i="13" s="1"/>
  <c r="AQ48" i="13" s="1"/>
  <c r="AJ46" i="13"/>
  <c r="AJ47" i="13" s="1"/>
  <c r="AJ48" i="13" s="1"/>
  <c r="AN46" i="13"/>
  <c r="AN47" i="13" s="1"/>
  <c r="AN48" i="13" s="1"/>
  <c r="AB46" i="13"/>
  <c r="AB47" i="13" s="1"/>
  <c r="AB48" i="13" s="1"/>
  <c r="W46" i="13"/>
  <c r="W47" i="13" s="1"/>
  <c r="W48" i="13" s="1"/>
  <c r="AL46" i="13"/>
  <c r="AL47" i="13" s="1"/>
  <c r="AL48" i="13" s="1"/>
  <c r="U46" i="13"/>
  <c r="U47" i="13" s="1"/>
  <c r="U48" i="13" s="1"/>
  <c r="AG46" i="13"/>
  <c r="AG47" i="13" s="1"/>
  <c r="AG48" i="13" s="1"/>
  <c r="AF46" i="13"/>
  <c r="AF47" i="13" s="1"/>
  <c r="AF48" i="13" s="1"/>
  <c r="AA46" i="13"/>
  <c r="AA47" i="13" s="1"/>
  <c r="AA48" i="13" s="1"/>
  <c r="AR46" i="13"/>
  <c r="AR47" i="13" s="1"/>
  <c r="AR48" i="13" s="1"/>
  <c r="X46" i="13"/>
  <c r="X47" i="13" s="1"/>
  <c r="X48" i="13" s="1"/>
  <c r="AD46" i="13"/>
  <c r="AD47" i="13" s="1"/>
  <c r="AD48" i="13" s="1"/>
  <c r="AE46" i="13"/>
  <c r="AE47" i="13" s="1"/>
  <c r="AE48" i="13" s="1"/>
  <c r="AP46" i="13"/>
  <c r="AP47" i="13" s="1"/>
  <c r="AP48" i="13" s="1"/>
  <c r="AK46" i="13"/>
  <c r="AK47" i="13" s="1"/>
  <c r="AK48" i="13" s="1"/>
  <c r="AH46" i="13"/>
  <c r="AH47" i="13" s="1"/>
  <c r="AH48" i="13" s="1"/>
  <c r="V46" i="13"/>
  <c r="V47" i="13" s="1"/>
  <c r="V48" i="13" s="1"/>
  <c r="AI46" i="13"/>
  <c r="AI47" i="13" s="1"/>
  <c r="AI48" i="13" s="1"/>
  <c r="AC46" i="13"/>
  <c r="AC47" i="13" s="1"/>
  <c r="AC48" i="13" s="1"/>
  <c r="AO46" i="13"/>
  <c r="AO47" i="13" s="1"/>
  <c r="AO48" i="13" s="1"/>
  <c r="Y46" i="13"/>
  <c r="Y47" i="13" s="1"/>
  <c r="Y48" i="13" s="1"/>
  <c r="Z46" i="13"/>
  <c r="Z47" i="13" s="1"/>
  <c r="Z48" i="13" s="1"/>
  <c r="AS48" i="13" l="1"/>
  <c r="E138" i="2" l="1"/>
  <c r="O10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Guido</author>
  </authors>
  <commentList>
    <comment ref="X63" authorId="0" shapeId="0" xr:uid="{0EDD6DE9-669E-4E0E-A39C-9038D6669CB4}">
      <text>
        <r>
          <rPr>
            <b/>
            <sz val="9"/>
            <color indexed="81"/>
            <rFont val="Tahoma"/>
            <family val="2"/>
          </rPr>
          <t>Guido:</t>
        </r>
        <r>
          <rPr>
            <sz val="9"/>
            <color indexed="81"/>
            <rFont val="Tahoma"/>
            <family val="2"/>
          </rPr>
          <t xml:space="preserve">
Sem cobertura, para calibrar a garantia sem referência circular.</t>
        </r>
      </text>
    </comment>
    <comment ref="L69" authorId="0" shapeId="0" xr:uid="{00000000-0006-0000-0200-000001000000}">
      <text>
        <r>
          <rPr>
            <sz val="9"/>
            <color indexed="81"/>
            <rFont val="Tahoma"/>
            <family val="2"/>
          </rPr>
          <t>REIDI isenta o fornecimento do PIS/COFINS</t>
        </r>
      </text>
    </comment>
    <comment ref="E70" authorId="0" shapeId="0" xr:uid="{00000000-0006-0000-0200-000002000000}">
      <text>
        <r>
          <rPr>
            <b/>
            <sz val="9"/>
            <color indexed="81"/>
            <rFont val="Tahoma"/>
            <family val="2"/>
          </rPr>
          <t>Guido:</t>
        </r>
        <r>
          <rPr>
            <sz val="9"/>
            <color indexed="81"/>
            <rFont val="Tahoma"/>
            <family val="2"/>
          </rPr>
          <t xml:space="preserve">
Margem bruta</t>
        </r>
      </text>
    </comment>
    <comment ref="E71" authorId="0" shapeId="0" xr:uid="{00000000-0006-0000-0200-000003000000}">
      <text>
        <r>
          <rPr>
            <b/>
            <sz val="9"/>
            <color indexed="81"/>
            <rFont val="Tahoma"/>
            <family val="2"/>
          </rPr>
          <t>Guido:</t>
        </r>
        <r>
          <rPr>
            <sz val="9"/>
            <color indexed="81"/>
            <rFont val="Tahoma"/>
            <family val="2"/>
          </rPr>
          <t xml:space="preserve">
Margem de negociação</t>
        </r>
      </text>
    </comment>
    <comment ref="N74" authorId="0" shapeId="0" xr:uid="{00000000-0006-0000-0200-000004000000}">
      <text>
        <r>
          <rPr>
            <sz val="9"/>
            <color indexed="81"/>
            <rFont val="Tahoma"/>
            <family val="2"/>
          </rPr>
          <t>Se ocorrer ERRO, provavelmente há linhas no Escopo que não estão marcados NEM como presumido NEM como real.</t>
        </r>
      </text>
    </comment>
    <comment ref="L111" authorId="0" shapeId="0" xr:uid="{00000000-0006-0000-0200-000006000000}">
      <text>
        <r>
          <rPr>
            <sz val="9"/>
            <color indexed="81"/>
            <rFont val="Tahoma"/>
            <family val="2"/>
          </rPr>
          <t>Faturamento direto está com IPI e MN inclusos</t>
        </r>
      </text>
    </comment>
    <comment ref="L118" authorId="0" shapeId="0" xr:uid="{00000000-0006-0000-0200-000007000000}">
      <text>
        <r>
          <rPr>
            <sz val="9"/>
            <color indexed="81"/>
            <rFont val="Tahoma"/>
            <family val="2"/>
          </rPr>
          <t>PV Bruto com IPI</t>
        </r>
      </text>
    </comment>
    <comment ref="L122" authorId="0" shapeId="0" xr:uid="{00000000-0006-0000-0200-000008000000}">
      <text>
        <r>
          <rPr>
            <sz val="9"/>
            <color indexed="81"/>
            <rFont val="Tahoma"/>
            <family val="2"/>
          </rPr>
          <t>Zera o Delta Target utilizando essa célula. Utilize com cautela.</t>
        </r>
      </text>
    </comment>
    <comment ref="M129" authorId="0" shapeId="0" xr:uid="{00000000-0006-0000-0200-000009000000}">
      <text>
        <r>
          <rPr>
            <sz val="9"/>
            <color indexed="81"/>
            <rFont val="Tahoma"/>
            <family val="2"/>
          </rPr>
          <t>Forçar % de frete para bater com o valor absoluto estipulado aqui.</t>
        </r>
      </text>
    </comment>
    <comment ref="M134" authorId="0" shapeId="0" xr:uid="{00000000-0006-0000-0200-00000A000000}">
      <text>
        <r>
          <rPr>
            <sz val="9"/>
            <color indexed="81"/>
            <rFont val="Tahoma"/>
            <family val="2"/>
          </rPr>
          <t>Forçar NOPAT via MB</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Guido</author>
  </authors>
  <commentList>
    <comment ref="AC6" authorId="0" shapeId="0" xr:uid="{00000000-0006-0000-0300-000001000000}">
      <text>
        <r>
          <rPr>
            <sz val="9"/>
            <color indexed="81"/>
            <rFont val="Tahoma"/>
            <family val="2"/>
          </rPr>
          <t>Frete, seguro, garantia, risco, custo financeiro</t>
        </r>
      </text>
    </comment>
    <comment ref="BZ6" authorId="0" shapeId="0" xr:uid="{00000000-0006-0000-0300-000002000000}">
      <text>
        <r>
          <rPr>
            <sz val="9"/>
            <color indexed="81"/>
            <rFont val="Tahoma"/>
            <family val="2"/>
          </rPr>
          <t>Custo direto ponderado pelo fator de dedutibilidade, mais impostos.</t>
        </r>
      </text>
    </comment>
    <comment ref="CR6" authorId="0" shapeId="0" xr:uid="{00000000-0006-0000-0300-000003000000}">
      <text>
        <r>
          <rPr>
            <sz val="9"/>
            <color indexed="81"/>
            <rFont val="Tahoma"/>
            <family val="2"/>
          </rPr>
          <t>Deve constar na coluna "Tipo de Linha" a mesma classificação que consta na aba Padrões. Um indicativo de erro é gerado caso esteja diferente.</t>
        </r>
      </text>
    </comment>
    <comment ref="CS6" authorId="0" shapeId="0" xr:uid="{00000000-0006-0000-0300-000004000000}">
      <text>
        <r>
          <rPr>
            <sz val="9"/>
            <color indexed="81"/>
            <rFont val="Tahoma"/>
            <family val="2"/>
          </rPr>
          <t>Faturamento direto não é compatível com padrões. Um indicativo de erro é mostrado caso seja padrão e faturamento direto.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Guido</author>
  </authors>
  <commentList>
    <comment ref="AJ43" authorId="0" shapeId="0" xr:uid="{00000000-0006-0000-0400-000001000000}">
      <text>
        <r>
          <rPr>
            <b/>
            <sz val="9"/>
            <color indexed="81"/>
            <rFont val="Tahoma"/>
            <family val="2"/>
          </rPr>
          <t>Guido:</t>
        </r>
        <r>
          <rPr>
            <sz val="9"/>
            <color indexed="81"/>
            <rFont val="Tahoma"/>
            <family val="2"/>
          </rPr>
          <t xml:space="preserve">
Câmbio referência para itens importados por terceiros, será considerado no cálculo da Exposição Cambial Indireta. Não colocar o câmbio da oferta, mas sim o PTAX do dia anterior a ela.</t>
        </r>
      </text>
    </comment>
    <comment ref="J44" authorId="0" shapeId="0" xr:uid="{00000000-0006-0000-0400-000002000000}">
      <text/>
    </comment>
    <comment ref="K44" authorId="0" shapeId="0" xr:uid="{00000000-0006-0000-0400-000003000000}">
      <text>
        <r>
          <rPr>
            <sz val="9"/>
            <color indexed="81"/>
            <rFont val="Tahoma"/>
            <family val="2"/>
          </rPr>
          <t>Regime de Lucro Presumido nunca toma crédito de PIS/COFINS.</t>
        </r>
      </text>
    </comment>
    <comment ref="L44" authorId="0" shapeId="0" xr:uid="{00000000-0006-0000-0400-000004000000}">
      <text>
        <r>
          <rPr>
            <sz val="9"/>
            <color indexed="81"/>
            <rFont val="Tahoma"/>
            <family val="2"/>
          </rPr>
          <t>Regime de Lucro Real toma sempre crédito de PIS/COFINS à alíquota 9,25%.</t>
        </r>
      </text>
    </comment>
    <comment ref="AC44" authorId="0" shapeId="0" xr:uid="{00000000-0006-0000-0400-000005000000}">
      <text>
        <r>
          <rPr>
            <sz val="9"/>
            <color indexed="81"/>
            <rFont val="Tahoma"/>
            <family val="2"/>
          </rPr>
          <t>Preço bruto incluindo ICMS, PIS/COFINS, ISS, mas sem IPI
Nota ICMS: Se a proposta do fornecedor veio com ICMS ST, não há crédito de ICMS, portanto a coluna ICMS deve ser marcada com 0% e o item "ICMS diferido (ST)" deve ser marcado com SIM.
Nota IPI: Costumeiramente os fornecedores colocam seus preços sem IPI. Atentar a isso.
Nota PIS/COFINS: O crédito de PIS/COFINS depende do regime do comprador, e não do fornecedor. Não importa qual é a alíquota do fornecedor, NO ENTANTO É PRECISO QUE ELA ESTEJA INCLUSA.
Nota ISS: ISS é sempre custo, nunca toma-se crédito de ISS, por isso não é necessário destacar sua alíquota. NO ENTANTO É PRECISO QUE ELE ESTEJA INCLUSO.
Nota II: Não toma-se crédito do imposto de importação, por isso não é necessário destacar sua alíquota. NO ENTANTO É PRECISO QUE ELE ESTEJA INCLUSO.</t>
        </r>
      </text>
    </comment>
    <comment ref="AG44" authorId="0" shapeId="0" xr:uid="{00000000-0006-0000-0400-000006000000}">
      <text>
        <r>
          <rPr>
            <sz val="9"/>
            <color indexed="81"/>
            <rFont val="Tahoma"/>
            <family val="2"/>
          </rPr>
          <t>Se a proposta do fornecedor veio com ICMS ST, não há crédito de ICMS, portanto a coluna ICMS deve ser marcada com 0% e o item "ICMS diferido (ST)" deve ser marcado com SIM.</t>
        </r>
      </text>
    </comment>
    <comment ref="AH44" authorId="0" shapeId="0" xr:uid="{00000000-0006-0000-0400-000007000000}">
      <text>
        <r>
          <rPr>
            <b/>
            <sz val="9"/>
            <color indexed="81"/>
            <rFont val="Tahoma"/>
            <family val="2"/>
          </rPr>
          <t>Guido:</t>
        </r>
        <r>
          <rPr>
            <sz val="9"/>
            <color indexed="81"/>
            <rFont val="Tahoma"/>
            <family val="2"/>
          </rPr>
          <t xml:space="preserve">
Atenção, está na moeda de origem.</t>
        </r>
      </text>
    </comment>
    <comment ref="AM44" authorId="0" shapeId="0" xr:uid="{00000000-0006-0000-0400-000008000000}">
      <text>
        <r>
          <rPr>
            <b/>
            <sz val="9"/>
            <color indexed="81"/>
            <rFont val="Tahoma"/>
            <family val="2"/>
          </rPr>
          <t>Guido:</t>
        </r>
        <r>
          <rPr>
            <sz val="9"/>
            <color indexed="81"/>
            <rFont val="Tahoma"/>
            <family val="2"/>
          </rPr>
          <t xml:space="preserve">
Calcula a exposição cambial em itens importados por terceiros, com base na comparação entre o câmbio atual e o câmbio da proposta.</t>
        </r>
      </text>
    </comment>
    <comment ref="E1272" authorId="0" shapeId="0" xr:uid="{00000000-0006-0000-0400-000009000000}">
      <text>
        <r>
          <rPr>
            <sz val="9"/>
            <color indexed="81"/>
            <rFont val="Tahoma"/>
            <family val="2"/>
          </rPr>
          <t>X % ou 1 peça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Guido</author>
  </authors>
  <commentList>
    <comment ref="H4" authorId="0" shapeId="0" xr:uid="{AF1FECD3-ED22-4557-94E7-7BC504DC1457}">
      <text>
        <r>
          <rPr>
            <b/>
            <sz val="9"/>
            <color indexed="81"/>
            <rFont val="Tahoma"/>
            <charset val="1"/>
          </rPr>
          <t>Guido:</t>
        </r>
        <r>
          <rPr>
            <sz val="9"/>
            <color indexed="81"/>
            <rFont val="Tahoma"/>
            <charset val="1"/>
          </rPr>
          <t xml:space="preserve">
Além do projeto do painel, revisão da arquitetura de rede.</t>
        </r>
      </text>
    </comment>
    <comment ref="H6" authorId="0" shapeId="0" xr:uid="{5FC71D4F-CCDE-46E1-816C-1296DFDBB782}">
      <text>
        <r>
          <rPr>
            <b/>
            <sz val="9"/>
            <color indexed="81"/>
            <rFont val="Tahoma"/>
            <charset val="1"/>
          </rPr>
          <t>Guido:</t>
        </r>
        <r>
          <rPr>
            <sz val="9"/>
            <color indexed="81"/>
            <rFont val="Tahoma"/>
            <charset val="1"/>
          </rPr>
          <t xml:space="preserve">
Levantamento da arquitetura.</t>
        </r>
      </text>
    </comment>
    <comment ref="H7" authorId="0" shapeId="0" xr:uid="{61FC3977-96A8-46F2-A200-8DEA30B76FE6}">
      <text>
        <r>
          <rPr>
            <b/>
            <sz val="9"/>
            <color indexed="81"/>
            <rFont val="Tahoma"/>
            <charset val="1"/>
          </rPr>
          <t>Guido:</t>
        </r>
        <r>
          <rPr>
            <sz val="9"/>
            <color indexed="81"/>
            <rFont val="Tahoma"/>
            <charset val="1"/>
          </rPr>
          <t xml:space="preserve">
Escopo TR vem do TR, demais vãos vêm da STD. ET é clara quando diz que TODA a SE precisa ser vista no SAGE.</t>
        </r>
      </text>
    </comment>
    <comment ref="H10" authorId="0" shapeId="0" xr:uid="{8322D0AA-F735-47E4-9296-40F188C3CD14}">
      <text>
        <r>
          <rPr>
            <b/>
            <sz val="9"/>
            <color indexed="81"/>
            <rFont val="Tahoma"/>
            <charset val="1"/>
          </rPr>
          <t>Guido:</t>
        </r>
        <r>
          <rPr>
            <sz val="9"/>
            <color indexed="81"/>
            <rFont val="Tahoma"/>
            <charset val="1"/>
          </rPr>
          <t xml:space="preserve">
ET afirma que forçar pontos de proteção é escopo do fornecedor da proteção; entendo, no entanto, que teremos que ficar "no lado do SAGE" para receber os pontos. Também será preciso receber os pontos da STD, e não está muito claro para mim se isso será feito por amostragem (penso ser o mais provável dado que está em operação) ou total; de qualquer maneira não será relé por relé, pois o relé é escopo do fornecedor da proteção, e o fornecedor da proteção não está fornecendo a SE toda, mas apenas o TR. Esse é o ponto mais importante para ser bem amarrado no WS.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Guido</author>
  </authors>
  <commentList>
    <comment ref="AS48" authorId="0" shapeId="0" xr:uid="{00000000-0006-0000-0900-000001000000}">
      <text>
        <r>
          <rPr>
            <sz val="9"/>
            <color indexed="81"/>
            <rFont val="Tahoma"/>
            <family val="2"/>
          </rPr>
          <t>Se no final CF der positivo, significa que houve ganho de CF. Nesse caso, o custo ficará zerado.</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Guido</author>
  </authors>
  <commentList>
    <comment ref="G1" authorId="0" shapeId="0" xr:uid="{00000000-0006-0000-0B00-000001000000}">
      <text>
        <r>
          <rPr>
            <sz val="9"/>
            <color indexed="81"/>
            <rFont val="Tahoma"/>
            <family val="2"/>
          </rPr>
          <t>Alíquota interna de ICMS.</t>
        </r>
      </text>
    </comment>
    <comment ref="AI1" authorId="0" shapeId="0" xr:uid="{00000000-0006-0000-0B00-000002000000}">
      <text>
        <r>
          <rPr>
            <sz val="9"/>
            <color indexed="81"/>
            <rFont val="Tahoma"/>
            <family val="2"/>
          </rPr>
          <t>Basta marcar com x caso tenha DIFAL. O cálculo será feito observando as alíquotas internas da tabela ao lado ou, na ausência desses dados, com as alíquotas cheias na tabela de ICMS da aba Tributos 1.</t>
        </r>
      </text>
    </comment>
    <comment ref="BK1" authorId="0" shapeId="0" xr:uid="{00000000-0006-0000-0B00-000003000000}">
      <text>
        <r>
          <rPr>
            <sz val="9"/>
            <color indexed="81"/>
            <rFont val="Tahoma"/>
            <family val="2"/>
          </rPr>
          <t>Se houver ST para a UF destino, colocar o MVA. MVA zero significa que não há ICMS ST.</t>
        </r>
      </text>
    </comment>
    <comment ref="A2" authorId="0" shapeId="0" xr:uid="{00000000-0006-0000-0B00-000004000000}">
      <text>
        <r>
          <rPr>
            <sz val="9"/>
            <color indexed="81"/>
            <rFont val="Tahoma"/>
            <family val="2"/>
          </rPr>
          <t>Importate: Os pontos são incluídos automaticamente.</t>
        </r>
      </text>
    </comment>
    <comment ref="C2" authorId="0" shapeId="0" xr:uid="{00000000-0006-0000-0B00-000005000000}">
      <text>
        <r>
          <rPr>
            <sz val="9"/>
            <color indexed="81"/>
            <rFont val="Tahoma"/>
            <family val="2"/>
          </rPr>
          <t>Em caso de itens incentivados, destacar aqui os documentos que comprovam as reduções e guardá-los na pasta para acesso dde interessados.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Guido</author>
  </authors>
  <commentList>
    <comment ref="AI4" authorId="0" shapeId="0" xr:uid="{00000000-0006-0000-0C00-000001000000}">
      <text>
        <r>
          <rPr>
            <sz val="9"/>
            <color indexed="81"/>
            <rFont val="Tahoma"/>
            <family val="2"/>
          </rPr>
          <t>Do custo direto do material ou serviço, qual o % que será abatido da base do IRPJ+CSLL do Lucro Real?</t>
        </r>
      </text>
    </comment>
    <comment ref="AK38" authorId="0" shapeId="0" xr:uid="{00000000-0006-0000-0C00-000002000000}">
      <text>
        <r>
          <rPr>
            <sz val="9"/>
            <color indexed="81"/>
            <rFont val="Tahoma"/>
            <family val="2"/>
          </rPr>
          <t>Recuperável das coberturas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Guido</author>
  </authors>
  <commentList>
    <comment ref="B8" authorId="0" shapeId="0" xr:uid="{00000000-0006-0000-0F00-000001000000}">
      <text>
        <r>
          <rPr>
            <b/>
            <sz val="9"/>
            <color indexed="81"/>
            <rFont val="Tahoma"/>
            <family val="2"/>
          </rPr>
          <t>Guido:</t>
        </r>
        <r>
          <rPr>
            <sz val="9"/>
            <color indexed="81"/>
            <rFont val="Tahoma"/>
            <family val="2"/>
          </rPr>
          <t xml:space="preserve">
Checa se a comissão foi lançada.</t>
        </r>
      </text>
    </comment>
    <comment ref="B12" authorId="0" shapeId="0" xr:uid="{00000000-0006-0000-0F00-000002000000}">
      <text>
        <r>
          <rPr>
            <b/>
            <sz val="9"/>
            <color indexed="81"/>
            <rFont val="Tahoma"/>
            <family val="2"/>
          </rPr>
          <t>Guido:</t>
        </r>
        <r>
          <rPr>
            <sz val="9"/>
            <color indexed="81"/>
            <rFont val="Tahoma"/>
            <family val="2"/>
          </rPr>
          <t xml:space="preserve">
Todos os padrões utilizados devem ser classificados com a mesma NCM. Checa isso.</t>
        </r>
      </text>
    </comment>
    <comment ref="B13" authorId="0" shapeId="0" xr:uid="{00000000-0006-0000-0F00-000003000000}">
      <text>
        <r>
          <rPr>
            <b/>
            <sz val="9"/>
            <color indexed="81"/>
            <rFont val="Tahoma"/>
            <family val="2"/>
          </rPr>
          <t>Guido:</t>
        </r>
        <r>
          <rPr>
            <sz val="9"/>
            <color indexed="81"/>
            <rFont val="Tahoma"/>
            <family val="2"/>
          </rPr>
          <t xml:space="preserve">
Padrão não pode estar em FD. Checa isso.</t>
        </r>
      </text>
    </comment>
    <comment ref="B14" authorId="0" shapeId="0" xr:uid="{00000000-0006-0000-0F00-000004000000}">
      <text>
        <r>
          <rPr>
            <b/>
            <sz val="9"/>
            <color indexed="81"/>
            <rFont val="Tahoma"/>
            <family val="2"/>
          </rPr>
          <t>Guido:</t>
        </r>
        <r>
          <rPr>
            <sz val="9"/>
            <color indexed="81"/>
            <rFont val="Tahoma"/>
            <family val="2"/>
          </rPr>
          <t xml:space="preserve">
Checa se a aba ABERTURA bate com os valores na proposta.</t>
        </r>
      </text>
    </comment>
    <comment ref="B15" authorId="0" shapeId="0" xr:uid="{00000000-0006-0000-0F00-000005000000}">
      <text>
        <r>
          <rPr>
            <b/>
            <sz val="9"/>
            <color indexed="81"/>
            <rFont val="Tahoma"/>
            <family val="2"/>
          </rPr>
          <t>Guido:</t>
        </r>
        <r>
          <rPr>
            <sz val="9"/>
            <color indexed="81"/>
            <rFont val="Tahoma"/>
            <family val="2"/>
          </rPr>
          <t xml:space="preserve">
A aba ESCOPO possui linhas de materiais exclusivas para os padrões. Checa se essas linhas todas, somadas, chegam ao mesmo valor da somatória dos padrões na aba PADRÕES. Basicamente confere se os padrões foram contabilizados corretamente na proposta.</t>
        </r>
      </text>
    </comment>
    <comment ref="B16" authorId="0" shapeId="0" xr:uid="{00000000-0006-0000-0F00-000006000000}">
      <text>
        <r>
          <rPr>
            <b/>
            <sz val="9"/>
            <color indexed="81"/>
            <rFont val="Tahoma"/>
            <family val="2"/>
          </rPr>
          <t>Guido:</t>
        </r>
        <r>
          <rPr>
            <sz val="9"/>
            <color indexed="81"/>
            <rFont val="Tahoma"/>
            <family val="2"/>
          </rPr>
          <t xml:space="preserve">
Checa se os valores dos itens de padrões foram lançados corretamente na aba ABERTURA PADRÕES.</t>
        </r>
      </text>
    </comment>
    <comment ref="B17" authorId="0" shapeId="0" xr:uid="{00000000-0006-0000-0F00-000007000000}">
      <text>
        <r>
          <rPr>
            <b/>
            <sz val="9"/>
            <color indexed="81"/>
            <rFont val="Tahoma"/>
            <family val="2"/>
          </rPr>
          <t>Guido:</t>
        </r>
        <r>
          <rPr>
            <sz val="9"/>
            <color indexed="81"/>
            <rFont val="Tahoma"/>
            <family val="2"/>
          </rPr>
          <t xml:space="preserve">
Checa se a aba ABERTURA PADRÕES bate com os valores na proposta.</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<sst xmlns="http://schemas.openxmlformats.org/spreadsheetml/2006/main" count="12252" uniqueCount="3131">
  <si>
    <t>IPI [R$]</t>
  </si>
  <si>
    <t>ICMS [R$]</t>
  </si>
  <si>
    <t>ISS [R$]</t>
  </si>
  <si>
    <t>PIS [R$]</t>
  </si>
  <si>
    <t>COFINS [R$]</t>
  </si>
  <si>
    <t>ICMS Destino [%]</t>
  </si>
  <si>
    <t>DIFAL [%]</t>
  </si>
  <si>
    <t>DIFAL [R$]</t>
  </si>
  <si>
    <t>ICMS ST [R$]</t>
  </si>
  <si>
    <t>FINALIDADE</t>
  </si>
  <si>
    <t>MVA [%]</t>
  </si>
  <si>
    <t>Base ICMS ST [R$]</t>
  </si>
  <si>
    <t>QTD</t>
  </si>
  <si>
    <t>ITEM</t>
  </si>
  <si>
    <t>DIFAL?</t>
  </si>
  <si>
    <t>ST?</t>
  </si>
  <si>
    <t>ICMS</t>
  </si>
  <si>
    <t>IPI</t>
  </si>
  <si>
    <t>ISS</t>
  </si>
  <si>
    <t>PIS</t>
  </si>
  <si>
    <t>COFINS</t>
  </si>
  <si>
    <t>Check de Valores</t>
  </si>
  <si>
    <t>NCM</t>
  </si>
  <si>
    <t>Valores Totais dos Impostos</t>
  </si>
  <si>
    <t>ICMS Destino
[ST/DIFAL]</t>
  </si>
  <si>
    <t>MVA
[ST]</t>
  </si>
  <si>
    <t>Comissão</t>
  </si>
  <si>
    <t>Faturamento Direto</t>
  </si>
  <si>
    <t>Gerenciamento</t>
  </si>
  <si>
    <t>GdV</t>
  </si>
  <si>
    <t>Treinamento</t>
  </si>
  <si>
    <t xml:space="preserve">  Cabo elétrico</t>
  </si>
  <si>
    <t xml:space="preserve">  Cabo óptico</t>
  </si>
  <si>
    <t xml:space="preserve">  Bloco de teste</t>
  </si>
  <si>
    <t xml:space="preserve">  Comunicação</t>
  </si>
  <si>
    <t xml:space="preserve">  IED</t>
  </si>
  <si>
    <t xml:space="preserve">  Miscelânea</t>
  </si>
  <si>
    <t xml:space="preserve">  Chaparia</t>
  </si>
  <si>
    <t>Materiais</t>
  </si>
  <si>
    <t xml:space="preserve">Cliente Direto </t>
  </si>
  <si>
    <t xml:space="preserve">Cliente Final </t>
  </si>
  <si>
    <t xml:space="preserve">  Custo Financeiro</t>
  </si>
  <si>
    <t>Coberturas</t>
  </si>
  <si>
    <t xml:space="preserve">  Frete/Seguro</t>
  </si>
  <si>
    <t xml:space="preserve">  Garantia</t>
  </si>
  <si>
    <t xml:space="preserve">  Risco</t>
  </si>
  <si>
    <t xml:space="preserve">MN </t>
  </si>
  <si>
    <t xml:space="preserve">Cobertura Total </t>
  </si>
  <si>
    <t>Coberturas [%]</t>
  </si>
  <si>
    <t>MN [%]</t>
  </si>
  <si>
    <t>Coberturas [R$]</t>
  </si>
  <si>
    <t>MN [R$]</t>
  </si>
  <si>
    <t>Sim</t>
  </si>
  <si>
    <t>Não</t>
  </si>
  <si>
    <t>SimOuNão</t>
  </si>
  <si>
    <t>Finalidade</t>
  </si>
  <si>
    <t>Fat. Direto</t>
  </si>
  <si>
    <t>1ª Camada de Margens [%]</t>
  </si>
  <si>
    <t>1ª Camada de Margens [R$]</t>
  </si>
  <si>
    <t>Margem de Negociação</t>
  </si>
  <si>
    <t xml:space="preserve">  Relé auxiliar</t>
  </si>
  <si>
    <t>Preço Líquido</t>
  </si>
  <si>
    <t>Custo Total</t>
  </si>
  <si>
    <t>Custos</t>
  </si>
  <si>
    <t>Check Valores</t>
  </si>
  <si>
    <t>TAF</t>
  </si>
  <si>
    <t>x</t>
  </si>
  <si>
    <t>% Preço Líquido sem MN</t>
  </si>
  <si>
    <t xml:space="preserve">Cobertura </t>
  </si>
  <si>
    <t xml:space="preserve">Custo </t>
  </si>
  <si>
    <t xml:space="preserve">Frete/Seguro </t>
  </si>
  <si>
    <t xml:space="preserve">Garantia </t>
  </si>
  <si>
    <t xml:space="preserve">Custo Financeiro </t>
  </si>
  <si>
    <t xml:space="preserve">Risco </t>
  </si>
  <si>
    <t xml:space="preserve">ICMS </t>
  </si>
  <si>
    <t xml:space="preserve">ISS </t>
  </si>
  <si>
    <t xml:space="preserve">PIS </t>
  </si>
  <si>
    <t xml:space="preserve">COFINS </t>
  </si>
  <si>
    <t xml:space="preserve">IPI </t>
  </si>
  <si>
    <t xml:space="preserve">DIFAL </t>
  </si>
  <si>
    <t xml:space="preserve">ICMS ST </t>
  </si>
  <si>
    <t xml:space="preserve">Custo Coberto </t>
  </si>
  <si>
    <t>Composição Tributária</t>
  </si>
  <si>
    <t>Composição Valor Líquido</t>
  </si>
  <si>
    <t>ALÍQUOTAS ESTADUAIS DE ICMS (SEM BENEFÍCIOS) DESTACADAS NA EMISSÃO FISCAL DE ORIGEM</t>
  </si>
  <si>
    <t>DESTINO</t>
  </si>
  <si>
    <t>AC</t>
  </si>
  <si>
    <t>AL</t>
  </si>
  <si>
    <t>AM</t>
  </si>
  <si>
    <t>AP</t>
  </si>
  <si>
    <t>BA</t>
  </si>
  <si>
    <t>CE</t>
  </si>
  <si>
    <t>DF</t>
  </si>
  <si>
    <t>ES</t>
  </si>
  <si>
    <t>GO</t>
  </si>
  <si>
    <t>MA</t>
  </si>
  <si>
    <t>MT</t>
  </si>
  <si>
    <t>MS</t>
  </si>
  <si>
    <t>MG</t>
  </si>
  <si>
    <t>PA</t>
  </si>
  <si>
    <t>PB</t>
  </si>
  <si>
    <t>PR</t>
  </si>
  <si>
    <t>PE</t>
  </si>
  <si>
    <t>PI</t>
  </si>
  <si>
    <t>RN</t>
  </si>
  <si>
    <t>RS</t>
  </si>
  <si>
    <t>RJ</t>
  </si>
  <si>
    <t>RO</t>
  </si>
  <si>
    <t>RR</t>
  </si>
  <si>
    <t>SC</t>
  </si>
  <si>
    <t>SP</t>
  </si>
  <si>
    <t>SE</t>
  </si>
  <si>
    <t>TO</t>
  </si>
  <si>
    <t>ORIGEM</t>
  </si>
  <si>
    <t>AC - ACRE</t>
  </si>
  <si>
    <t>AL - ALAGOAS</t>
  </si>
  <si>
    <t>AM - AMAZONAS</t>
  </si>
  <si>
    <t>AP - AMAPÁ</t>
  </si>
  <si>
    <t>BA - BAHIA</t>
  </si>
  <si>
    <t>CE - CEARÁ</t>
  </si>
  <si>
    <t>DF - DISTRITO FEDERAL</t>
  </si>
  <si>
    <t>ES - ESPÍRITO SANTO</t>
  </si>
  <si>
    <t>GO - GOIÁS</t>
  </si>
  <si>
    <t>MA - MARANHÃO</t>
  </si>
  <si>
    <t>MT - MATO GROSSO</t>
  </si>
  <si>
    <t>MS - MATO GROSSO DO SUL</t>
  </si>
  <si>
    <t>MG - MINAS GERAIS</t>
  </si>
  <si>
    <t>PA - PARÁ</t>
  </si>
  <si>
    <t>PB - PARAÍBA</t>
  </si>
  <si>
    <t>PR - PARANÁ</t>
  </si>
  <si>
    <t>PE - PERNAMBUCO</t>
  </si>
  <si>
    <t>PI - PIAUÍ</t>
  </si>
  <si>
    <t>RN - RIO GRANDE DO NORTE</t>
  </si>
  <si>
    <t>RS - RIO GRANDE DO SUL</t>
  </si>
  <si>
    <t>RJ - RIO DE JANEIRO</t>
  </si>
  <si>
    <t>RO - RONDÔNIA</t>
  </si>
  <si>
    <t>RR - RORAIMA</t>
  </si>
  <si>
    <t>SC - SANTA CATARINA</t>
  </si>
  <si>
    <t>SP - SÃO PAULO</t>
  </si>
  <si>
    <t>SE - SERGIPE</t>
  </si>
  <si>
    <t>TO - TOCANTINS</t>
  </si>
  <si>
    <t>SX</t>
  </si>
  <si>
    <t>(*) SP - SÃO PAULO (com incentivo)</t>
  </si>
  <si>
    <r>
      <t xml:space="preserve">% Preço Líquido </t>
    </r>
    <r>
      <rPr>
        <b/>
        <sz val="10"/>
        <color theme="1"/>
        <rFont val="Arial"/>
        <family val="2"/>
      </rPr>
      <t>com</t>
    </r>
    <r>
      <rPr>
        <sz val="10"/>
        <color theme="1"/>
        <rFont val="Arial"/>
        <family val="2"/>
      </rPr>
      <t xml:space="preserve"> MN</t>
    </r>
  </si>
  <si>
    <t>Preço Líquido com MN</t>
  </si>
  <si>
    <t>MATERIAIS</t>
  </si>
  <si>
    <t>SERVIÇOS</t>
  </si>
  <si>
    <t xml:space="preserve">  TC/TP</t>
  </si>
  <si>
    <t xml:space="preserve">  Barramento</t>
  </si>
  <si>
    <t xml:space="preserve">  Montagem em campo</t>
  </si>
  <si>
    <t xml:space="preserve">  Comissionamento pátio</t>
  </si>
  <si>
    <t xml:space="preserve">  Comissionamento SPCS</t>
  </si>
  <si>
    <t xml:space="preserve">  Instalações elétricas</t>
  </si>
  <si>
    <t>Serviços em campo</t>
  </si>
  <si>
    <t>Serviços em fábrica</t>
  </si>
  <si>
    <t xml:space="preserve">  Projeto</t>
  </si>
  <si>
    <t xml:space="preserve">  Parametrização</t>
  </si>
  <si>
    <t xml:space="preserve">  Testes em Fábrica</t>
  </si>
  <si>
    <t xml:space="preserve">  Montagem em fábrica</t>
  </si>
  <si>
    <t>WBS</t>
  </si>
  <si>
    <t xml:space="preserve">  Medidor</t>
  </si>
  <si>
    <t xml:space="preserve">  Disjuntor principal</t>
  </si>
  <si>
    <t xml:space="preserve">  Disjuntor de distribuição</t>
  </si>
  <si>
    <t>Tipo IR</t>
  </si>
  <si>
    <t>Material</t>
  </si>
  <si>
    <t>Serviço</t>
  </si>
  <si>
    <t>Tipo IRPJ</t>
  </si>
  <si>
    <t>NA</t>
  </si>
  <si>
    <t>REGIME DE LUCRO PRESUMIDO</t>
  </si>
  <si>
    <t>IRPJ</t>
  </si>
  <si>
    <t>CSLL</t>
  </si>
  <si>
    <t>Receita Operacional Bruta</t>
  </si>
  <si>
    <t>Lucro Presumido %</t>
  </si>
  <si>
    <t>Lucro Tributável</t>
  </si>
  <si>
    <t>Alíquota %</t>
  </si>
  <si>
    <t>Imposto Devido</t>
  </si>
  <si>
    <t>REGIME LUCRO REAL</t>
  </si>
  <si>
    <t>Custos Dedutíveis</t>
  </si>
  <si>
    <t>Regime</t>
  </si>
  <si>
    <t>REGIME</t>
  </si>
  <si>
    <t>PRESUMIDO</t>
  </si>
  <si>
    <t>REAL</t>
  </si>
  <si>
    <t>IRPJ+CSLL</t>
  </si>
  <si>
    <t>Lucro Presumido</t>
  </si>
  <si>
    <t>Lucro Real</t>
  </si>
  <si>
    <t xml:space="preserve">Lucro Presumido </t>
  </si>
  <si>
    <t xml:space="preserve">Lucro Real </t>
  </si>
  <si>
    <t>TOTAL</t>
  </si>
  <si>
    <t>Check Receita Base IR</t>
  </si>
  <si>
    <t>Item</t>
  </si>
  <si>
    <t>Descrição</t>
  </si>
  <si>
    <t>Moeda</t>
  </si>
  <si>
    <t>Fator de Desconto</t>
  </si>
  <si>
    <t>Tipo WBS</t>
  </si>
  <si>
    <t>Descrição TIPI</t>
  </si>
  <si>
    <t>DIFAL</t>
  </si>
  <si>
    <t>ICMS ST MVA</t>
  </si>
  <si>
    <t xml:space="preserve">Faturamento para </t>
  </si>
  <si>
    <t>FATURAMENTO PARA</t>
  </si>
  <si>
    <t xml:space="preserve">UF de faturamento </t>
  </si>
  <si>
    <t>ICMS Interno</t>
  </si>
  <si>
    <t>UF FATURAMENTO</t>
  </si>
  <si>
    <t>Simulação IRPJ+CSLL</t>
  </si>
  <si>
    <t>IMPOSTO DE RENDA</t>
  </si>
  <si>
    <t>Custo IR Real [R$]</t>
  </si>
  <si>
    <t>Custo IR Real [%]</t>
  </si>
  <si>
    <t>Custo Recuperável [%]</t>
  </si>
  <si>
    <t>TIPO WBS</t>
  </si>
  <si>
    <t>NATUREZA</t>
  </si>
  <si>
    <t>Nacional</t>
  </si>
  <si>
    <t>Importado por terceiros</t>
  </si>
  <si>
    <t>Importado direto</t>
  </si>
  <si>
    <t>Natureza</t>
  </si>
  <si>
    <t>Peso [g]</t>
  </si>
  <si>
    <t>Fornecedor</t>
  </si>
  <si>
    <t>Demanda Sobress.</t>
  </si>
  <si>
    <t xml:space="preserve">REIDI </t>
  </si>
  <si>
    <t xml:space="preserve">Posto </t>
  </si>
  <si>
    <t>INCOTERMS 2010</t>
  </si>
  <si>
    <t>EXW - Ex Works</t>
  </si>
  <si>
    <t>FCA - Free Carrier</t>
  </si>
  <si>
    <t>CPT - Carriage Paid To</t>
  </si>
  <si>
    <t>CIP - Carriage and Insurance Paid To</t>
  </si>
  <si>
    <t>DAT - Delivered at Terminal</t>
  </si>
  <si>
    <t>DAP - Delivered at Place</t>
  </si>
  <si>
    <t>DDP - Delivered Duty Paid</t>
  </si>
  <si>
    <t>FAS - Free Alongside Trip</t>
  </si>
  <si>
    <t>FOB - Free on Board</t>
  </si>
  <si>
    <t>CFR - Cost and Freight</t>
  </si>
  <si>
    <t>CIF - Cost, Insurance and Freight</t>
  </si>
  <si>
    <t xml:space="preserve">Incoterms 2010 </t>
  </si>
  <si>
    <t xml:space="preserve">Prazo de Entrega </t>
  </si>
  <si>
    <t>Obra</t>
  </si>
  <si>
    <t>dias</t>
  </si>
  <si>
    <t>meses</t>
  </si>
  <si>
    <t xml:space="preserve"> meses da entrega</t>
  </si>
  <si>
    <t xml:space="preserve">Prazo de Garantia </t>
  </si>
  <si>
    <t>Câmbio</t>
  </si>
  <si>
    <t xml:space="preserve">USD </t>
  </si>
  <si>
    <t xml:space="preserve">EUR </t>
  </si>
  <si>
    <t xml:space="preserve">Data do Câmbio </t>
  </si>
  <si>
    <t xml:space="preserve">Data da proposta </t>
  </si>
  <si>
    <t xml:space="preserve">Início do Fornecimento </t>
  </si>
  <si>
    <t xml:space="preserve">Data da Entrega </t>
  </si>
  <si>
    <t xml:space="preserve">Nome da Proposta </t>
  </si>
  <si>
    <t xml:space="preserve">Número de Série </t>
  </si>
  <si>
    <t>UF Origem</t>
  </si>
  <si>
    <t>Interno Origem</t>
  </si>
  <si>
    <t>Interest.</t>
  </si>
  <si>
    <t>Interno Destino</t>
  </si>
  <si>
    <t>Auxiliar ICMS</t>
  </si>
  <si>
    <t>Interestadual?</t>
  </si>
  <si>
    <t>Sistema</t>
  </si>
  <si>
    <t>Tipo de Linha</t>
  </si>
  <si>
    <t>Revenda</t>
  </si>
  <si>
    <t>Consumo</t>
  </si>
  <si>
    <t>Industrialização</t>
  </si>
  <si>
    <t>ICMS ST (Revenda)</t>
  </si>
  <si>
    <t>DIFAL (Consumo)</t>
  </si>
  <si>
    <t>Base Jurídica</t>
  </si>
  <si>
    <t>Crédito Tributário</t>
  </si>
  <si>
    <t>Qtd</t>
  </si>
  <si>
    <t>BRL</t>
  </si>
  <si>
    <t>USD</t>
  </si>
  <si>
    <t>EUR</t>
  </si>
  <si>
    <t>MOEDA</t>
  </si>
  <si>
    <t>?</t>
  </si>
  <si>
    <t>Presumido</t>
  </si>
  <si>
    <t>Real</t>
  </si>
  <si>
    <t>Custo Líquido (Presumido)</t>
  </si>
  <si>
    <t>Custo Líquido (Real)</t>
  </si>
  <si>
    <t>PIS (Real)</t>
  </si>
  <si>
    <t>COFINS (Real)</t>
  </si>
  <si>
    <t>ICMS diferido (ST)?</t>
  </si>
  <si>
    <t>II</t>
  </si>
  <si>
    <t>Tag</t>
  </si>
  <si>
    <t>Qtd Sobress.</t>
  </si>
  <si>
    <t>Div</t>
  </si>
  <si>
    <t>PAINÉIS</t>
  </si>
  <si>
    <t>RELÉS AUXILIARES</t>
  </si>
  <si>
    <t>NÃO ALTERAR NADA APÓS ESSA LINHA</t>
  </si>
  <si>
    <t>Nível 0</t>
  </si>
  <si>
    <t>Nível 1</t>
  </si>
  <si>
    <t>Nível 3</t>
  </si>
  <si>
    <t>ESCOPO TÉCNICO</t>
  </si>
  <si>
    <t>IMPOSTOS</t>
  </si>
  <si>
    <t>CeC Proteção</t>
  </si>
  <si>
    <t>CeC Controle</t>
  </si>
  <si>
    <t>Projeto Elétrico</t>
  </si>
  <si>
    <t>Eletricista</t>
  </si>
  <si>
    <t>Tipo</t>
  </si>
  <si>
    <t>HH [R$]</t>
  </si>
  <si>
    <t>Tipo HH</t>
  </si>
  <si>
    <t>Pessoas</t>
  </si>
  <si>
    <t>Dias</t>
  </si>
  <si>
    <t>Horas/Dia</t>
  </si>
  <si>
    <t>Total [horas]</t>
  </si>
  <si>
    <t>Total [R$]</t>
  </si>
  <si>
    <t>carro/dia</t>
  </si>
  <si>
    <t>taxi</t>
  </si>
  <si>
    <t>avião</t>
  </si>
  <si>
    <t>hosped./dia</t>
  </si>
  <si>
    <t>refeição/dia</t>
  </si>
  <si>
    <t>GdV Adicional</t>
  </si>
  <si>
    <t>GdV Total</t>
  </si>
  <si>
    <t>Gastos de Viagem</t>
  </si>
  <si>
    <t>Valores</t>
  </si>
  <si>
    <t>Classificação</t>
  </si>
  <si>
    <t>Testes em fábrica, sem a presença do cliente.</t>
  </si>
  <si>
    <t>Incluso GdV?</t>
  </si>
  <si>
    <t>Gastos de viagem.</t>
  </si>
  <si>
    <t>Comissão.</t>
  </si>
  <si>
    <t>Política de Sobressalentes</t>
  </si>
  <si>
    <t>Impacto</t>
  </si>
  <si>
    <t>Probabilidade</t>
  </si>
  <si>
    <t>Impacto
Ponderado</t>
  </si>
  <si>
    <t>RISCOS</t>
  </si>
  <si>
    <t>OPORTUNIDADES</t>
  </si>
  <si>
    <t>CF</t>
  </si>
  <si>
    <t>%</t>
  </si>
  <si>
    <t>Evento de Pagamento</t>
  </si>
  <si>
    <t>Eventos de pagamento</t>
  </si>
  <si>
    <t>#</t>
  </si>
  <si>
    <t>% da ocorrência</t>
  </si>
  <si>
    <t>Crédito pontual</t>
  </si>
  <si>
    <t>Débito acumulado</t>
  </si>
  <si>
    <t>Crédito acumulado</t>
  </si>
  <si>
    <t>Saldo em caixa</t>
  </si>
  <si>
    <t>Custo</t>
  </si>
  <si>
    <t xml:space="preserve">Taxa CF Deficitário a.a. </t>
  </si>
  <si>
    <t xml:space="preserve">Taxa CF Superavitário a.a. </t>
  </si>
  <si>
    <t>Taxa CF Deficitário a.m.</t>
  </si>
  <si>
    <t>Taxa CF Superavitário a.m.</t>
  </si>
  <si>
    <t>Débito pontual custos</t>
  </si>
  <si>
    <t>CASH FLOW</t>
  </si>
  <si>
    <t xml:space="preserve">Validade de Proposta </t>
  </si>
  <si>
    <t xml:space="preserve"> dias</t>
  </si>
  <si>
    <t>Abertura 2</t>
  </si>
  <si>
    <t>Abertura 1</t>
  </si>
  <si>
    <t>Abertura</t>
  </si>
  <si>
    <t>Proposta</t>
  </si>
  <si>
    <t>PREÇO LÍQUIDO</t>
  </si>
  <si>
    <t>Painel</t>
  </si>
  <si>
    <t>Receita IR [R$]</t>
  </si>
  <si>
    <t>Forçar Frete?</t>
  </si>
  <si>
    <t>Forçar NOPAT?</t>
  </si>
  <si>
    <t>Nível de Categoria</t>
  </si>
  <si>
    <t>N3</t>
  </si>
  <si>
    <t>N2</t>
  </si>
  <si>
    <t>N1</t>
  </si>
  <si>
    <t>N0</t>
  </si>
  <si>
    <t>IMPORTANTE: Nunca delete essa linha.</t>
  </si>
  <si>
    <t>Data Base</t>
  </si>
  <si>
    <t xml:space="preserve"> meses da aceitação</t>
  </si>
  <si>
    <t xml:space="preserve">Target </t>
  </si>
  <si>
    <t>Preço Bruto
sem IPI</t>
  </si>
  <si>
    <t>CALCULO TOTAL (padrão)</t>
  </si>
  <si>
    <t>MAT</t>
  </si>
  <si>
    <t>SERV</t>
  </si>
  <si>
    <t>GDV</t>
  </si>
  <si>
    <t>Tipo PM</t>
  </si>
  <si>
    <t>FUP PM</t>
  </si>
  <si>
    <t>EBIT</t>
  </si>
  <si>
    <t>Total HH</t>
  </si>
  <si>
    <t>Preço Bruto
com IPI</t>
  </si>
  <si>
    <t>HH Bruto [R$]</t>
  </si>
  <si>
    <t>LINHA DE REFERÊNCIA</t>
  </si>
  <si>
    <t>PADRÕES</t>
  </si>
  <si>
    <t>BASE DE DADOS ONLINE</t>
  </si>
  <si>
    <t>NÃO ALTERAR NADA APÓS ESTA LINHA</t>
  </si>
  <si>
    <t>NÃO ALTERAR NADA ANTES DESTA LINHA</t>
  </si>
  <si>
    <t>Link Base Online:</t>
  </si>
  <si>
    <t># Utilizada no Escopo</t>
  </si>
  <si>
    <t>Descrição Resumida</t>
  </si>
  <si>
    <t>Preço
Líquido
Unit.</t>
  </si>
  <si>
    <t># Utilizada
no Escopo</t>
  </si>
  <si>
    <t>&gt;&gt; espaço dedicado aos padrões, não delete nada aqui embaixo</t>
  </si>
  <si>
    <t>Padrões</t>
  </si>
  <si>
    <t>É padrão?</t>
  </si>
  <si>
    <t>Tipo de Linha compatível?</t>
  </si>
  <si>
    <t>Padrão como faturamento direto</t>
  </si>
  <si>
    <t>Padrão com classificação errada</t>
  </si>
  <si>
    <t>IMPORTANTE: Nunca delete esta linha ou as linhas acima desta.</t>
  </si>
  <si>
    <t>Padrão 55</t>
  </si>
  <si>
    <t>Padrão 56</t>
  </si>
  <si>
    <t>Padrão 57</t>
  </si>
  <si>
    <t>Padrão 58</t>
  </si>
  <si>
    <t>Padrão 59</t>
  </si>
  <si>
    <t>Padrão 60</t>
  </si>
  <si>
    <t>Padrão 61</t>
  </si>
  <si>
    <t>Padrão 62</t>
  </si>
  <si>
    <t>Padrão 63</t>
  </si>
  <si>
    <t>Padrão 64</t>
  </si>
  <si>
    <t>Padrão 65</t>
  </si>
  <si>
    <t>Padrão 66</t>
  </si>
  <si>
    <t>Padrão 67</t>
  </si>
  <si>
    <t>Padrão 68</t>
  </si>
  <si>
    <t>Padrão 69</t>
  </si>
  <si>
    <t>Padrão 70</t>
  </si>
  <si>
    <t>Padrão 71</t>
  </si>
  <si>
    <t>Padrão 72</t>
  </si>
  <si>
    <t>Padrão 73</t>
  </si>
  <si>
    <t>Padrão 74</t>
  </si>
  <si>
    <t>Padrão 75</t>
  </si>
  <si>
    <t>Padrão 76</t>
  </si>
  <si>
    <t>Padrão 77</t>
  </si>
  <si>
    <t>Padrão 78</t>
  </si>
  <si>
    <t>Padrão 79</t>
  </si>
  <si>
    <t>Padrão 80</t>
  </si>
  <si>
    <t>Padrão 81</t>
  </si>
  <si>
    <t>Padrão 82</t>
  </si>
  <si>
    <t>Padrão 83</t>
  </si>
  <si>
    <t>Padrão 84</t>
  </si>
  <si>
    <t>Padrão 85</t>
  </si>
  <si>
    <t>Padrão 86</t>
  </si>
  <si>
    <t>Padrão 87</t>
  </si>
  <si>
    <t>Padrão 88</t>
  </si>
  <si>
    <t>Padrão 89</t>
  </si>
  <si>
    <t>Padrão 90</t>
  </si>
  <si>
    <t>Padrão 91</t>
  </si>
  <si>
    <t>Padrão 92</t>
  </si>
  <si>
    <t>Padrão 93</t>
  </si>
  <si>
    <t>Padrão 94</t>
  </si>
  <si>
    <t>Padrão 95</t>
  </si>
  <si>
    <t>Padrão 96</t>
  </si>
  <si>
    <t>Padrão 97</t>
  </si>
  <si>
    <t>Padrão 98</t>
  </si>
  <si>
    <t>Padrão 99</t>
  </si>
  <si>
    <t>Padrão 100</t>
  </si>
  <si>
    <t>Padrão 101</t>
  </si>
  <si>
    <t>Padrão 102</t>
  </si>
  <si>
    <t>Padrão 103</t>
  </si>
  <si>
    <t>Padrão 104</t>
  </si>
  <si>
    <t>Padrão 105</t>
  </si>
  <si>
    <t>Padrão 106</t>
  </si>
  <si>
    <t>Padrão 107</t>
  </si>
  <si>
    <t>Padrão 108</t>
  </si>
  <si>
    <t>Padrão 109</t>
  </si>
  <si>
    <t>Padrão 110</t>
  </si>
  <si>
    <t>Padrão 111</t>
  </si>
  <si>
    <t>Padrão 112</t>
  </si>
  <si>
    <t>Padrão 113</t>
  </si>
  <si>
    <t>Padrão 114</t>
  </si>
  <si>
    <t>Padrão 115</t>
  </si>
  <si>
    <t>Padrão 116</t>
  </si>
  <si>
    <t>Padrão 117</t>
  </si>
  <si>
    <t>Padrão 118</t>
  </si>
  <si>
    <t>Padrão 119</t>
  </si>
  <si>
    <t>Padrão 120</t>
  </si>
  <si>
    <t>Padrão 121</t>
  </si>
  <si>
    <t>Padrão 122</t>
  </si>
  <si>
    <t>Padrão 123</t>
  </si>
  <si>
    <t>Padrão 124</t>
  </si>
  <si>
    <t>Padrão 125</t>
  </si>
  <si>
    <t>Padrão 126</t>
  </si>
  <si>
    <t>Padrão 127</t>
  </si>
  <si>
    <t>Padrão 128</t>
  </si>
  <si>
    <t>Padrão 129</t>
  </si>
  <si>
    <t>Padrão 130</t>
  </si>
  <si>
    <t>Padrão 131</t>
  </si>
  <si>
    <t>Padrão 132</t>
  </si>
  <si>
    <t>Padrão 133</t>
  </si>
  <si>
    <t>Padrão 134</t>
  </si>
  <si>
    <t>Padrão 135</t>
  </si>
  <si>
    <t>Padrão 136</t>
  </si>
  <si>
    <t>Padrão 137</t>
  </si>
  <si>
    <t>Padrão 138</t>
  </si>
  <si>
    <t>Padrão 139</t>
  </si>
  <si>
    <t>Padrão 140</t>
  </si>
  <si>
    <t>Padrão 141</t>
  </si>
  <si>
    <t>Padrão 142</t>
  </si>
  <si>
    <t>Padrão 143</t>
  </si>
  <si>
    <t>Padrão 144</t>
  </si>
  <si>
    <t>Padrão 145</t>
  </si>
  <si>
    <t>Padrão 146</t>
  </si>
  <si>
    <t>Padrão 147</t>
  </si>
  <si>
    <t>Padrão 148</t>
  </si>
  <si>
    <t>Padrão 149</t>
  </si>
  <si>
    <t>Padrão 150</t>
  </si>
  <si>
    <t>Padrão 151</t>
  </si>
  <si>
    <t>Padrão 152</t>
  </si>
  <si>
    <t>Padrão 153</t>
  </si>
  <si>
    <t>Padrão 154</t>
  </si>
  <si>
    <t>Padrão 155</t>
  </si>
  <si>
    <t>Padrão 156</t>
  </si>
  <si>
    <t>Padrão 157</t>
  </si>
  <si>
    <t>Padrão 158</t>
  </si>
  <si>
    <t>Padrão 159</t>
  </si>
  <si>
    <t>Padrão 160</t>
  </si>
  <si>
    <t>Padrão 161</t>
  </si>
  <si>
    <t>Padrão 162</t>
  </si>
  <si>
    <t>Padrão 163</t>
  </si>
  <si>
    <t>Padrão 164</t>
  </si>
  <si>
    <t>Padrão 165</t>
  </si>
  <si>
    <t>Padrão 166</t>
  </si>
  <si>
    <t>Padrão 167</t>
  </si>
  <si>
    <t>Padrão 168</t>
  </si>
  <si>
    <t>Padrão 169</t>
  </si>
  <si>
    <t>Padrão 170</t>
  </si>
  <si>
    <t>Padrão 171</t>
  </si>
  <si>
    <t>Padrão 172</t>
  </si>
  <si>
    <t>Padrão 173</t>
  </si>
  <si>
    <t>Padrão 174</t>
  </si>
  <si>
    <t>Padrão 175</t>
  </si>
  <si>
    <t>Padrão 176</t>
  </si>
  <si>
    <t>Padrão 177</t>
  </si>
  <si>
    <t>Padrão 178</t>
  </si>
  <si>
    <t>Padrão 179</t>
  </si>
  <si>
    <t>Padrão 180</t>
  </si>
  <si>
    <t>Padrão 181</t>
  </si>
  <si>
    <t>Padrão 182</t>
  </si>
  <si>
    <t>Padrão 183</t>
  </si>
  <si>
    <t>Padrão 184</t>
  </si>
  <si>
    <t>Padrão 185</t>
  </si>
  <si>
    <t>Padrão 186</t>
  </si>
  <si>
    <t>Padrão 187</t>
  </si>
  <si>
    <t>Padrão 188</t>
  </si>
  <si>
    <t>Padrão 189</t>
  </si>
  <si>
    <t>Padrão 190</t>
  </si>
  <si>
    <t>Padrão 191</t>
  </si>
  <si>
    <t>Padrão 192</t>
  </si>
  <si>
    <t>Padrão 193</t>
  </si>
  <si>
    <t>Padrão 194</t>
  </si>
  <si>
    <t>Padrão 195</t>
  </si>
  <si>
    <t>Padrão 196</t>
  </si>
  <si>
    <t>Padrão 197</t>
  </si>
  <si>
    <t>Padrão 198</t>
  </si>
  <si>
    <t>Padrão 199</t>
  </si>
  <si>
    <t>Padrão 200</t>
  </si>
  <si>
    <t>Padrão 201</t>
  </si>
  <si>
    <t>Padrão 202</t>
  </si>
  <si>
    <t>Padrão 203</t>
  </si>
  <si>
    <t>Padrão 204</t>
  </si>
  <si>
    <t>Padrão 205</t>
  </si>
  <si>
    <t>Padrão 206</t>
  </si>
  <si>
    <t>Padrão 207</t>
  </si>
  <si>
    <t>Padrão 208</t>
  </si>
  <si>
    <t>Padrão 209</t>
  </si>
  <si>
    <t>Padrão 210</t>
  </si>
  <si>
    <t>Padrão 211</t>
  </si>
  <si>
    <t>Padrão 212</t>
  </si>
  <si>
    <t>Padrão 213</t>
  </si>
  <si>
    <t>Padrão 214</t>
  </si>
  <si>
    <t>Padrão 215</t>
  </si>
  <si>
    <t>Padrão 216</t>
  </si>
  <si>
    <t>Padrão 217</t>
  </si>
  <si>
    <t>Padrão 218</t>
  </si>
  <si>
    <t>Padrão 219</t>
  </si>
  <si>
    <t>Padrão 220</t>
  </si>
  <si>
    <t>Padrão 221</t>
  </si>
  <si>
    <t>Padrão 222</t>
  </si>
  <si>
    <t>Padrão 223</t>
  </si>
  <si>
    <t>Padrão 224</t>
  </si>
  <si>
    <t>Padrão 225</t>
  </si>
  <si>
    <t>Padrão 226</t>
  </si>
  <si>
    <t>Padrão 227</t>
  </si>
  <si>
    <t>Padrão 228</t>
  </si>
  <si>
    <t>Padrão 229</t>
  </si>
  <si>
    <t>Padrão 230</t>
  </si>
  <si>
    <t>Padrão 231</t>
  </si>
  <si>
    <t>Padrão 232</t>
  </si>
  <si>
    <t>Padrão 233</t>
  </si>
  <si>
    <t>Padrão 234</t>
  </si>
  <si>
    <t>Padrão 235</t>
  </si>
  <si>
    <t>Padrão 236</t>
  </si>
  <si>
    <t>Padrão 237</t>
  </si>
  <si>
    <t>Padrão 238</t>
  </si>
  <si>
    <t>Padrão 239</t>
  </si>
  <si>
    <t>Padrão 240</t>
  </si>
  <si>
    <t>Padrão 241</t>
  </si>
  <si>
    <t>Padrão 242</t>
  </si>
  <si>
    <t>Padrão 243</t>
  </si>
  <si>
    <t>Padrão 244</t>
  </si>
  <si>
    <t>Padrão 245</t>
  </si>
  <si>
    <t>Padrão 246</t>
  </si>
  <si>
    <t>Padrão 247</t>
  </si>
  <si>
    <t>Padrão 248</t>
  </si>
  <si>
    <t>Padrão 249</t>
  </si>
  <si>
    <t>Padrão 250</t>
  </si>
  <si>
    <t>Padrão 252</t>
  </si>
  <si>
    <t>Padrão 253</t>
  </si>
  <si>
    <t>Padrão 254</t>
  </si>
  <si>
    <t>Padrão 255</t>
  </si>
  <si>
    <t>Padrão 256</t>
  </si>
  <si>
    <t>Padrão 257</t>
  </si>
  <si>
    <t>Padrão 258</t>
  </si>
  <si>
    <t>Padrão 259</t>
  </si>
  <si>
    <t>Padrão 260</t>
  </si>
  <si>
    <t>atualização online</t>
  </si>
  <si>
    <t>Parametrização</t>
  </si>
  <si>
    <t>BASE ONLINE</t>
  </si>
  <si>
    <t xml:space="preserve"> </t>
  </si>
  <si>
    <t xml:space="preserve">VERSÃO PP </t>
  </si>
  <si>
    <t>Switch</t>
  </si>
  <si>
    <t>GPS</t>
  </si>
  <si>
    <t>RDP GE/Reason</t>
  </si>
  <si>
    <t>RT4303XPCA2C08B231</t>
  </si>
  <si>
    <t>Finder</t>
  </si>
  <si>
    <t>Finder 48.52</t>
  </si>
  <si>
    <t>Relé de interface, 2 contatos, 125VCC, ref. 48.52.7.125.0050.SPA. Fabricante: Finder.</t>
  </si>
  <si>
    <t>Finder 58.34</t>
  </si>
  <si>
    <t>Finder 7T.81</t>
  </si>
  <si>
    <t>Termostato de painel, ref. 7T.81.0.000.2403. Fabricante: Finder.</t>
  </si>
  <si>
    <t>Finder 7P.21</t>
  </si>
  <si>
    <t>DPS monofásico, classe II, 130V, ref. 7P.21.8.130.1015. Fabricante: Finder.</t>
  </si>
  <si>
    <t>Finder RR.14</t>
  </si>
  <si>
    <t>Relé auxiliar rápido, 4 contatos reversíveis, com base (90.21), 125VCC, ref. RR.14.9.125.0000. Fabricante: Finder.</t>
  </si>
  <si>
    <t>Finder RR.24</t>
  </si>
  <si>
    <t>Relé auxiliar rápido, 3 contatos NA + 1 contato reversível, com base (90.21), 125VCC, ref. RR.24.9.125.9021. Fabricante: Finder.</t>
  </si>
  <si>
    <t>Relé de potência para abertura de disjuntor, 125VCC, ref. 6E.03.9.125.0350. Fabricante: Finder.</t>
  </si>
  <si>
    <t>Finder 22.64</t>
  </si>
  <si>
    <t>Relé de potência, 4 contatos NA, 125VCC, ref. 22.64.9.125.4310. Fabricante: Finder.</t>
  </si>
  <si>
    <t>Finder RB.14</t>
  </si>
  <si>
    <t>Relé biestável, 4 contatos reversíveis, 125VCC, ref. RB.14.9.125.0000. Fabricante. Finder.</t>
  </si>
  <si>
    <t>Finder RS.13</t>
  </si>
  <si>
    <t>Relé de supervisão, 125VCC, ref. RS.13.9.125.0000. Fabricante: Finder.</t>
  </si>
  <si>
    <t>Arteche</t>
  </si>
  <si>
    <t>Arteche BJ-8</t>
  </si>
  <si>
    <t>BLOCOS DE TESTES</t>
  </si>
  <si>
    <t>States</t>
  </si>
  <si>
    <t>GE</t>
  </si>
  <si>
    <t>Multinetwork</t>
  </si>
  <si>
    <t>Relé digital</t>
  </si>
  <si>
    <t>Bloco de teste</t>
  </si>
  <si>
    <t>Termostato</t>
  </si>
  <si>
    <t>DPS</t>
  </si>
  <si>
    <t>Terceiro</t>
  </si>
  <si>
    <t>Padrão em Fat. Direto?</t>
  </si>
  <si>
    <t>PV c/ IPI unitário</t>
  </si>
  <si>
    <t>PV c/ IPI total s/ MN</t>
  </si>
  <si>
    <t>PV c/ IPI total c/ MN</t>
  </si>
  <si>
    <t xml:space="preserve">Zeradora </t>
  </si>
  <si>
    <t xml:space="preserve">Líquido s/ MN </t>
  </si>
  <si>
    <t xml:space="preserve">Líquido c/ MN </t>
  </si>
  <si>
    <t xml:space="preserve">Bruto s/ IPI </t>
  </si>
  <si>
    <t xml:space="preserve">Bruto c/ IPI </t>
  </si>
  <si>
    <t xml:space="preserve">Referência </t>
  </si>
  <si>
    <t xml:space="preserve">Atual </t>
  </si>
  <si>
    <t>ID Proposta</t>
  </si>
  <si>
    <t>Câmbio Referência</t>
  </si>
  <si>
    <t>D-1</t>
  </si>
  <si>
    <t>Konecty</t>
  </si>
  <si>
    <t>KEY-E</t>
  </si>
  <si>
    <t>Chave de testes, montagem semi-embutida, ref. KEY-E 073. Fabricante: Konecty.</t>
  </si>
  <si>
    <t>KONECTY</t>
  </si>
  <si>
    <t>UTR</t>
  </si>
  <si>
    <t>Fonte chaveada</t>
  </si>
  <si>
    <t>Peça de alumínio</t>
  </si>
  <si>
    <t>DESCRIÇÃO</t>
  </si>
  <si>
    <t>REDE</t>
  </si>
  <si>
    <t>CGR1120+4G</t>
  </si>
  <si>
    <t>Cisco 1120 Connected Grid Router, 6 Eth elétrico, 2 GbE elétrico, 4G.</t>
  </si>
  <si>
    <t>Switch MOXA PT-7528, certificações IEC 61850-3 e IEEE 1613, fonte redundante, 16 portas ópticas MM e 8 portas elétricas RJ45. Fabricante: MOXA.</t>
  </si>
  <si>
    <t>PT-510-4M-ST-HV</t>
  </si>
  <si>
    <t>Switch MOXA PT-510, certificações IEC 61850-3 e IEEE 1613, 4 portas ópticas MM e 6 portas elétricas RJ45. Fabricante: MOXA.</t>
  </si>
  <si>
    <t>0003_22-02-18</t>
  </si>
  <si>
    <t>UTR (RTAC)</t>
  </si>
  <si>
    <t>Roteador</t>
  </si>
  <si>
    <t>Montagem dos painéis e das gigas.</t>
  </si>
  <si>
    <t xml:space="preserve">MB </t>
  </si>
  <si>
    <t>MB [%]</t>
  </si>
  <si>
    <t>MB [R$]</t>
  </si>
  <si>
    <t>MB Zero</t>
  </si>
  <si>
    <t xml:space="preserve">Bruto c/ DIFAL-ST </t>
  </si>
  <si>
    <t xml:space="preserve">Fat. Direto </t>
  </si>
  <si>
    <t xml:space="preserve">Bruto c/ Fat. Direto </t>
  </si>
  <si>
    <t xml:space="preserve">  UTR/PLC</t>
  </si>
  <si>
    <t xml:space="preserve">  Rede</t>
  </si>
  <si>
    <t xml:space="preserve">  Informática</t>
  </si>
  <si>
    <t xml:space="preserve">  Software</t>
  </si>
  <si>
    <t xml:space="preserve">  Obra civil</t>
  </si>
  <si>
    <t xml:space="preserve">Frete </t>
  </si>
  <si>
    <t xml:space="preserve">Forçar Frete ? </t>
  </si>
  <si>
    <t xml:space="preserve">Forçar NOPAT ? </t>
  </si>
  <si>
    <t xml:space="preserve">NOPAT </t>
  </si>
  <si>
    <t xml:space="preserve">Δ </t>
  </si>
  <si>
    <t xml:space="preserve">Comissão </t>
  </si>
  <si>
    <t>PREÇO BRUTO</t>
  </si>
  <si>
    <t>s/ Fat. Direto</t>
  </si>
  <si>
    <t>c/ Fat. Direto</t>
  </si>
  <si>
    <t>FATURAMENTO DIRETO</t>
  </si>
  <si>
    <t>Nível 2</t>
  </si>
  <si>
    <t>Painel P&amp;C</t>
  </si>
  <si>
    <t>Painel Automação</t>
  </si>
  <si>
    <t>6GK6015-0AM23-3EC0-Z A01+B01+C00+D00+E16</t>
  </si>
  <si>
    <t>6GK6021-0AS13-3DB0-Z A05+B05+C05+D05+E00+F00+G01+H01+J00+K00</t>
  </si>
  <si>
    <t>Conversor</t>
  </si>
  <si>
    <t>6GK6001-0AC03-0DA0</t>
  </si>
  <si>
    <t>6GK6002-0AC03-0AA0</t>
  </si>
  <si>
    <t>6GK6003-0AC13-0AA0</t>
  </si>
  <si>
    <t>INFORMÁTICA</t>
  </si>
  <si>
    <t>Advantech</t>
  </si>
  <si>
    <t>Windows</t>
  </si>
  <si>
    <t>SUPERVISÓRIO e SCADA</t>
  </si>
  <si>
    <t>Driver Modicon Modbus Master (ASC/RTU/TCP)</t>
  </si>
  <si>
    <t>SAGE</t>
  </si>
  <si>
    <t>SAGE - SCADA/IHM</t>
  </si>
  <si>
    <t>Licença SAGE SCADA/IHM. Fabricante: CEPEL.</t>
  </si>
  <si>
    <t>SAGE - IEC 61850</t>
  </si>
  <si>
    <t>Licença SAGE IEC 61850. Fabricante: CEPEL.</t>
  </si>
  <si>
    <t>SAGE - IEEE C37.118</t>
  </si>
  <si>
    <t>Licença SAGE IEEE C37.118. Fabricante: CEPEL.</t>
  </si>
  <si>
    <t>SAGE - SNMP</t>
  </si>
  <si>
    <t>Licença SAGE SNMP. Fabricante: CEPEL.</t>
  </si>
  <si>
    <t>MISCELÂNEAS ELÉTRICAS</t>
  </si>
  <si>
    <t>Fonte Chaveada ProEco 24V</t>
  </si>
  <si>
    <t>Fonte chaveada 120W modelo ProEco, entrada 85-264 VAC ou 80-370 VDC, saída 24V/5A. Fabricante: Weidmüller.</t>
  </si>
  <si>
    <t>Anunciador de alarmes</t>
  </si>
  <si>
    <t>Anunciador de alarmes modelo ME3011b com 32 pontos, dimensões frontais 161x305mm (HxW), alimentação 19-264 Vdc ou 90-264 Vac, ref. 032 66 Y E 80 30 0 01. Fabricante: Mauell.</t>
  </si>
  <si>
    <t>Anunciador de alarmes modelo ME3011b com 60 pontos, dimensões frontais 209x401mm (HxW), alimentação 19-264 Vdc ou 90-264 Vac, ref. 060 88 Y E 80 30 0 01. Fabricante: Mauell.</t>
  </si>
  <si>
    <t>Anunciador de alarmes modelo ME3011b com 92 pontos, dimensões frontais 305x401mm (HxW), alimentação 19-264 Vdc ou 90-264 Vac, ref. 092 B8 Y E 80 30 0 01. Fabricante: Mauell.</t>
  </si>
  <si>
    <t>Farcel</t>
  </si>
  <si>
    <t>BTS</t>
  </si>
  <si>
    <t>Bloco de testes, 10 polos, montagem de sobrepor, ref. BTS-065. Fabricante: Farcel.</t>
  </si>
  <si>
    <t>Secucontrol</t>
  </si>
  <si>
    <t>STS 14</t>
  </si>
  <si>
    <t>Bloco de testes, 14 polos, ref. STSA14060AE. Fabricante: Secucontrol.</t>
  </si>
  <si>
    <t>MEDIDORES</t>
  </si>
  <si>
    <t>Multimedidor</t>
  </si>
  <si>
    <t>7KG7750-0AA01-0AA1</t>
  </si>
  <si>
    <t>CEPEL</t>
  </si>
  <si>
    <t>Weidmüller</t>
  </si>
  <si>
    <t>Ateei</t>
  </si>
  <si>
    <t>0014_28-02-18</t>
  </si>
  <si>
    <t>Computador</t>
  </si>
  <si>
    <t>Painel BT</t>
  </si>
  <si>
    <t>Geral</t>
  </si>
  <si>
    <t>Recuperável MB</t>
  </si>
  <si>
    <t>Evento</t>
  </si>
  <si>
    <t>Bruto s/ Fat. Direto</t>
  </si>
  <si>
    <t>Aprovação Gerencial do Pedido</t>
  </si>
  <si>
    <t>Autorização
jurídico-gerencial</t>
  </si>
  <si>
    <t>Comentários</t>
  </si>
  <si>
    <t>Tributos</t>
  </si>
  <si>
    <t>SDC</t>
  </si>
  <si>
    <t>Computador Industrial 19'' SSD</t>
  </si>
  <si>
    <t>Monitor 21''</t>
  </si>
  <si>
    <t>Monitor 21.5'' LED Full HD.</t>
  </si>
  <si>
    <t>Monitor 17'' de painel</t>
  </si>
  <si>
    <t>Windows 7 Pro</t>
  </si>
  <si>
    <t>Windows 10 Pro</t>
  </si>
  <si>
    <t>Windows 10 Professional 64 bits. Fabricante: Microsoft.</t>
  </si>
  <si>
    <t>Diversos</t>
  </si>
  <si>
    <t>Trendnet TK-409K</t>
  </si>
  <si>
    <t>Switch KVM via USB modelo Trendnet TK-409K, gerenciamente de até 4 computador (áudio, VGA, 2x USB), inclusos todos os cabos necessários. Fabricante: Trendnet.</t>
  </si>
  <si>
    <t>D-Link DGS-1016D</t>
  </si>
  <si>
    <t>TL-ER6120</t>
  </si>
  <si>
    <t>0022_02-04-18</t>
  </si>
  <si>
    <t>Monitor</t>
  </si>
  <si>
    <t>Medidor de faturamento</t>
  </si>
  <si>
    <t>Overheads</t>
  </si>
  <si>
    <t xml:space="preserve">EBIT </t>
  </si>
  <si>
    <t>MB</t>
  </si>
  <si>
    <t>ICMS [%]</t>
  </si>
  <si>
    <t>IPI [%]</t>
  </si>
  <si>
    <t>PIS [%]</t>
  </si>
  <si>
    <t>COFINS [%]</t>
  </si>
  <si>
    <t>Liquida PIS/COFINS como &gt;</t>
  </si>
  <si>
    <t>ISS [%]</t>
  </si>
  <si>
    <t xml:space="preserve">Ref. Alternativa </t>
  </si>
  <si>
    <t>Impostos Entrada</t>
  </si>
  <si>
    <t>Preço Final em Faturamento Direto [BRL]</t>
  </si>
  <si>
    <t>TAC</t>
  </si>
  <si>
    <t>Testes</t>
  </si>
  <si>
    <t>1</t>
  </si>
  <si>
    <t>1.1</t>
  </si>
  <si>
    <t>7XV7503-1CA00</t>
  </si>
  <si>
    <t>Bloco de testes 7XV75, 8 polos de corrente, 4 polos de tensão, 2 polos NA para sinalização, 3 contatos para trip com plug de teste, 3 contatos NF para trip sem plug de teste, 1/6 x 19", flush mounting. Fabricante: Siemens.</t>
  </si>
  <si>
    <t>CTEEP</t>
  </si>
  <si>
    <t>Pessoas/Quarto</t>
  </si>
  <si>
    <t>Carros</t>
  </si>
  <si>
    <t>Mobilizações</t>
  </si>
  <si>
    <t>Próprio</t>
  </si>
  <si>
    <t>min</t>
  </si>
  <si>
    <t>max</t>
  </si>
  <si>
    <t>Apresentação dos impostos</t>
  </si>
  <si>
    <t>Total</t>
  </si>
  <si>
    <t>APRESENTAÇÃO DOS IMPOTOS</t>
  </si>
  <si>
    <t>Margem</t>
  </si>
  <si>
    <t>Custo
Unitário</t>
  </si>
  <si>
    <t>Custo
Total</t>
  </si>
  <si>
    <t>PV Líquido
Total</t>
  </si>
  <si>
    <t>PV Bruto
Total</t>
  </si>
  <si>
    <t>PV líquido c/ MN</t>
  </si>
  <si>
    <t xml:space="preserve">  Testes em fábrica</t>
  </si>
  <si>
    <t>Painel Interface</t>
  </si>
  <si>
    <t>INFRAESTRUTURA DE REDE</t>
  </si>
  <si>
    <t>Cordão FO 2m</t>
  </si>
  <si>
    <t>Cordão de fibra óptica, pré-conectorizado, 2 metros.</t>
  </si>
  <si>
    <t>Cordão FO 5m</t>
  </si>
  <si>
    <t>Cordão de fibra óptica, pré-conectorizado, 5 metros.</t>
  </si>
  <si>
    <t>Cordão FO 10m</t>
  </si>
  <si>
    <t>Cordão de fibra óptica, pré-conectorizado, 10 metros.</t>
  </si>
  <si>
    <t>Cordão FO 25m</t>
  </si>
  <si>
    <t>Cordão de fibra óptica, pré-conectorizado, 25 metros.</t>
  </si>
  <si>
    <t>Sealtubo 1'' 1m</t>
  </si>
  <si>
    <t>Sealtubo de 1" flexível fabricado com fita de aço galvanizado e revestido externamente com PVC extrudado, 1 metro.</t>
  </si>
  <si>
    <t>Elipse Power HMI 5.000</t>
  </si>
  <si>
    <t>Driver IEC 61850 (25 connections)</t>
  </si>
  <si>
    <t>Driver Modicon Modbus Master (ASC/RTU/TCP) (connection)</t>
  </si>
  <si>
    <t>Driver IEC 870-5-101/104 Master/Slave</t>
  </si>
  <si>
    <t>Driver IEC 870-5-101/104 Master/Slave (connection)</t>
  </si>
  <si>
    <t>Elipse Power Studio</t>
  </si>
  <si>
    <t>Finder 6E.03</t>
  </si>
  <si>
    <t>Siemens</t>
  </si>
  <si>
    <t>7PA2251-1</t>
  </si>
  <si>
    <t>ABB</t>
  </si>
  <si>
    <t>RTXP 24</t>
  </si>
  <si>
    <t>FERRAMENTAS ESPECIAIS</t>
  </si>
  <si>
    <t>6MF7060-0BA00-0AA0</t>
  </si>
  <si>
    <t>Toolbox II V6 Light, software de engenharia dos produtos SICAM. Fabricante: Siemens.</t>
  </si>
  <si>
    <t>Multimedidor SICAM P50, protocolos IEC103 (RS485) e modbus (RTU/ASCII). Fabricante: Siemens.</t>
  </si>
  <si>
    <t>RDP (4I/4U)</t>
  </si>
  <si>
    <t>RDP (8I/8U)</t>
  </si>
  <si>
    <t>RDP (12I/12U)</t>
  </si>
  <si>
    <t>Relé 21</t>
  </si>
  <si>
    <t>Relé 21+87L</t>
  </si>
  <si>
    <t>Relé 87L</t>
  </si>
  <si>
    <t>Relé 50/51</t>
  </si>
  <si>
    <t>Relé 50BF</t>
  </si>
  <si>
    <t>Relé 87T</t>
  </si>
  <si>
    <t>87B CU</t>
  </si>
  <si>
    <t>87B BU</t>
  </si>
  <si>
    <t>87B concentrado (4 bays)</t>
  </si>
  <si>
    <t>87B concentrado (5 bays)</t>
  </si>
  <si>
    <t>87B concentrado (6 bays)</t>
  </si>
  <si>
    <t>87B concentrado (8 bays)</t>
  </si>
  <si>
    <t>87B concentrado (10 bays)</t>
  </si>
  <si>
    <t>UAC P</t>
  </si>
  <si>
    <t>UAC M</t>
  </si>
  <si>
    <t>UAC G</t>
  </si>
  <si>
    <t>UAC XG</t>
  </si>
  <si>
    <t>UAC SAUX</t>
  </si>
  <si>
    <t>Software dos IED's</t>
  </si>
  <si>
    <t>Integrações</t>
  </si>
  <si>
    <t>Fibracem</t>
  </si>
  <si>
    <t>0024_14-05-18</t>
  </si>
  <si>
    <t>0025_26-02-18</t>
  </si>
  <si>
    <t>Cordão e cabo óptico</t>
  </si>
  <si>
    <t>DIO</t>
  </si>
  <si>
    <t>Tubos flexíveis de metais comuns, mesmo com acessórios</t>
  </si>
  <si>
    <t>LT 500kV</t>
  </si>
  <si>
    <t>LT+RL 500kV</t>
  </si>
  <si>
    <t>LT+CS 500kV</t>
  </si>
  <si>
    <t>LT+RL+CS 500kV</t>
  </si>
  <si>
    <t>DJC 500kV</t>
  </si>
  <si>
    <t>TR 500kV</t>
  </si>
  <si>
    <t>87B 500kV 4 bays</t>
  </si>
  <si>
    <t>87B 500kV 6 bays</t>
  </si>
  <si>
    <t>87B 500kV 8 bays</t>
  </si>
  <si>
    <t>Reator de Barra 500kV</t>
  </si>
  <si>
    <t>LT 230kV</t>
  </si>
  <si>
    <t>LT+RL 230kV</t>
  </si>
  <si>
    <t>TIE 230kV</t>
  </si>
  <si>
    <t>TR 230kV</t>
  </si>
  <si>
    <t>87B 230kV 4 bays</t>
  </si>
  <si>
    <t>87B 230kV 5 bays</t>
  </si>
  <si>
    <t>87B 230kV 6 bays</t>
  </si>
  <si>
    <t>87B 230kV 8 bays</t>
  </si>
  <si>
    <t>87B 230kV 10 bays</t>
  </si>
  <si>
    <t>LT 138kV</t>
  </si>
  <si>
    <t>TIE 138kV</t>
  </si>
  <si>
    <t>TR 138kV</t>
  </si>
  <si>
    <t>87B 138kV 4 bays</t>
  </si>
  <si>
    <t>87B 138kV 5 bays</t>
  </si>
  <si>
    <t>87B 138kV 6 bays</t>
  </si>
  <si>
    <t>87B 138kV 8 bays</t>
  </si>
  <si>
    <t>87B 138kV 10 bays</t>
  </si>
  <si>
    <t>Banco de Capacitores 138kV</t>
  </si>
  <si>
    <t>LT 69kV</t>
  </si>
  <si>
    <t>TIE 69kV</t>
  </si>
  <si>
    <t>TR 69kV</t>
  </si>
  <si>
    <t>TR Aterramento 69kV</t>
  </si>
  <si>
    <t>87B 69kV 4 bays</t>
  </si>
  <si>
    <t>87B 69kV 5 bays</t>
  </si>
  <si>
    <t>87B 69kV 6 bays</t>
  </si>
  <si>
    <t>87B 69kV 8 bays</t>
  </si>
  <si>
    <t>87B 69kV 10 bays</t>
  </si>
  <si>
    <t>Banco de Capacitores 69kV</t>
  </si>
  <si>
    <t>Compensador Estático</t>
  </si>
  <si>
    <t>SEP</t>
  </si>
  <si>
    <t>Supervisão de Serviços Auxiliares</t>
  </si>
  <si>
    <t>ELIPSE</t>
  </si>
  <si>
    <t>Estação de Engenharia Oscilografia</t>
  </si>
  <si>
    <t>Interface (c/ UAC)</t>
  </si>
  <si>
    <t>Interface (bornes)</t>
  </si>
  <si>
    <t>Faturamento (2 med.)</t>
  </si>
  <si>
    <t>Faturamento (4 med.)</t>
  </si>
  <si>
    <t>Faturamento (6 med.)</t>
  </si>
  <si>
    <t>Faturamento (8 med.)</t>
  </si>
  <si>
    <t>Alimentador MT</t>
  </si>
  <si>
    <t>Serviço Auxiliar CA</t>
  </si>
  <si>
    <t>Serviço Auxiliar CC</t>
  </si>
  <si>
    <t>painel</t>
  </si>
  <si>
    <t>RDP (4TC/4TP)</t>
  </si>
  <si>
    <t>RDP (8TC/8TP)</t>
  </si>
  <si>
    <t>RDP (12TC/12TP)</t>
  </si>
  <si>
    <t>relé de distância (4TC/4TP/40BI/30BO)</t>
  </si>
  <si>
    <t>relé de distância e diferencial de linha (4TC/4TP/40BI/30BO)</t>
  </si>
  <si>
    <t>relé diferencial de linha (4TC/4TP/40BI/30BO)</t>
  </si>
  <si>
    <t>relé falha disjuntor (4TC/4TP/30BI/20BO)</t>
  </si>
  <si>
    <t>relé de sobrecorrente (4TC/4TP/20BI/10BO)</t>
  </si>
  <si>
    <t>relé diferencial de reator (4TC/4TP/10BI/15BO)</t>
  </si>
  <si>
    <t>relé diferencial de transformador (12TC/4TP/10BI/15BO)</t>
  </si>
  <si>
    <t>relé diferencial de barras (unidade central)</t>
  </si>
  <si>
    <t>relé diferencial de barras (unidade de bay, 4TC/10BI/5BO)</t>
  </si>
  <si>
    <t>relé diferencial de barras concentrador (até 4 bays, 16TC/40BI/20BO)</t>
  </si>
  <si>
    <t>relé diferencial de barras concentrador (até 5 bays, 20TC/50BI/25BO)</t>
  </si>
  <si>
    <t>relé diferencial de barras concentrador (até 6 bays, 24TC/60BI/30BO)</t>
  </si>
  <si>
    <t>relé diferencial de barras concentrador (até 8 bays, 32TC/80BI/40BO)</t>
  </si>
  <si>
    <t>relé diferencial de barras concentrador (até 10 bays, 40TC/100BI/50BO)</t>
  </si>
  <si>
    <t>UAC (4TC/4TP/35BI/20BO)</t>
  </si>
  <si>
    <t>UAC (4TC/4TP/70BI/30BO)</t>
  </si>
  <si>
    <t>UAC (4TC/4TP/100BI/30BO)</t>
  </si>
  <si>
    <t>UAC (4TC/4TP/150BI/40BO)</t>
  </si>
  <si>
    <t>UAC (8TC/8TP/80BI/20BO/12mA)</t>
  </si>
  <si>
    <t>medidor de faturamento</t>
  </si>
  <si>
    <t>licença SAGE</t>
  </si>
  <si>
    <t>driver IEC61850</t>
  </si>
  <si>
    <t>licença Elipse Power HMI</t>
  </si>
  <si>
    <t>driver IEC104</t>
  </si>
  <si>
    <t>driver modbus master</t>
  </si>
  <si>
    <t>driver DNP 3.0 master</t>
  </si>
  <si>
    <t>software de edição do Elipse Power</t>
  </si>
  <si>
    <t>computador industrial (ventilação forçada, 1x SSD MLC 120GB, Intel Core i5 quad-core, 8GB DDR4)</t>
  </si>
  <si>
    <t>monitor 21.5''</t>
  </si>
  <si>
    <t>KVM</t>
  </si>
  <si>
    <t>switch não gerenciável</t>
  </si>
  <si>
    <t>roteador</t>
  </si>
  <si>
    <t>GPS (2 saídas SNTP eth)</t>
  </si>
  <si>
    <t>software de parametrização e engenharia</t>
  </si>
  <si>
    <t>bloco de testes</t>
  </si>
  <si>
    <t xml:space="preserve">MB meta </t>
  </si>
  <si>
    <t>PT-7528-16MST-8TX-4GSFP-HV-HV (16MM/8RJ)</t>
  </si>
  <si>
    <t>Switch MOXA PT-7528, certificações IEC 61850-3 e IEEE 1613, fonte redundante, 12 portas ópticas MM, 12 portas elétricas RJ45, 4x GbE MM. Fabricante: MOXA.</t>
  </si>
  <si>
    <t>RMC - Conversor eletro-óptico ethernet, alimentação 88-330 Vcc ou 85-264 Vac. Fabricante: Siemens/RUGGEDCOM.</t>
  </si>
  <si>
    <t>RMC20 - Conversor eletro-óptico serial ou conversor RS232 para RS485/RS422, alimentação 88-330 Vcc ou 85-264 Vac. Fabricante: Siemens/RUGGEDCOM.</t>
  </si>
  <si>
    <t>RMC30NC - Conversor serial-ethernet, alimentação 88-330 Vcc ou 85-264 Vac. Fabricante: Siemens/RUGGEDCOM.</t>
  </si>
  <si>
    <t>PT-G503-PHR-PTP-HV</t>
  </si>
  <si>
    <t>PRP/HSR redundancy box (RedBox), 3 portas ópticas MM LC, alimentação 88-300VDC ou 85-264VAC. Fabricante: MOXA.</t>
  </si>
  <si>
    <t>Driver DNP 3.0 Master/Slave</t>
  </si>
  <si>
    <t>Relé biestável, 8 contatos reversíveis, com base (JN-DE), 125VCC. Fabricante: Arteche.</t>
  </si>
  <si>
    <t>Arteche RJ-8</t>
  </si>
  <si>
    <t>Relé auxiliar (&lt; 20 ms), 8 contatos reversíveis, com base (JN-DE), 125VCC. Fabricante: Arteche.</t>
  </si>
  <si>
    <t>Arteche RJ-8R</t>
  </si>
  <si>
    <t>Relé auxiliar rápido (&lt; 8 ms), 8 contatos reversíveis, com base (JN-DE), 125VCC. Fabricante: Arteche.</t>
  </si>
  <si>
    <t>Arteche RJ-8XR</t>
  </si>
  <si>
    <t>Relé auxiliar extra-rápido (&lt; 6.5 ms), 8 contatos reversíveis, com base (JN-DE), 125VCC. Fabricante: Arteche.</t>
  </si>
  <si>
    <t>Arteche BF-4</t>
  </si>
  <si>
    <t>Relé biestável, 4 contatos reversíveis, com base (FN-DE), 125VCC. Fabricante: Arteche.</t>
  </si>
  <si>
    <t>Arteche RF-4</t>
  </si>
  <si>
    <t>Relé auxiliar (&lt; 20 ms), 4 contatos reversíveis, com base (FN-DE), 125VCC. Fabricante: Arteche.</t>
  </si>
  <si>
    <t>Arteche RF-4R</t>
  </si>
  <si>
    <t>Relé auxiliar rápido (&lt; 8 ms), 4 contatos reversíveis, com base (FN-DE), 125VCC. Fabricante: Arteche.</t>
  </si>
  <si>
    <t>Arteche RF-4XR</t>
  </si>
  <si>
    <t>Relé auxiliar extra-rápido (&lt; 5.5 ms), 4 contatos reversíveis, com base (FN-DE), 125VCC. Fabricante: Arteche.</t>
  </si>
  <si>
    <t>Arteche CF-4</t>
  </si>
  <si>
    <t>Relé auxiliar de potência, 4 contatos reversíveis, com base (FN-DE), 125VCC. Fabricante: Arteche.</t>
  </si>
  <si>
    <t>Arteche CF-4R</t>
  </si>
  <si>
    <t>Arteche CF-4XR</t>
  </si>
  <si>
    <t>Relé biestável, 8 contatos reversíveis, com base (7XP9010-1), 125VCC. Fabricante: Siemens.</t>
  </si>
  <si>
    <t>Paralelismo</t>
  </si>
  <si>
    <t>AVR</t>
  </si>
  <si>
    <t>Relé regulador de tensão (relé 90). Fabricante: Treetech.</t>
  </si>
  <si>
    <t>SPS</t>
  </si>
  <si>
    <t>Supervisor de paralelismo síncrono com entrada para coroa potenciométrica. Fabricante: Treetech.</t>
  </si>
  <si>
    <t>COM04</t>
  </si>
  <si>
    <t>Módulo de comunicação para SPS. Fabricante: Treetech.</t>
  </si>
  <si>
    <t>Indicador de posição de TAP com entrada para coroa potenciométrica. Fabricante: Treetech.</t>
  </si>
  <si>
    <t>TM1</t>
  </si>
  <si>
    <t>Monitor de temperatura para óleo e 1 enrolamento TC. Fabricante: Treetech.</t>
  </si>
  <si>
    <t>TM2</t>
  </si>
  <si>
    <t>Monitor de temperatura para 2 enrolamentos TC. Fabricante: Treetech.</t>
  </si>
  <si>
    <t>TI 111</t>
  </si>
  <si>
    <t>Transdutor de temperatura PT100 - 0 a 1 mA. Fabricante: Treetech.</t>
  </si>
  <si>
    <t>SDV</t>
  </si>
  <si>
    <t>TC EXT</t>
  </si>
  <si>
    <t>Adaptador de leitura de corrente. Fabricante: Treetech.</t>
  </si>
  <si>
    <t>FMS-10</t>
  </si>
  <si>
    <t>Bloco de testes com 10 polos, montagem semi-embutida. Fabricante: States.</t>
  </si>
  <si>
    <t>FMS-14</t>
  </si>
  <si>
    <t>Bloco de testes com 14 polos, montagem semi-embutida. Fabricante: States.</t>
  </si>
  <si>
    <t>MTS-10P</t>
  </si>
  <si>
    <t>Bloco de testes com 10 polos de tensão, montagem semi-embutida. Fabricante: States.</t>
  </si>
  <si>
    <t>MTS-5C6P</t>
  </si>
  <si>
    <t>FTLP08</t>
  </si>
  <si>
    <t>Chave de aferição, semi-embutida com teclas, 8 pólos. Fabricante: SecuControl.</t>
  </si>
  <si>
    <t>FTLP10</t>
  </si>
  <si>
    <t>Chave de aferição, semi-embutida com teclas, 10 pólos. Fabricante: SecuControl.</t>
  </si>
  <si>
    <t>FTLP12</t>
  </si>
  <si>
    <t>Chave de aferição, semi-embutida com teclas, 12 pólos. Fabricante: SecuControl.</t>
  </si>
  <si>
    <t>Chave de aferição, semi-embutida para encaixe de pente de testes LTP, 8 pólos. Fabricante: SecuControl.</t>
  </si>
  <si>
    <t>Pente de testes para blocos LTB. Fabricante: SecuControl.</t>
  </si>
  <si>
    <t>CCK</t>
  </si>
  <si>
    <t>CCK 7550S</t>
  </si>
  <si>
    <t>Medidor de energia multifunção com memórias de massa, classe 0.2%, comunicação Modbus TCP/RTU e DNP 3.0, medição das grandezas W, Wh, Var, Varh, VA, fator de potência, VR, VS, VT, AR, AS, AT, freqüência, THDVR, THDVS, THDVT, THDAR, THDAS, THDAT, sendo as THD's até a 49ª ordem, espectro de harmônica das tensões e correntes por fase até a 49ª ordem, ângulos V-A, V-V, A-A.</t>
  </si>
  <si>
    <t>CCK 6700E</t>
  </si>
  <si>
    <t>Unidade de gerenciamento de energia com controle de demanda, fator de potência e medição paralela à concessionária para consumidores livres e cativos. Duas portas de comunicação com medidores de concessionária com saída ABNT CODI (através da tomada de isolação ótica CCK 50), ou comunicação para medidores ION via porta ótica COM3 deste medidor (através da tomada de isolação ótica CCK 90)m e memória de massa para 35 dias contínuos em média integradas de 5 minutos.</t>
  </si>
  <si>
    <t>CCK 90</t>
  </si>
  <si>
    <t>Tomada óptica para medidor ION.</t>
  </si>
  <si>
    <t>CCK 50</t>
  </si>
  <si>
    <t>Tomada ótica para saída do usuário padrão ABNT/CODI.</t>
  </si>
  <si>
    <t>CCK PC6000</t>
  </si>
  <si>
    <t>Software de gerenciamento de consumo de energia e utilidades, com capacidade de aquisição, armazenamento e processamento dos dados medidos, monitoração em tempo real e relatórios diversos como demanda, fator de potência, fator de potência horário, fator de carga, fator de utilização, meta de consumo, consumo, patamares de consumo.</t>
  </si>
  <si>
    <t>Painel Serviços Auxiliares CA</t>
  </si>
  <si>
    <t>Painel Serviços Auxiliares CC</t>
  </si>
  <si>
    <t>Treetech</t>
  </si>
  <si>
    <t>PL Total</t>
  </si>
  <si>
    <t>PV Total</t>
  </si>
  <si>
    <t>Abertura Padrões</t>
  </si>
  <si>
    <t>Custo Total Padrões</t>
  </si>
  <si>
    <t>&lt; aba ESCOPO</t>
  </si>
  <si>
    <t>&lt; aba Padrões</t>
  </si>
  <si>
    <t>Unitário</t>
  </si>
  <si>
    <t>Padrões lançados corretamente</t>
  </si>
  <si>
    <t>Padrões considerados</t>
  </si>
  <si>
    <t>Tipo de Margem</t>
  </si>
  <si>
    <t>Serviços</t>
  </si>
  <si>
    <t>Composição MB</t>
  </si>
  <si>
    <t>painel de serviços auxiliares 220/127 VCA</t>
  </si>
  <si>
    <t>painel de serviços auxiliares 125 VCC</t>
  </si>
  <si>
    <t>relé de bloqueio</t>
  </si>
  <si>
    <t>Fabiano</t>
  </si>
  <si>
    <t>chave FTLP10</t>
  </si>
  <si>
    <t>PL</t>
  </si>
  <si>
    <t>PV</t>
  </si>
  <si>
    <t>PL s/ MN</t>
  </si>
  <si>
    <t>PL c/ MN</t>
  </si>
  <si>
    <t>PV s/ IPI</t>
  </si>
  <si>
    <t>PV s/ IPI/ICMS</t>
  </si>
  <si>
    <t>PV s/ IPI/ICMS/ISS</t>
  </si>
  <si>
    <t>PV s/ IPI/ICMS/ISS/PIS/COFINS
(PL)</t>
  </si>
  <si>
    <t>PV c/ DIFAL</t>
  </si>
  <si>
    <t>PV c/ ST</t>
  </si>
  <si>
    <t>PV
(check)</t>
  </si>
  <si>
    <t>PL
(check)</t>
  </si>
  <si>
    <t>Totalizador
Custo [BRL]</t>
  </si>
  <si>
    <t>Custo Líquido Descontado [BRL] (Presumido)</t>
  </si>
  <si>
    <t>Custo Líquido Descontado [BRL] (Real)</t>
  </si>
  <si>
    <t xml:space="preserve">EXPOSIÇÃO AO RISCO </t>
  </si>
  <si>
    <t>Exposição Cambial Indireta</t>
  </si>
  <si>
    <t>pnl</t>
  </si>
  <si>
    <t xml:space="preserve"># painéis </t>
  </si>
  <si>
    <t xml:space="preserve">BRL/pnl </t>
  </si>
  <si>
    <t># horas</t>
  </si>
  <si>
    <t>BRL/h</t>
  </si>
  <si>
    <t>Análises</t>
  </si>
  <si>
    <t>Quantidade</t>
  </si>
  <si>
    <t>PARAMETRIZAÇÃO</t>
  </si>
  <si>
    <t>PTAF</t>
  </si>
  <si>
    <t>PRJ</t>
  </si>
  <si>
    <t>Vão</t>
  </si>
  <si>
    <t>Típico</t>
  </si>
  <si>
    <t>Cópia</t>
  </si>
  <si>
    <t>dia/típico</t>
  </si>
  <si>
    <t>dias total</t>
  </si>
  <si>
    <t>Fator Cópia</t>
  </si>
  <si>
    <t>USR STD-7100 32 ptos</t>
  </si>
  <si>
    <t>Anunciador de alarmes modelo USR STD-7100 com 32 pontos. Fabricante: STD.</t>
  </si>
  <si>
    <t>ME3011b 32 ptos</t>
  </si>
  <si>
    <t>ME3011b 60 ptos</t>
  </si>
  <si>
    <t>ME3011b 92 ptos</t>
  </si>
  <si>
    <t>STD</t>
  </si>
  <si>
    <t>Bloco de testes com 5 polos de corrente e 6 polos de tensão, montagem semi-embutida. Fabricante: States.</t>
  </si>
  <si>
    <t>P991</t>
  </si>
  <si>
    <t>Bloco de testes com 14 polos, montagem semi-embutida. Fabricante: GE.</t>
  </si>
  <si>
    <t>P992</t>
  </si>
  <si>
    <t>Punho de testes para bloco P991. Fabricante: GE.</t>
  </si>
  <si>
    <t>Fusível</t>
  </si>
  <si>
    <t>Mobiliário</t>
  </si>
  <si>
    <t>Disjuntores &lt;1kV</t>
  </si>
  <si>
    <t>Contatores</t>
  </si>
  <si>
    <t>Acessórios dos itens NCM 8535, 8536, 8537</t>
  </si>
  <si>
    <t>Transdutor de tensão</t>
  </si>
  <si>
    <t>Sinalizador de painel</t>
  </si>
  <si>
    <t>Voltímetro analógico</t>
  </si>
  <si>
    <t>Resistor shunt</t>
  </si>
  <si>
    <t>RS400NC - Terminal server, 1 porta óptica MM LC, 4 portas elétricas RS232, alimentação 88-330 Vcc ou 85-264 Vac. Fabricante: Siemens/RUGGEDCOM.</t>
  </si>
  <si>
    <t>Barramento de cobre</t>
  </si>
  <si>
    <t>Driver DNP 3.0 Master/Slave (connection)</t>
  </si>
  <si>
    <t>SL7000</t>
  </si>
  <si>
    <t>Medidor Multifunção, alim. 3x57.1/100V ~ 3x240/415V, In 1A/2,5A/5A, Imax 10A</t>
  </si>
  <si>
    <t>MMW02</t>
  </si>
  <si>
    <t>Multimedidor de grandezas elétricas MMW02-50/60Hz com comunicação Modbus-RTU, RS485; 0,02 - 5A, alimentação 85-265Vca/100-300Vdc; (A x L x P) (mm) 98 x 98 x 101. Fabricante: WEG.</t>
  </si>
  <si>
    <t>7KG7331-1BA01</t>
  </si>
  <si>
    <t>Multimedidor SICAM P35, protocolo modbus (RTU/ASCII). Fabricante: Siemens.</t>
  </si>
  <si>
    <t>Z014815511200</t>
  </si>
  <si>
    <t>Multimedidor Trifásico, RS-485, memória de massa, alimentação 85-265AC/DC</t>
  </si>
  <si>
    <t>0053_22-04-19</t>
  </si>
  <si>
    <t>WEG</t>
  </si>
  <si>
    <t>0051_25-03-19</t>
  </si>
  <si>
    <t>KRON</t>
  </si>
  <si>
    <t>0057_24-04-19</t>
  </si>
  <si>
    <t>Utilizar Margeadora?</t>
  </si>
  <si>
    <t>Custo Unitário</t>
  </si>
  <si>
    <t>% IED</t>
  </si>
  <si>
    <t>Quarto/Pessoa</t>
  </si>
  <si>
    <t>PREÇO BRUTO COM REIDI</t>
  </si>
  <si>
    <t>PT-7528-12MST-12TX-4GSFP-HV (12MM/12RJ)</t>
  </si>
  <si>
    <t>Switch MOXA PT-7528, certificações IEC 61850-3 e IEEE 1613, fonte redundante, 12 portas ópticas MM e 12 portas elétricas RJ45. Fabricante: MOXA.</t>
  </si>
  <si>
    <t>PT-7528-12MST-12TX-4GSFP-HV c/ PM-7500-4SSC (12MM/12RJ/4SM)</t>
  </si>
  <si>
    <t>AFS670-EREETTLLLLEEEEEENZZX08.0</t>
  </si>
  <si>
    <t>AFS675-ERCPTTLLLLEEEEEENZZX08.0</t>
  </si>
  <si>
    <t>AFS670-EREELLLLLLLLEEEENZZX08.0</t>
  </si>
  <si>
    <t>AFS675-ERCPLLLLLLLLEEEENZZX08.0</t>
  </si>
  <si>
    <t>AFS660-SR3S4T4TNZEPL2X06.1</t>
  </si>
  <si>
    <t>AFS660-SR3S4T4SNZEPL2X06.1</t>
  </si>
  <si>
    <t>Relé 87R</t>
  </si>
  <si>
    <t>0069_05-08-19</t>
  </si>
  <si>
    <t>PSI</t>
  </si>
  <si>
    <t>Partes da 8517.62.59</t>
  </si>
  <si>
    <t>Reator de Barra 230kV</t>
  </si>
  <si>
    <t>switch (fonte redundante, 8 FO-MM, 4 RJ45)</t>
  </si>
  <si>
    <t>Transformador</t>
  </si>
  <si>
    <t>Finder 60.13</t>
  </si>
  <si>
    <t>Relé de interface, 3 contatos, 125VCC, ref. 601381200040. Fabricante: Finder.</t>
  </si>
  <si>
    <t>Pendrive</t>
  </si>
  <si>
    <t>RDP</t>
  </si>
  <si>
    <t>Eletricista plataforma</t>
  </si>
  <si>
    <t>Pré-TAF</t>
  </si>
  <si>
    <t>RT430</t>
  </si>
  <si>
    <t>RT430 (PTP)</t>
  </si>
  <si>
    <t>INTEGRAÇÕES</t>
  </si>
  <si>
    <t>Projeto</t>
  </si>
  <si>
    <t>s/ REIDI</t>
  </si>
  <si>
    <t>c/ REIDI</t>
  </si>
  <si>
    <t>RA33136622CC</t>
  </si>
  <si>
    <t>RA3323666622CC</t>
  </si>
  <si>
    <t>IPC-510</t>
  </si>
  <si>
    <t>CFOA-MM-DDR-S 24 LSZH OM3</t>
  </si>
  <si>
    <t>HP</t>
  </si>
  <si>
    <t>UNO-2272G</t>
  </si>
  <si>
    <t>CeC Pátio</t>
  </si>
  <si>
    <t>Site survey</t>
  </si>
  <si>
    <t>Visita em campo para levantamento de informações.</t>
  </si>
  <si>
    <t>TREIN</t>
  </si>
  <si>
    <t>FD</t>
  </si>
  <si>
    <t>PV+FD</t>
  </si>
  <si>
    <t>DA-820-C8-DP-HV (quad, 2 SLC)</t>
  </si>
  <si>
    <t>RS900 [3/6]</t>
  </si>
  <si>
    <t>RSG2100 [16/3]</t>
  </si>
  <si>
    <t>RSG2100NC - Switch, 16 portas ópticas MM LC, 3 portas elétricas RJ45, fonte redundante, referência 6GK6021-0AS13-3DB0-Z A05+B05+C05+D05+E01+F01+G05+H05+J05+K05. Fabricante: Siemens/RUGGEDCOM.</t>
  </si>
  <si>
    <t>RSG2100 [8/3]</t>
  </si>
  <si>
    <t>RSG2100NC - Switch, 8 portas ópticas MM LC, 3 portas elétricas RJ45, fonte redundante, referência 6GK6021-0AS13-3DB0-Z A05+B05+C05+D05+E01+F01+G00+H00+J00+K00. Fabricante: Siemens/RUGGEDCOM.</t>
  </si>
  <si>
    <t>Periféricos</t>
  </si>
  <si>
    <t>Licenças SAGE</t>
  </si>
  <si>
    <t>SAGE - ICCP</t>
  </si>
  <si>
    <t>Licença SAGE ICCP. Fabricante: CEPEL.</t>
  </si>
  <si>
    <t>Rede</t>
  </si>
  <si>
    <t>Monitor 27''</t>
  </si>
  <si>
    <t>Monitor 27'' LED Full HD.</t>
  </si>
  <si>
    <t>RTXP 8</t>
  </si>
  <si>
    <t>6GK6000-8FX11-2AA0</t>
  </si>
  <si>
    <t>Placa de comunicação FX11 (2x FO-MM-LC 100BASE-FX) para Siemens/RuggedCom RSG2100/RSG2300/RS416. Fabricante: Siemens/RUGGEDCOM.</t>
  </si>
  <si>
    <t>Workstatement</t>
  </si>
  <si>
    <t>RTXP 18</t>
  </si>
  <si>
    <t>RSG2100 [14/3]</t>
  </si>
  <si>
    <t>RSG2100NC - Switch, 14 portas ópticas MM LC, 3 portas elétricas RJ45, fonte redundante, referência 6GK6021-0AS13-3DB0-Z A05+B05+C05+D05+E01+F01+G05+H05+J05+K00. Fabricante: Siemens/RUGGEDCOM.</t>
  </si>
  <si>
    <t>RSG2100 [12/3]</t>
  </si>
  <si>
    <t>RSG2100NC - Switch, 12 portas ópticas MM LC, 3 portas elétricas RJ45, fonte redundante, referência 6GK6021-0AS13-3DB0-Z A05+B05+C05+D05+E01+F01+G05+H05+J00+K00. Fabricante: Siemens/RUGGEDCOM.</t>
  </si>
  <si>
    <t>RSG2100 [10/3]</t>
  </si>
  <si>
    <t>RSG2100NC - Switch, 10 portas ópticas MM LC, 3 portas elétricas RJ45, fonte redundante, referência 6GK6021-0AS13-3DB0-Z A05+B05+C05+D05+E01+F01+G05+H00+J00+K00. Fabricante: Siemens/RUGGEDCOM.</t>
  </si>
  <si>
    <t>RSG2100 [6/3]</t>
  </si>
  <si>
    <t>RSG2100NC - Switch, 6 portas ópticas MM LC, 3 portas elétricas RJ45, fonte redundante, referência 6GK6021-0AS13-3DB0-Z A05+B05+C05+D00+E01+F01+G00+H00+J00+K00. Fabricante: Siemens/RUGGEDCOM.</t>
  </si>
  <si>
    <t>RSG2100 [4/3]</t>
  </si>
  <si>
    <t>HITACHI</t>
  </si>
  <si>
    <t>Destaques</t>
  </si>
  <si>
    <t>Horas</t>
  </si>
  <si>
    <t>Custos Humanos</t>
  </si>
  <si>
    <t>WBS (custos)</t>
  </si>
  <si>
    <t>Finanças</t>
  </si>
  <si>
    <t># painel novo</t>
  </si>
  <si>
    <t># chaparia frontal</t>
  </si>
  <si>
    <t>STD [custo]</t>
  </si>
  <si>
    <t>Eletr. Fábrica [h]</t>
  </si>
  <si>
    <t>Eletr. Campo [h]</t>
  </si>
  <si>
    <t>PARAM [h]</t>
  </si>
  <si>
    <t>PTAF [h]</t>
  </si>
  <si>
    <t>TAF [h]</t>
  </si>
  <si>
    <t>TAC [h]</t>
  </si>
  <si>
    <t>PRJ [h]</t>
  </si>
  <si>
    <t>Eletr. Fábrica [custo]</t>
  </si>
  <si>
    <t>Eletr. Campo [custo]</t>
  </si>
  <si>
    <t>PARAM [custo]</t>
  </si>
  <si>
    <t>PTAF [custo]</t>
  </si>
  <si>
    <t>TAF [custo]</t>
  </si>
  <si>
    <t>TAC [custo]</t>
  </si>
  <si>
    <t>PRJ [custo]</t>
  </si>
  <si>
    <t>GdV [custo]</t>
  </si>
  <si>
    <t>hashing</t>
  </si>
  <si>
    <t>custo unit. [BRL]</t>
  </si>
  <si>
    <t>custo total [BRL]</t>
  </si>
  <si>
    <t>REC670 [6/6/16/24]</t>
  </si>
  <si>
    <t>REC670 [6/6/32/48]</t>
  </si>
  <si>
    <t>REC670 [6/6/48/24]</t>
  </si>
  <si>
    <t>REC670 [6/6/64/48]</t>
  </si>
  <si>
    <t>REC670 [6/6/96/72]</t>
  </si>
  <si>
    <t>REC670 [6/6/128/48/12]</t>
  </si>
  <si>
    <t>RET670 [15/9/64/48]</t>
  </si>
  <si>
    <t>REB670 [24/0/96/48]</t>
  </si>
  <si>
    <t>2</t>
  </si>
  <si>
    <t>RET670 [12/6/32/24]</t>
  </si>
  <si>
    <t>REL670 [6/6/32/24]</t>
  </si>
  <si>
    <t>REL670 [6/6/96/72]</t>
  </si>
  <si>
    <t>REC670 [6/6/64/24/12]</t>
  </si>
  <si>
    <t>Serviços auxiliares</t>
  </si>
  <si>
    <t>Miscelâneas SAUX</t>
  </si>
  <si>
    <t>Miscelâneas para serviços auxiliares (bornes, fios, plaquetas, isoladores, luvas, anilhas, terminais, trilhos, canaletas).</t>
  </si>
  <si>
    <t>AFS660-CR2S2S2TNVEPL2X07.0</t>
  </si>
  <si>
    <t>Rádio</t>
  </si>
  <si>
    <t>CTE-002-001</t>
  </si>
  <si>
    <t>Rádio roteador CTR 8540, unidade base com kit de instalação. Fabricante: Aviat.</t>
  </si>
  <si>
    <t>CZL-60310</t>
  </si>
  <si>
    <t>Licença para funcionalidade Carrier Ethernet em roteadores da família CTR 8500. Fabricante: Aviat.</t>
  </si>
  <si>
    <t>CZF-60080</t>
  </si>
  <si>
    <t>Licença para habilitação de 16 portas TDM em roteadores da família CTR 8500. Fabricante: Aviat.</t>
  </si>
  <si>
    <t>CZF-60920</t>
  </si>
  <si>
    <t>Licença para habilitação de 200Mbps nas interfaces RF em roteadores da família CTR 8500. Fabricante: Aviat.</t>
  </si>
  <si>
    <t>Roteador Tenda G3</t>
  </si>
  <si>
    <t>Roteador Tenda Load Balance VPN QoS G3. Fabricante: Tenda.</t>
  </si>
  <si>
    <t>FGR-60D I</t>
  </si>
  <si>
    <t>Ruggedized, 4 x GE RJ45 Switch ports, 2 x Shared Media pairs (Including 2 x GE RJ45 ports, 2 x SFP slots). DB9 Serial.</t>
  </si>
  <si>
    <t>FC-10-0069D-810-02-60 I</t>
  </si>
  <si>
    <t>Enterprise Protection (IPS, Advanced Malware Protection, Application Control, Web Filtering, Antispam, Security Rating, Industrial Security, FortiConverter Svc, and 24x7 FortiCare)</t>
  </si>
  <si>
    <t>Elipse Power</t>
  </si>
  <si>
    <t>Elipse Power Renewable 20.000</t>
  </si>
  <si>
    <t>Licença Elipse Power Renewable, até 20 mil pontos. Fabricante: Elipse.</t>
  </si>
  <si>
    <t>Elipse Power Renewable 20.000 Hotstandby</t>
  </si>
  <si>
    <t>Licença Elipse Power Renewable para complemento hot standby, até 20 mil pontos. Fabricante: Elipse.</t>
  </si>
  <si>
    <t>Elipse Power HMI Upgrade 1.500 - 5.000</t>
  </si>
  <si>
    <t>Upgrade de licença Elipse Power HMI, de 1.500 para 5.000 pontos. Fabricante: Elipse.</t>
  </si>
  <si>
    <t>Elipse Power HMI 100</t>
  </si>
  <si>
    <t>Licença Elipse Power HMI, até 100 pontos. Fabricante: Elipse.</t>
  </si>
  <si>
    <t>Elipse Power HMI 500</t>
  </si>
  <si>
    <t>Licença Elipse Power HMI, até 500 pontos. Fabricante: Elipse.</t>
  </si>
  <si>
    <t>Elipse Power HMI 1.000</t>
  </si>
  <si>
    <t>Licença Elipse Power HMI, até 1.000 pontos. Fabricante: Elipse.</t>
  </si>
  <si>
    <t>Elipse Power HMI 1.500</t>
  </si>
  <si>
    <t>Licença Elipse Power HMI, até 1.500 pontos. Fabricante: Elipse.</t>
  </si>
  <si>
    <t>Elipse Power HMI 3.000</t>
  </si>
  <si>
    <t>Licença Elipse Power HMI, até 3.000 pontos. Fabricante: Elipse.</t>
  </si>
  <si>
    <t>Licença Elipse Power HMI, até 5.000 pontos. Fabricante: Elipse.</t>
  </si>
  <si>
    <t>Elipse Power HMI 10.000</t>
  </si>
  <si>
    <t>Licença Elipse Power HMI, até 10.000 pontos. Fabricante: Elipse.</t>
  </si>
  <si>
    <t>Elipse Power HMI 1.500 Hotstandby</t>
  </si>
  <si>
    <t>Licença Elipse Power HMI para complemento hot standby, até 1.500 pontos. Fabricante: Elipse.</t>
  </si>
  <si>
    <t>Elipse Power HMI 3.000 Hotstandby</t>
  </si>
  <si>
    <t>Licença Elipse Power HMI para complemento hot standby, até 3.000 pontos. Fabricante: Elipse.</t>
  </si>
  <si>
    <t>Elipse Power HMI 5.000 Hotstandby</t>
  </si>
  <si>
    <t>Licença Elipse Power HMI para complemento hot standby, até 5.000 pontos. Fabricante: Elipse.</t>
  </si>
  <si>
    <t>V4.0 - E3 Gateway 1.000</t>
  </si>
  <si>
    <t>Licença gateway, até 1.000 pontos, para software Elipse Power. Fabricante: Elipse.</t>
  </si>
  <si>
    <t>V4.0 - E3 Gateway 1.500</t>
  </si>
  <si>
    <t>Licença gateway, até 1.500 pontos, para software Elipse Power. Fabricante: Elipse.</t>
  </si>
  <si>
    <t>V4.0 - E3 Gateway 3.000</t>
  </si>
  <si>
    <t>Licença gateway, até 3.000 pontos, para software Elipse Power. Fabricante: Elipse.</t>
  </si>
  <si>
    <t>V4.0 - E3 Gateway 5.000</t>
  </si>
  <si>
    <t>Licença gateway, até 5.000 pontos, para software Elipse Power. Fabricante: Elipse.</t>
  </si>
  <si>
    <t>V4.0 - E3 Gateway 10.000</t>
  </si>
  <si>
    <t>Licença gateway, até 10.000 pontos, para software Elipse Power. Fabricante: Elipse.</t>
  </si>
  <si>
    <t>V4.0 - E3 Gateway 20.000</t>
  </si>
  <si>
    <t>Licença gateway, até 20.000 pontos, para software Elipse Power. Fabricante: Elipse.</t>
  </si>
  <si>
    <t>V4.0 - E3 Gateway 40.000</t>
  </si>
  <si>
    <t>Licença gateway, até 40.000 pontos, para software Elipse Power. Fabricante: Elipse.</t>
  </si>
  <si>
    <t>Driver principal DNP 3.0, master ou slave, para software Elipse Power. Fabricante: Elipse.</t>
  </si>
  <si>
    <t>Driver adicional DNP 3.0, master ou slave, para software Elipse Power. Fabricante: Elipse.</t>
  </si>
  <si>
    <t>Driver IEC 61850, até 25 connections, para software Elipse Power. Fabricante: Elipse.</t>
  </si>
  <si>
    <t>Driver principal IEC 870-5-101/104, master ou slave, para software Elipse Power. Fabricante: Elipse.</t>
  </si>
  <si>
    <t>Driver adicional IEC 870-5-101/104, master ou slave, para software Elipse Power. Fabricante: Elipse.</t>
  </si>
  <si>
    <t>Driver principal IEC 870-5-103, master, para software Elipse Power. Fabricante: Elipse.</t>
  </si>
  <si>
    <t>Driver adicional IEC 870-5-103, master, para software Elipse Power. Fabricante: Elipse.</t>
  </si>
  <si>
    <t>Driver principal Modbus Master (ASC/RTU/TCP) para software Elipse Power. Fabricante: Elipse.</t>
  </si>
  <si>
    <t>Driver adicional Modbus Master (ASC/RTU/TCP) para software Elipse Power. Fabricante: Elipse.</t>
  </si>
  <si>
    <t>Driver SNMP Manager (50 connections)</t>
  </si>
  <si>
    <t>Driver SNMP para software Elipse Power, até 50 conexões. Fabricante: Elipse.</t>
  </si>
  <si>
    <t>Elipse Power Automatismo LIB (Elektro)</t>
  </si>
  <si>
    <t>Biblioteca de automatismos padrão Elektro para software Elipse Power. Fabricante: Elipse.</t>
  </si>
  <si>
    <t>Software de edição e engenharia para Elipse Power e seus complementos. Fabricante: Elipse.</t>
  </si>
  <si>
    <t>WARD</t>
  </si>
  <si>
    <t>UMX 120</t>
  </si>
  <si>
    <t>Relé de mínima tensão temporizado bifásico, 125 Vcc, ajuste 0,5 a 1,0 x Vn e tempo 0,5 a 10 seg., tensão auxiliar 125 Vcc, 2 contatos reversíveis  - UMX 120 Ward</t>
  </si>
  <si>
    <t xml:space="preserve">UMX 320 </t>
  </si>
  <si>
    <t>Relé biestável com 4 contatos reversíveis, CR-M125DC4, alimentação 125Vdc. Fabricante: ABB.</t>
  </si>
  <si>
    <t>1SVR405651R3100</t>
  </si>
  <si>
    <t>Base para relés CR-M, CR-M4LS. Fabricante: ABB.</t>
  </si>
  <si>
    <t>1SVR405613R8200</t>
  </si>
  <si>
    <t>Finder 55.34</t>
  </si>
  <si>
    <t>Relé de interface, 4 contatos, 125VCC, ref. 55.34.9.125.0040, com base 94.04. Fabricante: Finder.</t>
  </si>
  <si>
    <t>Finder 56.34</t>
  </si>
  <si>
    <t>Relé de interface, 4 contatos, 125VCC, ref. 56.34.9.125.0050. Fabricante: Finder.</t>
  </si>
  <si>
    <t>Relé de interface, 4 contatos, 125VCC, ref. 58.34.9.125.0050, com base 94.04. Fabricante: Finder.</t>
  </si>
  <si>
    <t>RTXH 8</t>
  </si>
  <si>
    <t>RTXH 18</t>
  </si>
  <si>
    <t>RTXH 24</t>
  </si>
  <si>
    <t>STS 08</t>
  </si>
  <si>
    <t>Bloco de testes, 8 polos. Fabricante: Secucontrol.</t>
  </si>
  <si>
    <t>STS 10</t>
  </si>
  <si>
    <t>Bloco de testes, 10 polos. Fabricante: Secucontrol.</t>
  </si>
  <si>
    <t>STS 12</t>
  </si>
  <si>
    <t>Bloco de testes, 12 polos. Fabricante: Secucontrol.</t>
  </si>
  <si>
    <t>MULTI-K Plus RS485</t>
  </si>
  <si>
    <t>Multimedidor de grandezas elétricas MULTI-K Plus RS485, código Z013815511220. Fabricante: Kron.</t>
  </si>
  <si>
    <t>MULTI-K Plus E16</t>
  </si>
  <si>
    <t>Multimedidor de grandezas elétricas MULTI-K, código Z013815511226. Fabricante: Kron.</t>
  </si>
  <si>
    <t>GPS Crono - Módulo de sincronismo GPS. Fabricante: Prolux.</t>
  </si>
  <si>
    <t>ION 8650C</t>
  </si>
  <si>
    <t>Medidor ION 8650C PowerLogic para medição de faturamento, modelo referência B8650C0C0K6E1A0A. Fabricante: Schneider.</t>
  </si>
  <si>
    <t>ION 8650A</t>
  </si>
  <si>
    <t>Medidor ION 8650A PowerLogic para medição de faturamento e qualidade de energia, modelo referência B8650A0C0K6E1A0A. Fabricante: Schneider.</t>
  </si>
  <si>
    <t>PME Primária</t>
  </si>
  <si>
    <t>Licença primária do Power Monitoring Expert (uma por subestação). Fabricante: Schneider.</t>
  </si>
  <si>
    <t>PME Individual</t>
  </si>
  <si>
    <t>Licença individual do Power Monitoring Expert (uma por medidor ION). Fabricante: Schneider.</t>
  </si>
  <si>
    <t>PME Engenharia</t>
  </si>
  <si>
    <t>Licença de engenharia do Power Monitoring Expert (uma por estação de engenharia). Fabricante: Schneider.</t>
  </si>
  <si>
    <t>BAIXA TENSÃO</t>
  </si>
  <si>
    <t>2CSM258723R1801</t>
  </si>
  <si>
    <t>Fusível 2A, E 9F10 GG2. Fabricante: ABB.</t>
  </si>
  <si>
    <t>2CSM256363R1801</t>
  </si>
  <si>
    <t>Fusível 6A, E 9F10 GG2. Fabricante: ABB.</t>
  </si>
  <si>
    <t>2CSM200923R1801</t>
  </si>
  <si>
    <t>Base para fusível monopolar E 91/32, até In = 32A, U = 690V, sem indicador de fusível queimado, largura 18 mm. Fabricante: ABB.</t>
  </si>
  <si>
    <t>DR</t>
  </si>
  <si>
    <t>2CSF204006R1400</t>
  </si>
  <si>
    <t>Disjuntor residual (DR) tetrapolar; FH204 AC-40/0,03; In = 40A; corrente residual 30 mA; largura 70 mm. Fabricante: ABB.</t>
  </si>
  <si>
    <t>1TMF202006R1400</t>
  </si>
  <si>
    <t>Disjuntor residual (DR) bipolar; AR FH202 AC-40/0,03; In = 40A; corrente residual 30 mA; largura 35 mm. Fabricante: ABB.</t>
  </si>
  <si>
    <t>SECCIONADORAS</t>
  </si>
  <si>
    <t>1SCA022825R2830</t>
  </si>
  <si>
    <t>Seccionadora 3P 630A; 2 pos.; operação frontal - Tipo OS, . Fabricante: ABB.</t>
  </si>
  <si>
    <t>Minidisjuntores ABB S200</t>
  </si>
  <si>
    <t>&gt; 1 polo; Ics = 15kA (133Vac); Icu = 20kA (133Vac), 10kA (230Vac); U = 72Vdc/253Vac</t>
  </si>
  <si>
    <t>2CDS251001R0804</t>
  </si>
  <si>
    <t>2CDS251001R0824</t>
  </si>
  <si>
    <t>&gt; 1 polo; Ics = 18.8kA (133Vac); Icu = 25kA (133Vac), 15kA (230Vac); U = 72Vdc/253Vac</t>
  </si>
  <si>
    <t>&gt; 2 polos; Ics = 15kA (230Vac); Icu = 20kA (230Vac), 10kA (440Vac); U = 125Vdc/440Va</t>
  </si>
  <si>
    <t>&gt; 3 polos; Ics = 15kA (230Vac); Icu = 20kA (230Vac), 10kA (440Vac); U = 440Vac</t>
  </si>
  <si>
    <t>2CDS253001R0804</t>
  </si>
  <si>
    <t>2CDS253001R0824</t>
  </si>
  <si>
    <t>&gt; 3 polos; Ics = 18.8kA (230Vac); Icu = 25kA (230Vac), 15kA (440Vac); U = 440Va</t>
  </si>
  <si>
    <t>&gt; contato auxilar</t>
  </si>
  <si>
    <t>2CDS200912R0001</t>
  </si>
  <si>
    <t>Contato auxiliar para disjuntor S200; S2C-H6R; largura 8.8 mm. Fabricante: ABB.</t>
  </si>
  <si>
    <t>2CDS200922R0001</t>
  </si>
  <si>
    <t>Contatos auxiliares para indicação de estado/falha S2C-S/H6R, linha S200, F200 e DS200. Fabricante: ABB.</t>
  </si>
  <si>
    <t>Disjuntores de caixa moldada ABB FORMULA</t>
  </si>
  <si>
    <t>&gt; 2 polos; Ics = 25kA (240Vac), 18kA (380Vac), 5kA (250Vdc); Icu = 50kA (240Vac), 36kA (380Vac), 10kA (250Vdc); U = 250Vdc/550Vac</t>
  </si>
  <si>
    <t>1SDA068767R1</t>
  </si>
  <si>
    <t>Disjuntor FORMULA de caixa moldada; A1N 125 TMF 63-630 2p F F; 2 polos; In = 63A; Ics = 25kA (240Vac), 18kA (380Vac), 5kA (250Vdc); Icu = 50kA (240Vac), 36kA (380Vac), 10kA (250Vdc); U = 250Vdc/550Vac; largura 50.8 mm. Fabricante: ABB.</t>
  </si>
  <si>
    <t>1SDA066504R1</t>
  </si>
  <si>
    <t>Disjuntor FORMULA de caixa moldada; A1N 125 TMF 80-800 2p F F; 2 polos; In = 80A; Ics = 25kA (240Vac), 18kA (380Vac), 5kA (250Vdc); Icu = 50kA (240Vac), 36kA (380Vac), 10kA (250Vdc); U = 250Vdc/550Vac; largura 50.8 mm. Fabricante: ABB.</t>
  </si>
  <si>
    <t>1SDA066506R1</t>
  </si>
  <si>
    <t>Disjuntor FORMULA de caixa moldada; A1N 125 TMF 100-1000 2p F F; 2 polos; In = 100A; Ics = 25kA (240Vac), 18kA (380Vac), 5kA (250Vdc); Icu = 50kA (240Vac), 36kA (380Vac), 10kA (250Vdc); U = 250Vdc/550Vac; largura 50.8 mm. Fabricante: ABB.</t>
  </si>
  <si>
    <t>1SDA066151R1</t>
  </si>
  <si>
    <t>Contato auxiliar para disjuntor FORMULA 2P; AUX-C 1Q+1SY 250 VAC/DC A1 2p; 1NAF (status) + 1NAF (trip); instalação interna. Fabricante: ABB.</t>
  </si>
  <si>
    <t>&gt; 3 polos; Ics = 12.5kA (240Vac), 9kA (380Vac), 9kA (250Vdc); Icu = 25kA (240Vac), 18kA (380Vac), 18kA (250Vdc); U = 250Vdc/550Vac</t>
  </si>
  <si>
    <t>1SDA066551R1</t>
  </si>
  <si>
    <t>Disjuntor FORMULA de caixa moldada; A2B 250 TMF 200-2000 3p F F; 3 polos; In = 200A; Ics = 12.5kA (240Vac), 9kA (380Vac), 9kA (250Vdc); Icu = 25kA (240Vac), 18kA (380Vac), 18kA (250Vdc); U = 250Vdc/550Vac; largura 105 mm. Fabricante: ABB.</t>
  </si>
  <si>
    <t>1SDA066553R1</t>
  </si>
  <si>
    <t>Disjuntor FORMULA de caixa moldada; A2B 250 TMF 250-2500 3p F F; 3 polos; In = 250A; Ics = 12.5kA (240Vac), 9kA (380Vac), 9kA (250Vdc); Icu = 25kA (240Vac), 18kA (380Vac), 18kA (250Vdc); U = 250Vdc/550Vac; largura 105 mm. Fabricante: ABB.</t>
  </si>
  <si>
    <t>1SDA068809R1</t>
  </si>
  <si>
    <t>Disjuntor FORMULA de caixa moldada; A3N 400 TMF 300-3000 3p F F 50°C; 3 polos; In = 300A; Ics = 42.5kA (240Vac), 18kA (380Vac), 18kA (250Vdc); Icu = 85kA (240Vac), 36kA (380Vac), 36kA (250Vdc); U = 250Vdc/550Vac; largura 139.5 mm. Fabricante: ABB.</t>
  </si>
  <si>
    <t>1SDA066778R1</t>
  </si>
  <si>
    <t>Disjuntor FORMULA de caixa moldada; A2C 250 TMF 200-2000 3p F F; 3 polos; In = 200A; Ics = 25kA (240Vac), 12.5kA (380Vac), 12.5kA (250Vdc); Icu = 50kA (240Vac), 25kA (380Vac), 25kA (250Vdc); U = 250Vdc/550Vac; largura 105 mm. Fabricante: ABB.</t>
  </si>
  <si>
    <t>1SDA066780R1</t>
  </si>
  <si>
    <t>Disjuntor FORMULA de caixa moldada; A2C 250 TMF 250-2500 3p F F; 3 polos; In = 250A; Ics = 25kA (240Vac), 12.5kA (380Vac), 12.5kA (250Vdc); Icu = 50kA (240Vac), 25kA (380Vac), 25kA (250Vdc); U = 250Vdc/550Vac; largura 105 mm. Fabricante: ABB.</t>
  </si>
  <si>
    <t>1SDA066561R1</t>
  </si>
  <si>
    <t>Disjuntor FORMULA de caixa moldada; A3N 400 TMF 400-4000 3p F F; 3 polos; In = 400A; Ics = 42.5kA (240Vac), 18kA (380Vac), 18kA (250Vdc); Icu = 85kA (240Vac), 36kA (380Vac), 36kA (250Vdc); U = 250Vdc/550Vac; largura 139.5 mm. Fabricante: ABB.</t>
  </si>
  <si>
    <t>1SDA066150R1</t>
  </si>
  <si>
    <t>Contato auxiliar para disjuntor FORMULA 3P-4P; AUX-C 2Q+1SY 250 VAC/DC A1-A2 3p-4p; 2NAF (status) + 1NAF (trip); instalação interna. Fabricante: ABB.</t>
  </si>
  <si>
    <t>1SDA054911R1</t>
  </si>
  <si>
    <t>Contato auxiliar para disjuntor Tmax T; AUX-C T4-T5-T6 3Q 1SY 250 VAC/DC; 3NAF (status) + 1NAF (trip); instalação interna. Fabricante: ABB.</t>
  </si>
  <si>
    <t>Disjuntores de caixa moldada ABB Tmax e Tmax XT</t>
  </si>
  <si>
    <t>1SDA067416R1</t>
  </si>
  <si>
    <t>Disjuntor XT1N de caixa moldada; XT1N 160 TMD 100-1000 3p F F; 3 polos; In = 100A; Ics = Icu = 36kA (380Vac); 36kA (250Vdc); U = 690Vac; largura 90 mm. Fabricante: ABB.</t>
  </si>
  <si>
    <t>1SDA066276R1</t>
  </si>
  <si>
    <t>Kit de transformação de disjuntor fixo em parte móvel de plug-in para disjuntor XT1 máx 125A 3p. Fabricante: ABB.</t>
  </si>
  <si>
    <t>1SDA068183R1</t>
  </si>
  <si>
    <t>Parte fixa de plug-in para disjuntor XT1 máx 125 A, acompanha item 1SDA066276R1. Fabricante ABB.</t>
  </si>
  <si>
    <t>1SDA067418R1</t>
  </si>
  <si>
    <t>Disjuntor XT1N de caixa moldada; XT1N 160 TMD 100-1000 3p F F; 3 polos; In = 160A; Ics = Icu = 36kA (380Vac); 36kA (250Vdc); U = 690Vac; largura 90 mm. Fabricante: ABB.</t>
  </si>
  <si>
    <t>1SDA067411R1</t>
  </si>
  <si>
    <t>Disjuntor XT1N 160 TMD; 3 polos; In = 32A; Ics = 36kA (380Vac); Ue = 690Vac. Fabricante: ABB.</t>
  </si>
  <si>
    <t>1SDA067008R1</t>
  </si>
  <si>
    <t>Disjuntor XT2N 160 TMD; 3 polos; In = 10A; Ics = 36kA (380Vac); Ue = 690Vac. Fabricante: ABB.</t>
  </si>
  <si>
    <t>1SDA067014R1</t>
  </si>
  <si>
    <t>Disjuntor XT2N 160 TMA 40-400; 3 polos; In = 40A; Ics = 36kA (380Vac); Ue = 690Vac. Fabricante: ABB.</t>
  </si>
  <si>
    <t>1SDA067015R1</t>
  </si>
  <si>
    <t>Disjuntor XT2N 160 TMA 50-500; 3 polos; In = 50A; Ics = 36kA (380Vac); Ue = 690Vac. Fabricante: ABB.</t>
  </si>
  <si>
    <t>1SDA067016R1</t>
  </si>
  <si>
    <t>Disjuntor XT2N de caixa moldada; XT2N 160 TMA 63-1000 3p F F; 3 polos; In = 63A; Ics = Icu = 65kA (220Vac), 36kA (380Vac); 36kA (250Vdc); U = 690Vac; largura 90 mm. Fabricante: ABB.</t>
  </si>
  <si>
    <t>1SDA067017R1</t>
  </si>
  <si>
    <t>Disjuntor XT2N de caixa moldada; XT2N 160 TMA 100-1000 3p F F; 3 polos; In = 80A; Ics = Icu = 65kA (220Vac), 36kA (380Vac); 36kA (250Vdc); U = 690Vac; largura 90 mm. Fabricante: ABB.</t>
  </si>
  <si>
    <t>1SDA067018R1</t>
  </si>
  <si>
    <t>Disjuntor XT2N de caixa moldada; XT2N 160 TMA 100-1000 3p F F; 3 polos; In = 100A; Ics = Icu = 65kA (220Vac), 36kA (380Vac); 36kA (250Vdc); U = 690Vac; largura 90 mm. Fabricante: ABB.</t>
  </si>
  <si>
    <t>1SDA067019R1</t>
  </si>
  <si>
    <t>Disjuntor XT2N de caixa moldada; XT2N 160 TMA 125-1250 3p F F; 3 polos; In = 125A; Ics = Icu = 65kA (220Vac), 36kA (380Vac); 36kA (250Vdc); U = 690Vac; largura 90 mm. Fabricante: ABB.</t>
  </si>
  <si>
    <t>1SDA067020R1</t>
  </si>
  <si>
    <t>Disjuntor XT2N de caixa moldada; XT2N 160 TMA 160-1600 3p F F; 3 polos; In = 160A; Ics = Icu = 65kA (220Vac), 36kA (380Vac); 36kA (250Vdc); U = 690Vac; largura 90 mm. Fabricante: ABB.</t>
  </si>
  <si>
    <t>1SDA068057R1</t>
  </si>
  <si>
    <t>Disjuntor XT3N de caixa moldada; XT3N 250 TMD 160-1600 3p F F; 3 polos; In = 160A; Ics = Icu = 65kA (220Vac), 36kA (380Vac); 36kA (250Vdc); U = 690Vac; largura 90 mm. Fabricante: ABB.</t>
  </si>
  <si>
    <t>1SDA068058R1</t>
  </si>
  <si>
    <t>Disjuntor XT3N de caixa moldada; XT3N 250 TMD 200-2000 3p F F; 3 polos; In = 200A; Ics = Icu = 65kA (220Vac), 36kA (380Vac); 36kA (250Vdc); U = 690Vac; largura 90 mm. Fabricante: ABB.</t>
  </si>
  <si>
    <t>1SDA068059R1</t>
  </si>
  <si>
    <t>Disjuntor XT3N de caixa moldada; XT3N 250 TMD 250-2500 3p F F; 3 polos; In = 250A; Ics = Icu = 65kA (220Vac), 36kA (380Vac); 36kA (250Vdc); U = 690Vac; largura 90 mm. Fabricante: ABB.</t>
  </si>
  <si>
    <t>1SDA068090R1</t>
  </si>
  <si>
    <t>Disjuntor XT4N de caixa moldada; XT4N 250 TMA 200-2000 3p F F; 3 polos; In = 200A; Ics = Icu = 65kA (220Vac), 36kA (380Vac); 36kA (250Vdc); U = 690Vac; largura 90 mm. Fabricante: ABB.</t>
  </si>
  <si>
    <t>1SDA068092R1</t>
  </si>
  <si>
    <t>Disjuntor XT4N de caixa moldada; XT4N 250 TMA 250-2500 3p F F; 3 polos; In = 250A; Ics = Icu = 65kA (220Vac), 36kA (380Vac); 36kA (250Vdc); U = 690Vac; largura 90 mm. Fabricante: ABB.</t>
  </si>
  <si>
    <t>1SDA066278R1</t>
  </si>
  <si>
    <t>XT2 - Kit de transformação de disjuntor fixo em parte móvel de plug-in. Fabricante: ABB.</t>
  </si>
  <si>
    <t>1SDA068187R1</t>
  </si>
  <si>
    <t>XT2 - Parte fixa de plug-in</t>
  </si>
  <si>
    <t>1SDA066280R1</t>
  </si>
  <si>
    <t>Kit de transformação de disjuntor fixo em parte móvel de plug-in para disjuntor XT3 3p. Fabricante: ABB.</t>
  </si>
  <si>
    <t>1SDA068192R1</t>
  </si>
  <si>
    <t>Parte fixa de plug-in, PF com terminais frontais prolongados (EF), 3p XT3</t>
  </si>
  <si>
    <t>1SDA066272R1</t>
  </si>
  <si>
    <t>Terminais traseiros para parte fixa, HR/VR</t>
  </si>
  <si>
    <t>1SDA066434R1</t>
  </si>
  <si>
    <t>Contato auxiliar para disjuntor XT3; AUX-C 3Q+1SY 250VAC/DC XT3; 3NAF (status) + 1NAF (trip); instalação interna. Fabricante: ABB.</t>
  </si>
  <si>
    <t>1SDA066459R1</t>
  </si>
  <si>
    <t>Motorização para disjuntor XT3; MOD XT3 110...125VAC/DC. Fabricante: ABB.</t>
  </si>
  <si>
    <t>1SDA066412R1</t>
  </si>
  <si>
    <t>Kit de conector macho/fêmea para disjuntor XT1~XT4, 15 vias. Fabricante: ABB.</t>
  </si>
  <si>
    <t>Disjuntor XT4N de caixa moldada; XT4N 250 TMA 200-2000 3p F F; 3 polos; In = 250A; Ics = Icu = 65kA (220Vac), 36kA (380Vac); 36kA (250Vdc); U = 690Vac; largura 90 mm. Fabricante: ABB.</t>
  </si>
  <si>
    <t>1SDA066282R1</t>
  </si>
  <si>
    <t>Kit de transformação de disjuntor fixo em parte móvel de plug-in para disjuntor XT4 3p. Fabricante: ABB.</t>
  </si>
  <si>
    <t>1SDA068196R1</t>
  </si>
  <si>
    <t>Parte fixa de plug-in para disjuntor XT4, acompanha item 1SDA066282R1, PF com terminais frontais prolongados. Fabricante ABB.</t>
  </si>
  <si>
    <t>1SDA066284R1</t>
  </si>
  <si>
    <t>Kit de montagem para disjuntor XT2N 3P; KIT W MP XT2 3p. Fabricante: ABB.</t>
  </si>
  <si>
    <t>1SDA066465R1</t>
  </si>
  <si>
    <t>Motorização para disjuntor XT2 e XT4; MOE XT2-XT4 110...125VAC/DC;Fabricante: ABB.</t>
  </si>
  <si>
    <t>1SDA060397R1</t>
  </si>
  <si>
    <t>Motorização para disjuntor Tmax T6; MOE T6 110...125VAC/DC;Fabricante: ABB.</t>
  </si>
  <si>
    <t>1SDA073724R1</t>
  </si>
  <si>
    <t>Motor para carregamento automático – M; 100-130 Vca/cc; E1.2...E6.2. Fabricante: ABB.</t>
  </si>
  <si>
    <t>1SDA066435R1</t>
  </si>
  <si>
    <t>Contato auxiliar para disjuntor XT2 e XT4; AUX-C 3Q+1SY 250VAC/DC XT2-XT4 W; 3NAF (status) + 1NAF (trip); instalação interna. Fabricante: ABB.</t>
  </si>
  <si>
    <t>1SDA066433R1</t>
  </si>
  <si>
    <t>Contato auxiliar para disjuntor XT1..XT4; AUX-C 2Q+1SY 250VAC/DC XT1..XT4 F/P; 2NAF (status) + 1NAF (trip); instalação interna. Fabricante: ABB.</t>
  </si>
  <si>
    <t>1SDA066286R1</t>
  </si>
  <si>
    <t>Kit de montagem (conversão de fixo para extraível) para disjuntor XT4; KIT W MP XT4 3p. Fabricante: ABB.</t>
  </si>
  <si>
    <t>1SDA068200R1</t>
  </si>
  <si>
    <t>Kit de montagem (terminais frontais) para disjuntor XT2; XT2 W FP 3p EF. Fabricante: ABB.</t>
  </si>
  <si>
    <t>1SDA068204R1</t>
  </si>
  <si>
    <t>Kit de montagem (terminais frontais) para disjuntor XT4; XT4 W FP 3p EF. Fabricante: ABB.</t>
  </si>
  <si>
    <t>1SDA066288R1</t>
  </si>
  <si>
    <t>Kit de conversão de parte móvel plug-in em parte móvel extraível. Fabricante: ABB.</t>
  </si>
  <si>
    <t>1SDA066425R1</t>
  </si>
  <si>
    <t>Contatos auxiliares, versão sem cabo. Fabricante: ABB.</t>
  </si>
  <si>
    <t>1SDA066316R1</t>
  </si>
  <si>
    <t>Bobina de abertura SOR, XT1…XT4 SOR 110...127V CA / 110...125V CC. Fabricante: ABB.</t>
  </si>
  <si>
    <t>1SDA072131R1</t>
  </si>
  <si>
    <t>Disjuntor E1.2N 1000 Ekip Dip LI 3p F F HR; 3 polos; In = 1000A; Ics = 66kA (220~690Vac); Ue = 690Vac. Fabricante: ABB.</t>
  </si>
  <si>
    <t>1SDA072371R1</t>
  </si>
  <si>
    <t>Disjuntor E2.2B 2000 Ekip Dip LI 3p WMP; 3 polos; In = 2000A; Ics = 42kA (220~690Vac); Ue = 690Vac. Fabricante: ABB.</t>
  </si>
  <si>
    <t>1SDA073907R1</t>
  </si>
  <si>
    <t>Partes Fixas E1.2 250-1600; HR-HR.</t>
  </si>
  <si>
    <t>1SDA073909R1</t>
  </si>
  <si>
    <t>Parte fixa para disjuntor E2.2B W FP Iu = 2000 3p HR HR, tipo B,N,S,H. Fabricante: ABB.</t>
  </si>
  <si>
    <t>1SDA073753R1</t>
  </si>
  <si>
    <t>Contato auxilar aberto/fechado - AUX, 4Q 400V, E2.2...E6.2</t>
  </si>
  <si>
    <t>1SDA073778R1</t>
  </si>
  <si>
    <t>Contato de trip - S51, 250Vca/cc. Fabricante: ABB.</t>
  </si>
  <si>
    <t>1SDA073673R1</t>
  </si>
  <si>
    <t xml:space="preserve">Bobina de abertura - SOR (YO), 120-127 Vca/cc, E1.2...E6.2. </t>
  </si>
  <si>
    <t>1SDA073686R1</t>
  </si>
  <si>
    <t xml:space="preserve">Bobina de fechamento - SCR (YC), 120-127 Vca/cc, E1.2...E6.2. </t>
  </si>
  <si>
    <t>1SDA066411R1</t>
  </si>
  <si>
    <t>Conector macho fêmea XT1..XT4 - 9 vias</t>
  </si>
  <si>
    <t>Conector macho fêmea XT1..XT4 - 15 vias</t>
  </si>
  <si>
    <t>Minidisjuntores WEG - MDW</t>
  </si>
  <si>
    <t>&gt; 1 polo;  Icu = 20kA (127/220Vac); Ue = 440V ca/250V cc; Ui = 500V ca; 50/60 Hz</t>
  </si>
  <si>
    <t>MDWH-C10</t>
  </si>
  <si>
    <t>Minidisjuntor MDWH-C10; 1 polos; curva C; In = 10A; Icu = 20kA (127/220Vac); U = 440Vac; largura 18 mm. Cod. 11422666. Fabricante: WEG.</t>
  </si>
  <si>
    <t>MDWH-C20</t>
  </si>
  <si>
    <t>Minidisjuntor MDWH-C20; 1 polos; curva C; In = 20A; Icu = 20kA (127/220Vac); U = 440Vac; largura 18 mm. Cod. 11422694. Fabricante: WEG.</t>
  </si>
  <si>
    <t>MDWH-C32</t>
  </si>
  <si>
    <t>Minidisjuntor MDWH-C32; 1 polos; curva C; In = 32A; Icu = 20kA (127/220Vac); U = 440Vac; largura 18 mm. Cod. 11422713. Fabricante: WEG.</t>
  </si>
  <si>
    <t>&gt; 3 polos;  Icu = 20kA (127/220Vac); Ue = 440V ca/250V cc; Ui = 500V ca; 50/60 Hz</t>
  </si>
  <si>
    <t>MDWH-C10-3</t>
  </si>
  <si>
    <t>Minidisjuntor MDWH-C10-3; 3 polos; curva C; In = 10A; Icu = 20kA (127/220Vac); U = 440Vac; largura 18 mm. Cod. 11422688. Fabricante: WEG.</t>
  </si>
  <si>
    <t>MDWH-C20-3</t>
  </si>
  <si>
    <t>Minidisjuntor MDWH-C20-3; 3 polos; curva C; In = 20A; Icu = 20kA (127/220Vac); U = 440Vac; largura 18 mm. Cod. 11422696. Fabricante: WEG.</t>
  </si>
  <si>
    <t>MDWH-C32-3</t>
  </si>
  <si>
    <t>Minidisjuntor MDWH-C32-3; 3 polos; curva C; In = 32A; Icu = 20kA (127/220Vac); U = 440Vac; largura 18 mm. Cod. 11422715. Fabricante: WEG.</t>
  </si>
  <si>
    <t>MDWH-C50-3</t>
  </si>
  <si>
    <t>Minidisjuntor MDWH-C50-3; 3 polos; curva C; In = 50A; Icu = 20kA (127/220Vac); U = 440Vac; largura 18 mm. Cod. 11422725. Fabricante: WEG.</t>
  </si>
  <si>
    <t xml:space="preserve">Disjuntores de caixa moldada WEG DWB </t>
  </si>
  <si>
    <t>DWB160B63-2DX</t>
  </si>
  <si>
    <t>Disjuntor DWB de caixa moldada; 2p F F; 2 polos; In = 63A; Icu = 25kA (240Vac); 18kA (380Vdc); Ue = 690Vac; (LxAxP) 78x71x122 mm. Cod. 11987862. Fabricante: WEG.</t>
  </si>
  <si>
    <t>DWB160B80-2DX</t>
  </si>
  <si>
    <t>Disjuntor DWB de caixa moldada; 2p F F; 2 polos; In = 80A; Icu = 25kA (240Vac); 18kA (380Vdc); Ue = 690Vac; (LxAxP) 78x71x122 mm. Cod. 11987864. Fabricante: WEG.</t>
  </si>
  <si>
    <t>Contato auxiliar cinza para disjuntor CM DWB, 1 NAF, Ue = 690 Vca. Cod. 10848664. Fabricante: WEG</t>
  </si>
  <si>
    <t>Disjuntores de caixa moldada WEG Linha AGW</t>
  </si>
  <si>
    <t>AGW100N-DX75-3</t>
  </si>
  <si>
    <t>Disjuntor AGW100N-DX75-3 de caixa moldada; 3 polos; In = 75A; Icu = 35kA (240Vac); 22kA (380V); Ue = 690Vac; (LxAxP) 75 x 130 x 60 mm. Cod. 12775101. Fabricante: WEG.</t>
  </si>
  <si>
    <t>Disjuntores de caixa moldada WEG Linha ACW</t>
  </si>
  <si>
    <t>ACW400H-ETS400-3</t>
  </si>
  <si>
    <t>Disjuntor ACW400H-ETS400-3 de caixa moldada; 3 polos; In = 400A; Icu = 120kA (240Vca); 85kA (380V); Ue = 690V; (LxAxP mm ) 140x260x110. Fabricante: WEG.</t>
  </si>
  <si>
    <t>ACW400-630 E46</t>
  </si>
  <si>
    <t>Acionamento motorizado AM para disjuntor CM ACW 400-630; Ue = 230Vac/220Vdc.</t>
  </si>
  <si>
    <t>Base de fixação PI para disjuntor CM ACW400-630.</t>
  </si>
  <si>
    <t>Bloco de contato BC-1 para disjuntor CM ACW100-800.</t>
  </si>
  <si>
    <t>Bloco de alarme AL-1 para disjuntor caixa moldada ACW100-800.</t>
  </si>
  <si>
    <t>Bobina de disparo BD 24 Vca/Vcc para disjuntor CM ACW100-800.</t>
  </si>
  <si>
    <t>Miscelâneas de painel BT</t>
  </si>
  <si>
    <t>&gt; relés de supervisão</t>
  </si>
  <si>
    <t>1SVR730660R0100</t>
  </si>
  <si>
    <t>Monitor de isolação, relé 64, CM-IWS.1S, alimentação 24-240Vac/Vdc, largura 22.5 mm. Fabricante: ABB.</t>
  </si>
  <si>
    <t>1SVR730830R0300</t>
  </si>
  <si>
    <t>Monitor de tensão monofásico, relé 27/59, CM-ESS.1S, alimentação 24-240Vac/Vdc, largura 22.5 mm. Fabricante: ABB.</t>
  </si>
  <si>
    <t>BPI</t>
  </si>
  <si>
    <t>Monitor de corrente monofásico e bifásico, relé 27/59, alimentação 24-240Vac/Vdc. Fabricante: COEL.</t>
  </si>
  <si>
    <t>AR-2</t>
  </si>
  <si>
    <t>Relé auxiliar com 2 contatos reversíveis, alimentação 220Vca. Fabricante: COEL.</t>
  </si>
  <si>
    <t>TSVA 10-300</t>
  </si>
  <si>
    <t>TSVA - Relé de proteção de sub/sobretensão (27/59) para corrente contínua 10-300Vdc, com display frontal, para instalação no fundo do painel, 1NAF (status) + 1NAF (trip), alimentação 40-250Vac/Vdc. Fabricante: Pextron.</t>
  </si>
  <si>
    <t>TST 220</t>
  </si>
  <si>
    <t>TST - Relé com proteção de sub/sobretensão (27/59) para corrente alternada (até 3 fases) 165-275Vac, sequência de fase (47) e desequilíbrio de tensão (60), com display frontal, para instalação no fundo do painel, 1NAF (status) + 1NAF (trip), alimentação 40-250Vac/Vdc. Fabricante: Pextron.</t>
  </si>
  <si>
    <t>&gt; TC de medição</t>
  </si>
  <si>
    <t xml:space="preserve">   &gt;&gt; tipo barra</t>
  </si>
  <si>
    <t>BDE 101P 100/5A</t>
  </si>
  <si>
    <t>TC de medição, tipo barra, relação 100/5A, modelo BDE 101P, tensão máxima 600V, nível de isolamento 4kV, exatidão 0.6P25, Ith 8kA, Ft 1.2, 60Hz, acabamento em resina epoxi para uso interno. Fabricante: Isolet.</t>
  </si>
  <si>
    <t>BDE 101P 125/5A</t>
  </si>
  <si>
    <t>TC de medição, tipo barra, relação 125/5A, modelo BDE 101P, tensão máxima 600V, nível de isolamento 4kV, exatidão 0.6P25, Ith 10kA, Ft 1.2, 60Hz, acabamento em resina epoxi para uso interno. Fabricante: Isolet.</t>
  </si>
  <si>
    <t>BDE 101P 150/5A</t>
  </si>
  <si>
    <t>TC de medição, tipo barra, relação 150/5A, modelo BDE 101P, tensão máxima 600V, nível de isolamento 4kV, exatidão 0.6P25, Ith 12kA, Ft 1.2, 60Hz, acabamento em resina epoxi para uso interno. Fabricante: Isolet.</t>
  </si>
  <si>
    <t>BDE 101P 200/5A</t>
  </si>
  <si>
    <t>TC de medição, tipo barra, relação 200/5A, modelo BDE 101P, tensão máxima 600V, nível de isolamento 4kV, exatidão 0.6P25, Ith 16kA, Ft 1.2, 60Hz, acabamento em resina epoxi para uso interno. Fabricante: Isolet.</t>
  </si>
  <si>
    <t>BDE 101P 350/5A</t>
  </si>
  <si>
    <t>TC de medição, tipo barra, relação 350/5A, modelo BDE 101P, tensão máxima 600V, nível de isolamento 4kV, exatidão 0.6P25, Ith 28kA, Ft 1.2, 60Hz, acabamento em resina epoxi para uso interno. Fabricante: Isolet.</t>
  </si>
  <si>
    <t>BDE 2600DIN ALT</t>
  </si>
  <si>
    <t>TC de medição, tipo barra, relação 1250/1A, modelo BDE 2600DIN ALT, tensão máxima 17,5kV, nível de isolamento 38/110kV, exatidão 10P20, Ith 25kA, Ft 1.2, 60Hz, acabamento em resina epoxi para uso interno. Fabricante: Isolet.</t>
  </si>
  <si>
    <t>BDE 3000S</t>
  </si>
  <si>
    <t>TC de medição, tipo barra, relação 10/1A, modelo BDE 3000S, tensão máxima 17,5kV, nível de isolamento 38/110kV, exatidão 10P20, Ith 25kA, Ft 1.2, 60Hz, acabamento em resina epoxi para uso interno. Fabricante: Isolet.</t>
  </si>
  <si>
    <t>PACT MCR-V2- 3015-500-1</t>
  </si>
  <si>
    <t>TRANSFORMADOR DE CORRENTE 500-1A, TIPO JANELA, MONOFÁSICO
CLASSE DE PRECISÃO 1; POTÊNCIA 2,5 VA, ISOLAÇÃO 600V</t>
  </si>
  <si>
    <t>PACT MCR-V2- 3015-300-1</t>
  </si>
  <si>
    <t>TRANSFORMADOR DE CORRENTE 300-1A, TIPO JANELA, MONOFÁSICO
CLASSE DE PRECISÃO 0,5; POTÊNCIA 5 VA, ISOLAÇÃO 600V</t>
  </si>
  <si>
    <t>PACT MCR-V2- 3015-200-1</t>
  </si>
  <si>
    <t>TRANSFORMADOR DE CORRENTE 200-1A, TIPO JANELA, MONOFÁSICO
CLASSE DE PRECISÃO 0,5; POTÊNCIA 3,75 VA, ISOLAÇÃO 600V</t>
  </si>
  <si>
    <t xml:space="preserve">   &gt;&gt; tipo janela</t>
  </si>
  <si>
    <t>TC de medição, tipo janela, relação 100/5A, classe de tensão 0.6 kVca. Fabricante ABB.</t>
  </si>
  <si>
    <t>TC de medição, tipo janela, relação 125/5A, classe de tensão 0.6 kVca. Fabricante ABB.</t>
  </si>
  <si>
    <t>TC de medição, tipo janela, relação 150/5A, classe de tensão 0.6 kVca. Fabricante ABB.</t>
  </si>
  <si>
    <t>TC de medição, tipo janela, relação 200/5A, classe de tensão 0.6 kVca. Fabricante ABB.</t>
  </si>
  <si>
    <t>TC de medição, tipo janela, relação 250/5A, classe de tensão 0.6 kVca. Fabricante ABB.</t>
  </si>
  <si>
    <t>TC de medição, tipo janela, relação 300/5A, classe de tensão 0.6 kVca. Fabricante ABB.</t>
  </si>
  <si>
    <t>TC de medição, tipo janela, relação 400/5A, classe de tensão 0.6 kVca. Fabricante ABB.</t>
  </si>
  <si>
    <t>TC de medição, tipo janela, relação 600/5A, classe de tensão 0.6 kVca. Fabricante ABB.</t>
  </si>
  <si>
    <t>TC de medição, tipo janela, relação 800/5A, classe de tensão 0.6 kVca. Fabricante ABB.</t>
  </si>
  <si>
    <t>&gt; transdutores, shunt</t>
  </si>
  <si>
    <t>2CNM519105R0080</t>
  </si>
  <si>
    <t>Shunt para medição 80A 60mV. Fabricante: ABB.</t>
  </si>
  <si>
    <t>2CNM519105R0100</t>
  </si>
  <si>
    <t>Shunt para medição 100A 60mV. Fabricante: ABB.</t>
  </si>
  <si>
    <t>2CNM519105R0150</t>
  </si>
  <si>
    <t>Shunt para medição 150A 60mV. Fabricante: ABB.</t>
  </si>
  <si>
    <t xml:space="preserve">&gt; TP </t>
  </si>
  <si>
    <t>TP 380/115V-0,6P25-50VA</t>
  </si>
  <si>
    <t xml:space="preserve">Transformador de potencial (a seco), 380V/115   0,6P25  - nível de isolação 0,6kV. POTÊNCIA TÉRMICA 50VA  </t>
  </si>
  <si>
    <t>TP 380/115V-0,6P25-150VA</t>
  </si>
  <si>
    <t xml:space="preserve">Transformador de potencial (a seco), 380V/115   0,6P25  - nível de isolação 0,6kV. POTÊNCIA TÉRMICA 150VA  </t>
  </si>
  <si>
    <t>BDE FX02</t>
  </si>
  <si>
    <t xml:space="preserve">Transformador de potencial (a seco), 460:R3-115:R3V; 0,6P25  - UMAX = 0,6kV; nível de isolação 4kV. POTÊNCIA TÉRMICA 150VA  </t>
  </si>
  <si>
    <t>BDE FT7A</t>
  </si>
  <si>
    <t xml:space="preserve">Transformador de potencial (a seco), 380V/115   0,6P25  - UMAX = 17,5kV; nível de isolação 3/110kV. POTÊNCIA TÉRMICA 200VA  </t>
  </si>
  <si>
    <t>&gt; chaves Kraus e Naimer</t>
  </si>
  <si>
    <t>CA10.A211.600.EF</t>
  </si>
  <si>
    <t>CH.TRANSFERÊNCIA C/0 - 2 POLOS - 20A COM GRAVACAO: 2 PEÇAS (BOMBA 1 - 0 - BOMBA 2); 7 PEÇAS (TESTE - 0 -ESTADO); COM PUNHO: G221 NCM: 8536.50.90</t>
  </si>
  <si>
    <t>CA10.A210.600.EF</t>
  </si>
  <si>
    <t>CH.TRANSFERÊNCIA C/0 - 1 POLO - 20A COM GRAVACAO: (TESTE - 0 -ESTADO) COM PUNHO: G221 NCM: 8536.50.90.</t>
  </si>
  <si>
    <t>CA10.A213.600.EF</t>
  </si>
  <si>
    <t>CH.TRANSFERÊNCIA C/0 - 4 POLOS - 20A COM GRAVACAO: (TESTE - 0 -ESTADO) COM PUNHO: G221 NCM: 8536.50.90.</t>
  </si>
  <si>
    <t>CA10.A220.600.EF</t>
  </si>
  <si>
    <t>CH.TRANSFERÊNCIA S/0 - 1 POLO - 20A COM GRAVACAO: DESLIGA LIGA COM PUNHO: G221 NCM: 8536.50.90.</t>
  </si>
  <si>
    <t>CA10.A221.600.EF</t>
  </si>
  <si>
    <t>CH.TRANSFERÊNCIA S/0 - 2 POLOS - 20A COM GRAVACAO: LOCAL REMOTO COM PUNHO: G221 NCM: 8536.50.90.</t>
  </si>
  <si>
    <t>CA10.A222.600.EF</t>
  </si>
  <si>
    <t>CH.TRANSFERÊNCIA S/0 - 3 POLOS - 20A COM GRAVACAO: LOCAL REMOTO. COM PUNHO: G221 NCM: 8536.50.90.</t>
  </si>
  <si>
    <t>CA10.A223.600.EF</t>
  </si>
  <si>
    <t>CH.TRANSFERÊNCIA S/0 - 4 POLOS - 20A COM GRAVACAO:LOCAL REMOTO; COM PUNHO: G221 NCM: 8536.50.90.</t>
  </si>
  <si>
    <t>CA10.A372.600.EF</t>
  </si>
  <si>
    <t>CH.TRANSFERÊNCIA S/0 - 8 POLOS - 20A COM GRAVACAO: LOCAL REMOTO.</t>
  </si>
  <si>
    <t>CA10.WAA373.600.EF</t>
  </si>
  <si>
    <t>COM PUNHO: G221 NCM: 8536.50.90 CH.TRANSFERÊNCIA S/0 - 9 POLOS - 20A COM GRAVACAO: LOCAL REMOTO; COM PUNHO: G221 NCM: 8536.50.90.</t>
  </si>
  <si>
    <t>CA10.A712.600.EF</t>
  </si>
  <si>
    <t>CH.TRANSFERÊNCIA C/0 - 3 POLOS - S/INTERL. - 20A COM GRAVACAO: ENTRADA A - O - ENTREDA B COM PUNHO: G221 NCM: 8536.50.90.</t>
  </si>
  <si>
    <t>CA10.A713.600.EF</t>
  </si>
  <si>
    <t>CH.TRANSFERÊNCIA C/0 - 4 POLOS - S/INTERL. - 20A COM GRAVACAO: ENTRADA A - 0 - ENTRADA B; COM PUNHO: G221 NCM: 8536.50.90.</t>
  </si>
  <si>
    <t>CA10.A714.600.EF</t>
  </si>
  <si>
    <t>CH.TRANSFERÊNCIA C/0 - 1 POLO - S/INTERL. - C/RETORNO - 20A COM GRAVACAO: MANUAL - 0 - AUTOMATICO COM PUNHO: G221 NCM: 8536.50.90.</t>
  </si>
  <si>
    <t>CA10.A715.600.EF</t>
  </si>
  <si>
    <t>CH.TRANSFERÊNCIA C/0 - 2 POLOS - S/INTERL. - C/RETORNO - 20A COM GRAVACAO: ABRE 0 FECHA; COM PUNHO: G221 NCM: 8536.50.90.</t>
  </si>
  <si>
    <t>CA10.A720.600.EF</t>
  </si>
  <si>
    <t>CH.TRANSFERÊNCIA S/0 - 1 POLO - S/INTERL. - 20A COM GRAVACAO: DELIGA LIGA COM PUNHO: G221 NCM: 8536.50.90.</t>
  </si>
  <si>
    <t>&gt; sinaleiros, chaves e indicadores</t>
  </si>
  <si>
    <t>CEW-SM2-C14</t>
  </si>
  <si>
    <t>Sinalizador monobloco - CEW-SM2-C14, VERDE 22 mm de resina termoplastica, alimentação 110-130 Vcc, 220 Vca. Fabricante: WEG.</t>
  </si>
  <si>
    <t>CEW-SM1-C14</t>
  </si>
  <si>
    <t>Sinalizador monobloco - CEW-SM2-C14, VERMELHO 22 mm de resina termoplastica, alimentação 110-130 Vcc, 220 Vca. Fabricante: WEG.</t>
  </si>
  <si>
    <t>CEW-SM0-C14</t>
  </si>
  <si>
    <t>Sinalizador monobloco - CEW-SM2-C14, INCOLOR 22 mm de resina termoplastica, alimentação 110-130 Vcc, 220 Vca. Fabricante: WEG.</t>
  </si>
  <si>
    <t>CEW-SM3-C14</t>
  </si>
  <si>
    <t>Sinalizador monobloco - CEW-SM2-C14, AMARELO 22 mm de resina termoplastica, alimentação 110-130 Vcc, 220 Vca. Fabricante: WEG.</t>
  </si>
  <si>
    <t>1SFA619600R6123</t>
  </si>
  <si>
    <t>Sinalizador sonoro e luminoso, amarelo, alimentação 110-130Vdc. Fabricante: ABB.</t>
  </si>
  <si>
    <t>1SFA619403R5152</t>
  </si>
  <si>
    <t>Sinaleiro verde para painel, CL2-515G, alimentação 110-130 Vdc. Fabricante: ABB.</t>
  </si>
  <si>
    <t>1SFA619403R5151</t>
  </si>
  <si>
    <t>Sinaleiro vermelho para painel, CL2-515R, alimentação 110-130 Vdc. Fabricante: ABB.</t>
  </si>
  <si>
    <t>1SFA619403R5158</t>
  </si>
  <si>
    <t>Sinaleiro branco para painel, CL2-515C, alimentação 110-130 Vdc. Fabricante: ABB.</t>
  </si>
  <si>
    <t>1SFA619403R5153</t>
  </si>
  <si>
    <t>Sinaleiro amarelo para painel, CL2-515Y, alimentação 110-130 Vdc. Fabricante: ABB.</t>
  </si>
  <si>
    <t>Botão pulsador para frontal de painel, preto. Fabricante: ABB.</t>
  </si>
  <si>
    <t>1SFA619100R1011</t>
  </si>
  <si>
    <t>Botão pulsador para frontal de painel, vermelho. Fabricante: ABB.</t>
  </si>
  <si>
    <t>1SFA619100R1012</t>
  </si>
  <si>
    <t>Botão pulsador para frontal de painel, verde. Fabricante: ABB.</t>
  </si>
  <si>
    <t>2CNM514213R0600</t>
  </si>
  <si>
    <t>Voltímetro ferro móvel, ligação direta, 0-600V, 72x72 mm. Fabricante: ABB.</t>
  </si>
  <si>
    <t>2CNM514223R0150</t>
  </si>
  <si>
    <t>Voltímetro ferro móvel ligação direta; 0 - 150V; 96 x 96 mm; classe 1,5%. Fabricante: ABB.</t>
  </si>
  <si>
    <t>2CNM514223R0300</t>
  </si>
  <si>
    <t>Voltímetro ferro móvel ligação direta; 0 - 300V; 96 x 96 mm; classe 1,5%. Fabricante: ABB.</t>
  </si>
  <si>
    <t>2CNM512121R0150</t>
  </si>
  <si>
    <t>Amperímetro bobina móvel ligação a SHUNT 60mV; 150A; 96 x 96 mm; classe 1,5%; 90°. Fabricante: ABB.</t>
  </si>
  <si>
    <t>2CNM512121R0300</t>
  </si>
  <si>
    <t>Amperímetro bobina móvel ligação a SHUNT 60mV; 300A; 96 x 96 mm; classe 1,5%; 90°. Fabricante: ABB.</t>
  </si>
  <si>
    <t>Change Over Switch, I-0-II, Ith = 250A, U = 1000V, 3 polos. Fabricante: ABB.</t>
  </si>
  <si>
    <t>2CSM220685R0721</t>
  </si>
  <si>
    <t>Tomada para fixação em trilho DIN, 230V 10A. Fabricante: ABB.</t>
  </si>
  <si>
    <t>&gt; contatores</t>
  </si>
  <si>
    <t>CWC07-00-22R03</t>
  </si>
  <si>
    <t>Minicontator AZ CWC07-00-22R03, In = 7A; Ue = 440V; 2 NA + 2 NF; 24V DC; parafuso. Fabricante: WEG</t>
  </si>
  <si>
    <t>1SBL237001R1311</t>
  </si>
  <si>
    <t>Contator tripolar; 1NA+1NF, AF26-30-11-13; Ie AC-3 = 26A (220-440Vca); Uc = 100-250Vac/100-250Vdc; largura 45 mm. Fabricante: ABB.</t>
  </si>
  <si>
    <t>1SBL277001R1311</t>
  </si>
  <si>
    <t>Contator tripolar; 1NA+1NF, AF30-30-11-13; Ie AC-3 = 32A (220-440Vca); Uc = 100-250Vac/100-250Vdc; largura 45 mm. Fabricante: ABB.</t>
  </si>
  <si>
    <t>1SBL297001R1311</t>
  </si>
  <si>
    <t>Contator tripolar; 1NA+1NF, AF38-30-11-13; Ie AC-3 = 38A (220-440Vca); Uc = 100-250Vac/100-250Vdc; largura 45 mm. Fabricante: ABB.</t>
  </si>
  <si>
    <t>1SBL347001R1311</t>
  </si>
  <si>
    <t>Contator tripolar; 1NA+1NF, AF40-30-11-13; Ie AC-3 = 40A (220-440Vca); Uc = 100-250Vac/100-250Vdc; largura 45 mm. Fabricante: ABB.</t>
  </si>
  <si>
    <t>1SFL427001R1311</t>
  </si>
  <si>
    <t>Contator tripolar; AF116-30-11-13; Ie AC-3 = 116A (220-440Vca); Uc = 100-250Vac/100-250Vdc; largura 90 mm. Fabricante: ABB.</t>
  </si>
  <si>
    <t>&gt;bornes e miscelaneas</t>
  </si>
  <si>
    <t>OTTA 25-M5</t>
  </si>
  <si>
    <t>BORNE PARA CONEXÃO OLHAL PARA CABOS ATÉ 25mm², 800V, 101A, OTTA 25-M5</t>
  </si>
  <si>
    <t>D-OTTA 25</t>
  </si>
  <si>
    <t>TAMPA PARA BORNE OTTA 25-M5</t>
  </si>
  <si>
    <t>RBO 8</t>
  </si>
  <si>
    <t>BORNE PARA CONEXÃO OLHAL PARA CABOS ATÉ 70mm², 1000V, 192A, RBO 8</t>
  </si>
  <si>
    <t>HC-RBO 8</t>
  </si>
  <si>
    <t>TAMPA PARA BORNE RBO 8</t>
  </si>
  <si>
    <t>OTTA 6</t>
  </si>
  <si>
    <t>BORNE PARA CONEXÃO OLHAL PARA CABOS ATÉ 6mm², 800V, 41A, OTTA 6</t>
  </si>
  <si>
    <t>D-OTTA 6</t>
  </si>
  <si>
    <t>TAMPA PARA BORNE OTTA 6</t>
  </si>
  <si>
    <t>UK 5 N</t>
  </si>
  <si>
    <t>BORNE PARA CONEXÃO PINO PARA CABOS ATÉ 6mm², 800V, 41A, UK5N</t>
  </si>
  <si>
    <t>D-UK 4/10</t>
  </si>
  <si>
    <t>TAMPA PARA BORNE UK 5 N</t>
  </si>
  <si>
    <t>UK 5-MTK</t>
  </si>
  <si>
    <t>BORNE PARA CONEXÃO PINO SECCIONAVEL PARA CABOS ATÉ 6mm², 500V, 16A, UK5-MTK</t>
  </si>
  <si>
    <t>E/UK - 1201442</t>
  </si>
  <si>
    <t>POSTE FINAL CZ 9,5MM E/UK</t>
  </si>
  <si>
    <t>Barramentos</t>
  </si>
  <si>
    <t>Barramento minidisjuntor</t>
  </si>
  <si>
    <t>Barramento em cobre para ligação dos minidisjuntores ao barramento principal.</t>
  </si>
  <si>
    <t>Barramento 580A (1m)</t>
  </si>
  <si>
    <t>Barramento em cobre para condução de 580A, 5 mm espessura por 30 mm largura, 1 metro de comprimento, cortada, dobrada e furada.</t>
  </si>
  <si>
    <t>Barramento 300A (1m)</t>
  </si>
  <si>
    <t>Barramento em cobre para condução de 300A, 5 mm espessura por 25 mm largura, 1 metro de comprimento, cortada, dobrada e furada.</t>
  </si>
  <si>
    <t>Barramento 200A (1m)</t>
  </si>
  <si>
    <t>Barramento em cobre para condução de 200A, 3 mm espessura por 25 mm largura, 1 metro de comprimento, cortada, dobrada e furada.</t>
  </si>
  <si>
    <t>Barramento 108A (1m)</t>
  </si>
  <si>
    <t>Barramento em cobre para condução de até 108A, 2 mm espessura por 12 mm largura, 1 metro de comprimento, cortada, dobrada e furada.</t>
  </si>
  <si>
    <t>Barramento 128A (1m)</t>
  </si>
  <si>
    <t>Barramento em cobre para condução de até 128A, 2 mm espessura por 15 mm largura, 1 metro de comprimento, cortada, dobrada e furada.</t>
  </si>
  <si>
    <t>Barramento 162A (1m)</t>
  </si>
  <si>
    <t>Barramento em cobre para condução de até 162A, 2 mm espessura por 20 mm largura, 1 metro de comprimento, cortada, dobrada e furada.</t>
  </si>
  <si>
    <t>Barramento em cobre para condução de até 162A, 3 mm espessura por 15 mm largura, 1 metro de comprimento, cortada, dobrada e furada.</t>
  </si>
  <si>
    <t>Barramento 204A (1m)</t>
  </si>
  <si>
    <t>Barramento em cobre para condução de até 204A, 3 mm espessura por 20 mm largura, 1 metro de comprimento, cortada, dobrada e furada.</t>
  </si>
  <si>
    <t>Barramento 245A (1m)</t>
  </si>
  <si>
    <t>Barramento em cobre para condução de até 245A, 3 mm espessura por 25 mm largura, 1 metro de comprimento, cortada, dobrada e furada.</t>
  </si>
  <si>
    <t>Barramento 285A (1m)</t>
  </si>
  <si>
    <t>Barramento em cobre para condução de até 285A, 3 mm espessura por 30 mm largura, 1 metro de comprimento, cortada, dobrada e furada.</t>
  </si>
  <si>
    <t>Barramento 274A (1m)</t>
  </si>
  <si>
    <t>Barramento em cobre para condução de até 274A, 5 mm espessura por 20 mm largura, 1 metro de comprimento, cortada, dobrada e furada.</t>
  </si>
  <si>
    <t>Barramento 366A (1m)</t>
  </si>
  <si>
    <t>Barramento em cobre para condução de até 366A, 3 mm espessura por 40 mm largura, 1 metro de comprimento, cortada, dobrada e furada.</t>
  </si>
  <si>
    <t>Barramento 327A (1m)</t>
  </si>
  <si>
    <t>Barramento em cobre para condução de até 327A, 5 mm espessura por 25 mm largura, 1 metro de comprimento, cortada, dobrada e furada.</t>
  </si>
  <si>
    <t>Barramento 379A (1m)</t>
  </si>
  <si>
    <t>Barramento em cobre para condução de até 379A, 5 mm espessura por 30 mm largura, 1 metro de comprimento, cortada, dobrada e furada.</t>
  </si>
  <si>
    <t>Barramento 427A (1m)</t>
  </si>
  <si>
    <t>Barramento em cobre para condução de até 427A, 10 mm espessura por 20 mm largura, 1 metro de comprimento, cortada, dobrada e furada.</t>
  </si>
  <si>
    <t>Barramento 482A (1m)</t>
  </si>
  <si>
    <t>Barramento em cobre para condução de até 482A, 5 mm espessura por 40 mm largura, 1 metro de comprimento, cortada, dobrada e furada.</t>
  </si>
  <si>
    <t>Barramento 583A (1m)</t>
  </si>
  <si>
    <t>Barramento em cobre para condução de até 583A, 5 mm espessura por 50 mm largura, 1 metro de comprimento, cortada, dobrada e furada.</t>
  </si>
  <si>
    <t>Barramento 573A (1m)</t>
  </si>
  <si>
    <t>Barramento em cobre para condução de até 573A, 10 mm espessura por 30 mm largura, 1 metro de comprimento, cortada, dobrada e furada.</t>
  </si>
  <si>
    <t>Barramento 688A (1m)</t>
  </si>
  <si>
    <t>Barramento em cobre para condução de até 688A, 5 mm espessura por 60 mm largura, 1 metro de comprimento, cortada, dobrada e furada.</t>
  </si>
  <si>
    <t>Barramento 715A (1m)</t>
  </si>
  <si>
    <t>Barramento em cobre para condução de até 715A, 10 mm espessura por 40 mm largura, 1 metro de comprimento, cortada, dobrada e furada.</t>
  </si>
  <si>
    <t>Barramento 885A (1m)</t>
  </si>
  <si>
    <t>Barramento em cobre para condução de até 885A, 5 mm espessura por 80 mm largura, 1 metro de comprimento, cortada, dobrada e furada.</t>
  </si>
  <si>
    <t>Barramento 852A (1m)</t>
  </si>
  <si>
    <t>Barramento em cobre para condução de até 852A, 10 mm espessura por 50 mm largura, 1 metro de comprimento, cortada, dobrada e furada.</t>
  </si>
  <si>
    <t>Barramento 1080A (1m)</t>
  </si>
  <si>
    <t>Barramento em cobre para condução de até 1080A, 5 mm espessura por 100 mm largura, 1 metro de comprimento, cortada, dobrada e furada.</t>
  </si>
  <si>
    <t>Barramento 985A (1m)</t>
  </si>
  <si>
    <t>Barramento em cobre para condução de até 985A, 10 mm espessura por 60 mm largura, 1 metro de comprimento, cortada, dobrada e furada.</t>
  </si>
  <si>
    <t>Barramento 1240A (1m)</t>
  </si>
  <si>
    <t>Barramento em cobre para condução de até 1240A, 10 mm espessura por 80 mm largura, 1 metro de comprimento, cortada, dobrada e furada.</t>
  </si>
  <si>
    <t>Barramento 1490A (1m)</t>
  </si>
  <si>
    <t>Barramento em cobre para condução de até 1490A, 10 mm espessura por 100 mm largura, 1 metro de comprimento, cortada, dobrada e furada.</t>
  </si>
  <si>
    <t>Barramento 1740A (1m)</t>
  </si>
  <si>
    <t>Barramento em cobre para condução de até 1740A, 10 mm espessura por 120 mm largura, 1 metro de comprimento, cortada, dobrada e furada.</t>
  </si>
  <si>
    <t>Barramento 1552A (1m)</t>
  </si>
  <si>
    <t>Barramento em cobre para condução de até 1552A, 15 mm espessura por 80 mm largura, 1 metro de comprimento, cortada, dobrada e furada.</t>
  </si>
  <si>
    <t>Barramento 1857A (1m)</t>
  </si>
  <si>
    <t>Barramento em cobre para condução de até 1857A, 15 mm espessura por 100 mm largura, 1 metro de comprimento, cortada, dobrada e furada.</t>
  </si>
  <si>
    <t>Barramento 2220A (1m)</t>
  </si>
  <si>
    <t>Barramento em cobre para condução de até 2220A, 10 mm espessura por 160 mm largura, 1 metro de comprimento, cortada, dobrada e furada.</t>
  </si>
  <si>
    <t>Barramento 2690A (1m)</t>
  </si>
  <si>
    <t>Barramento em cobre para condução de até 2690A, 10 mm espessura por 200 mm largura, 1 metro de comprimento, cortada, dobrada e furada.</t>
  </si>
  <si>
    <t>ZIV CG</t>
  </si>
  <si>
    <t>9527-I3WDLUSBINTM</t>
  </si>
  <si>
    <t>XCell Hard Key.</t>
  </si>
  <si>
    <t>CPR-041 RD</t>
  </si>
  <si>
    <t>XCell Processor 32 bit Coldfire.</t>
  </si>
  <si>
    <t>HDO-040W</t>
  </si>
  <si>
    <t>XCell Digital Output Module (32 outputs), wide range power supply.</t>
  </si>
  <si>
    <t>HDI-050-02</t>
  </si>
  <si>
    <t>XCell Digital Input Module (64 inputs), wide range power supply.</t>
  </si>
  <si>
    <t>XCell Back Plane.</t>
  </si>
  <si>
    <t>1094B</t>
  </si>
  <si>
    <t>GPS Substation Clock Arbiter 1094B. Fabricante: Arbiter.</t>
  </si>
  <si>
    <t>GE D25</t>
  </si>
  <si>
    <t>D25 (96BI)</t>
  </si>
  <si>
    <t>UTR GE D25-546U-S444-3FAA-AA1A-1A, 96 BI, 4 I, 3 V, protocolo IEC61850.</t>
  </si>
  <si>
    <t>SICAM A8000</t>
  </si>
  <si>
    <t>6MF2864-2AA00</t>
  </si>
  <si>
    <t>PS-8642 - Fonte chaveada 110-220VDC/230VAC para remota SICAM A8000, opção redundante. Fabricante: Siemens.</t>
  </si>
  <si>
    <t>6MF2811-2AA00</t>
  </si>
  <si>
    <t>DI-8112 - Módulo 16 BI (110 VDC 1 ms). Fabricante: Siemens.</t>
  </si>
  <si>
    <t>6MF2821-2AA00</t>
  </si>
  <si>
    <t>DO-8212 - Módulo 8 BO (24–220 VDC, 230 VAC). Fabricante: Siemens.</t>
  </si>
  <si>
    <t>SICAM AK3</t>
  </si>
  <si>
    <t>6MF1113-0CJ46-0AA0</t>
  </si>
  <si>
    <t>CM-2846 - Subrack AK 3 com 17 slots para placas. Fabricante: Siemens.</t>
  </si>
  <si>
    <t>6MF1113-0CJ44-0AA0</t>
  </si>
  <si>
    <t>CM-2844 - Subrack AK 3 com 9 slots para placas. Fabricante: Siemens.</t>
  </si>
  <si>
    <t>6MF1013-0CB14-0AA0</t>
  </si>
  <si>
    <t>DI-2114 - Placa 64 BI (110/220 VDC 1 ms). Fabricante: Siemens.</t>
  </si>
  <si>
    <t>6MF1011-0CC11-0AA0</t>
  </si>
  <si>
    <t>DO-2211 - Placa 32 BO (24–220 VDC, 230 VAC). Fabricante: Siemens.</t>
  </si>
  <si>
    <t>6MF1113-0CG32-0AA0</t>
  </si>
  <si>
    <t>PS-2632 - Fonte chaveada 110 – 220 VDC, 115 – 230 VAC. Fabricante: Siemens.</t>
  </si>
  <si>
    <t>6MF1013-0CA16-0AA0</t>
  </si>
  <si>
    <t>CP-2016 - Placa mãe. Fabricante: Siemens.</t>
  </si>
  <si>
    <t>6MF1013-2CA10-0AA0</t>
  </si>
  <si>
    <t>CP-2019 - Placa de expansão (processamento e comunicação). Fabricante: Siemens.</t>
  </si>
  <si>
    <t>6MF1013-0CF58-0AA0</t>
  </si>
  <si>
    <t>SM-2558 - Interfaces ethernet. Fabricante: Siemens.</t>
  </si>
  <si>
    <t>6MF1013-0CF51-0AA0</t>
  </si>
  <si>
    <t>SM-2551 - Interfaces seriais (2) adicionais. Fabricante: Siemens.</t>
  </si>
  <si>
    <t>6MF1013-0AF51-0AA0</t>
  </si>
  <si>
    <t>SM-0551 - Interface serial (1), instalada na SM-2558. Fabricante: Siemens.</t>
  </si>
  <si>
    <t>6MF1213-1GA05-0AA0</t>
  </si>
  <si>
    <t>Cartão de memória. Fabricante: Siemens.</t>
  </si>
  <si>
    <t>6MF1113-0GG32-0AA0</t>
  </si>
  <si>
    <t>PS-6632 - Módulo fonte chaveada 110 – 220 VDC EMC+. Fabricante: Siemens.</t>
  </si>
  <si>
    <t>6MF1113-0GE10-0AA0</t>
  </si>
  <si>
    <t>PE-6410 - Módulo interface (USB) para até 8 módulos I/O. Fabricante: Siemens.</t>
  </si>
  <si>
    <t>6MF1111-0AJ43-0AA0</t>
  </si>
  <si>
    <t>CM-0843 - Interface elétrica para até 4x PE-6410. Fabricante: Siemens.</t>
  </si>
  <si>
    <t>6MF1113-0GB03-0AA0</t>
  </si>
  <si>
    <t>DI-6103 - Módulo 16 BI (110/220 VDC 1 ms). Fabricante: Siemens.</t>
  </si>
  <si>
    <t>6MF1113-0GC12-0AA0</t>
  </si>
  <si>
    <t>DO-6212 - Módulo 8 BO (24–220 VDC, 230 VAC). Fabricante: Siemens.</t>
  </si>
  <si>
    <t>6MF1113-0GD00-0AA0</t>
  </si>
  <si>
    <t>AI-6300 - Módulo 4 ± 20 mA/± 10 mA/± 10 V. Fabricante: Siemens.</t>
  </si>
  <si>
    <t>6MF1313-0CA86-0AA0</t>
  </si>
  <si>
    <t>Tampa frontal AK3. Fabricante: Siemens.</t>
  </si>
  <si>
    <t>6MF1313-0CA70-0AA0</t>
  </si>
  <si>
    <t>Tampa frontal AK3 para CP-2016. Fabricante: Siemens.</t>
  </si>
  <si>
    <t>6MF1313-0CA71-0AA0</t>
  </si>
  <si>
    <t>Tampa frontal AK3 para CP-2019. Fabricante: Siemens.</t>
  </si>
  <si>
    <t>6MF1313-0CA74-0AA0</t>
  </si>
  <si>
    <t>Tampa frontal AK3 para DI-2114. Fabricante: Siemens.</t>
  </si>
  <si>
    <t>6MF1313-0CA78-0AA0</t>
  </si>
  <si>
    <t>Tampa frontal AK3 para DO-2211. Fabricante: Siemens.</t>
  </si>
  <si>
    <t>RELÉS</t>
  </si>
  <si>
    <t>Relé de proteção de sobrecorrente ou controle de bay, BI: 23, BO: 16, CT: 4, VT: 4, 2x interface óptica ethernet IEC61850 e DNP3eth, largura 1/3 de rack 19'', garantia do fabricante de 10 anos. Fabricante: Siemens.</t>
  </si>
  <si>
    <t>7SS5235-5CA01-0AA1</t>
  </si>
  <si>
    <t>Relé de proteção diferencial de barras, unidade de bay, BI: 20, BO: 6, CT: 4, VT: 0, largura 1/2 de rack 19'', garantia do fabricante de 10 anos. Fabricante: Siemens.</t>
  </si>
  <si>
    <t>7SJ82 (P1J786605)</t>
  </si>
  <si>
    <t>7SJ85 (P1J786614)</t>
  </si>
  <si>
    <t>Relé de proteção de de sobrecorrente ou controle de bay, BI: 33, BO: 24, CT: 4, VT: 4, 2x interface óptica ethernet IEC61850 e DNP3eth, largura 2/3 de rack 19'', garantia do fabricante de 10 anos. Fabricante: Siemens.</t>
  </si>
  <si>
    <t>7UT85 (P1F255275)</t>
  </si>
  <si>
    <t>7SA86 (P1A338675)</t>
  </si>
  <si>
    <t>Relé de proteção de distância para linhas de transmissão, disparo tripolar, BI: 29, BO: 29, CT: 4, VT: 4, 2x interface óptica ethernet IEC61850 e DNP3eth, largura 2/3 de rack 19'', garantia do fabricante de 10 anos. Fabricante: Siemens.</t>
  </si>
  <si>
    <t>7SS85 (P1E336668)</t>
  </si>
  <si>
    <t>Relé de proteção diferencial de barras, concentrado, até 12 vãos em 2 zonas, BI: 39, BO: 35, CT: 48, VT: 4, 2x interface óptica ethernet IEC61850 e DNP3eth, largura 1+1/2 rack 19'', garantia do fabricante de 10 anos. Fabricante: Siemens.</t>
  </si>
  <si>
    <t>7UT6125-5EB91-1AA0-L0S</t>
  </si>
  <si>
    <t>Relé Siemens Siprotec 4 - 7UT6125-5EB91-1AA0-L0S (TR2 - GED 162, 87B 69 - GED 136) [3/4]</t>
  </si>
  <si>
    <t>7UT6135-5EB91-1AA0-L0S</t>
  </si>
  <si>
    <t>Relé Siemens Siprotec 4 - 7UT6135-5EB91-1AA0-L0S (87B 138 - GED 136) [5/8]</t>
  </si>
  <si>
    <t>7UT6335-5EB91-1AA0-L0S</t>
  </si>
  <si>
    <t>Relé Siemens Siprotec 4 - 7UT6335-5EB91-1AA0-L0S (TR2 - GED 162 ++, TR3 - GED 3377) [21/24]</t>
  </si>
  <si>
    <t>7SJ6416-5EB91-3HH3-L2S</t>
  </si>
  <si>
    <t>Relé Siemens Siprotec 4 - 7SJ6416-5EB91-3HH3-L2S (Sobrec. - GED 139) [15/13]</t>
  </si>
  <si>
    <t>7SJ6456-5EB91-3HH3-L2S</t>
  </si>
  <si>
    <t>Relé Siemens Siprotec 4 - 7SJ6456-5EB91-3HH3-L2S (Sobrec. - GED 139 ++) [33/11]</t>
  </si>
  <si>
    <t>7SJ6416-5EB91-3HH7-L2S</t>
  </si>
  <si>
    <t>Relé Siemens Siprotec 4 - 7SJ6416-5EB91-3HH7-L2S (Sobrec. Dir. - GED 176) [15/13]</t>
  </si>
  <si>
    <t>7UT6355-5EB91-1AA0-L0S</t>
  </si>
  <si>
    <t>Relé Siemens Siprotec 4 - 7UT6355-5EB91-1AA0-L0S (87B 138 - GED 136 ++) [29/24]</t>
  </si>
  <si>
    <t>7SJ6426-5EB91-3HH3-L2S</t>
  </si>
  <si>
    <t>Relé Siemens Siprotec 4 - 7SJ6426-5EB91-3HH3-L2S (Sobrec. - GED 139 ++) [20/10]</t>
  </si>
  <si>
    <t>7SJ6426-5EB91-3HH7-L2S</t>
  </si>
  <si>
    <t>Relé Siemens Siprotec 4 - 7SJ6426-5EB91-3HH7-L2S (Sobrec. Dir. - GED 176 ++) [20/10]</t>
  </si>
  <si>
    <t>7SJ6456-5EB91-3HH7-L2S</t>
  </si>
  <si>
    <t>Relé Siemens Siprotec 4 - 7SJ6456-5EB91-3HH7-L2S (Sobrec. Dir. - GED 176 ++) [33/11]</t>
  </si>
  <si>
    <t>7SA6325-5CB91-0PR4-L0S</t>
  </si>
  <si>
    <t>Relé Siemens Siprotec 4 - 7SA6325-5CB91-0PR4-L0S (21 - GED 167 ++) [33/20]</t>
  </si>
  <si>
    <t>7SA6315-5BB91-0PR4-L0S</t>
  </si>
  <si>
    <t>Relé Siemens Siprotec 4 - 7SA6315-5BB91-0PR4-L0S (21 - GED 167) [20/13]</t>
  </si>
  <si>
    <t>7SS5220-6AB91-1BA0-L0S</t>
  </si>
  <si>
    <t>Relé de proteção diferencial de barras, unidade central, até 16 vãos (necessita das unidades de bay) em 12 zonas, 2x interface óptica ethernet IEC61850, largura 1 rack 19'', garantia do fabricante de 10 anos. Fabricante: Siemens.</t>
  </si>
  <si>
    <t>6MD9020-1MA00-8CA0</t>
  </si>
  <si>
    <t>Licença SICAMP PAS Compact R&amp;C, até 2.000 pontos, já inclui licenças Automation, IEC 61850, IEC 103, DNP 3.0 Master e Slave, Modbus Master. Fabricante: Siemens.</t>
  </si>
  <si>
    <t>6MD9000-1MA00-8AA0</t>
  </si>
  <si>
    <t>Licença SICAMP PAS R&amp;C, até 15 equipamentos. Fabricante: Siemens.</t>
  </si>
  <si>
    <t>6MD9000-1AA00-8AA0</t>
  </si>
  <si>
    <t>Licença SICAMP PAS R&amp;C, acima de 15 equipamentos. Fabricante: Siemens.</t>
  </si>
  <si>
    <t>6MD5503-0CP00-0AB0</t>
  </si>
  <si>
    <t>Licença SICAMP SCC Compact, até 2.048 tags. Fabricante: Siemens.</t>
  </si>
  <si>
    <t>6MD5512-0AP00-8AA0</t>
  </si>
  <si>
    <t>Licença SICAMP SCC R&amp;C, até 512 tags. Fabricante: Siemens.</t>
  </si>
  <si>
    <t>6MD5513-0AP00-0AA0</t>
  </si>
  <si>
    <t>Licença SICAMP SCC R&amp;C, até 2.048 tags. Fabricante: Siemens.</t>
  </si>
  <si>
    <t>6MD9000-0BA50-8AA0</t>
  </si>
  <si>
    <t>Licença Automation para supervisório SICAMP PAS. Fabricante: Siemens.</t>
  </si>
  <si>
    <t>6MD9000-0CB07-8AA0</t>
  </si>
  <si>
    <t>Licença DNP 3.0 Master para supervisório SICAM PAS. Fabricante: Siemens.</t>
  </si>
  <si>
    <t>6MD9000-0CE00-8AA0</t>
  </si>
  <si>
    <t>Licença IEC 61850 para supervisório SICAM PAS. Fabricante: Siemens.</t>
  </si>
  <si>
    <t>6MD9000-0CB05-8AA0</t>
  </si>
  <si>
    <t>Licença Modbus Master para supervisório SICAM PAS. Fabricante: Siemens.</t>
  </si>
  <si>
    <t>6MD9000-0CC07-8AA0</t>
  </si>
  <si>
    <t>Licença DNP 3.0 Slave para supervisório SICAM PAS. Fabricante: Siemens.</t>
  </si>
  <si>
    <t>MicroScada [CPFL]</t>
  </si>
  <si>
    <t>Licenças para ABB MicroScada, protocolos DNP 3.0, Modbus, IEC 61850, sem redundância. Fabricante: ABB.</t>
  </si>
  <si>
    <t>SAS610</t>
  </si>
  <si>
    <t>Driver PRP SAS610. Fabricante: ABB.</t>
  </si>
  <si>
    <t>SEL</t>
  </si>
  <si>
    <t>Expansão 87B</t>
  </si>
  <si>
    <t>Expansão da proteção de barras existente para 1 vão.</t>
  </si>
  <si>
    <t>Expansão 87B (sob garantia)</t>
  </si>
  <si>
    <t>Expansão da proteção de barras existente para 1 vão, considerando que o mesmo se encontra sob garantia do fornecedor.</t>
  </si>
  <si>
    <t>Adequação SAGE</t>
  </si>
  <si>
    <t>Adequação SAGE (sob garantia)</t>
  </si>
  <si>
    <t>Adequação do supervisório (nível 2) existente em decorrência das alterações/inserções realizadas.</t>
  </si>
  <si>
    <t>Adequação supervisório (sob garantia)</t>
  </si>
  <si>
    <t>Adequação do supervisório (nível 2) existente em decorrência das alterações/inserções realizadas, considerando que o mesmo se encontra sob garantia do fornecedor.</t>
  </si>
  <si>
    <t>8517.62.59</t>
  </si>
  <si>
    <t>AV Services</t>
  </si>
  <si>
    <t>0018_27-02-18</t>
  </si>
  <si>
    <t>LOGICALIS</t>
  </si>
  <si>
    <t>Elipse</t>
  </si>
  <si>
    <t>0059_23-04-19</t>
  </si>
  <si>
    <t>0048_08-10-18</t>
  </si>
  <si>
    <t>Prolux</t>
  </si>
  <si>
    <t>Enerwatt</t>
  </si>
  <si>
    <t>COEL</t>
  </si>
  <si>
    <t>0049_23-01-19</t>
  </si>
  <si>
    <t>Pextron</t>
  </si>
  <si>
    <t>0047_23-01-19</t>
  </si>
  <si>
    <t>Isolet</t>
  </si>
  <si>
    <t>0050_25-01-19</t>
  </si>
  <si>
    <t>0074_17-09-19</t>
  </si>
  <si>
    <t>PHOENIX CONTACT</t>
  </si>
  <si>
    <t>xxxx_18-08-20</t>
  </si>
  <si>
    <t>SPTRAFO</t>
  </si>
  <si>
    <t>Kraus &amp; Naimer</t>
  </si>
  <si>
    <t>XXXX_18-08-2020</t>
  </si>
  <si>
    <t>XXXX_29-01-19</t>
  </si>
  <si>
    <t>XXXX_09-03-2020</t>
  </si>
  <si>
    <t>XXXX_29-01-21</t>
  </si>
  <si>
    <t>XXXX_29-01-22</t>
  </si>
  <si>
    <t>XXXX_29-01-20</t>
  </si>
  <si>
    <t>0084_09-03-20</t>
  </si>
  <si>
    <t>0054_08-04-19</t>
  </si>
  <si>
    <t>GENÉRICO</t>
  </si>
  <si>
    <t>0100_23-06-20</t>
  </si>
  <si>
    <t>0079_21-11-19</t>
  </si>
  <si>
    <t>0099_16_07-20</t>
  </si>
  <si>
    <t>0104_13-08-20</t>
  </si>
  <si>
    <t>Partes da 8537.10 e 8537.20</t>
  </si>
  <si>
    <t>aparelhos para comunicação em redes por fio ou redes sem fio (tal como uma rede local (LAN) ou uma rede de área estendida (alargada*) (WAN))</t>
  </si>
  <si>
    <t>SPCS</t>
  </si>
  <si>
    <t>BT</t>
  </si>
  <si>
    <t>Porta</t>
  </si>
  <si>
    <t>Estudo</t>
  </si>
  <si>
    <t>RED670 [6/6/32/24]</t>
  </si>
  <si>
    <t>RSG2100NC - Switch, 4 portas ópticas MM LC, 3 portas elétricas RJ45, fonte redundante, referência 6GK6021-0AS13-3DB0-Z A05+B05+C00+D00+E01+F01+G00+H00+J00+K00. Fabricante: Siemens/RUGGEDCOM.</t>
  </si>
  <si>
    <t>REDBOX para integração da rede local em IEC61850</t>
  </si>
  <si>
    <t>SAGE - IHM</t>
  </si>
  <si>
    <t>Licença SAGE IHM. Fabricante: CEPEL.</t>
  </si>
  <si>
    <t>Arteche RF-4UR</t>
  </si>
  <si>
    <t>Arteche RXR4</t>
  </si>
  <si>
    <t>Arteche FN-DE</t>
  </si>
  <si>
    <t>Arteche JN-DE</t>
  </si>
  <si>
    <t>saTECH TSB-18</t>
  </si>
  <si>
    <t>ACU5051A</t>
  </si>
  <si>
    <t>Extensor KVM, modelo ACU5051A. Fabricante: Black Box.</t>
  </si>
  <si>
    <t>DIGSI 5 Standard, licença para 5 PCs, software de engenharia dos relés SIPROTEC 5. Fabricante: Siemens.</t>
  </si>
  <si>
    <t>REB670 [24/0/104/60]</t>
  </si>
  <si>
    <t>IED REB670, 24 TC, 0 TP, 104 BI, 60 BO. Fabricante: HITACHI ABB.</t>
  </si>
  <si>
    <t>REC670 [6/6/128/48/16]</t>
  </si>
  <si>
    <t>IED REC670, 6 TC, 6 TP, 128 BI, 48 BO, 16 AI. Fabricante: HITACHI ABB.</t>
  </si>
  <si>
    <t>REC670 [6/6/128/72/16]</t>
  </si>
  <si>
    <t>IED REC670, 6 TC, 6 TP, 128 BI, 72 BO, 16 AI. Fabricante: HITACHI ABB.</t>
  </si>
  <si>
    <t>REC670 [6/6/32/24]</t>
  </si>
  <si>
    <t>IED REC670, 6 TC, 6 TP, 32 BI, 24 BO. Fabricante: HITACHI ABB.</t>
  </si>
  <si>
    <t>REC670 [6/6/40/36]</t>
  </si>
  <si>
    <t>IED REC670, 6 TC, 6 TP, 40 BI, 36 BO. Fabricante: HITACHI ABB.</t>
  </si>
  <si>
    <t>REC670 [12/12/16/24]</t>
  </si>
  <si>
    <t>IED REC670, 12 TC, 12 TP, 16 BI, 24 BO. Fabricante: HITACHI ABB.</t>
  </si>
  <si>
    <t>REC670 [12/12/64/48]</t>
  </si>
  <si>
    <t>IED REC670, 12 TC, 12 TP, 64 BI, 48 BO. Fabricante: HITACHI ABB.</t>
  </si>
  <si>
    <t>REC670 [12/12/80/48/16]</t>
  </si>
  <si>
    <t>IED REC670, 12 TC, 12 TP, 80 BI, 48 BO, 16 AI. Fabricante: HITACHI ABB.</t>
  </si>
  <si>
    <t>IED RED670, 6 TC, 6 TP, 32 BI, 24 BO. Fabricante: HITACHI ABB.</t>
  </si>
  <si>
    <t>RED670 [6/6/64/48]</t>
  </si>
  <si>
    <t>IED RED670, 6 TC, 6 TP, 64 BI, 48 BO. Fabricante: HITACHI ABB.</t>
  </si>
  <si>
    <t>REL670 [6/6/96/48]</t>
  </si>
  <si>
    <t>IED REL670, 6 TC, 6 TP, 96 BI, 48 BO. Fabricante: HITACHI ABB.</t>
  </si>
  <si>
    <t>REL670 [12/12/96/48]</t>
  </si>
  <si>
    <t>IED REL670, 12 TC, 12 TP, 96 BI, 48 BO. Fabricante: HITACHI ABB.</t>
  </si>
  <si>
    <t>IED REL670, 6 TC, 6 TP, 32 BI, 24 BO. Fabricante: HITACHI ABB.</t>
  </si>
  <si>
    <t>REL670 [6/6/48/48]</t>
  </si>
  <si>
    <t>IED REL670, 6 TC, 6 TP, 48 BI, 48 BO. Fabricante: HITACHI ABB.</t>
  </si>
  <si>
    <t>REL670 [6/6/72/36]</t>
  </si>
  <si>
    <t>IED REL670, 6 TC, 6 TP, 72 BI, 36 BO. Fabricante: HITACHI ABB.</t>
  </si>
  <si>
    <t>IED RET670, 12 TC, 6 TP, 32 BI, 24 BO. Fabricante: HITACHI ABB.</t>
  </si>
  <si>
    <t>RET670 [15/9/32/32]</t>
  </si>
  <si>
    <t>IED RET670, 15 TC, 9 TP, 32 BI, 32 BO. Fabricante: HITACHI ABB.</t>
  </si>
  <si>
    <t>RET670 [15/9/48/48]</t>
  </si>
  <si>
    <t>IED RET670, 15 TC, 9 TP, 48 BI, 48 BO. Fabricante: HITACHI ABB.</t>
  </si>
  <si>
    <t>IED RET670, 15 TC, 9 TP, 64 BI, 48 BO. Fabricante: HITACHI ABB.</t>
  </si>
  <si>
    <t>RET670 [15/9/64/48/3]</t>
  </si>
  <si>
    <t>IED RET670, 15 TC, 9 TP, 64 BI, 48 BO, 3 AI. Fabricante: HITACHI ABB.</t>
  </si>
  <si>
    <t>PCM600</t>
  </si>
  <si>
    <t>Software de engenharia de IEDs RELION (download gratuito). Fabricante: HITACHI ABB.</t>
  </si>
  <si>
    <t>Blackbox</t>
  </si>
  <si>
    <t>0131_07-07-21</t>
  </si>
  <si>
    <t>ABB [em USD !!!] - PREÇOS BASE CTEEP ONDA 5</t>
  </si>
  <si>
    <t>HP V1405</t>
  </si>
  <si>
    <t>Switch Ethernet HP V1405, não-gerenciável, com 8 portas 10/100 RJ45. Fabricante: HP.</t>
  </si>
  <si>
    <t>E750</t>
  </si>
  <si>
    <t>Medidor de faturamento, referência E750-A2E3-AN-BADP-24-0H0A-2-CL. Fabricante: Landis+Gyr.</t>
  </si>
  <si>
    <t>BP-05</t>
  </si>
  <si>
    <t>0135_15-08-21</t>
  </si>
  <si>
    <t>Potenza</t>
  </si>
  <si>
    <t>0138_28-10-21</t>
  </si>
  <si>
    <t>Testes em fábrica com a presença do cliente.
Local: PSI (Jundiaí SP).
Exclusos gastos de viagem dos participantes.</t>
  </si>
  <si>
    <t>Bloco de testes com 18 polos. Fabricante: Arteche.</t>
  </si>
  <si>
    <t>Pente de testes com 18 polos. Fabricante: Arteche.</t>
  </si>
  <si>
    <t>Entrega CIF</t>
  </si>
  <si>
    <t>Finalização TAC</t>
  </si>
  <si>
    <t>Finalização da montagem dos painéis</t>
  </si>
  <si>
    <t>Termo de encerramento</t>
  </si>
  <si>
    <t>Aprovação de materiais críticos</t>
  </si>
  <si>
    <t>1.1.1</t>
  </si>
  <si>
    <t>1.1.3</t>
  </si>
  <si>
    <t>1.1.4</t>
  </si>
  <si>
    <t>Chaparia SAUX CA/CC</t>
  </si>
  <si>
    <t>Painel BT CA</t>
  </si>
  <si>
    <t>Painel de serviços auxiliares CA com uma entrada e interligação de barras com 50 disjuntores em cada barra com capacidade de acordo com o projeto, In=400A. Fabricante: PSI.</t>
  </si>
  <si>
    <t>Painel BT CC</t>
  </si>
  <si>
    <t>Painel de serviços auxiliares CC com uma entrada e interligação de barras com 50 disjuntores em cada barra com capacidade de acordo com o projeto, In=300A. Fabricante: PSI.</t>
  </si>
  <si>
    <t>RPV311</t>
  </si>
  <si>
    <t>RPV311 - Módulo de Processamento para Registrador Digital de Perturbações Distribuído; 2x eth RJ45; PMU, GOOSE, QEE, SOE, referência RPV3113O20FC14D. Fabricante: GE/Reason.</t>
  </si>
  <si>
    <t>RA331 - Módulo de Aquisição Remota; 8 entradas analógicas (115V/5A), 32 entradas digitais (125Vcc), referência RA33132222CC. Fabricante: GE/Reason.</t>
  </si>
  <si>
    <t>RA332 - Módulo de Aquisição Remota; 16 entradas analógicas (115V/5A), 32 entradas digitais (125Vcc), referência RA3323222222CC. Fabricante: GE/Reason.</t>
  </si>
  <si>
    <t>RA333 - Módulo de Aquisição Remota com Ondas Viajantes; 8 entradas analógicas (115V/5A), 32 entradas digitais (125Vcc), referência RA33332222VCD. Fabricante: GE/Reason.</t>
  </si>
  <si>
    <t>S202 [16/8]</t>
  </si>
  <si>
    <t>S202 - Switch, 16 portas ópticas MM LC, 8 portas elétricas RJ45, fonte redundante, referência S202433P2PAHHHJH07C0. Fabricante: GE.</t>
  </si>
  <si>
    <t>Switch AFS670, 4 portas elétricas RJ45, 8 portas ópticas MM LC, fonte redundante, referência AFS670-EREETTLLLLEEEEEENZZX08.0. Fabricante: HITACHI.</t>
  </si>
  <si>
    <t>Switch AFS675, 2 portas SFP GbE, 4 portas elétricas RJ45, 8 portas ópticas MM LC, fonte redundante, referência AFS675-ERCPTTLLLLEEEEEENZZX08.0. Fabricante: HITACHI.</t>
  </si>
  <si>
    <t>Switch AFS670, 16 portas ópticas MM LC, fonte redundante, referência AFS670-EREELLLLLLLLEEEENZZX08.0. Fabricante: HITACHI.</t>
  </si>
  <si>
    <t>Switch AFS675, 2 portas SFP GbE, 16 portas ópticas MM LC, fonte redundante, referência AFS675-ERCPLLLLLLLLEEEENZZX08.0. Fabricante: HITACHI.</t>
  </si>
  <si>
    <t>SFP Eth HITACHI</t>
  </si>
  <si>
    <t>SFP Fast Ethernet, referência M-FAST SFP-MM/LC. Fabricante: HITACHI.</t>
  </si>
  <si>
    <t>SFP GbE HITACHI</t>
  </si>
  <si>
    <t>SFP Giga Ethernet, referência M-SFP-SX/LC. Fabricante: HITACHI.</t>
  </si>
  <si>
    <t>CDO-15-A12-ST-125</t>
  </si>
  <si>
    <t>Concentrador difusor óptico, 1 ST ou 1 srl elétrica (estação primária), 12 FO ST (estação secundária), expansível até 24 FO ST, alimentação 100-300 Vdc ou 90-250 Vac. Fabricante: Enautec.</t>
  </si>
  <si>
    <t>CDO-10 12 ST</t>
  </si>
  <si>
    <t>Concentrador difusor óptico, 1 ST ou 1 srl elétrica (estação primária), 12 FO ST (estação secundária), alimentação 100-300 Vdc ou 90-250 Vac. Fabricante: Enautec.</t>
  </si>
  <si>
    <t>Redbox AFS660, 4 portas SFP (vazias), 2 portas elétricas RJ45, referência AFS660-CR2S2S2TNVEPL2X07.0. Fabricante: HITACHI.</t>
  </si>
  <si>
    <t>Redbox AFS660, 3 portas SFP eth, 8 portas elétricas RJ45, referência AFS660-SR3S4T4TNZEPL2X06.1. Fabricante: HITACHI.</t>
  </si>
  <si>
    <t>Redbox AFS660, 7 portas SFP eth, 4 portas elétricas RJ45, referência AFS660-SR3S4T4SNZEPL2X06.1. Fabricante: HITACHI.</t>
  </si>
  <si>
    <t>DELL</t>
  </si>
  <si>
    <t>PowerEdge R450</t>
  </si>
  <si>
    <t>Chassis 8x2.5' (SAS/SATA) 1 CPU; Trusted Platform Module 2.0 V3; processador Intel Xeon Silver 4309Y 2.8G 8C/16T 10.4GT/s 12M Cache Turbo HT (105W) DDR4-2666; 8x 8GB RDIMM 3200MT/s Single Rank; controladora PERC H745 Front, 4x discos de 1.2TB Hard Drive SAS 12Gbps 10k 512n 2.5in Hot-Plug, em RAID 5; Riser Config 0, 1xOCP 3.0(x16)+ 1x16LP; NO Quick Sync; Dell EMC Lugage Tag (x8); NO OCP 3.0 mezzanine NIC card, Blank Filler Only; heatsink for CPU less or equal 165W; placa de gerenciamento remoto iDRAC9 Enterprise 15G; SEM drive ótico; fonte redundante, Hot-Plug, (1+1), 600W, 2 cabos de força 250V NBR14136/C13 de 2 metros; placa de rede Broadcom 5719 QP 1Gb Network Interface Card; placa de rede On-Board Dual Port de 1GbE; Windows Server 2022 Standard; ProSupport Plus 7x24 Technical Support and Assistance 3 Years-BZ. Fabricante: DELL.</t>
  </si>
  <si>
    <t>Latitude 3420</t>
  </si>
  <si>
    <t>Notebook Latitude 3420, LCD Full HD 14', Windows 11 Pro, processador Intel Core i5-1135G7 (4C, 4.2 GHz), 16GB DDR4, 1x HDD 500GB, 1x SSD MLC 128GB. Fabricante: DELL.</t>
  </si>
  <si>
    <t>Latitude 5521</t>
  </si>
  <si>
    <t>Notebook Latitude 5521, LCD Full HD 15.6', Windows 11 Pro, processador Intel Core i5-11500H (6C, 12T, 2.9-4.6 GHz), 16GB DDR4, 1x HDD 500GB, 1x SSD MLC 128GB. Fabricante: DELL.</t>
  </si>
  <si>
    <t>Informática genérica</t>
  </si>
  <si>
    <t>Mouse, teclado, caixa de som.</t>
  </si>
  <si>
    <t>Impressora Laser</t>
  </si>
  <si>
    <t>Impressora laser monocromática A4.</t>
  </si>
  <si>
    <t>Mobiliário técnico 3 lugares com gaveteiros, e 3 cadeiras giratórias com apoio de braço.</t>
  </si>
  <si>
    <t>Mobiliário técnico 2 lugares, e 2 cadeiras giratórias com apoio de braço.</t>
  </si>
  <si>
    <t>DIO 12FO SM</t>
  </si>
  <si>
    <t>Distribuidor interno óptico para 12 vias SM, 1U para fixação em rack 19''. Fabricante: Fibracem.</t>
  </si>
  <si>
    <t>DIO 24FO SM</t>
  </si>
  <si>
    <t>Distribuidor interno óptico para 24 vias SM, 1U para fixação em rack 19''. Fabricante: Fibracem.</t>
  </si>
  <si>
    <t>DIO 12FO MM</t>
  </si>
  <si>
    <t>Distribuidor interno óptico para 12 vias MM, 1U para fixação em rack 19''. Fabricante: Fibracem.</t>
  </si>
  <si>
    <t>DIO 24FO MM</t>
  </si>
  <si>
    <t>Distribuidor interno óptico para 24 vias MM, 1U para fixação em rack 19''. Fabricante: Fibracem.</t>
  </si>
  <si>
    <t>CFOA-SM-DDR-S 12FO LSZH</t>
  </si>
  <si>
    <t>Cabo óptico óptico para ambiente externo, abrigado em canaleta, 12 vias SM, 1 metro. Fabricante: Fibracem.</t>
  </si>
  <si>
    <t>CFOA-SM-DDR-S 24FO LSZH</t>
  </si>
  <si>
    <t>Cabo óptico óptico para ambiente externo, abrigado em canaleta, 24 vias SM, 1 metro. Fabricante: Fibracem.</t>
  </si>
  <si>
    <t>CFOA-MM50-DDR-S 12FO LSZH OM4</t>
  </si>
  <si>
    <t>Cabo óptico óptico para ambiente externo, abrigado em canaleta, 12 vias MM, 1 metro. Fabricante: Fibracem.</t>
  </si>
  <si>
    <t>CFOA-MM50-DDR-S 24FO LSZH OM4</t>
  </si>
  <si>
    <t>Cabo óptico óptico para ambiente externo, abrigado em canaleta, 24 vias MM, 1 metro. Fabricante: Fibracem.</t>
  </si>
  <si>
    <t>Elipse Power HMI 20.000</t>
  </si>
  <si>
    <t>Driver ICCP</t>
  </si>
  <si>
    <t>Driver principal ICCP, para software Elipse Power. Fabricante: Elipse.</t>
  </si>
  <si>
    <t>Driver ICCP (connection)</t>
  </si>
  <si>
    <t>Driver adicional ICCP, para software Elipse Power. Fabricante: Elipse.</t>
  </si>
  <si>
    <t>Elipse Power Viewer Control</t>
  </si>
  <si>
    <t>BAC</t>
  </si>
  <si>
    <t>Conversor BCD analógico. Fabricante: Treetech.</t>
  </si>
  <si>
    <t>P1X347</t>
  </si>
  <si>
    <t>2TAZ662012R2000</t>
  </si>
  <si>
    <t>Multimedidor de grandezas elétricas M1M 20, com comunicação RS485, 1/5A, alimentação 85-265Vca/90-300Vdc. Fabricante: ABB.</t>
  </si>
  <si>
    <t>2TAZ110100R1024</t>
  </si>
  <si>
    <t>Minidisjuntor S201-C2; 1 polo; curva C; In = 2A; Icu = 20kA (127Vac), 10kA (230Vac); U = 60Vdc/230Vac; largura 17.5 mm. Fabricante: ABB.</t>
  </si>
  <si>
    <t>2TAZ110100R1044</t>
  </si>
  <si>
    <t>Minidisjuntor S201-C4; 1 polo; curva C; In = 4A; Icu = 20kA (127Vac), 10kA (230Vac); U = 60Vdc/230Vac; largura 17.5 mm. Fabricante: ABB.</t>
  </si>
  <si>
    <t>2TAZ110100R1064</t>
  </si>
  <si>
    <t>Minidisjuntor S201-C6; 1 polo; curva C; In = 6A; Icu = 20kA (127Vac), 10kA (230Vac); U = 60Vdc/230Vac; largura 17.5 mm. Fabricante: ABB.</t>
  </si>
  <si>
    <t>2TAZ110100R1104</t>
  </si>
  <si>
    <t>Minidisjuntor S201-C10; 1 polo; curva C; In = 10A; Icu = 20kA (127Vac), 10kA (230Vac); U = 60Vdc/230Vac; largura 17.5 mm. Fabricante: ABB.</t>
  </si>
  <si>
    <t>2TAZ110100R1164</t>
  </si>
  <si>
    <t>Minidisjuntor S201-C16; 1 polo; curva C; In = 16A; Icu = 20kA (127Vac), 10kA (230Vac); U = 60Vdc/230Vac; largura 17.5 mm. Fabricante: ABB.</t>
  </si>
  <si>
    <t>2TAZ110100R1204</t>
  </si>
  <si>
    <t>Minidisjuntor S201-C20; 1 polo; curva C; In = 20A; Icu = 20kA (127Vac), 10kA (230Vac); U = 60Vdc/230Vac; largura 17.5 mm. Fabricante: ABB.</t>
  </si>
  <si>
    <t>2TAZ110100R1254</t>
  </si>
  <si>
    <t>Minidisjuntor S201-C25; 1 polo; curva C; In = 25A; Icu = 20kA (127Vac), 10kA (230Vac); U = 60Vdc/230Vac; largura 17.5 mm. Fabricante: ABB.</t>
  </si>
  <si>
    <t>2TAZ110100R1324</t>
  </si>
  <si>
    <t>Minidisjuntor S201-C32; 1 polo; curva C; In = 32A; Icu = 20kA (127Vac), 10kA (230Vac); U = 60Vdc/230Vac; largura 17.5 mm. Fabricante: ABB.</t>
  </si>
  <si>
    <t>2TAZ110100R1404</t>
  </si>
  <si>
    <t>Minidisjuntor S201-C40; 1 polo; curva C; In = 40A; Icu = 20kA (127Vac), 10kA (230Vac); U = 60Vdc/230Vac; largura 17.5 mm. Fabricante: ABB.</t>
  </si>
  <si>
    <t>2TAZ110100R1504</t>
  </si>
  <si>
    <t>Minidisjuntor S201-C50; 1 polo; curva C; In = 50A; Icu = 20kA (127Vac), 10kA (230Vac); U = 60Vdc/230Vac; largura 17.5 mm. Fabricante: ABB.</t>
  </si>
  <si>
    <t>2TAZ110100R1634</t>
  </si>
  <si>
    <t>Minidisjuntor S201-C63; 1 polo; curva C; In = 63A; Icu = 20kA (127Vac), 10kA (230Vac); U = 60Vdc/230Vac; largura 17.5 mm. Fabricante: ABB.</t>
  </si>
  <si>
    <t>Minidisjuntor S201-C80; 1 polo; curva C; In = 80A; Icu = 20kA (127Vac), 10kA (230Vac); U = 60Vdc/230Vac; largura 17.5 mm. Fabricante: ABB.</t>
  </si>
  <si>
    <t>Minidisjuntor S201-C100; 1 polo; curva C; In = 100A; Icu = 20kA (127Vac), 10kA (230Vac); U = 60Vdc/230Vac; largura 17.5 mm. Fabricante: ABB.</t>
  </si>
  <si>
    <t>2TAZ110200R1024</t>
  </si>
  <si>
    <t>Minidisjuntor S202-C2; 2 polos; curva C; In = 2A; Icu = 20kA (230Vac), 10kA (440Vac); U = 125Vdc/440Vac; largura 35 mm. Fabricante: ABB.</t>
  </si>
  <si>
    <t>2TAZ110200R1044</t>
  </si>
  <si>
    <t>Minidisjuntor S202-C4; 2 polos; curva C; In = 4A; Icu = 20kA (230Vac), 10kA (440Vac); U = 125Vdc/440Vac; largura 35 mm. Fabricante: ABB.</t>
  </si>
  <si>
    <t>2TAZ110200R1064</t>
  </si>
  <si>
    <t>Minidisjuntor S202-C6; 2 polos; curva C; In = 6A; Icu = 20kA (230Vac), 10kA (440Vac); U = 125Vdc/440Vac; largura 35 mm. Fabricante: ABB.</t>
  </si>
  <si>
    <t>2TAZ110200R1104</t>
  </si>
  <si>
    <t>Minidisjuntor S202-C10; 2 polos; curva C; In = 10A; Icu = 20kA (230Vac), 10kA (440Vac); U = 125Vdc/440Vac; largura 35 mm. Fabricante: ABB.</t>
  </si>
  <si>
    <t>2TAZ110200R1164</t>
  </si>
  <si>
    <t>Minidisjuntor S202-C16; 2 polos; curva C; In = 16A; Icu = 20kA (230Vac), 10kA (440Vac); U = 125Vdc/440Vac; largura 35 mm. Fabricante: ABB.</t>
  </si>
  <si>
    <t>2TAZ110200R1204</t>
  </si>
  <si>
    <t>Minidisjuntor S202-C20; 2 polos; curva C; In = 20A; Icu = 20kA (230Vac), 10kA (440Vac); U = 125Vdc/440Vac; largura 35 mm. Fabricante: ABB.</t>
  </si>
  <si>
    <t>2TAZ110200R1254</t>
  </si>
  <si>
    <t>Minidisjuntor S202-C25; 2 polos; curva C; In = 25A; Icu = 20kA (230Vac), 10kA (440Vac); U = 125Vdc/440Vac; largura 35 mm. Fabricante: ABB.</t>
  </si>
  <si>
    <t>2TAZ110200R1324</t>
  </si>
  <si>
    <t>Minidisjuntor S202-C32; 2 polos; curva C; In = 32A; Icu = 20kA (230Vac), 10kA (440Vac); U = 125Vdc/440Vac; largura 35 mm. Fabricante: ABB.</t>
  </si>
  <si>
    <t>2TAZ110200R1404</t>
  </si>
  <si>
    <t>Minidisjuntor S202-C40; 2 polos; curva C; In = 40A; Icu = 20kA (230Vac), 10kA (440Vac); U = 125Vdc/440Vac; largura 35 mm. Fabricante: ABB.</t>
  </si>
  <si>
    <t>2TAZ110200R1504</t>
  </si>
  <si>
    <t>Minidisjuntor S202-C50; 2 polos; curva C; In = 50A; Icu = 20kA (230Vac), 10kA (440Vac); U = 125Vdc/440Vac; largura 35 mm. Fabricante: ABB.</t>
  </si>
  <si>
    <t>2TAZ110200R1634</t>
  </si>
  <si>
    <t>Minidisjuntor S202-C63; 2 polos; curva C; In = 63A; Icu = 20kA (230Vac), 10kA (440Vac); U = 125Vdc/440Vac; largura 35 mm. Fabricante: ABB.</t>
  </si>
  <si>
    <t>2CDS252001R0804</t>
  </si>
  <si>
    <t>Minidisjuntor S202-C80; 2 polos; curva C; In = 80A; Icu = 20kA (230Vac), 10kA (440Vac); U = 125Vdc/440Vac; largura 35 mm. Fabricante: ABB.</t>
  </si>
  <si>
    <t>2CDS252001R0824</t>
  </si>
  <si>
    <t>Minidisjuntor S202-C100; 2 polos; curva C; In = 100A; Icu = 20kA (230Vac), 10kA (440Vac); U = 125Vdc/440Vac; largura 35 mm. Fabricante: ABB.</t>
  </si>
  <si>
    <t>2TAZ110300R1024</t>
  </si>
  <si>
    <t>Minidisjuntor S203-C2; 3 polos; curva C; In = 2A; Icu = 20kA (230Vac), 10kA (440Vac); U = 440Vac; largura 52.5 mm. Fabricante: ABB.</t>
  </si>
  <si>
    <t>2TAZ110300R1044</t>
  </si>
  <si>
    <t>Minidisjuntor S203-C4; 3 polos; curva C; In = 4A; Icu = 20kA (230Vac), 10kA (440Vac); U = 440Vac; largura 52.5 mm. Fabricante: ABB.</t>
  </si>
  <si>
    <t>2TAZ110300R1064</t>
  </si>
  <si>
    <t>Minidisjuntor S203-C6; 3 polos; curva C; In = 6A; Icu = 20kA (230Vac), 10kA (440Vac); U = 440Vac; largura 52.5 mm. Fabricante: ABB.</t>
  </si>
  <si>
    <t>2TAZ110300R1104</t>
  </si>
  <si>
    <t>Minidisjuntor S203-C10; 3 polos; curva C; In = 10A; Icu = 20kA (230Vac), 10kA (440Vac); U = 440Vac; largura 52.5 mm. Fabricante: ABB.</t>
  </si>
  <si>
    <t>2TAZ110300R1164</t>
  </si>
  <si>
    <t>Minidisjuntor S203-C16; 3 polos; curva C; In = 16A; Icu = 20kA (230Vac), 10kA (440Vac); U = 440Vac; largura 52.5 mm. Fabricante: ABB.</t>
  </si>
  <si>
    <t>2TAZ110300R1204</t>
  </si>
  <si>
    <t>Minidisjuntor S203-C20; 3 polos; curva C; In = 20A; Icu = 20kA (230Vac), 10kA (440Vac); U = 440Vac; largura 52.5 mm. Fabricante: ABB.</t>
  </si>
  <si>
    <t>2TAZ110300R1254</t>
  </si>
  <si>
    <t>Minidisjuntor S203-C25; 3 polos; curva C; In = 25A; Icu = 20kA (230Vac), 10kA (440Vac); U = 440Vac; largura 52.5 mm. Fabricante: ABB.</t>
  </si>
  <si>
    <t>2TAZ110300R1324</t>
  </si>
  <si>
    <t>Minidisjuntor S203-C32; 3 polos; curva C; In = 32A; Icu = 20kA (230Vac), 10kA (440Vac); U = 440Vac; largura 52.5 mm. Fabricante: ABB.</t>
  </si>
  <si>
    <t>2TAZ110300R1404</t>
  </si>
  <si>
    <t>Minidisjuntor S203-C40; 3 polos; curva C; In = 40A; Icu = 20kA (230Vac), 10kA (440Vac); U = 440Vac; largura 52.5 mm. Fabricante: ABB.</t>
  </si>
  <si>
    <t>2TAZ110300R1504</t>
  </si>
  <si>
    <t>Minidisjuntor S203-C50; 3 polos; curva C; In = 50A; Icu = 20kA (230Vac), 10kA (440Vac); U = 440Vac; largura 52.5 mm. Fabricante: ABB.</t>
  </si>
  <si>
    <t>2TAZ110300R1634</t>
  </si>
  <si>
    <t>Minidisjuntor S203-C63; 3 polos; curva C; In = 63A; Icu = 20kA (230Vac), 10kA (440Vac); U = 440Vac; largura 52.5 mm. Fabricante: ABB.</t>
  </si>
  <si>
    <t>Minidisjuntor S203-C80; 3 polos; curva C; In = 80A; Icu = 20kA (230Vac), 10kA (440Vac); U = 440Vac; largura 52.5 mm. Fabricante: ABB.</t>
  </si>
  <si>
    <t>Minidisjuntor S203-C100; 3 polos; curva C; In = 100A; Icu = 20kA (230Vac), 10kA (440Vac); U = 440Vac; largura 52.5 mm. Fabricante: ABB.</t>
  </si>
  <si>
    <t>2TAZ111100R1024</t>
  </si>
  <si>
    <t>Minidisjuntor S201M-C2; 1 polo; curva C; In = 2A; Icu = 25kA (133Vac), 15kA (230Vac); U = 60Vdc/230Vac; largura 17.5 mm. Fabricante: ABB.</t>
  </si>
  <si>
    <t>2TAZ111100R1064</t>
  </si>
  <si>
    <t>Minidisjuntor S201M-C6; 1 polo; curva C; In = 6A; Icu = 25kA (133Vac), 15kA (230Vac); U = 60Vdc/230Vac; largura 17.5 mm. Fabricante: ABB.</t>
  </si>
  <si>
    <t>2TAZ111100R1104</t>
  </si>
  <si>
    <t>Minidisjuntor S201M-C10; 1 polo; curva C; In = 10A; Icu = 25kA (133Vac), 15kA (230Vac); U = 60Vdc/230Vac; largura 17.5 mm. Fabricante: ABB.</t>
  </si>
  <si>
    <t>2TAZ111100R1164</t>
  </si>
  <si>
    <t>Minidisjuntor S201M-C16; 1 polo; curva C; In = 16A; Icu = 25kA (133Vac), 15kA (230Vac); U = 60Vdc/230Vac; largura 17.5 mm. Fabricante: ABB.</t>
  </si>
  <si>
    <t>2TAZ111100R1204</t>
  </si>
  <si>
    <t>Minidisjuntor S201M-C20; 1 polo; curva C; In = 20A; Icu = 25kA (133Vac), 15kA (230Vac); U = 60Vdc/230Vac; largura 17.5 mm. Fabricante: ABB.</t>
  </si>
  <si>
    <t>2TAZ111100R1254</t>
  </si>
  <si>
    <t>Minidisjuntor S201M-C25; 1 polo; curva C; In = 25A; Icu = 25kA (133Vac), 15kA (230Vac); U = 60Vdc/230Vac; largura 17.5 mm. Fabricante: ABB.</t>
  </si>
  <si>
    <t>2TAZ111100R1324</t>
  </si>
  <si>
    <t>Minidisjuntor S201M-C32; 1 polo; curva C; In = 32A; Icu = 25kA (133Vac), 15kA (230Vac); U = 60Vdc/230Vac; largura 17.5 mm. Fabricante: ABB.</t>
  </si>
  <si>
    <t>2TAZ111100R1404</t>
  </si>
  <si>
    <t>Minidisjuntor S201M-C40; 1 polo; curva C; In = 40A; Icu = 25kA (133Vac), 15kA (230Vac); U = 60Vdc/230Vac; largura 17.5 mm. Fabricante: ABB.</t>
  </si>
  <si>
    <t>2TAZ111100R1504</t>
  </si>
  <si>
    <t>Minidisjuntor S201M-C50; 1 polo; curva C; In = 50A; Icu = 25kA (133Vac), 15kA (230Vac); U = 60Vdc/230Vac; largura 17.5 mm. Fabricante: ABB.</t>
  </si>
  <si>
    <t>2TAZ111300R1024</t>
  </si>
  <si>
    <t>Minidisjuntor S203M-C2; 3 polos; curva C; In = 2A; Icu = 25kA (230Vac), 15kA (440Vac); U = 440Vac; largura 52.5 mm. Fabricante: ABB.</t>
  </si>
  <si>
    <t>2TAZ111300R1064</t>
  </si>
  <si>
    <t>Minidisjuntor S203M-C6; 3 polos; curva C; In = 6A; Icu = 25kA (230Vac), 15kA (440Vac); U = 440Vac; largura 52.5 mm. Fabricante: ABB.</t>
  </si>
  <si>
    <t>2TAZ111300R1104</t>
  </si>
  <si>
    <t>Minidisjuntor S203M-C10; 3 polos; curva C; In = 10A; Icu = 25kA (230Vac), 15kA (440Vac); U = 440Vac; largura 52.5 mm. Fabricante: ABB.</t>
  </si>
  <si>
    <t>2TAZ111300R1204</t>
  </si>
  <si>
    <t>Minidisjuntor S203M-C20; 3 polos; curva C; In = 20A; Icu = 25kA (230Vac), 15kA (440Vac); U = 440Vac; largura 52.5 mm. Fabricante: ABB.</t>
  </si>
  <si>
    <t>2TAZ111300R1254</t>
  </si>
  <si>
    <t>Minidisjuntor S203M-C25; 3 polos; curva C; In = 25A; Icu = 25kA (230Vac), 15kA (440Vac); U = 440Vac; largura 52.5 mm. Fabricante: ABB.</t>
  </si>
  <si>
    <t>2TAZ111300R1324</t>
  </si>
  <si>
    <t>Minidisjuntor S203M-C32; 3 polos; curva C; In = 32A; Icu = 25kA (230Vac), 15kA (440Vac); U = 440Vac; largura 52.5 mm. Fabricante: ABB.</t>
  </si>
  <si>
    <t>2TAZ111300R1404</t>
  </si>
  <si>
    <t>Minidisjuntor S203M-C40; 3 polos; curva C; In = 40A; Icu = 25kA (230Vac), 15kA (440Vac); U = 440Vac; largura 52.5 mm. Fabricante: ABB.</t>
  </si>
  <si>
    <t>2TAZ111300R1504</t>
  </si>
  <si>
    <t>Minidisjuntor S203M-C50; 3 polos; curva C; In = 50A; Icu = 25kA (230Vac), 15kA (440Vac); U = 440Vac; largura 52.5 mm. Fabricante: ABB.</t>
  </si>
  <si>
    <t>2TAZ111300R1634</t>
  </si>
  <si>
    <t>Minidisjuntor S203M-C63; 3 polos; curva C; In = 63A; Icu = 25kA (230Vac), 15kA (440Vac); U = 440Vac; largura 52.5 mm. Fabricante: ABB.</t>
  </si>
  <si>
    <t>1SVR730784R2300</t>
  </si>
  <si>
    <t>Monitor de tensão trifásico, relé 27/59, CM-PSS.31S, 2NAF, alimentação 380Vac/Vdc, push-in. Fabricante: ABB.</t>
  </si>
  <si>
    <t>PST</t>
  </si>
  <si>
    <t>PST - Relé supervisor trifásico com proteção de sub/sobretensão (27/59), sequência de fases (47) e desequilíbrio de tensão (60), para instalação em porta de painel, comunicação RS485. Fabricante: Pextron.</t>
  </si>
  <si>
    <t>PSVA</t>
  </si>
  <si>
    <t>PSVA - Relé supervisor com proteção de sub/sobretensão (27/59) para corrente contínua, para instalação em porta de painel, comunicação RS485. Fabricante: Pextron.</t>
  </si>
  <si>
    <t>HITACHI ABB RTU560</t>
  </si>
  <si>
    <t>1KGT036300R0002</t>
  </si>
  <si>
    <t>Unidade de comunicação (CMU) para RTU560 com 6 portas seriais e 2 portas eth, referência 560CMR02 R0002. Fabricante: HITACHI ABB.</t>
  </si>
  <si>
    <t>1KGT011900R0001</t>
  </si>
  <si>
    <t>Fonte principal 48-220 Vdc para RTU560, referência 560PSU02 R0001. Fabricante: HITACHI ABB.</t>
  </si>
  <si>
    <t>1KGT022100R0001</t>
  </si>
  <si>
    <t>Fonte redundante 48-220 Vdc para RTU560, referência 560MPR03 R0001. Fabricante: HITACHI ABB.</t>
  </si>
  <si>
    <t>1KGN000556R2002</t>
  </si>
  <si>
    <t>Borne (2 polos) para RTU560, referência 23XS20 R2002. Fabricante: HITACHI ABB.</t>
  </si>
  <si>
    <t>1KGT007700R1002</t>
  </si>
  <si>
    <t>Placas de fechamento para RTU560, referência 560FPR01 R1002. Fabricante: HITACHI ABB.</t>
  </si>
  <si>
    <t>1KGT201642R0012</t>
  </si>
  <si>
    <t>Software de operação (protocolos) para RTU560. Fabricante: HITACHI ABB.</t>
  </si>
  <si>
    <t>1KGT201643R0012</t>
  </si>
  <si>
    <t>Software de operação (licença base) para RTU560. Fabricante: HITACHI ABB.</t>
  </si>
  <si>
    <t>1KGT210278R0012</t>
  </si>
  <si>
    <t>RTUtil500 - Software de parametrização para RTU650, ambiente Windows. Fabricante: HITACHI ABB.</t>
  </si>
  <si>
    <t>1KGT038500R0001</t>
  </si>
  <si>
    <t>MULTIPROG 5 - Software de desenvolvimento avançado (lógica PLC) para RTU650, ambiente Windows. Fabricante: HITACHI ABB.</t>
  </si>
  <si>
    <t>1KGT034000R0102</t>
  </si>
  <si>
    <t>Placa com 16 BI para RTU560, referência 560BIR01 R0102. Fabricante: HITACHI ABB.</t>
  </si>
  <si>
    <t>1KGT036800R0102</t>
  </si>
  <si>
    <t>Placa com 16 BO para RTU560, referência 560BOR01 R0102. Fabricante: HITACHI ABB.</t>
  </si>
  <si>
    <t>1KGT036500R0001</t>
  </si>
  <si>
    <t>Placa com 8 AI (mA, V) para RTU560, referência 560AIR01 R0001. Fabricante: HITACHI ABB.</t>
  </si>
  <si>
    <t>1KGN000556R3019</t>
  </si>
  <si>
    <t>Régua de bornes (19 polos) para RTU560, referência 23XS20 R3019. Fabricante: HITACHI ABB.</t>
  </si>
  <si>
    <t>6MF1211-0CJ60-0AA0</t>
  </si>
  <si>
    <t>CM-2860 - Chave de redundância AK3. Fabricante: Siemens.</t>
  </si>
  <si>
    <t>6MF1313-0CA68-0AA0</t>
  </si>
  <si>
    <t>TC2-068 - Cabo para redundância AK3. Fabricante: Siemens.</t>
  </si>
  <si>
    <t>GENÉRICOS PARA OS PADRÕES</t>
  </si>
  <si>
    <t>Relés</t>
  </si>
  <si>
    <t>Registrador de perturbações, 4 TC, 4 TP, 32 BI, garantia 10 anos. Fabricante: Siemens ou GE/Reason.</t>
  </si>
  <si>
    <t>Registrador de perturbações, 8 TC, 8 TP, 32 BI, garantia 10 anos. Fabricante: Siemens ou GE/Reason.</t>
  </si>
  <si>
    <t>Registrador de perturbações, 12 TC, 12 TP, 32 BI, garantia 10 anos. Fabricante: Siemens ou GE/Reason.</t>
  </si>
  <si>
    <t>Relé digital para linhas de transmissão, proteção de distância, 4 TC, 4 TP, 40 BI, 30 BO, display gráfico, garantia 10 anos. Fabricante: Siemens, ABB, SEL ou GE/Alstom.</t>
  </si>
  <si>
    <t>Relé digital para linhas de transmissão, proteção diferencial e de distância, 4 TC, 4 TP, 40 BI, 30 BO, display gráfico, garantia 10 anos. Fabricante: Siemens, ABB, SEL ou GE/Alstom.</t>
  </si>
  <si>
    <t>Relé digital para linhas de transmissão, proteção diferencial, 4 TC, 4 TP, 40 BI, 30 BO, display gráfico, garantia 10 anos. Fabricante: Siemens, ABB, SEL ou GE/Alstom.</t>
  </si>
  <si>
    <t>Relé digital, proteção de falha disjuntor, 4 TC, 4 TP, 30 BI, 20 BO, display gráfico, garantia 10 anos. Fabricante: Siemens, ABB, SEL ou GE/Alstom.</t>
  </si>
  <si>
    <t>Relé digital, proteção de sobrecorrente, 4 TC, 4 TP, 20 BI, 10 BO, display gráfico, garantia 10 anos. Fabricante: Siemens, ABB, SEL ou GE/Alstom.</t>
  </si>
  <si>
    <t>Relé digital para transformadores, proteção diferencial, 4 TC, 4 TP, 10 BI, 15 BO, display gráfico, garantia 10 anos. Fabricante: Siemens, ABB, SEL ou GE/Alstom.</t>
  </si>
  <si>
    <t>Relé digital para transformadores, proteção diferencial, 12 TC, 4 TP, 10 BI, 15 BO, display gráfico, garantia 10 anos. Fabricante: Siemens, ABB, SEL ou GE/Alstom.</t>
  </si>
  <si>
    <t>Relé digital barramentos, proteção diferencial (unidade central), com conexões suficientes para a aplicação e mais 1 bay reserva, garantia 10 anos. Fabricante: Siemens, ABB, SEL ou GE/Alstom.</t>
  </si>
  <si>
    <t>Relé digital barramentos, proteção diferencial (unidade de bay), 4 TC, 10 BI, 5 BO, garantia 10 anos. Fabricante: Siemens, ABB, SEL ou GE/Alstom.</t>
  </si>
  <si>
    <t>Relé digital barramentos, proteção diferencial, até 4 bays, 16 TC, 40 BI, 20 BO, garantia 10 anos. Fabricante: Siemens, ABB, SEL ou GE/Alstom.</t>
  </si>
  <si>
    <t>Relé digital barramentos, proteção diferencial, até 5 bays, 20 TC, 50 BI, 25 BO, garantia 10 anos. Fabricante: Siemens, ABB, SEL ou GE/Alstom.</t>
  </si>
  <si>
    <t>Relé digital barramentos, proteção diferencial, até 6 bays, 24 TC, 60 BI, 30 BO, garantia 10 anos. Fabricante: Siemens, ABB, SEL ou GE/Alstom.</t>
  </si>
  <si>
    <t>Relé digital barramentos, proteção diferencial, até 8 bays, 32 TC, 80 BI, 40 BO, garantia 10 anos. Fabricante: Siemens, ABB, SEL ou GE/Alstom.</t>
  </si>
  <si>
    <t>Relé digital barramentos, proteção diferencial, até 10 bays, 40 TC, 100 BI, 50 BO, garantia 10 anos. Fabricante: Siemens, ABB, SEL ou GE/Alstom.</t>
  </si>
  <si>
    <t>Relé digital aplicado como unidade de aquisição e controle (UAC), 4 TC, 4 TP, 35 BI, 20 BO, display gráfico, garantia 10 anos. Fabricante: Siemens, ABB, SEL ou GE/Alstom.</t>
  </si>
  <si>
    <t>Relé digital aplicado como unidade de aquisição e controle (UAC), 4 TC, 4 TP, 70 BI, 30 BO, display gráfico, garantia 10 anos. Fabricante: Siemens, ABB, SEL ou GE/Alstom.</t>
  </si>
  <si>
    <t>Relé digital aplicado como unidade de aquisição e controle (UAC), 4 TC, 4 TP, 100 BI, 30 BO, display gráfico, garantia 10 anos. Fabricante: Siemens, ABB, SEL ou GE/Alstom.</t>
  </si>
  <si>
    <t>Relé digital aplicado como unidade de aquisição e controle (UAC), 4 TC, 4 TP, 150 BI, 40 BO, display gráfico, garantia 10 anos. Fabricante: Siemens, ABB, SEL ou GE/Alstom.</t>
  </si>
  <si>
    <t>Relé digital aplicado como unidade de aquisição e controle (UAC), 8 TC, 8 TP, 80 BI, 20 BO, 12 4-20 mA, display gráfico, garantia 10 anos. Fabricante: Siemens, ABB, SEL ou GE/Alstom.</t>
  </si>
  <si>
    <t>Software dos IEDs</t>
  </si>
  <si>
    <t>Software de engenharia oficial dos relés de proteção. Fabricante: Siemens, ABB, SEL ou GE/Alstom.</t>
  </si>
  <si>
    <t>Medidor de faturamento conforme exigências CEEE. Fabricante: Schneider, Landis+Gyr.</t>
  </si>
  <si>
    <t>Referência Siemens</t>
  </si>
  <si>
    <t>7KE85 (P1N101211)</t>
  </si>
  <si>
    <t>7KE85 (P1N101239)</t>
  </si>
  <si>
    <t>7KE85 (P1N101257)</t>
  </si>
  <si>
    <t>7SA87 (P1A239578)</t>
  </si>
  <si>
    <t>7SL87 (P1C274678)</t>
  </si>
  <si>
    <t>7SD87 (P1B117221)</t>
  </si>
  <si>
    <t>7SA86 (P1A239374)</t>
  </si>
  <si>
    <t>7SL86 (P1C274517)</t>
  </si>
  <si>
    <t>7SD86 (P1B116976)</t>
  </si>
  <si>
    <t>7SJ82 (P1J67591)</t>
  </si>
  <si>
    <t>7VK87 (P1D44606)</t>
  </si>
  <si>
    <t>7UT85 (P1F313436)</t>
  </si>
  <si>
    <t>7UT85 (P1F615079)</t>
  </si>
  <si>
    <t>7UT86 (P1F313427)</t>
  </si>
  <si>
    <t>7UT86 (P1F615088)</t>
  </si>
  <si>
    <t>7SS5220-4AB92-1BA0-L0R</t>
  </si>
  <si>
    <t>Relé de proteção diferencial de barras, unidade central, até 16 vãos (necessita das unidades de bay) em 12 zonas, 2x interface elétrica ethernet IEC61850, largura 1 rack 19'', garantia do fabricante de 10 anos. Fabricante: Siemens.</t>
  </si>
  <si>
    <t>7SS85 (P1E218104)</t>
  </si>
  <si>
    <t>7SS85 (P1E218122)</t>
  </si>
  <si>
    <t>7SS85 (P1E218131)</t>
  </si>
  <si>
    <t>7SS85 (P1E218140)</t>
  </si>
  <si>
    <t>7SS85 (P1E218195)</t>
  </si>
  <si>
    <t>7SJ85 (P1J498597)</t>
  </si>
  <si>
    <t>7SJ85 (P1J519696)</t>
  </si>
  <si>
    <t>7SJ85 (P1J519702)</t>
  </si>
  <si>
    <t>7SJ85 (P1J519711)</t>
  </si>
  <si>
    <t>7SJ85 (P1J519720)</t>
  </si>
  <si>
    <t>SEL-311L</t>
  </si>
  <si>
    <t>SEL-311C</t>
  </si>
  <si>
    <t>SEL-2440</t>
  </si>
  <si>
    <t>SEL-3555</t>
  </si>
  <si>
    <t>SEL-2407</t>
  </si>
  <si>
    <t>SEL-2730</t>
  </si>
  <si>
    <t>SEL-Monitor</t>
  </si>
  <si>
    <t>SEL-Teclado</t>
  </si>
  <si>
    <t>SEL-787</t>
  </si>
  <si>
    <t>SEL-751</t>
  </si>
  <si>
    <t>RTDS</t>
  </si>
  <si>
    <t>RTDS 1 barra</t>
  </si>
  <si>
    <t>Ensaio RTDS para 1 barra.
Laboratório: UNICAMP (Campinas SP)</t>
  </si>
  <si>
    <t>RTDS 2 barras</t>
  </si>
  <si>
    <t>Ensaio RTDS para 2 barras em uma mesma subestação.
Laboratório: UNICAMP (Campinas SP)</t>
  </si>
  <si>
    <t>Adequação supervisório</t>
  </si>
  <si>
    <t>0147_29-03-22</t>
  </si>
  <si>
    <t>0146_09-03-22</t>
  </si>
  <si>
    <t>0145_23-02-22</t>
  </si>
  <si>
    <t>ENAUTEC</t>
  </si>
  <si>
    <t>0163_15-07-22</t>
  </si>
  <si>
    <t>0150_20-04-22</t>
  </si>
  <si>
    <t>ELLAN</t>
  </si>
  <si>
    <t>0168_13-10-22</t>
  </si>
  <si>
    <t>EUROCAB</t>
  </si>
  <si>
    <t>0170_17-10-22</t>
  </si>
  <si>
    <t>Mercado Livre</t>
  </si>
  <si>
    <t>0158_13-06-22</t>
  </si>
  <si>
    <t>0151_18-05-22</t>
  </si>
  <si>
    <t>0169_14-10-22</t>
  </si>
  <si>
    <t>0167_04-05-22</t>
  </si>
  <si>
    <t>0162_14-07-22</t>
  </si>
  <si>
    <t>0160_23-06-22</t>
  </si>
  <si>
    <t>0154_03-06-22</t>
  </si>
  <si>
    <t>0155_03-06-22</t>
  </si>
  <si>
    <t>0159_23-06-22</t>
  </si>
  <si>
    <t>UNICAMP</t>
  </si>
  <si>
    <t>0165_27-07-22</t>
  </si>
  <si>
    <t>Cartão de memória</t>
  </si>
  <si>
    <t>Monitor (SEL)</t>
  </si>
  <si>
    <t>Teclado (SEL)</t>
  </si>
  <si>
    <t>Coordenador</t>
  </si>
  <si>
    <t>DA-820C-KLXL-HH-T (2 MLC 480GB)</t>
  </si>
  <si>
    <t>Testes em campo para validação da solução implementada.
Inclusos gastos de viagem e hospedagem dos profissionais da CONTRATADA.
Local: Obra.</t>
  </si>
  <si>
    <t>GERAL</t>
  </si>
  <si>
    <t>1.1.2</t>
  </si>
  <si>
    <t>1.1.2.1</t>
  </si>
  <si>
    <t>1.1.2.2</t>
  </si>
  <si>
    <t>RT430 - Relógio Sincronizado por Satélites GPS. Fabricante: GE/Reason.</t>
  </si>
  <si>
    <t>RX1500</t>
  </si>
  <si>
    <t>RX1500 - Switch layer 3, 4 portas ópticas MM LC, 6 portas elétricas RJ45, fonte redundante, referência 6GK6015-0AM23-3EC0-Z A01+B01+C00+D00+E16. Fabricante: Siemens/RUGGEDCOM.</t>
  </si>
  <si>
    <t>RS900NC - Switch, 3 portas ópticas MM LC, 6 portas elétricas RJ45, referência 6GK6090-0AS13-0BA0-Z+A12+B05. Fabricante: Siemens/RUGGEDCOM.</t>
  </si>
  <si>
    <t>RS910</t>
  </si>
  <si>
    <t>RSG907R</t>
  </si>
  <si>
    <t>RSG907R - PRP/HSR redundancy box (RedBox), 4 portas ópticas MM LC, 3 portas GbE SFP, alimentação 88-330 Vcc ou 85-264 Vac, referência 6GK6490-7RB00-1CN0. Fabricante: Siemens/RUGGEDCOM.</t>
  </si>
  <si>
    <t>Moxa - CTEEP</t>
  </si>
  <si>
    <t>DA-820C-KLXL-HH-T (2 SLC 128GB)</t>
  </si>
  <si>
    <t>PC Industrial 19'' SSD</t>
  </si>
  <si>
    <t>Computador industrial SDC, 4U rack 19', ventilação forçada, 1x SSD MLC 480GB, processador Intel Core i5-8500 3.0GHz quad-core, 8GB DDR4, 2x RS232/422/485, 2x GbE RJ45, 6x USB. Fabricante: SDC.</t>
  </si>
  <si>
    <t>Computador industrial modelo IPC-510, 4U rack 19'', ventilação forçada, 1x SSD MLC 256 GB, processador Intel Core i5-8500 3 GHz hexa core, 4GB DDR4, 2x RS232, 2x GbE RJ45, 6x USB, referência IPC-510MB-00XCE. Fabricante: Advantech.</t>
  </si>
  <si>
    <t>Computador industrial modelo UNO-2272G-J2AE, instalação interna no painel, sem partes móveis, 1x SSD MLC 128 GB, processador Intel Atom J1900 2 GHz, 2 GB DDR3, 1x RS232/422/485, 1x GbE RJ45, 3x USB. Fabricante: Advantech.</t>
  </si>
  <si>
    <t>UNO-2271G</t>
  </si>
  <si>
    <t>Computador industrial modelo UNO-2271G-E021AE, instalação interna no painel, sem partes móveis, 1x SSD MLC 128 GB, processador Intel ATOM E3815 1.46 GHz, 4 GB DDR3, 2x GbE RJ45, 1x USB. Fabricante: Advantech.</t>
  </si>
  <si>
    <t>ECU-4784 [2 MLC 128]</t>
  </si>
  <si>
    <t>Computador industrial modelo ECU-4784, 2U rack 19'', sem partes móveis, 2x SSD MLC 128GB, processador Intel SkyLake Xeon E3-1505L Quad-core 2.0 GHz, 16 GB DDR4 ECC, 2x RS232, 8x RS232/422/485, 8x GbE RJ45, 6x USB, temperatura de operação -25~70 °C, fonte redundante, referência ECU4784E56SA2002-T. Fabricante: Advantech.</t>
  </si>
  <si>
    <t>ECU-4784 [2 MLC 256]</t>
  </si>
  <si>
    <t>Computador industrial modelo ECU-4784, 2U rack 19'', sem partes móveis, 2x SSD MLC 256GB, processador Intel SkyLake Xeon E3-1505L Quad-core 2.0 GHz, 16 GB DDR4 ECC, 2x RS232, 8x RS232/422/485, 8x GbE RJ45, 6x USB, temperatura de operação -25~70 °C, fonte redundante, referência ECU4784E56SA2002-T. Fabricante: Advantech.</t>
  </si>
  <si>
    <t>ECU-4784 [2 SLC 256]</t>
  </si>
  <si>
    <t>Computador industrial modelo ECU-4784, 2U rack 19'', sem partes móveis, 2x SSD SLC 256GB, processador Intel SkyLake Xeon E3-1505L Quad-core 2.0GHz, 16 GB DDR4 ECC, 2x RS232, 8x RS232/422/485, 8x GbE RJ45, 6x USB, temperatura de operação -25~70 °C, fonte redundante, referência ECU4784E56SA2002-T. Fabricante: Advantech.</t>
  </si>
  <si>
    <t>Monitor 17'' para montagem frontal de painel, LCD SXGA, tela touchscreen.</t>
  </si>
  <si>
    <t>TL-SG1016D</t>
  </si>
  <si>
    <t>Switch não-gerenciável TL-SG1016D, desktop ou montagem em rack, 16x GbE RJ45. Fabricante: TP-Link.</t>
  </si>
  <si>
    <t>Arteche CJ-4XR4</t>
  </si>
  <si>
    <t>Relé de disparo, 8 contatos reversíveis (4 contatos rápidos + 4 contatos de disparo), com base (JN-DE), 125VCC. Fabricante: Arteche.</t>
  </si>
  <si>
    <t>2TAZ661012R2000</t>
  </si>
  <si>
    <t>Multimedidor de grandezas elétricas M1M 15, com comunicação RS485, 1/5A, alimentação 85-265Vca/90-300Vdc. Fabricante: ABB.</t>
  </si>
  <si>
    <t>1SCA022771R3450</t>
  </si>
  <si>
    <t>TDO-042-RC</t>
  </si>
  <si>
    <t>XCell Interface Board.</t>
  </si>
  <si>
    <t>6MF2805-0AA00</t>
  </si>
  <si>
    <t>CP-8050 - SICAM A8000, módulo de processamento sem display, 4 interfaces de comunicação (2x eth RJ45 + 1x RS232 RJ45 + 1x RS485 RJ45), protocolos DNP3 serial (m/s), Modbus RTU (m/s), IEC103 (m), DNP3 ethernet (s), IEC101 (s), IEC104 (s). Fabricante: Siemens.</t>
  </si>
  <si>
    <t>6MF2853-2AA00</t>
  </si>
  <si>
    <t>CI-8532 - Interface para inserção de até 8 módulos I/O. Fabricante: Siemens.</t>
  </si>
  <si>
    <t>6MF2882-0AA00</t>
  </si>
  <si>
    <t>Adapter 5A/1A to 225mV</t>
  </si>
  <si>
    <t>6MF2851-0AA00</t>
  </si>
  <si>
    <t>AI-8510 ANALOG INPUT (3XU(240V),3XI(LOPO))</t>
  </si>
  <si>
    <t>Flash card. Fabricante: Siemens.</t>
  </si>
  <si>
    <t>6MF7800-2FS00</t>
  </si>
  <si>
    <t>Software de parametrização, incluindo lógica CFC, para SICAM A8000. Fabricante: Siemens.</t>
  </si>
  <si>
    <t>Adequação SPIN</t>
  </si>
  <si>
    <t>Adequação na base de dados e telas do IHM SPIN local.</t>
  </si>
  <si>
    <t>Adequação STD</t>
  </si>
  <si>
    <t>Adequação SICAR</t>
  </si>
  <si>
    <t>Serviços de ativação dos novos IEDs no SICAR local e nos CAP Bom Jardim e CAP-R Cabreuva.</t>
  </si>
  <si>
    <t>0175_09-02-23</t>
  </si>
  <si>
    <t>0181_14-03-23</t>
  </si>
  <si>
    <t>0178_23-02-23</t>
  </si>
  <si>
    <t>0173_15-12-22</t>
  </si>
  <si>
    <t>Eletricista campo</t>
  </si>
  <si>
    <t>Rede de comunicação.</t>
  </si>
  <si>
    <t>GdV Padrão</t>
  </si>
  <si>
    <t>1.1.1.1</t>
  </si>
  <si>
    <t>1.1.1.2</t>
  </si>
  <si>
    <t>1.1.4.1</t>
  </si>
  <si>
    <t>1.1.4.2</t>
  </si>
  <si>
    <t>1.1.4.3</t>
  </si>
  <si>
    <t>Finder 56.32</t>
  </si>
  <si>
    <t>Relé de interface, 2 contatos, 125VCC, ref. 56.32.9.125.0040. Fabicante: Finder.</t>
  </si>
  <si>
    <t>Finder 85.04</t>
  </si>
  <si>
    <t>Mini Relé temporizador plug-in 4 Reversível, 125 Vcc/ac, ref. 85.04.0.125.0000. Fabricante: Finder.</t>
  </si>
  <si>
    <t>Base de relé FN-DE, IP10. Fabricante: Arteche.</t>
  </si>
  <si>
    <t>Base de relé JN-DE, IP10. Fabricante: Arteche.</t>
  </si>
  <si>
    <t>Roxtec</t>
  </si>
  <si>
    <t>Roxtec ComSeal 32</t>
  </si>
  <si>
    <t>Vedações de passagem de cabos com classificação IP 55 e moldura de alumínio, até 32 cabos. Fabricante: Roxtec.</t>
  </si>
  <si>
    <t>0186_19-04-23</t>
  </si>
  <si>
    <t>Encitec</t>
  </si>
  <si>
    <t>0184_05-04-23</t>
  </si>
  <si>
    <t>0185_13-04-23</t>
  </si>
  <si>
    <t>3</t>
  </si>
  <si>
    <t>3.1</t>
  </si>
  <si>
    <t>3.2</t>
  </si>
  <si>
    <t>3.3</t>
  </si>
  <si>
    <t>Chaparia</t>
  </si>
  <si>
    <t>Estação SAGE</t>
  </si>
  <si>
    <t>SPCS abrigados (média)</t>
  </si>
  <si>
    <t>Chaparia completa para proteção e controle com seus acessórios (relés auxiliares, minidisjuntores, contatores, bornes), medidas 800x800x2300 (LxPxA), chapa de bitola 14/16, grau de proteção IP54 (abrigado), porta frontal externa com visor, porta interna basculante e porta traseira, venezianas, limitador de porta, olhal de içamento, cor a definir. Fabricante: PSI.</t>
  </si>
  <si>
    <t>Chaparia completa para automação e rede com seus acessórios (bandejamento interno, canaletas, organizadores), medidas 800x800x2300 (LxPxA), chapa de bitola 14/16, grau de proteção IP54 (abrigado), porta frontal externa com visor, porta interna basculante e porta traseira, venezianas, limitador de porta, olhal de içamento, cor a definir. Fabricante: PSI.</t>
  </si>
  <si>
    <t>SPCS abrigados (calculados)</t>
  </si>
  <si>
    <t>Painel P&amp;C [300 pts]</t>
  </si>
  <si>
    <t>Chaparia completa para proteção e controle, medidas 800x800x2300 (LxPxA), chapa de bitola 14/16, grau de proteção IP54 (abrigado), porta frontal externa com visor, porta interna basculante e porta traseira, venezianas, limitador de porta, olhal de içamento, cor a definir. Fabricante: PSI.</t>
  </si>
  <si>
    <t>Painel P&amp;C [500 pts]</t>
  </si>
  <si>
    <t>Painel P&amp;C [700 pts]</t>
  </si>
  <si>
    <t>Painel P&amp;C [+1000 pts]</t>
  </si>
  <si>
    <t>Painel Automação [100 pts]</t>
  </si>
  <si>
    <t>Chaparia completa para automação e rede, medidas 800x800x2300 (LxPxA), chapa de bitola 14/16, grau de proteção IP54 (abrigado), porta frontal externa com visor, porta interna basculante e porta traseira, venezianas, limitador de porta, olhal de içamento, cor a definir. Fabricante: PSI.</t>
  </si>
  <si>
    <t>Painel Automação [200 pts]</t>
  </si>
  <si>
    <t>Painel Medição [2 med]</t>
  </si>
  <si>
    <t>Chaparia completa para medição, medidas 800x800x2300 (LxPxA), chapa de bitola 14/16, grau de proteção IP54 (abrigado), porta frontal externa com visor, chapa de montagem fixa e porta traseira, venezianas, limitador de porta, olhal de içamento, cor a definir. Fabricante: PSI.</t>
  </si>
  <si>
    <t>Painel Medição [6 med]</t>
  </si>
  <si>
    <t>Painel Medição [8 med]</t>
  </si>
  <si>
    <t>Painel Interface [bornes]</t>
  </si>
  <si>
    <t>Chaparia completa para painel de interface física, composto por bornes, medidas 800x800x2300 (LxPxA), chapa de bitola 14/16, grau de proteção IP54 (abrigado), porta frontal externa com visor echapa de montagem e porta traseira, cor a definir. Fabricante: PSI.</t>
  </si>
  <si>
    <t>Painel UTR Tipo I</t>
  </si>
  <si>
    <t>Chaparia completa para UTR Tipo I com seus acessórios (bandejamento interno, canaletas, organizadores), medidas 800x800x2300 (LxPxA), chapa de bitola 14/16, grau de proteção IP54 (abrigado), cor a definir. Fabricante: PSI.</t>
  </si>
  <si>
    <t>Chaparia completa para serviço auxiliar, autoportante, 800x800x2300 (LxPxA), chapa de bitola 14/16, grau de proteção IP54 (abrigado), com porta frontal externa, porta frontal interna com abertura para disjuntores de distribuição, porta traseira, cor a definir. Fabricante: PSI.</t>
  </si>
  <si>
    <t>RA331 (1A)</t>
  </si>
  <si>
    <t>RA331 - Módulo de Aquisição Remota; 8 entradas analógicas (115V/1A), 32 entradas digitais (125Vcc), referência RA33132222CC. Fabricante: GE/Reason.</t>
  </si>
  <si>
    <t>RA332 (1A)</t>
  </si>
  <si>
    <t>RA332 - Módulo de Aquisição Remota; 16 entradas analógicas (115V/1A), 32 entradas digitais (125Vcc), referência RA3323222222CC. Fabricante: GE/Reason.</t>
  </si>
  <si>
    <t>RA333 (1A)</t>
  </si>
  <si>
    <t>RA333 - Módulo de Aquisição Remota com Ondas Viajantes; 8 entradas analógicas (115V/1A), 32 entradas digitais (125Vcc), referência RA33332222VCD. Fabricante: GE/Reason.</t>
  </si>
  <si>
    <t>6GK6040-0AT23-0BA0-Z A06+B00+C00</t>
  </si>
  <si>
    <t>SFP MM</t>
  </si>
  <si>
    <t>FT-801</t>
  </si>
  <si>
    <t>FT-801 - Conversor eletro-óptico ethernet. Fabricante: Planet.</t>
  </si>
  <si>
    <t>Computador industrial sem partes móveis modelo DA-820C-KLXL-HH-T, processador Xeon E3-1505L c/ Intel HD Graphics P630, IEC-61850-3 2.0 certified, 2x 128 GB SSD SLC configurados em RAID 0, 16 GB DDR4 ECC, 2x FO MM, 5x GbE RJ45, 2x RS-232/422/485, 6x USB, 2x VGA, fonte redundante. Fabricante: MOXA.</t>
  </si>
  <si>
    <t>Computador industrial sem partes móveis modelo DA-820C-KLXL-HH-T, processador Xeon E3-1505L c/ Intel HD Graphics P630, IEC-61850-3 2.0 certified, 2x 480 GB SSD MLC configurados em RAID 1, 16 GB DDR4 ECC, 1x FO MM, 4x GbE RJ45, 2x RS-232/422/485, 6x USB, 2x VGA, fonte redundante, Windows 10. Fabricante: MOXA.</t>
  </si>
  <si>
    <t>SEL - CTEEP</t>
  </si>
  <si>
    <t>3355#1TQ5 (2 SLC 128GB)</t>
  </si>
  <si>
    <t>Computador industrial sem partes móveis modelo 3355, processador Xeon E3-1505L c/ Intel HD Graphics P630, IEC-61850-3 2.0 certified, 2x 128 GB SSD SLC configurados em RAID 0, 16 GB DDR4 ECC, 2x FO MM, 6x GbE RJ45, fonte redundante. Fabricante: SEL.</t>
  </si>
  <si>
    <t>Smart PC GO</t>
  </si>
  <si>
    <t>Mini Computador SDC, fanless, 1x SSD 240GB, processador Intel Quad-Core, RAM 8GB DDR4, 2x GbE RJ45, 3x HDMI. Fabricante: SDC.</t>
  </si>
  <si>
    <t>NUC 11</t>
  </si>
  <si>
    <t>Computador Alta Performance SDC, fanless, 1x 1TB NVMe, processador Intel Core i5, GPU NVIDIA 6GB, RAM 16GB DDR4, 1x GbE RJ45, 4x display (1x HDMI, 2x Thunderbolt e 1x Displayport). Fabricante: SDC.</t>
  </si>
  <si>
    <t>K11 Industrial</t>
  </si>
  <si>
    <t>Mini Computador Industrial SDC, fanless, 1x 240GB NVMe, processador Intel Core i5, RAM 8GB DDR4, 2x GbE RJ45, 3x display (1x HDMI, 1x DP e 1xType C Thunderbolt 4.0). Fabricante: SDC.</t>
  </si>
  <si>
    <t>IA BOX N11</t>
  </si>
  <si>
    <t>Computador Industrial SDC, fanless, 1x 240GB NVMe, processador Intel Core i5, RAM 16GB DDR4, 2x GbE RJ45, 4x display (2x HDMI e 2x Type C Thunderbolt 4.0). Fabricante: SDC.</t>
  </si>
  <si>
    <t>Mobiliário - 3 lugares</t>
  </si>
  <si>
    <t>Mobiliário - 2 lugares</t>
  </si>
  <si>
    <t>CL1308N</t>
  </si>
  <si>
    <t>KVM de painel tipo gaveta, com LCD 19'', mouse e teclado, para controle de até 8 computadores. Fabricante: ATEN.</t>
  </si>
  <si>
    <t>CE774</t>
  </si>
  <si>
    <t>Extensor KVM, dual monitor, modelo CE774, com cabo. Fabricante: ATEN.</t>
  </si>
  <si>
    <t>2L-5202U</t>
  </si>
  <si>
    <t>Cabo 3 em 1 SPHD, para KVM ATEN, 1.8 m. Fabricante: ATEN.</t>
  </si>
  <si>
    <t>KVXLC-200-R2</t>
  </si>
  <si>
    <t>Extensor KVM via CATx, 2x DVI-I, USB, audio, referência KVXLC-200-R2. Fabricante: Blackbox.</t>
  </si>
  <si>
    <t>EVHDMI02T-002M</t>
  </si>
  <si>
    <t>Cabo HDMI (macho) - DVI (macho), referência EVHDMI02T-002M. Fabricante: Blackbox.</t>
  </si>
  <si>
    <t>CFOA-SM-DDR-S 36FO LSZH</t>
  </si>
  <si>
    <t>Cabo óptico óptico para ambiente externo, abrigado em canaleta, 36 vias SM, 1 metro. Fabricante: Fibracem.</t>
  </si>
  <si>
    <t>CFOA-SM-DDR-S 72FO LSZH</t>
  </si>
  <si>
    <t>Cabo óptico óptico para ambiente externo, abrigado em canaleta, 72 vias SM, 1 metro. Fabricante: Fibracem.</t>
  </si>
  <si>
    <t>CFOA-MM50-DDR-S 36FO LSZH OM4</t>
  </si>
  <si>
    <t>Cabo óptico óptico para ambiente externo, abrigado em canaleta, 36 vias MM, 1 metro. Fabricante: Fibracem.</t>
  </si>
  <si>
    <t>CFOA-MM50-DDR-S 72FO LSZH OM4</t>
  </si>
  <si>
    <t>Cabo óptico óptico para ambiente externo, abrigado em canaleta, 72 vias MM, 1 metro. Fabricante: Fibracem.</t>
  </si>
  <si>
    <t>Licença Elipse Power HMI, até 20.000 pontos. Fabricante: Elipse.</t>
  </si>
  <si>
    <t>Elipse Power HMI 40.000</t>
  </si>
  <si>
    <t>Licença Elipse Power HMI, até 40.000 pontos. Fabricante: Elipse.</t>
  </si>
  <si>
    <t>Elipse Power HMI 100 Hotstandby</t>
  </si>
  <si>
    <t>Licença Elipse Power HMI para complemento hot standby, até 100 pontos. Fabricante: Elipse.</t>
  </si>
  <si>
    <t>Elipse Power HMI 500 Hotstandby</t>
  </si>
  <si>
    <t>Licença Elipse Power HMI para complemento hot standby, até 500 pontos. Fabricante: Elipse.</t>
  </si>
  <si>
    <t>Elipse Power HMI 1.000 Hotstandby</t>
  </si>
  <si>
    <t>Licença Elipse Power HMI para complemento hot standby, até 1.000 pontos. Fabricante: Elipse.</t>
  </si>
  <si>
    <t>Elipse Power HMI 10.000 Hotstandby</t>
  </si>
  <si>
    <t>Licença Elipse Power HMI para complemento hot standby, até 10.000 pontos. Fabricante: Elipse.</t>
  </si>
  <si>
    <t>Elipse Power HMI 20.000 Hotstandby</t>
  </si>
  <si>
    <t>Licença Elipse Power HMI para complemento hot standby, até 20.000 pontos. Fabricante: Elipse.</t>
  </si>
  <si>
    <t>Elipse Power HMI 40.000 Hotstandby</t>
  </si>
  <si>
    <t>Licença Elipse Power HMI para complemento hot standby, até 40.000 pontos. Fabricante: Elipse.</t>
  </si>
  <si>
    <t>Elipse Power Renewable 1.500</t>
  </si>
  <si>
    <t>Licença Elipse Power Renewable, até 1.500 pontos. Fabricante: Elipse.</t>
  </si>
  <si>
    <t>Elipse Power Renewable 3.000</t>
  </si>
  <si>
    <t>Licença Elipse Power Renewable, até 3 mil pontos. Fabricante: Elipse.</t>
  </si>
  <si>
    <t>Elipse Power Renewable 5.000</t>
  </si>
  <si>
    <t>Licença Elipse Power Renewable, até 5 mil pontos. Fabricante: Elipse.</t>
  </si>
  <si>
    <t>Elipse Power Renewable 10.000</t>
  </si>
  <si>
    <t>Licença Elipse Power Renewable, até 10 mil pontos. Fabricante: Elipse.</t>
  </si>
  <si>
    <t>Elipse Power Renewable 40.000</t>
  </si>
  <si>
    <t>Licença Elipse Power Renewable, até 40 mil pontos. Fabricante: Elipse.</t>
  </si>
  <si>
    <t>Elipse Power Renewable 60.000</t>
  </si>
  <si>
    <t>Licença Elipse Power Renewable, até 60 mil pontos. Fabricante: Elipse.</t>
  </si>
  <si>
    <t>Elipse Power Renewable 100.000</t>
  </si>
  <si>
    <t>Licença Elipse Power Renewable, até 100 mil pontos. Fabricante: Elipse.</t>
  </si>
  <si>
    <t>Elipse Power Renewable 150.000</t>
  </si>
  <si>
    <t>Licença Elipse Power Renewable, até 150 mil pontos. Fabricante: Elipse.</t>
  </si>
  <si>
    <t>Elipse Power Renewable 200.000</t>
  </si>
  <si>
    <t>Licença Elipse Power Renewable, até 200 mil pontos. Fabricante: Elipse.</t>
  </si>
  <si>
    <t>Elipse Power Renewable 1.500 Hotstandby</t>
  </si>
  <si>
    <t>Licença Elipse Power Renewable para complemento hot standby, até 1.500 pontos. Fabricante: Elipse.</t>
  </si>
  <si>
    <t>Elipse Power Renewable 3.000 Hotstandby</t>
  </si>
  <si>
    <t>Licença Elipse Power Renewable para complemento hot standby, até 3 mil pontos. Fabricante: Elipse.</t>
  </si>
  <si>
    <t>Elipse Power Renewable 5.000 Hotstandby</t>
  </si>
  <si>
    <t>Licença Elipse Power Renewable para complemento hot standby, até 5 mil pontos. Fabricante: Elipse.</t>
  </si>
  <si>
    <t>Elipse Power Renewable 10.000 Hotstandby</t>
  </si>
  <si>
    <t>Licença Elipse Power Renewable para complemento hot standby, até 10 mil pontos. Fabricante: Elipse.</t>
  </si>
  <si>
    <t>Elipse Power Renewable 40.000 Hotstandby</t>
  </si>
  <si>
    <t>Licença Elipse Power Renewable para complemento hot standby, até 40 mil pontos. Fabricante: Elipse.</t>
  </si>
  <si>
    <t>Elipse Power Renewable 60.000 Hotstandby</t>
  </si>
  <si>
    <t>Licença Elipse Power Renewable para complemento hot standby, até 60 mil pontos. Fabricante: Elipse.</t>
  </si>
  <si>
    <t>Elipse Power Renewable 100.000 Hotstandby</t>
  </si>
  <si>
    <t>Licença Elipse Power Renewable para complemento hot standby, até 100 mil pontos. Fabricante: Elipse.</t>
  </si>
  <si>
    <t>Elipse Power Renewable 150.000 Hotstandby</t>
  </si>
  <si>
    <t>Licença Elipse Power Renewable para complemento hot standby, até 150 mil pontos. Fabricante: Elipse.</t>
  </si>
  <si>
    <t>Elipse Power Renewable 200.000 Hotstandby</t>
  </si>
  <si>
    <t>Licença Elipse Power Renewable para complemento hot standby, até 200 mil pontos. Fabricante: Elipse.</t>
  </si>
  <si>
    <t>Elipse Power Industry 1.500</t>
  </si>
  <si>
    <t>Licença Elipse Power Industry, até 1.500 pontos. Fabricante: Elipse.</t>
  </si>
  <si>
    <t>Elipse Power Industry 3.000</t>
  </si>
  <si>
    <t>Licença Elipse Power Industry, até 3 mil pontos. Fabricante: Elipse.</t>
  </si>
  <si>
    <t>Elipse Power Industry 5.000</t>
  </si>
  <si>
    <t>Licença Elipse Power Industry, até 5 mil pontos. Fabricante: Elipse.</t>
  </si>
  <si>
    <t>Elipse Power Industry 10.000</t>
  </si>
  <si>
    <t>Licença Elipse Power Industry, até 10 mil pontos. Fabricante: Elipse.</t>
  </si>
  <si>
    <t>Elipse Power Industry 20.000</t>
  </si>
  <si>
    <t>Licença Elipse Power Industry, até 20 mil pontos. Fabricante: Elipse.</t>
  </si>
  <si>
    <t>Elipse Power Industry 40.000</t>
  </si>
  <si>
    <t>Licença Elipse Power Industry, até 40 mil pontos. Fabricante: Elipse.</t>
  </si>
  <si>
    <t>Elipse Power Industry 60.000</t>
  </si>
  <si>
    <t>Licença Elipse Power Industry, até 60 mil pontos. Fabricante: Elipse.</t>
  </si>
  <si>
    <t>Elipse Power Industry 1.500 Hotstandby</t>
  </si>
  <si>
    <t>Licença Elipse Power Industry para complemento hot standby, até 1.500 pontos. Fabricante: Elipse.</t>
  </si>
  <si>
    <t>Elipse Power Industry 3.000 Hotstandby</t>
  </si>
  <si>
    <t>Licença Elipse Power Industry para complemento hot standby, até 3 mil pontos. Fabricante: Elipse.</t>
  </si>
  <si>
    <t>Elipse Power Industry 5.000 Hotstandby</t>
  </si>
  <si>
    <t>Licença Elipse Power Industry para complemento hot standby, até 5 mil pontos. Fabricante: Elipse.</t>
  </si>
  <si>
    <t>Elipse Power Industry 10.000 Hotstandby</t>
  </si>
  <si>
    <t>Licença Elipse Power Industry para complemento hot standby, até 10 mil pontos. Fabricante: Elipse.</t>
  </si>
  <si>
    <t>Elipse Power Industry 20.000 Hotstandby</t>
  </si>
  <si>
    <t>Licença Elipse Power Industry para complemento hot standby, até 20 mil pontos. Fabricante: Elipse.</t>
  </si>
  <si>
    <t>Elipse Power Industry 40.000 Hotstandby</t>
  </si>
  <si>
    <t>Licença Elipse Power Industry para complemento hot standby, até 40 mil pontos. Fabricante: Elipse.</t>
  </si>
  <si>
    <t>Elipse Power Industry 60.000 Hotstandby</t>
  </si>
  <si>
    <t>Licença Elipse Power Industry para complemento hot standby, até 60 mil pontos. Fabricante: Elipse.</t>
  </si>
  <si>
    <t>Elipse Power EMS 3.000</t>
  </si>
  <si>
    <t>Licença Elipse Power EMS, até 3 mil pontos. Fabricante: Elipse.</t>
  </si>
  <si>
    <t>Elipse Power EMS 5.000</t>
  </si>
  <si>
    <t>Licença Elipse Power EMS, até 5 mil pontos. Fabricante: Elipse.</t>
  </si>
  <si>
    <t>Elipse Power EMS 10.000</t>
  </si>
  <si>
    <t>Licença Elipse Power EMS, até 10 mil pontos. Fabricante: Elipse.</t>
  </si>
  <si>
    <t>Elipse Power EMS 20.000</t>
  </si>
  <si>
    <t>Licença Elipse Power EMS, até 20 mil pontos. Fabricante: Elipse.</t>
  </si>
  <si>
    <t>Elipse Power EMS 40.000</t>
  </si>
  <si>
    <t>Licença Elipse Power EMS, até 40 mil pontos. Fabricante: Elipse.</t>
  </si>
  <si>
    <t>Elipse Power EMS 60.000</t>
  </si>
  <si>
    <t>Licença Elipse Power EMS, até 60 mil pontos. Fabricante: Elipse.</t>
  </si>
  <si>
    <t>Elipse Power EMS 100.000</t>
  </si>
  <si>
    <t>Licença Elipse Power EMS, até 100 mil pontos. Fabricante: Elipse.</t>
  </si>
  <si>
    <t>Elipse Power EMS 150.000</t>
  </si>
  <si>
    <t>Licença Elipse Power EMS, até 150 mil pontos. Fabricante: Elipse.</t>
  </si>
  <si>
    <t>Elipse Power EMS 200.000</t>
  </si>
  <si>
    <t>Licença Elipse Power EMS, até 200 mil pontos. Fabricante: Elipse.</t>
  </si>
  <si>
    <t>Elipse Power EMS 300.000</t>
  </si>
  <si>
    <t>Licença Elipse Power EMS, até 300 mil pontos. Fabricante: Elipse.</t>
  </si>
  <si>
    <t>Elipse Power EMS 400.000</t>
  </si>
  <si>
    <t>Licença Elipse Power EMS, até 400 mil pontos. Fabricante: Elipse.</t>
  </si>
  <si>
    <t>Elipse Power EMS 3.000 Hotstandby</t>
  </si>
  <si>
    <t>Licença Elipse Power EMS para complemento hot standby, até 3 mil pontos. Fabricante: Elipse.</t>
  </si>
  <si>
    <t>Elipse Power EMS 5.000 Hotstandby</t>
  </si>
  <si>
    <t>Licença Elipse Power EMS para complemento hot standby, até 5 mil pontos. Fabricante: Elipse.</t>
  </si>
  <si>
    <t>Elipse Power EMS 10.000 Hotstandby</t>
  </si>
  <si>
    <t>Licença Elipse Power EMS para complemento hot standby, até 10 mil pontos. Fabricante: Elipse.</t>
  </si>
  <si>
    <t>Elipse Power EMS 20.000 Hotstandby</t>
  </si>
  <si>
    <t>Licença Elipse Power EMS para complemento hot standby, até 20 mil pontos. Fabricante: Elipse.</t>
  </si>
  <si>
    <t>Elipse Power EMS 40.000 Hotstandby</t>
  </si>
  <si>
    <t>Licença Elipse Power EMS para complemento hot standby, até 40 mil pontos. Fabricante: Elipse.</t>
  </si>
  <si>
    <t>Elipse Power EMS 60.000 Hotstandby</t>
  </si>
  <si>
    <t>Licença Elipse Power EMS para complemento hot standby, até 60 mil pontos. Fabricante: Elipse.</t>
  </si>
  <si>
    <t>Elipse Power EMS 100.000 Hotstandby</t>
  </si>
  <si>
    <t>Licença Elipse Power EMS para complemento hot standby, até 100 mil pontos. Fabricante: Elipse.</t>
  </si>
  <si>
    <t>Elipse Power EMS 150.000 Hotstandby</t>
  </si>
  <si>
    <t>Licença Elipse Power EMS para complemento hot standby, até 150 mil pontos. Fabricante: Elipse.</t>
  </si>
  <si>
    <t>Elipse Power EMS 200.000 Hotstandby</t>
  </si>
  <si>
    <t>Licença Elipse Power EMS para complemento hot standby, até 200 mil pontos. Fabricante: Elipse.</t>
  </si>
  <si>
    <t>Elipse Power EMS 300.000 Hotstandby</t>
  </si>
  <si>
    <t>Licença Elipse Power EMS para complemento hot standby, até 300 mil pontos. Fabricante: Elipse.</t>
  </si>
  <si>
    <t>Elipse Power EMS 400.000 Hotstandby</t>
  </si>
  <si>
    <t>Licença Elipse Power EMS para complemento hot standby, até 400 mil pontos. Fabricante: Elipse.</t>
  </si>
  <si>
    <t>V4.0 - E3 Gateway 500</t>
  </si>
  <si>
    <t>Licença gateway, até 500 pontos, para software Elipse Power. Fabricante: Elipse.</t>
  </si>
  <si>
    <t>V4.0 - E3 Gateway 60.000</t>
  </si>
  <si>
    <t>Licença gateway, até 60.000 pontos, para software Elipse Power. Fabricante: Elipse.</t>
  </si>
  <si>
    <t>V4.0 - E3 Gateway 80.000</t>
  </si>
  <si>
    <t>Licença gateway, até 80.000 pontos, para software Elipse Power. Fabricante: Elipse.</t>
  </si>
  <si>
    <t>V4.0 - E3 Gateway 100.000</t>
  </si>
  <si>
    <t>Licença gateway, até 100.000 pontos, para software Elipse Power. Fabricante: Elipse.</t>
  </si>
  <si>
    <t>V4.0 - E3 Gateway 150.000</t>
  </si>
  <si>
    <t>Licença gateway, até 150.000 pontos, para software Elipse Power. Fabricante: Elipse.</t>
  </si>
  <si>
    <t>V4.0 - E3 Gateway 200.000</t>
  </si>
  <si>
    <t>Licença gateway, até 200.000 pontos, para software Elipse Power. Fabricante: Elipse.</t>
  </si>
  <si>
    <t>V4.0 - E3 Gateway 300.000</t>
  </si>
  <si>
    <t>Licença gateway, até 300.000 pontos, para software Elipse Power. Fabricante: Elipse.</t>
  </si>
  <si>
    <t>V4.0 - E3 Gateway 400.000</t>
  </si>
  <si>
    <t>Licença gateway, até 400.000 pontos, para software Elipse Power. Fabricante: Elipse.</t>
  </si>
  <si>
    <t>V4.0 - E3 Gateway 500.000</t>
  </si>
  <si>
    <t>Licença gateway, até 500.000 pontos, para software Elipse Power. Fabricante: Elipse.</t>
  </si>
  <si>
    <t>V4.0 - E3 Gateway 600.000</t>
  </si>
  <si>
    <t>Licença gateway, até 600.000 pontos, para software Elipse Power. Fabricante: Elipse.</t>
  </si>
  <si>
    <t>V4.0 - E3 Gateway 500 (Add-on)</t>
  </si>
  <si>
    <t>Licença adicional gateway, até 500 pontos, para software Elipse Power. Fabricante: Elipse.</t>
  </si>
  <si>
    <t>V4.0 - E3 Gateway 1.000 (Add-on)</t>
  </si>
  <si>
    <t>Licença adicional gateway, até 1.000 pontos, para software Elipse Power. Fabricante: Elipse.</t>
  </si>
  <si>
    <t>V4.0 - E3 Gateway 1.500 (Add-on)</t>
  </si>
  <si>
    <t>Licença adicional gateway, até 1.500 pontos, para software Elipse Power. Fabricante: Elipse.</t>
  </si>
  <si>
    <t>V4.0 - E3 Gateway 3.000 (Add-on)</t>
  </si>
  <si>
    <t>Licença adicional gateway, até 3.000 pontos, para software Elipse Power. Fabricante: Elipse.</t>
  </si>
  <si>
    <t>V4.0 - E3 Gateway 5.000 (Add-on)</t>
  </si>
  <si>
    <t>Licença adicional gateway, até 5.000 pontos, para software Elipse Power. Fabricante: Elipse.</t>
  </si>
  <si>
    <t>V4.0 - E3 Gateway 10.000 (Add-on)</t>
  </si>
  <si>
    <t>Licença adicional gateway, até 10.000 pontos, para software Elipse Power. Fabricante: Elipse.</t>
  </si>
  <si>
    <t>V4.0 - E3 Gateway 20.000 (Add-on)</t>
  </si>
  <si>
    <t>Licença adicional gateway, até 20.000 pontos, para software Elipse Power. Fabricante: Elipse.</t>
  </si>
  <si>
    <t>V4.0 - E3 Gateway 40.000 (Add-on)</t>
  </si>
  <si>
    <t>Licença adicional gateway, até 40.000 pontos, para software Elipse Power. Fabricante: Elipse.</t>
  </si>
  <si>
    <t>V4.0 - E3 Gateway 60.000 (Add-on)</t>
  </si>
  <si>
    <t>Licença adicional gateway, até 60.000 pontos, para software Elipse Power. Fabricante: Elipse.</t>
  </si>
  <si>
    <t>V4.0 - E3 Gateway 80.000 (Add-on)</t>
  </si>
  <si>
    <t>Licença adicional gateway, até 80.000 pontos, para software Elipse Power. Fabricante: Elipse.</t>
  </si>
  <si>
    <t>V4.0 - E3 Gateway 100.000 (Add-on)</t>
  </si>
  <si>
    <t>Licença adicional gateway, até 100.000 pontos, para software Elipse Power. Fabricante: Elipse.</t>
  </si>
  <si>
    <t>V4.0 - E3 Gateway 150.000 (Add-on)</t>
  </si>
  <si>
    <t>Licença adicional gateway, até 150.000 pontos, para software Elipse Power. Fabricante: Elipse.</t>
  </si>
  <si>
    <t>V4.0 - E3 Gateway 200.000 (Add-on)</t>
  </si>
  <si>
    <t>Licença adicional gateway, até 200.000 pontos, para software Elipse Power. Fabricante: Elipse.</t>
  </si>
  <si>
    <t>V4.0 - E3 Gateway 300.000 (Add-on)</t>
  </si>
  <si>
    <t>Licença adicional gateway, até 300.000 pontos, para software Elipse Power. Fabricante: Elipse.</t>
  </si>
  <si>
    <t>V4.0 - E3 Gateway 400.000 (Add-on)</t>
  </si>
  <si>
    <t>Licença adicional gateway, até 400.000 pontos, para software Elipse Power. Fabricante: Elipse.</t>
  </si>
  <si>
    <t>V4.0 - E3 Gateway 500.000 (Add-on)</t>
  </si>
  <si>
    <t>Licença adicional gateway, até 500.000 pontos, para software Elipse Power. Fabricante: Elipse.</t>
  </si>
  <si>
    <t>V4.0 - E3 Gateway 600.000 (Add-on)</t>
  </si>
  <si>
    <t>Licença adicional gateway, até 600.000 pontos, para software Elipse Power. Fabricante: Elipse.</t>
  </si>
  <si>
    <t>Driver Modicon Modbus Master/Slave (ASC/RTU/TCP)</t>
  </si>
  <si>
    <t>Driver Modicon Modbus Master/Slave (ASC/RTU/TCP) (connection)</t>
  </si>
  <si>
    <t>Driver IEC 870-5-103 Master/Slave</t>
  </si>
  <si>
    <t>Driver IEC 870-5-103 Master/Slave (connection)</t>
  </si>
  <si>
    <t>Driver IEC 61850 Server</t>
  </si>
  <si>
    <t>Driver IEC 61850, Servidor, para software Elipse Power. Fabricante: Elipse.</t>
  </si>
  <si>
    <t>Elipse Power Studio (Add-on)</t>
  </si>
  <si>
    <t>Software adicional de edição e engenharia para Elipse Power e seus complementos. Fabricante: Elipse.</t>
  </si>
  <si>
    <t>Interface de operação Elipse Power Control. Fabricante: Elipse.</t>
  </si>
  <si>
    <t>Elipse Power Viewer Only</t>
  </si>
  <si>
    <t>Interface de operação Elipse Power Only. Fabricante: Elipse.</t>
  </si>
  <si>
    <t>Elipse E3 OPC DA Server</t>
  </si>
  <si>
    <t>Software E3 OPC DA Server. Fabricante: Elipse.</t>
  </si>
  <si>
    <t>Elipse Power OPC UA Server</t>
  </si>
  <si>
    <t>Software Power OPC UA Server. Fabricante: Elipse.</t>
  </si>
  <si>
    <t>Relé auxiliar ultra-rápido (&lt; 3 ms), 4 contatos reversíveis, com base (FN-DE), 125VCC. Fabricante: Arteche.</t>
  </si>
  <si>
    <t>Relé auxiliar ultra-rápido (&lt; 3 ms), 4 contatos reversíveis, para trilho DIN, 125VCC. Fabricante: Arteche.</t>
  </si>
  <si>
    <t>saTECH TSB-18-P-V</t>
  </si>
  <si>
    <t>LIF240-10B24R2S</t>
  </si>
  <si>
    <t>Fonte chaveada LIF240-10B24R2S, tensão de entrada universal 85-264 VCA ou 120-370 VCC, tensão de saída 24VCC/240W, montagem padrão trilho DIN. Fabricante: Proauto.</t>
  </si>
  <si>
    <t>LI75-20B24R2S</t>
  </si>
  <si>
    <t>Fonte chaveada LI75-20B24R2S, tensão de entrada universal 85-264 VCA ou 120-370 VCC, tensão de saída 24VCC/75W, montagem padrão trilho DIN. Fabricante: Proauto.</t>
  </si>
  <si>
    <t>USR STD-7100 64 ptos</t>
  </si>
  <si>
    <t>Anunciador de alarmes modelo USR STD-7100 com 64 pontos. Fabricante: STD.</t>
  </si>
  <si>
    <t>Regulador de tensão e monitoração de comutadores sob carga, com eth/FO. Fabricante: Treetech.</t>
  </si>
  <si>
    <t>TP AUX REG</t>
  </si>
  <si>
    <t>TP monofásico isolado para regulação. Fabricante: Treetech.</t>
  </si>
  <si>
    <t>Pente de testes para bloco RTXP 18. Fabricante: HITACHI.</t>
  </si>
  <si>
    <t>Pente de testes para bloco RTXP 24. Fabricante: HITACHI.</t>
  </si>
  <si>
    <t>Pente de testes para bloco RTXP 8. Fabricante: HITACHI.</t>
  </si>
  <si>
    <t>Bloco de testes com 18 polos, montagem semi-embutida, com caixa RHGP 2H. Fabricante: HITACHI.</t>
  </si>
  <si>
    <t>Bloco de testes com 24 polos, montagem semi-embutida, com caixa RHGP 4. Fabricante: HITACHI.</t>
  </si>
  <si>
    <t>Bloco de testes com 8 polos, montagem semi-embutida, com caixa RHGP 1. Fabricante: HITACHI.</t>
  </si>
  <si>
    <t>PK2</t>
  </si>
  <si>
    <t>Bloco de testes PK2, referência 6422120G4. Fabricante: GE.</t>
  </si>
  <si>
    <t>LTB 08</t>
  </si>
  <si>
    <t>LTP 08</t>
  </si>
  <si>
    <t>P1X435</t>
  </si>
  <si>
    <t>DIGSI 5 Premium, licença para 5 PCs, software de engenharia dos relés SIPROTEC 5. Fabricante: Siemens.</t>
  </si>
  <si>
    <t>RARP FURNAS</t>
  </si>
  <si>
    <t>P1X426</t>
  </si>
  <si>
    <t>DIGSI 5 Premium, licença para 1 PC, software de engenharia dos relés SIPROTEC 5. Fabricante: Siemens.</t>
  </si>
  <si>
    <t>SICAM PQS</t>
  </si>
  <si>
    <t>SICAM PQS (pacote RT grande + Analisador V3) com direção de monitoramento, aplicação IEC61850, download, explorador de incidentes para a avaliação de arquivo de registros de falhas, PDR, localizações de falhas e eventos PQ, para instalação em ambiente Windows, licenças de referência 6MD5532-0AA10-3AA0 + 7KE9000-3AL01-8AA0. Fabricante: Siemens.</t>
  </si>
  <si>
    <t>7KM3220-0BA01-1DA0</t>
  </si>
  <si>
    <t>Multimedidor PAC 3220, protocolo Modbus TCP com display gráfico; tensão de entrada: 690/400V, referência: 7KM3220-0BA01-1DA0. Fabricante: Siemens.</t>
  </si>
  <si>
    <t>GPS Crono</t>
  </si>
  <si>
    <t>Caixa UTR Tipo I</t>
  </si>
  <si>
    <t>Caixa de alumínio 6U para UTR CG. Fabricante: Brazelli.</t>
  </si>
  <si>
    <t>SEARC-P1X46</t>
  </si>
  <si>
    <t>Sensor de arco interno. Fabricante: Siemens.</t>
  </si>
  <si>
    <t>7SR5421-2AA22-0AA0</t>
  </si>
  <si>
    <t>Relé de proteção de transformador Reyrolle 7SR54, 1 srl elétrica, 2 eth óptica LC, BI: 17, BO: 10, CT: 8, VT: 4. Fabricante: Siemens.</t>
  </si>
  <si>
    <t>7SR5111-2AA22-0AA0</t>
  </si>
  <si>
    <t>Relé de proteção de sobrecorrente Reyrolle 7SR51, 1 srl elétrica, 2 eth óptica LC, BI: 14, BO: 10, CT: 4, VT: 4. Fabricante: Siemens.</t>
  </si>
  <si>
    <t>7SR5111-1AA21-0AA0</t>
  </si>
  <si>
    <t>Relé de proteção de sobrecorrente Reyrolle 7SR51, 1 srl elétrica, 2 eth óptica LC, BI: 9, BO: 8, CT: 4, VT: 4. Fabricante: Siemens.</t>
  </si>
  <si>
    <t>REB670 [24/0/112/72]</t>
  </si>
  <si>
    <t>IED REB670, 24 TC, 0 TP, 112 BI, 72 BO. Fabricante: HITACHI.</t>
  </si>
  <si>
    <t>IED REC670, 6 TC, 6 TP, 32 BI, 24 BO. Fabricante: HITACHI.</t>
  </si>
  <si>
    <t>RED670 [6/6/48/48]</t>
  </si>
  <si>
    <t>IED RED670, 6 TC, 6 TP, 48 BI, 48 BO. Fabricante: HITACHI.</t>
  </si>
  <si>
    <t>SEL RTAC</t>
  </si>
  <si>
    <t>SEL-2241</t>
  </si>
  <si>
    <t>SEL-2241 - Axion, CPU RTAC (2 portas Ethernet RJ-45), MOT 2241#JD94. Fabricante: SEL.</t>
  </si>
  <si>
    <t>SEL-2242</t>
  </si>
  <si>
    <t>SEL-2242 - Axion, chassis/backplane para RTAC, MOT 2242#JHA9. Fabricante: SEL.</t>
  </si>
  <si>
    <t>SEL-2243</t>
  </si>
  <si>
    <t>SEL-2243 - Axion, fonte de alimentação 125 VCC para RTAC, MOT 224311X0. Fabricante: SEL.</t>
  </si>
  <si>
    <t>SEL-2244-2</t>
  </si>
  <si>
    <t>SEL-2244-2 - Axion, cartão de entrada digitais para RTAC, módulo 24 DI, MOT 22442424X0. Fabricante: SEL.</t>
  </si>
  <si>
    <t>SEL-2244-3</t>
  </si>
  <si>
    <t>SEL-2244-3 - Axion, cartão de saída digitais para RTAC, módulo 16 DO, MOT 22443131X0. Fabricante: SEL.</t>
  </si>
  <si>
    <t>SEL-2245-2</t>
  </si>
  <si>
    <t>SEL-2245-2 - Axion, cartão de entrada analógicas para RTAC, módulo 16 AI, MOT 22452121XX0. Fabricante: SEL.</t>
  </si>
  <si>
    <t>SEL-751 [14/7/8arc]</t>
  </si>
  <si>
    <t>SEL-751 - Relé de sobrecorrente, 14 BI, 7 BO, 8 entradas para sensor de arco interno, MOT 751001A3ACA77851E10. Fabricante: SEL.</t>
  </si>
  <si>
    <t>SEL-751 [20/7/4arc]</t>
  </si>
  <si>
    <t>SEL-751 - Relé de sobrecorrente, 20 BI, 7 BO, 4 entradas para sensor de arco interno, MOT 751001A4ACA70851E10. Fabricante: SEL.</t>
  </si>
  <si>
    <t>SEL-C804 (pontual)</t>
  </si>
  <si>
    <t>Sensor de arco pontual de 5 metros (3 por relé), MOT C80405XXXXX. Fabricante: SEL.</t>
  </si>
  <si>
    <t>SEL-C804 (regional)</t>
  </si>
  <si>
    <t>Sensor de arco regional de 30 metros (1 por relé de entrada), MOT C80403S30XX. Fabricante: SEL.</t>
  </si>
  <si>
    <t>SEL-2411</t>
  </si>
  <si>
    <t>SEL-2411 - UAC 3 TC, 3 TP, 2 BI, 19 BO, MOT 241101A2X2X740X0130. Fabricante: SEL.</t>
  </si>
  <si>
    <t>SEL-2440 - UAC, 32 BI, 16 BO, MOT 24402H11A1A11840. Fabricante: SEL.</t>
  </si>
  <si>
    <t>SEL-2240</t>
  </si>
  <si>
    <t>SEL-2240 - Axion Bay Controller, 48 BI, MOT 2240#Q60B. Fabricante: SEL.</t>
  </si>
  <si>
    <t>SEL-2488</t>
  </si>
  <si>
    <t>SEL-2488 - GPS, MOT 24880RAX1181AX23X. Fabricante: SEL.</t>
  </si>
  <si>
    <t>SEL-2488P</t>
  </si>
  <si>
    <t>SEL-2488 - GPS com PTP, MOT 2488PRCC1281AX23X. Fabricante: SEL.</t>
  </si>
  <si>
    <t>SEL-2401</t>
  </si>
  <si>
    <t>SEL-2401 - GPS compacto, MOT 2401#0101. Fabricante: SEL.</t>
  </si>
  <si>
    <t>SEL-451</t>
  </si>
  <si>
    <t>SEL-451 - UAC, referência 04515615XC2X43244XXXX. Fabricante: SEL.</t>
  </si>
  <si>
    <t>SEL-2414</t>
  </si>
  <si>
    <t>SEL-2414 - Módulo para monitoramento e controle de transformadores de potência, com protocolo IEC 61850 FO, MOT 241421A1A9X743A1840. Fabricante: SEL.</t>
  </si>
  <si>
    <t>SEL-421</t>
  </si>
  <si>
    <t>SEL-421 - Relé de proteção de LT (55DI e 24DO), MOT 04214615XC2X4H64444XX. Fabricante: SEL.</t>
  </si>
  <si>
    <t>SEL-2506</t>
  </si>
  <si>
    <t>SEL-2506 - Módulo de teleproteção (8 DI e 8 DO), MOT 250604314X. Fabricante: SEL.</t>
  </si>
  <si>
    <t>SEL-311C - Relé de proteção de distância para linha de transmissão, 14 BI, 20 BO, MOT 0311C113H3F5462. Fabricante: SEL.</t>
  </si>
  <si>
    <t>SEL-311L - Relé de proteção diferencial para linha de transmissão, 8 BI, 12 BO, MOT 0311L1JDD425425XX. Fabricante: SEL.</t>
  </si>
  <si>
    <t>SEL-311C - Relé de proteção de distância para linha de transmissão, 14 BI, 20 BO, MOT 0311C11HP4F5422. Fabricante: SEL.</t>
  </si>
  <si>
    <t>SEL-3555 - Plataforma computacional, 2 portas Ethernet RJ-45 10/100/1000, 6 portas seriais, 8 GB ECC RAM, 1x SSD SLC 32 GB, processador Intel Xeon E3-1505L Quad Core 2.0 GHz, 2 fontes VDC, MOT 3555#6BKC. Fabricante: SEL.</t>
  </si>
  <si>
    <t>SEL-2407 - GPS, MOT 24070001B. Fabricante: SEL.</t>
  </si>
  <si>
    <t>SEL-2730 - Switch gerenciável com 4 portas RJ45, 16 portas FO MM, MOT 2730M0ARAX2222AAAAX0. Fabricante: SEL.</t>
  </si>
  <si>
    <t>Monitor, MOT 91610054. Fabricante: SEL.</t>
  </si>
  <si>
    <t>Teclado, MOT 91610050. Fabricante: SEL.</t>
  </si>
  <si>
    <t>SEL-787 - Relé de proteção diferencial para transformador, 20 BI, 7 BO, MOT 78721E1ACA4AA7850830. Fabricante: SEL.</t>
  </si>
  <si>
    <t>SEL-751 - Relé de sobrecorrente, 8 BI, 8 BO, MOT 751101ACA1A0X851G30. Fabricante: SEL.</t>
  </si>
  <si>
    <t>Adequação da UTR STD local.</t>
  </si>
  <si>
    <t>Adequação do SAGE local em decorrência das alterações/inserções realizadas.</t>
  </si>
  <si>
    <t>Adequação do SAGE local em decorrência das alterações/inserções realizadas, considerando que o mesmo se encontra sob garantia do fornecedor.</t>
  </si>
  <si>
    <t>0204_17-07-23</t>
  </si>
  <si>
    <t>0203_10-07-23</t>
  </si>
  <si>
    <t>0224-13-12-23</t>
  </si>
  <si>
    <t>0235_17-04-24</t>
  </si>
  <si>
    <t>0211_21-08-23</t>
  </si>
  <si>
    <t>Ello</t>
  </si>
  <si>
    <t>0200_16-05-23</t>
  </si>
  <si>
    <t>0231_12-03-24</t>
  </si>
  <si>
    <t>0232_26-03-24</t>
  </si>
  <si>
    <t>0228_31-01-24</t>
  </si>
  <si>
    <t>Meridian</t>
  </si>
  <si>
    <t>0213_29-08-23</t>
  </si>
  <si>
    <t>0219_07-11-23</t>
  </si>
  <si>
    <t>0218_17-10-23</t>
  </si>
  <si>
    <t>0207_03-08-23</t>
  </si>
  <si>
    <t>0236_13-05-24</t>
  </si>
  <si>
    <t>0190_18-05-23</t>
  </si>
  <si>
    <t>0221_13-10-22</t>
  </si>
  <si>
    <t>0230_01-03-24</t>
  </si>
  <si>
    <t>Proauto</t>
  </si>
  <si>
    <t>0201_22-02-23</t>
  </si>
  <si>
    <t>0229_28-02-24</t>
  </si>
  <si>
    <t>0188_22-05-23</t>
  </si>
  <si>
    <t>0214_19-10-23</t>
  </si>
  <si>
    <t>0205_28-07-23</t>
  </si>
  <si>
    <t>0209_14-08-23</t>
  </si>
  <si>
    <t>0212_25-08-23</t>
  </si>
  <si>
    <t>0195_12-06-23</t>
  </si>
  <si>
    <t>0210_17-08-23</t>
  </si>
  <si>
    <t>0191_30-05-23</t>
  </si>
  <si>
    <t>0193_16-05-23</t>
  </si>
  <si>
    <t>0192_21-03-23</t>
  </si>
  <si>
    <t>0197_19-06-23</t>
  </si>
  <si>
    <t>0194_07-11-23</t>
  </si>
  <si>
    <t>0223_15-02-24</t>
  </si>
  <si>
    <t>0208_14-08-23</t>
  </si>
  <si>
    <t>0196_15-06-23</t>
  </si>
  <si>
    <t>0202_15-05-23</t>
  </si>
  <si>
    <t>0198_06-02-23</t>
  </si>
  <si>
    <t>0233_28-03-24</t>
  </si>
  <si>
    <t>0220_07-11-23</t>
  </si>
  <si>
    <t>0226_18-12-23</t>
  </si>
  <si>
    <t>0227_17-01-24</t>
  </si>
  <si>
    <t>0225_12-12-23</t>
  </si>
  <si>
    <t>0216_24-10-23</t>
  </si>
  <si>
    <t>0234_12-04-24</t>
  </si>
  <si>
    <t>0222_17-11-23</t>
  </si>
  <si>
    <t>0215_19-10-23</t>
  </si>
  <si>
    <t>0206_01-08-23</t>
  </si>
  <si>
    <t>0199_10-07-23</t>
  </si>
  <si>
    <t>Placa UTR</t>
  </si>
  <si>
    <t>Conversor de meio físico</t>
  </si>
  <si>
    <t>Outros dispositivos fotossensíveis</t>
  </si>
  <si>
    <t/>
  </si>
  <si>
    <t>2.2</t>
  </si>
  <si>
    <t>TELECOM</t>
  </si>
  <si>
    <t>SRV</t>
  </si>
  <si>
    <t>Implementação</t>
  </si>
  <si>
    <t>1.1.2.3</t>
  </si>
  <si>
    <t>1.1.2.4</t>
  </si>
  <si>
    <t>1.1.3.1</t>
  </si>
  <si>
    <t>1.1.3.2</t>
  </si>
  <si>
    <t>1.1.3.3</t>
  </si>
  <si>
    <t>1.1.5</t>
  </si>
  <si>
    <t>1.1.5.1</t>
  </si>
  <si>
    <t>1.1.5.2</t>
  </si>
  <si>
    <t>1.1.6</t>
  </si>
  <si>
    <t>1.1.6.1</t>
  </si>
  <si>
    <t>1.2</t>
  </si>
  <si>
    <t>1.2.1</t>
  </si>
  <si>
    <t>1.2.1.1</t>
  </si>
  <si>
    <t>1.2.1.2</t>
  </si>
  <si>
    <t>1.2.2</t>
  </si>
  <si>
    <t>1.2.2.1</t>
  </si>
  <si>
    <t>1.2.2.2</t>
  </si>
  <si>
    <t>2.1</t>
  </si>
  <si>
    <t>2.1.1.1</t>
  </si>
  <si>
    <t>2.1.1.2</t>
  </si>
  <si>
    <t>2.1.1.3</t>
  </si>
  <si>
    <t>2.2.1.1</t>
  </si>
  <si>
    <t>2.2.1.2</t>
  </si>
  <si>
    <t>3.4</t>
  </si>
  <si>
    <t>3.5</t>
  </si>
  <si>
    <t>3.6</t>
  </si>
  <si>
    <t>3.7</t>
  </si>
  <si>
    <t>3.8</t>
  </si>
  <si>
    <t>3.9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</si>
  <si>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</si>
  <si>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</si>
  <si>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</si>
  <si>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</si>
  <si>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</si>
  <si>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</si>
  <si>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</si>
  <si>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</si>
  <si>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</si>
  <si>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</si>
  <si>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</si>
  <si>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</si>
  <si>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</si>
  <si>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</si>
  <si>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</si>
  <si>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</si>
  <si>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</si>
  <si>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</si>
  <si>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</si>
  <si>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</si>
  <si>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</si>
  <si>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</si>
  <si>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</si>
  <si>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</si>
  <si>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</si>
  <si>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</si>
  <si>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</si>
  <si>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</si>
  <si>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</si>
  <si>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</si>
  <si>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</si>
  <si>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</si>
  <si>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</si>
  <si>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</si>
  <si>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</si>
  <si>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</si>
  <si>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</si>
  <si>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</si>
  <si>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</si>
  <si>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</si>
  <si>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</si>
  <si>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</si>
  <si>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</si>
  <si>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</si>
  <si>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</si>
  <si>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</si>
  <si>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</si>
  <si>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</si>
  <si>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</si>
  <si>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</si>
  <si>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</si>
  <si>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</si>
  <si>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</si>
  <si>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</si>
  <si>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</si>
  <si>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</si>
  <si>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</si>
  <si>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</si>
  <si>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</si>
  <si>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</si>
  <si>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</si>
  <si>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</si>
  <si>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</si>
  <si>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</si>
  <si>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</si>
  <si>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</si>
  <si>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</si>
  <si>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</si>
  <si>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</si>
  <si>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</si>
  <si>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</si>
  <si>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</si>
  <si>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</si>
  <si>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</si>
  <si>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</si>
  <si>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</si>
  <si>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</si>
  <si>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</si>
  <si>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</si>
  <si>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</si>
  <si>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</si>
  <si>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</si>
  <si>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</si>
  <si>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</si>
  <si>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</si>
  <si>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</si>
  <si>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</si>
  <si>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</si>
  <si>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</si>
  <si>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</si>
  <si>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3.100</t>
  </si>
  <si>
    <t>3.101</t>
  </si>
  <si>
    <t>3.102</t>
  </si>
  <si>
    <t>3.103</t>
  </si>
  <si>
    <t>3.104</t>
  </si>
  <si>
    <t>3.105</t>
  </si>
  <si>
    <t>3.106</t>
  </si>
  <si>
    <t>3.107</t>
  </si>
  <si>
    <t>3.108</t>
  </si>
  <si>
    <t>3.109</t>
  </si>
  <si>
    <t>3.110</t>
  </si>
  <si>
    <t>3.111</t>
  </si>
  <si>
    <t>3.112</t>
  </si>
  <si>
    <t>3.113</t>
  </si>
  <si>
    <t>3.114</t>
  </si>
  <si>
    <t>3.115</t>
  </si>
  <si>
    <t>3.116</t>
  </si>
  <si>
    <t>3.117</t>
  </si>
  <si>
    <t>3.118</t>
  </si>
  <si>
    <t>3.119</t>
  </si>
  <si>
    <t>3.120</t>
  </si>
  <si>
    <t>3.121</t>
  </si>
  <si>
    <t>3.122</t>
  </si>
  <si>
    <t>3.123</t>
  </si>
  <si>
    <t>3.124</t>
  </si>
  <si>
    <t>3.125</t>
  </si>
  <si>
    <t>3.126</t>
  </si>
  <si>
    <t>3.127</t>
  </si>
  <si>
    <t>3.128</t>
  </si>
  <si>
    <t>3.129</t>
  </si>
  <si>
    <t>3.130</t>
  </si>
  <si>
    <t>3.131</t>
  </si>
  <si>
    <t>3.132</t>
  </si>
  <si>
    <t>3.133</t>
  </si>
  <si>
    <t>3.134</t>
  </si>
  <si>
    <t>3.135</t>
  </si>
  <si>
    <t>3.136</t>
  </si>
  <si>
    <t>3.137</t>
  </si>
  <si>
    <t>3.138</t>
  </si>
  <si>
    <t>3.139</t>
  </si>
  <si>
    <t>3.140</t>
  </si>
  <si>
    <t>3.141</t>
  </si>
  <si>
    <t>3.142</t>
  </si>
  <si>
    <t>3.143</t>
  </si>
  <si>
    <t>3.144</t>
  </si>
  <si>
    <t>3.145</t>
  </si>
  <si>
    <t>3.146</t>
  </si>
  <si>
    <t>3.147</t>
  </si>
  <si>
    <t>3.148</t>
  </si>
  <si>
    <t>3.149</t>
  </si>
  <si>
    <t>3.150</t>
  </si>
  <si>
    <t>3.151</t>
  </si>
  <si>
    <t>3.152</t>
  </si>
  <si>
    <t>3.153</t>
  </si>
  <si>
    <t>3.154</t>
  </si>
  <si>
    <t>3.155</t>
  </si>
  <si>
    <t>3.156</t>
  </si>
  <si>
    <t>3.157</t>
  </si>
  <si>
    <t>3.158</t>
  </si>
  <si>
    <t>3.159</t>
  </si>
  <si>
    <t>3.160</t>
  </si>
  <si>
    <t>3.161</t>
  </si>
  <si>
    <t>3.162</t>
  </si>
  <si>
    <t>3.163</t>
  </si>
  <si>
    <t>3.164</t>
  </si>
  <si>
    <t>3.165</t>
  </si>
  <si>
    <t>3.166</t>
  </si>
  <si>
    <t>3.167</t>
  </si>
  <si>
    <t>3.168</t>
  </si>
  <si>
    <t>3.169</t>
  </si>
  <si>
    <t>3.170</t>
  </si>
  <si>
    <t>3.171</t>
  </si>
  <si>
    <t>3.172</t>
  </si>
  <si>
    <t>3.173</t>
  </si>
  <si>
    <t>3.174</t>
  </si>
  <si>
    <t>3.175</t>
  </si>
  <si>
    <t>3.176</t>
  </si>
  <si>
    <t>3.177</t>
  </si>
  <si>
    <t>3.178</t>
  </si>
  <si>
    <t>3.179</t>
  </si>
  <si>
    <t>3.180</t>
  </si>
  <si>
    <t>3.181</t>
  </si>
  <si>
    <t>3.182</t>
  </si>
  <si>
    <t>3.183</t>
  </si>
  <si>
    <t>3.184</t>
  </si>
  <si>
    <t>3.185</t>
  </si>
  <si>
    <t>3.186</t>
  </si>
  <si>
    <t>3.187</t>
  </si>
  <si>
    <t>3.188</t>
  </si>
  <si>
    <t>3.189</t>
  </si>
  <si>
    <t>3.190</t>
  </si>
  <si>
    <t>3.191</t>
  </si>
  <si>
    <t>3.192</t>
  </si>
  <si>
    <t>3.193</t>
  </si>
  <si>
    <t>3.194</t>
  </si>
  <si>
    <t>3.195</t>
  </si>
  <si>
    <t>3.196</t>
  </si>
  <si>
    <t>3.197</t>
  </si>
  <si>
    <t>3.198</t>
  </si>
  <si>
    <t>3.199</t>
  </si>
  <si>
    <t>3.200</t>
  </si>
  <si>
    <t>3.201</t>
  </si>
  <si>
    <t>3.202</t>
  </si>
  <si>
    <t>3.203</t>
  </si>
  <si>
    <t>3.204</t>
  </si>
  <si>
    <t>3.205</t>
  </si>
  <si>
    <t>3.206</t>
  </si>
  <si>
    <t>3.207</t>
  </si>
  <si>
    <t>3.208</t>
  </si>
  <si>
    <t>3.209</t>
  </si>
  <si>
    <t>3.210</t>
  </si>
  <si>
    <t>3.211</t>
  </si>
  <si>
    <t>3.212</t>
  </si>
  <si>
    <t>3.213</t>
  </si>
  <si>
    <t>3.214</t>
  </si>
  <si>
    <t>CTEEP ÁGUA VERMELHA</t>
  </si>
  <si>
    <t>Mesa de operação [OPCIONAL]</t>
  </si>
  <si>
    <t>Parametrização do SAGE fornecido, incluindo integração do novo TR 500/138 kV e módulos de manobra, a integração da STD/SPIN, e a integração do relé de controle de reativos.</t>
  </si>
  <si>
    <t>Treinamento SAGE.
Local: Dependências da CONTRATANTE.
Duração: 5 dias.
Exclusão: Despesas de viagem dos participantes.</t>
  </si>
  <si>
    <t>2.3</t>
  </si>
  <si>
    <t>2.3.1.1</t>
  </si>
  <si>
    <t>2.3.1.2</t>
  </si>
  <si>
    <t>2.3.1.3</t>
  </si>
  <si>
    <t>2.3.1.4</t>
  </si>
  <si>
    <t>2.3.1.5</t>
  </si>
  <si>
    <t>2.3.1.6</t>
  </si>
  <si>
    <t>2.3.1.7</t>
  </si>
  <si>
    <t>2.3.1.8</t>
  </si>
  <si>
    <t>WS4616407356 SAGE Água Vermelha</t>
  </si>
  <si>
    <t>MOBI</t>
  </si>
  <si>
    <t>MOBILIÁRIO</t>
  </si>
  <si>
    <t>TREINAMENTO</t>
  </si>
  <si>
    <t>Painel Medição [4 med]</t>
  </si>
  <si>
    <t>RA331</t>
  </si>
  <si>
    <t>RA332</t>
  </si>
  <si>
    <t>RA333</t>
  </si>
  <si>
    <t>RST2228 [16/4]</t>
  </si>
  <si>
    <t>RX1524 [48VCC]</t>
  </si>
  <si>
    <t>RSG2100P [PoE 48VCC]</t>
  </si>
  <si>
    <t>RS910 - Terminal server, 2 portas elétricas eth, 2 portas elétricas srl RS485/RS232, alimentação 88-330 Vcc ou 85-264 Vac, referência 6GK6091-0AT23-0AA0-Z A02+B01+C00. Fabricante: Siemens/RUGGEDCOM.</t>
  </si>
  <si>
    <t>RS910 [srl-e, eth-op]</t>
  </si>
  <si>
    <t>RS910 - Terminal server, 2 portas ópticas eth MM LC, 2 portas elétricas srl RS485/RS232, alimentação 88-330 Vcc ou 85-264 Vac, referência 6GK6091-0AT23-0AA0-Z A02+B06+C00. Fabricante: Siemens/RUGGEDCOM.</t>
  </si>
  <si>
    <t>SFP Fast Ethernet, 100 Mbps, MM LC, referência 6GK6000-8FE50-0AA0. Fabricante: Siemens/RUGGEDCOM.</t>
  </si>
  <si>
    <t>SFP SM</t>
  </si>
  <si>
    <t>SFP Fast Ethernet, 1000 Mbps SM LC, referência 6GK6000-8FB51-0AA0. Fabricante: Siemens/RUGGEDCOM.</t>
  </si>
  <si>
    <t>Registrador de oscilografia e eventos, BI: 59, BO: 9, CT: 4, VT: 4, 2x interface óptica ethernet IEC61850 e DNP3eth, largura 1/2 de rack 19''. Fabricante: Siemens.</t>
  </si>
  <si>
    <t>Registrador de oscilografia e eventos, BI: 35, BO: 23, CT: 8, VT: 8, 2x interface óptica ethernet IEC61850 e DNP3eth, largura 2/3 de rack 19''. Fabricante: Siemens.</t>
  </si>
  <si>
    <t>Registrador de oscilografia e eventos, BI: 33, BO: 28, CT: 12, VT: 12, 2x interface óptica ethernet IEC61850 e DNP3eth, largura 5/6 de rack 19''. Fabricante: Siemens.</t>
  </si>
  <si>
    <t>Relé de proteção de distância para linhas de transmissão, disparo monopolar, BI: 47, BO: 36, CT: 8, VT: 4, 2x interface óptica ethernet IEC61850 e DNP3eth, largura 5/6 de rack 19''. Fabricante: Siemens.</t>
  </si>
  <si>
    <t>Relé de proteção diferencial para linhas de transmissão, disparo monopolar, BI: 47, BO: 36, CT: 8, VT: 4, 2x interface óptica ethernet IEC61850 e DNP3eth, largura 5/6 de rack 19''. Fabricante: Siemens.</t>
  </si>
  <si>
    <t>Relé de proteção diferencial e de distância para linhas de transmissão, disparo monopolar, BI: 47, BO: 36, CT: 8, VT: 4, 2x interface óptica ethernet IEC61850 e DNP3eth, 1x interface óptica (LC) serial para proteção/teleproteção, largura 5/6 de rack 19''. Fabricante: Siemens.</t>
  </si>
  <si>
    <t>Relé de proteção de distância para linhas de transmissão, disparo tripolar, BI: 41, BO: 40, CT: 4, VT: 4, 2x interface óptica ethernet IEC61850 e DNP3eth, largura 2/3 de rack 19''. Fabricante: Siemens.</t>
  </si>
  <si>
    <t>Relé de proteção diferencial para linhas de transmissão, disparo tripolar, BI: 41, BO: 40, CT: 4, VT: 4, 2x interface óptica ethernet IEC61850 e DNP3eth, largura 2/3 de rack 19''. Fabricante: Siemens.</t>
  </si>
  <si>
    <t>Relé de proteção diferencial e de distância para linhas de transmissão, disparo tripolar, BI: 41, BO: 40, CT: 4, VT: 4, 2x interface óptica ethernet IEC61850 e DNP3eth, 1x interface óptica (LC) serial para proteção/teleproteção, largura 2/3 de rack 19''. Fabricante: Siemens.</t>
  </si>
  <si>
    <t>Relé de proteção de sobrecorrente ou controle de bay, BI: 23, BO: 16, CT: 4, VT: 4, 2x interface óptica ethernet IEC61850 e DNP3eth, largura 1/3 de rack 19''. Fabricante: Siemens.</t>
  </si>
  <si>
    <t>Relé de proteção diferencial de barras, concentrado, até 4 vãos em 2 zonas, BI: 41, BO: 42, CT: 16, VT: 0, 2x interface óptica ethernet IEC61850 e DNP3eth, largura 1 rack 19''. Fabricante: Siemens.</t>
  </si>
  <si>
    <t>Relé de proteção diferencial de barras, concentrado, até 5 vãos em 2 zonas, BI: 51, BO: 37, CT: 20, VT: 0, 2x interface óptica ethernet IEC61850 e DNP3eth, largura 4/3 de rack 19''. Fabricante: Siemens.</t>
  </si>
  <si>
    <t>Relé de proteção diferencial de barras, concentrado, até 6 vãos em 2 zonas, BI: 59, BO: 43, CT: 24, VT: 0, 2x interface óptica ethernet IEC61850 e DNP3eth, largura 4/3 de rack 19''. Fabricante: Siemens.</t>
  </si>
  <si>
    <t>Relé de proteção diferencial de barras, concentrado, até 8 vãos em 2 zonas, BI: 91, BO: 43, CT: 32, VT: 0, 2x interface óptica ethernet IEC61850 e DNP3eth, largura 4/3 de rack 19''. Fabricante: Siemens.</t>
  </si>
  <si>
    <t>Relé de proteção diferencial de barras, concentrado, até 10 vãos em 2 zonas, BI: 107, BO: 55, CT: 40, VT: 0, 2x interface óptica ethernet IEC61850 e DNP3eth, largura 11/6 de rack 19''. Fabricante: Siemens.</t>
  </si>
  <si>
    <t>Relé de proteção de de sobrecorrente ou controle de bay, BI: 35, BO: 33, CT: 4, VT: 4, 2x interface óptica ethernet IEC61850 e DNP3eth, largura 1/2 de rack 19''. Fabricante: Siemens.</t>
  </si>
  <si>
    <t>Relé de proteção de de sobrecorrente ou controle de bay, BI: 77, BO: 32, CT: 4, VT: 4, 2x interface óptica ethernet IEC61850 e DNP3eth, largura 5/6 de rack 19''. Fabricante: Siemens.</t>
  </si>
  <si>
    <t>Relé de proteção de de sobrecorrente ou controle de bay, BI: 101, BO: 31, CT: 4, VT: 4, 2x interface óptica ethernet IEC61850 e DNP3eth, largura 1 rack 19''. Fabricante: Siemens.</t>
  </si>
  <si>
    <t>Relé de proteção de de sobrecorrente ou controle de bay, BI: 155, BO: 57, CT: 4, VT: 4, 2x interface óptica ethernet IEC61850 e DNP3eth, largura 1 rack 19''. Fabricante: Siemens.</t>
  </si>
  <si>
    <t>Relé de proteção de de sobrecorrente ou controle de bay, BI: 83, BO: 23, CT: 8, VT: 8, 4-20mA: 12, 2x interface óptica ethernet IEC61850 e DNP3eth, largura 1 rack 19''. Fabricante: Siemens.</t>
  </si>
  <si>
    <t>Relé de proteção de falha disjuntor (50BF), BI: 39, BO: 30, CT: 4, VT: 4, 2x interface óptica ethernet IEC61850 e DNP3eth, largura 2/3 de rack 19''. Fabricante: Siemens.</t>
  </si>
  <si>
    <t>6MU85 (P1M164788)</t>
  </si>
  <si>
    <t>Merging unit, BI: 75, BO: 21, CT: 12, VT: 8, 2x interface óptica ethernet IEC61850 e DNP3eth, 2x interface óptica ethernet IEC61850-9-2 para PROCESS BUS, largura 5/6 de rack 19''. Fabricante: Siemens.</t>
  </si>
  <si>
    <t>7SL86 (P1C835800)</t>
  </si>
  <si>
    <t>Relé de proteção diferencial e de distância para linhas de transmissão, disparo tripolar, BI: 35, BO: 23, CT: 8, VT: 4, 2x interface óptica ethernet IEC61850 e DNP3eth, 1x interface óptica (LC) serial para proteção/teleproteção, 2x interface óptica ethernet IEC61850-9-2 para PROCESS BUS, largura 5/6 de rack 19''. Fabricante: Siemens.</t>
  </si>
  <si>
    <t>Padrão CPFL</t>
  </si>
  <si>
    <t>SEL-2505</t>
  </si>
  <si>
    <t>SEL-2505 - Remote I/O, BI: 8, BO: 8, MOT 2505362XX. Fabricante: SEL.</t>
  </si>
  <si>
    <t>SEL-2894</t>
  </si>
  <si>
    <t>SEL-2894 - Conversor de interface serial EIA-232 para IEEE C37.94, MOT 2894MXX. Fabricante: SEL.</t>
  </si>
  <si>
    <t>0238_24-06-24</t>
  </si>
  <si>
    <t>0239_20-06-24</t>
  </si>
  <si>
    <t>0237_04-06-24</t>
  </si>
  <si>
    <t>Painel Colméia</t>
  </si>
  <si>
    <t>D:\PSI Energy\SRV - Comercial\02 Ferramentas\01 PP Base de Dados\BaseOnlineSPCS_PP.xlsm</t>
  </si>
  <si>
    <t>2CNM519240R0100</t>
  </si>
  <si>
    <t>2CNM519240R0125</t>
  </si>
  <si>
    <t>2CNM519240R0150</t>
  </si>
  <si>
    <t>2CNM519240R0200</t>
  </si>
  <si>
    <t>2CNM519240R0250</t>
  </si>
  <si>
    <t>2CNM519240R0300</t>
  </si>
  <si>
    <t>2CNM519250R0400</t>
  </si>
  <si>
    <t>2CNM519250R0600</t>
  </si>
  <si>
    <t>2CNM519250R0800</t>
  </si>
  <si>
    <t>R003261_12</t>
  </si>
  <si>
    <t>ETM45 trifásico, borneira olhal, Senoidal, 60 Hz 20...60 Vc.a/Vc.c. R003261_12 _ classe (5 ou 1). Fabricante: ABB.</t>
  </si>
  <si>
    <t>R003262_13</t>
  </si>
  <si>
    <t>ETM45 trifásico, borneira olhal, Senoidal 60 Hz 85...265 Vc.a / 90...300 Vc.c R003262_13 _ 5 ou 1 1 ou C.  Fabricante: ABB.</t>
  </si>
  <si>
    <t>R003932 _13</t>
  </si>
  <si>
    <t>ETM 50 monofásico, borneira pino 2mm, 60 Hz 85...265 Vc.a / 90...300 Vc.c R003932 _13 _ 5 ou 1 1 ou C. Fabricante: ABB.</t>
  </si>
  <si>
    <t>R00394_513_2</t>
  </si>
  <si>
    <t>ETI 50, medição contínua com 2 fios, 85...265 Vc.a / 90...300 Vc.c R00394 513 2 5 ou 1 1 ou C. Fabricante: ABB.</t>
  </si>
  <si>
    <t>1SFA619100R1010</t>
  </si>
  <si>
    <t>0240_26-06-24</t>
  </si>
  <si>
    <t>Rede de Fronteira</t>
  </si>
  <si>
    <t>RST2228 [20/4]</t>
  </si>
  <si>
    <t>Chaparia completa para automação e rede com seus acessórios (bandejamento interno, canaletas, organizadores), medidas 800x800x2300 (LxPxA), chapa de bitola 14/16, grau de proteção IP54 (abrigado), chapas frontais com recuo e trilho DIN para instalação dos equipamentos, portas frontal e traseira do tipo "colméia" para facilitar a dissipação de calor dos equipamentos com o ambiente, venezianas, limitador de porta, olhal de içamento, cinza Munsell. Fabricante: PSI.</t>
  </si>
  <si>
    <t>Relé de proteção diferencial para transformadores até 2 enrolamentos, BI: 13, BO: 14, CT: 8, VT: 0, 2x interface óptica ethernet IEC61850 e DNP3eth, largura 1/2 de rack 19''. Fabricante: Siemens.</t>
  </si>
  <si>
    <t>Relé de proteção diferencial para transformadores até 2 enrolamentos, BI: 47, BO: 39, CT: 8, VT: 0, 2x interface óptica ethernet IEC61850 e DNP3eth, largura 1/2 de rack 19''. Fabricante: Siemens.</t>
  </si>
  <si>
    <t>Relé de proteção diferencial para transformadores até 3 enrolamentos, BI: 15, BO: 13, CT: 12, VT: 0, 2x interface óptica ethernet IEC61850 e DNP3eth, largura 1/2 de rack 19''. Fabricante: Siemens.</t>
  </si>
  <si>
    <t>Relé de proteção diferencial para transformadores até 3 enrolamentos, BI: 43, BO: 37, CT: 12, VT: 0, 2x interface óptica ethernet IEC61850 e DNP3eth, largura 1/2 de rack 19''. Fabricante: Siemens.</t>
  </si>
  <si>
    <t>Relé de proteção diferencial para transformadores até 2 enrolamentos, BI: 23, BO: 15, CT: 8, VT: 0, 2x interface óptica ethernet IEC61850 e DNP3eth, largura 1/2 de rack 19'', garantia do fabricante de 10 anos. Fabricante: Siemens.</t>
  </si>
  <si>
    <t>0241_12-07-24</t>
  </si>
  <si>
    <t>RST2228 - Switch, 16 portas ópticas MM LC, 4 portas elétricas RJ45, referência 6GK6222-6AB00-5CN0-Z A00+B05+C05+D05+E05+F01+G00. Fabricante: Siemens/RUGGEDCOM.</t>
  </si>
  <si>
    <t>RST2228 - Switch, 20 portas ópticas MM LC, 4 portas elétricas RJ45, referência 6GK6222-6AB00-5CN0-Z A01+B05+C05+D05+E05+F05+G01. Fabricante: Siemens/RUGGEDCOM.</t>
  </si>
  <si>
    <t>RX1524 - Switch (layer 2) + Roteador (layer 3), 2 portas SM LC, 2 portas elétricas RJ45, fonte redundante 48 VCC, referência 6GK6015-0CM22-2DC0-Z A03+B02+C33+D00+E00. Fabricante: Siemens/RUGGEDCOM.</t>
  </si>
  <si>
    <t>Projeto elétrico relativo aos painéis deste fornecimento, inclusive funcional, construtivo lógico e interligação, e integrações entre STD local e SAGE ora previsto.</t>
  </si>
  <si>
    <t>RSG2100P - Switch PoE, 2 portas ópticas SM LC, 8 portas ópticas MM LC, 8 portas elétricas RJ45 (4 delas PoE), fonte redundante 48 VCC, referência 6GK6021-0PS25-8DC0-Z A05+B05+C05+D05+E04+F00+G01+H01+J00+K00. Fabricante: Siemens/RUGGEDCOM.</t>
  </si>
  <si>
    <t>RT430 - Relógio Sincronizado por Satélites GPS, com PTP (IEEE 1588), referência RT43033PPA2C08B221. Fabricante: GE/Reason.</t>
  </si>
  <si>
    <t>Mobilia</t>
  </si>
  <si>
    <t>23_139_CONSOLIDADA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</si>
</sst>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_-;\-* #,##0.00_-;_-* &quot;-&quot;??_-;_-@_-"/>
    <numFmt numFmtId="164" formatCode="0.0%"/>
    <numFmt numFmtId="165" formatCode="_-* #,##0.000_-;\-* #,##0.000_-;_-* &quot;-&quot;??_-;_-@_-"/>
    <numFmt numFmtId="166" formatCode="0000\.00\.00"/>
    <numFmt numFmtId="167" formatCode="_-* #,##0_-;\-* #,##0_-;_-* &quot;-&quot;??_-;_-@_-"/>
    <numFmt numFmtId="168" formatCode="####\.##\.##"/>
    <numFmt numFmtId="169" formatCode="[$-416]mmm\-yy;@"/>
    <numFmt numFmtId="170" formatCode="0.0000%"/>
    <numFmt numFmtId="171" formatCode="_-* #,##0.0_-;\-* #,##0.0_-;_-* &quot;-&quot;??_-;_-@_-"/>
    <numFmt numFmtId="172" formatCode="_-* #,##0.000_-;\-* #,##0.000_-;_-* &quot;-&quot;???_-;_-@_-"/>
    <numFmt numFmtId="173" formatCode="_-* #,##0.0_-;\-* #,##0.0_-;_-* &quot;-&quot;?_-;_-@_-"/>
    <numFmt numFmtId="174" formatCode="_(* #,##0.00_);_(* \(#,##0.00\);_(* &quot;-&quot;??_);_(@_)"/>
    <numFmt numFmtId="175" formatCode="0.0"/>
    <numFmt numFmtId="176" formatCode="0.000%"/>
  </numFmts>
  <fonts count="52" x14ac:knownFonts="1">
    <font>
      <sz val="10"/>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8"/>
      <color theme="1"/>
      <name val="Arial"/>
      <family val="2"/>
    </font>
    <font>
      <sz val="9"/>
      <color indexed="81"/>
      <name val="Tahoma"/>
      <family val="2"/>
    </font>
    <font>
      <sz val="8"/>
      <name val="Arial"/>
      <family val="2"/>
    </font>
    <font>
      <sz val="8"/>
      <color rgb="FFFFFF00"/>
      <name val="Arial"/>
      <family val="2"/>
    </font>
    <font>
      <sz val="8"/>
      <color rgb="FF66FF33"/>
      <name val="Arial"/>
      <family val="2"/>
    </font>
    <font>
      <b/>
      <sz val="10"/>
      <color theme="1"/>
      <name val="Arial"/>
      <family val="2"/>
    </font>
    <font>
      <b/>
      <sz val="8"/>
      <color theme="1"/>
      <name val="Arial"/>
      <family val="2"/>
    </font>
    <font>
      <b/>
      <sz val="10"/>
      <color rgb="FFFF0000"/>
      <name val="Arial"/>
      <family val="2"/>
    </font>
    <font>
      <b/>
      <sz val="11"/>
      <color theme="1"/>
      <name val="Calibri"/>
      <family val="2"/>
      <scheme val="minor"/>
    </font>
    <font>
      <sz val="10"/>
      <name val="Arial"/>
      <family val="2"/>
    </font>
    <font>
      <b/>
      <sz val="10"/>
      <name val="Arial"/>
      <family val="2"/>
    </font>
    <font>
      <b/>
      <sz val="11"/>
      <name val="Calibri"/>
      <family val="2"/>
      <scheme val="minor"/>
    </font>
    <font>
      <b/>
      <sz val="12"/>
      <color theme="1"/>
      <name val="Arial"/>
      <family val="2"/>
    </font>
    <font>
      <sz val="12"/>
      <color theme="1"/>
      <name val="Arial"/>
      <family val="2"/>
    </font>
    <font>
      <sz val="12"/>
      <name val="Arial"/>
      <family val="2"/>
    </font>
    <font>
      <b/>
      <sz val="8"/>
      <name val="Arial"/>
      <family val="2"/>
    </font>
    <font>
      <sz val="10"/>
      <color theme="0" tint="-0.249977111117893"/>
      <name val="Arial"/>
      <family val="2"/>
    </font>
    <font>
      <sz val="10"/>
      <color theme="0" tint="-0.34998626667073579"/>
      <name val="Arial"/>
      <family val="2"/>
    </font>
    <font>
      <b/>
      <sz val="8"/>
      <color rgb="FFFF0000"/>
      <name val="Arial"/>
      <family val="2"/>
    </font>
    <font>
      <sz val="8"/>
      <color theme="0"/>
      <name val="Arial"/>
      <family val="2"/>
    </font>
    <font>
      <sz val="10"/>
      <color rgb="FFFF0000"/>
      <name val="Arial"/>
      <family val="2"/>
    </font>
    <font>
      <sz val="10"/>
      <color theme="1"/>
      <name val="Calibri"/>
      <family val="2"/>
    </font>
    <font>
      <sz val="9"/>
      <color theme="1"/>
      <name val="Arial"/>
      <family val="2"/>
    </font>
    <font>
      <sz val="8"/>
      <color theme="0" tint="-0.34998626667073579"/>
      <name val="Arial"/>
      <family val="2"/>
    </font>
    <font>
      <sz val="10"/>
      <color theme="0"/>
      <name val="Arial"/>
      <family val="2"/>
    </font>
    <font>
      <b/>
      <sz val="10"/>
      <color theme="0"/>
      <name val="Arial"/>
      <family val="2"/>
    </font>
    <font>
      <sz val="8"/>
      <color theme="0" tint="-0.499984740745262"/>
      <name val="Arial"/>
      <family val="2"/>
    </font>
    <font>
      <sz val="10"/>
      <color theme="0" tint="-0.499984740745262"/>
      <name val="Arial"/>
      <family val="2"/>
    </font>
    <font>
      <b/>
      <sz val="10"/>
      <color theme="0" tint="-0.499984740745262"/>
      <name val="Arial"/>
      <family val="2"/>
    </font>
    <font>
      <b/>
      <sz val="9"/>
      <color indexed="81"/>
      <name val="Tahoma"/>
      <family val="2"/>
    </font>
    <font>
      <sz val="8"/>
      <color theme="9"/>
      <name val="Arial"/>
      <family val="2"/>
    </font>
    <font>
      <b/>
      <sz val="12"/>
      <name val="Arial"/>
      <family val="2"/>
    </font>
    <font>
      <b/>
      <sz val="9"/>
      <color theme="1"/>
      <name val="Arial"/>
      <family val="2"/>
    </font>
    <font>
      <sz val="12"/>
      <color theme="0"/>
      <name val="Arial"/>
      <family val="2"/>
    </font>
    <font>
      <b/>
      <sz val="8"/>
      <color theme="0"/>
      <name val="Arial"/>
      <family val="2"/>
    </font>
    <font>
      <sz val="8"/>
      <color rgb="FFFF0000"/>
      <name val="Arial"/>
      <family val="2"/>
    </font>
    <font>
      <sz val="10"/>
      <color theme="1"/>
      <name val="Courier New"/>
      <family val="3"/>
    </font>
    <font>
      <i/>
      <sz val="10"/>
      <color theme="1"/>
      <name val="Arial"/>
      <family val="2"/>
    </font>
    <font>
      <i/>
      <sz val="10"/>
      <name val="Arial"/>
      <family val="2"/>
    </font>
    <font>
      <i/>
      <sz val="10"/>
      <color theme="0" tint="-0.249977111117893"/>
      <name val="Arial"/>
      <family val="2"/>
    </font>
    <font>
      <sz val="8"/>
      <color rgb="FFFFFF99"/>
      <name val="Arial"/>
      <family val="2"/>
    </font>
    <font>
      <sz val="8"/>
      <color rgb="FF99FF99"/>
      <name val="Arial"/>
      <family val="2"/>
    </font>
    <font>
      <sz val="11"/>
      <color theme="1"/>
      <name val="Calibri"/>
      <family val="2"/>
    </font>
    <font>
      <sz val="9"/>
      <name val="Arial"/>
      <family val="2"/>
    </font>
    <font>
      <sz val="8"/>
      <color rgb="FF66FFFF"/>
      <name val="Arial"/>
      <family val="2"/>
    </font>
    <font>
      <sz val="9"/>
      <color indexed="81"/>
      <name val="Tahoma"/>
      <charset val="1"/>
    </font>
    <font>
      <b/>
      <sz val="9"/>
      <color indexed="81"/>
      <name val="Tahoma"/>
      <charset val="1"/>
    </font>
  </fonts>
  <fills count="26">
    <fill>
      <patternFill patternType="none"/>
    </fill>
    <fill>
      <patternFill patternType="gray125"/>
    </fill>
    <fill>
      <patternFill patternType="solid">
        <fgColor theme="0" tint="-0.249977111117893"/>
        <bgColor indexed="64"/>
      </patternFill>
    </fill>
    <fill>
      <patternFill patternType="solid">
        <fgColor theme="1"/>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rgb="FFFF66CC"/>
        <bgColor indexed="64"/>
      </patternFill>
    </fill>
    <fill>
      <patternFill patternType="solid">
        <fgColor theme="3" tint="0.3999755851924192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rgb="FF99FF99"/>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rgb="FFD6DCE4"/>
        <bgColor rgb="FF000000"/>
      </patternFill>
    </fill>
    <fill>
      <patternFill patternType="solid">
        <fgColor rgb="FFACB9CA"/>
        <bgColor rgb="FF000000"/>
      </patternFill>
    </fill>
  </fills>
  <borders count="61">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auto="1"/>
      </top>
      <bottom style="hair">
        <color auto="1"/>
      </bottom>
      <diagonal/>
    </border>
    <border>
      <left/>
      <right/>
      <top style="thin">
        <color auto="1"/>
      </top>
      <bottom style="hair">
        <color auto="1"/>
      </bottom>
      <diagonal/>
    </border>
    <border>
      <left/>
      <right style="thin">
        <color auto="1"/>
      </right>
      <top style="thin">
        <color auto="1"/>
      </top>
      <bottom style="hair">
        <color auto="1"/>
      </bottom>
      <diagonal/>
    </border>
    <border>
      <left style="thin">
        <color auto="1"/>
      </left>
      <right/>
      <top style="hair">
        <color auto="1"/>
      </top>
      <bottom style="hair">
        <color auto="1"/>
      </bottom>
      <diagonal/>
    </border>
    <border>
      <left/>
      <right/>
      <top style="hair">
        <color auto="1"/>
      </top>
      <bottom style="hair">
        <color auto="1"/>
      </bottom>
      <diagonal/>
    </border>
    <border>
      <left/>
      <right style="thin">
        <color auto="1"/>
      </right>
      <top style="hair">
        <color auto="1"/>
      </top>
      <bottom style="hair">
        <color auto="1"/>
      </bottom>
      <diagonal/>
    </border>
    <border>
      <left style="thin">
        <color auto="1"/>
      </left>
      <right/>
      <top style="hair">
        <color auto="1"/>
      </top>
      <bottom style="thin">
        <color auto="1"/>
      </bottom>
      <diagonal/>
    </border>
    <border>
      <left/>
      <right/>
      <top style="hair">
        <color auto="1"/>
      </top>
      <bottom style="thin">
        <color auto="1"/>
      </bottom>
      <diagonal/>
    </border>
    <border>
      <left/>
      <right style="thin">
        <color auto="1"/>
      </right>
      <top style="hair">
        <color auto="1"/>
      </top>
      <bottom style="thin">
        <color auto="1"/>
      </bottom>
      <diagonal/>
    </border>
    <border>
      <left style="thin">
        <color auto="1"/>
      </left>
      <right/>
      <top style="hair">
        <color auto="1"/>
      </top>
      <bottom/>
      <diagonal/>
    </border>
    <border>
      <left/>
      <right style="thin">
        <color auto="1"/>
      </right>
      <top style="hair">
        <color auto="1"/>
      </top>
      <bottom/>
      <diagonal/>
    </border>
    <border>
      <left/>
      <right/>
      <top style="thin">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hair">
        <color auto="1"/>
      </right>
      <top style="thin">
        <color indexed="64"/>
      </top>
      <bottom style="thin">
        <color indexed="64"/>
      </bottom>
      <diagonal/>
    </border>
    <border>
      <left style="hair">
        <color auto="1"/>
      </left>
      <right style="thin">
        <color indexed="64"/>
      </right>
      <top style="thin">
        <color indexed="64"/>
      </top>
      <bottom style="thin">
        <color indexed="64"/>
      </bottom>
      <diagonal/>
    </border>
    <border>
      <left style="hair">
        <color indexed="64"/>
      </left>
      <right/>
      <top style="thin">
        <color indexed="64"/>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style="thin">
        <color indexed="64"/>
      </bottom>
      <diagonal/>
    </border>
    <border>
      <left/>
      <right style="thin">
        <color indexed="64"/>
      </right>
      <top/>
      <bottom/>
      <diagonal/>
    </border>
    <border>
      <left/>
      <right/>
      <top style="thin">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right/>
      <top style="hair">
        <color auto="1"/>
      </top>
      <bottom/>
      <diagonal/>
    </border>
    <border>
      <left/>
      <right style="hair">
        <color auto="1"/>
      </right>
      <top style="hair">
        <color auto="1"/>
      </top>
      <bottom style="hair">
        <color auto="1"/>
      </bottom>
      <diagonal/>
    </border>
    <border>
      <left/>
      <right style="hair">
        <color indexed="64"/>
      </right>
      <top style="hair">
        <color indexed="64"/>
      </top>
      <bottom style="thin">
        <color indexed="64"/>
      </bottom>
      <diagonal/>
    </border>
    <border>
      <left/>
      <right style="hair">
        <color indexed="64"/>
      </right>
      <top style="thin">
        <color indexed="64"/>
      </top>
      <bottom style="hair">
        <color indexed="64"/>
      </bottom>
      <diagonal/>
    </border>
    <border>
      <left style="hair">
        <color indexed="64"/>
      </left>
      <right style="hair">
        <color indexed="64"/>
      </right>
      <top style="thin">
        <color indexed="64"/>
      </top>
      <bottom style="thin">
        <color indexed="64"/>
      </bottom>
      <diagonal/>
    </border>
    <border>
      <left/>
      <right/>
      <top style="thin">
        <color rgb="FFFF0000"/>
      </top>
      <bottom style="thin">
        <color rgb="FFFF0000"/>
      </bottom>
      <diagonal/>
    </border>
    <border>
      <left style="thin">
        <color rgb="FFFF0000"/>
      </left>
      <right style="thin">
        <color rgb="FFFF0000"/>
      </right>
      <top/>
      <bottom/>
      <diagonal/>
    </border>
    <border>
      <left/>
      <right/>
      <top/>
      <bottom style="thin">
        <color rgb="FFFF0000"/>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diagonalUp="1">
      <left/>
      <right/>
      <top/>
      <bottom/>
      <diagonal style="dotted">
        <color auto="1"/>
      </diagonal>
    </border>
    <border>
      <left/>
      <right/>
      <top style="dotted">
        <color auto="1"/>
      </top>
      <bottom/>
      <diagonal/>
    </border>
  </borders>
  <cellStyleXfs count="13">
    <xf numFmtId="0" fontId="0" fillId="0" borderId="0"/>
    <xf numFmtId="43" fontId="4" fillId="0" borderId="0" applyFont="0" applyFill="0" applyBorder="0" applyAlignment="0" applyProtection="0"/>
    <xf numFmtId="9" fontId="4" fillId="0" borderId="0" applyFont="0" applyFill="0" applyBorder="0" applyAlignment="0" applyProtection="0"/>
    <xf numFmtId="0" fontId="14" fillId="0" borderId="0"/>
    <xf numFmtId="0" fontId="14" fillId="0" borderId="0"/>
    <xf numFmtId="174" fontId="14" fillId="0" borderId="0" applyFont="0" applyFill="0" applyBorder="0" applyAlignment="0" applyProtection="0"/>
    <xf numFmtId="9" fontId="14" fillId="0" borderId="0" applyFont="0" applyFill="0" applyBorder="0" applyAlignment="0" applyProtection="0"/>
    <xf numFmtId="0" fontId="3" fillId="0" borderId="0"/>
    <xf numFmtId="9" fontId="3" fillId="0" borderId="0" applyFont="0" applyFill="0" applyBorder="0" applyAlignment="0" applyProtection="0"/>
    <xf numFmtId="0" fontId="2" fillId="0" borderId="0"/>
    <xf numFmtId="9" fontId="2" fillId="0" borderId="0" applyFont="0" applyFill="0" applyBorder="0" applyAlignment="0" applyProtection="0"/>
    <xf numFmtId="0" fontId="1" fillId="0" borderId="0"/>
    <xf numFmtId="9" fontId="1" fillId="0" borderId="0" applyFont="0" applyFill="0" applyBorder="0" applyAlignment="0" applyProtection="0"/>
  </cellStyleXfs>
  <cellXfs count="888">
    <xf numFmtId="0" fontId="0" fillId="0" borderId="0" xfId="0"/>
    <xf numFmtId="0" fontId="0" fillId="0" borderId="0" xfId="0" applyAlignment="1">
      <alignment vertical="center"/>
    </xf>
    <xf numFmtId="43" fontId="5" fillId="2" borderId="0" xfId="1" applyFont="1" applyFill="1" applyAlignment="1">
      <alignment horizontal="center" vertical="center"/>
    </xf>
    <xf numFmtId="9" fontId="5" fillId="2" borderId="0" xfId="2" applyFont="1" applyFill="1" applyAlignment="1">
      <alignment horizontal="center" vertical="center"/>
    </xf>
    <xf numFmtId="43" fontId="4" fillId="2" borderId="0" xfId="1" applyFill="1" applyAlignment="1">
      <alignment horizontal="center" vertical="center"/>
    </xf>
    <xf numFmtId="0" fontId="4" fillId="2" borderId="0" xfId="1" applyNumberFormat="1" applyFill="1" applyAlignment="1">
      <alignment horizontal="center" vertical="center"/>
    </xf>
    <xf numFmtId="43" fontId="5" fillId="2" borderId="0" xfId="1" applyFont="1" applyFill="1" applyAlignment="1">
      <alignment horizontal="center" vertical="center" wrapText="1"/>
    </xf>
    <xf numFmtId="0" fontId="4" fillId="2" borderId="0" xfId="1" applyNumberFormat="1" applyFill="1" applyAlignment="1">
      <alignment horizontal="center" vertical="center" wrapText="1"/>
    </xf>
    <xf numFmtId="10" fontId="5" fillId="2" borderId="0" xfId="2" applyNumberFormat="1" applyFont="1" applyFill="1" applyAlignment="1">
      <alignment horizontal="center" vertical="center"/>
    </xf>
    <xf numFmtId="10" fontId="5" fillId="2" borderId="0" xfId="1" applyNumberFormat="1" applyFont="1" applyFill="1" applyAlignment="1">
      <alignment horizontal="center" vertical="center"/>
    </xf>
    <xf numFmtId="9" fontId="5" fillId="2" borderId="0" xfId="1" applyNumberFormat="1" applyFont="1" applyFill="1" applyAlignment="1">
      <alignment horizontal="center" vertical="center"/>
    </xf>
    <xf numFmtId="43" fontId="11" fillId="2" borderId="0" xfId="1" applyFont="1" applyFill="1" applyAlignment="1">
      <alignment horizontal="center" vertical="center"/>
    </xf>
    <xf numFmtId="9" fontId="11" fillId="2" borderId="0" xfId="2" applyFont="1" applyFill="1" applyAlignment="1">
      <alignment horizontal="center" vertical="center"/>
    </xf>
    <xf numFmtId="43" fontId="10" fillId="2" borderId="0" xfId="1" applyFont="1" applyFill="1" applyAlignment="1">
      <alignment horizontal="center" vertical="center"/>
    </xf>
    <xf numFmtId="0" fontId="10" fillId="2" borderId="0" xfId="1" applyNumberFormat="1" applyFont="1" applyFill="1" applyAlignment="1">
      <alignment horizontal="center" vertical="center"/>
    </xf>
    <xf numFmtId="10" fontId="5" fillId="2" borderId="0" xfId="2" applyNumberFormat="1" applyFont="1" applyFill="1" applyAlignment="1">
      <alignment horizontal="right" vertical="center"/>
    </xf>
    <xf numFmtId="0" fontId="0" fillId="0" borderId="3" xfId="0" applyBorder="1" applyAlignment="1">
      <alignment horizontal="center" vertical="center"/>
    </xf>
    <xf numFmtId="0" fontId="5" fillId="2" borderId="0" xfId="1" applyNumberFormat="1" applyFont="1" applyFill="1" applyAlignment="1">
      <alignment horizontal="center" vertical="center"/>
    </xf>
    <xf numFmtId="164" fontId="7" fillId="2" borderId="0" xfId="2" applyNumberFormat="1" applyFont="1" applyFill="1" applyAlignment="1">
      <alignment horizontal="center" vertical="center"/>
    </xf>
    <xf numFmtId="0" fontId="0" fillId="0" borderId="48" xfId="0" applyBorder="1" applyAlignment="1">
      <alignment horizontal="center" vertical="center"/>
    </xf>
    <xf numFmtId="9" fontId="0" fillId="0" borderId="49" xfId="2" applyFont="1" applyBorder="1" applyAlignment="1">
      <alignment horizontal="center" vertical="center"/>
    </xf>
    <xf numFmtId="166" fontId="0" fillId="6" borderId="48" xfId="0" applyNumberFormat="1" applyFill="1" applyBorder="1" applyAlignment="1">
      <alignment horizontal="center" vertical="center"/>
    </xf>
    <xf numFmtId="9" fontId="0" fillId="0" borderId="47" xfId="2" applyFont="1" applyBorder="1" applyAlignment="1">
      <alignment horizontal="center" vertical="center"/>
    </xf>
    <xf numFmtId="9" fontId="0" fillId="0" borderId="48" xfId="2" applyFont="1" applyBorder="1" applyAlignment="1">
      <alignment horizontal="center" vertical="center"/>
    </xf>
    <xf numFmtId="166" fontId="0" fillId="6" borderId="12" xfId="0" applyNumberFormat="1" applyFill="1" applyBorder="1" applyAlignment="1">
      <alignment horizontal="center" vertical="center"/>
    </xf>
    <xf numFmtId="0" fontId="0" fillId="0" borderId="47" xfId="0" applyBorder="1" applyAlignment="1">
      <alignment horizontal="center" vertical="center"/>
    </xf>
    <xf numFmtId="0" fontId="0" fillId="0" borderId="49" xfId="0" applyBorder="1" applyAlignment="1">
      <alignment horizontal="center" vertical="center"/>
    </xf>
    <xf numFmtId="164" fontId="0" fillId="0" borderId="48" xfId="2" applyNumberFormat="1" applyFont="1" applyBorder="1" applyAlignment="1">
      <alignment horizontal="center" vertical="center"/>
    </xf>
    <xf numFmtId="0" fontId="0" fillId="0" borderId="12" xfId="0" applyBorder="1" applyAlignment="1">
      <alignment horizontal="center" vertical="center"/>
    </xf>
    <xf numFmtId="9" fontId="0" fillId="0" borderId="13" xfId="2" applyFont="1" applyBorder="1" applyAlignment="1">
      <alignment horizontal="center" vertical="center"/>
    </xf>
    <xf numFmtId="9" fontId="0" fillId="0" borderId="11" xfId="2" applyFont="1" applyBorder="1" applyAlignment="1">
      <alignment horizontal="center" vertical="center"/>
    </xf>
    <xf numFmtId="9" fontId="0" fillId="0" borderId="12" xfId="2" applyFont="1"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0" fillId="0" borderId="15" xfId="0" applyBorder="1" applyAlignment="1">
      <alignment horizontal="center" vertical="center"/>
    </xf>
    <xf numFmtId="9" fontId="0" fillId="0" borderId="16" xfId="2" applyFont="1" applyBorder="1" applyAlignment="1">
      <alignment horizontal="center" vertical="center"/>
    </xf>
    <xf numFmtId="166" fontId="0" fillId="6" borderId="15" xfId="0" applyNumberFormat="1" applyFill="1" applyBorder="1" applyAlignment="1">
      <alignment horizontal="center" vertical="center"/>
    </xf>
    <xf numFmtId="9" fontId="0" fillId="0" borderId="14" xfId="2" applyFont="1" applyBorder="1" applyAlignment="1">
      <alignment horizontal="center" vertical="center"/>
    </xf>
    <xf numFmtId="9" fontId="0" fillId="0" borderId="15" xfId="2" applyFont="1" applyBorder="1" applyAlignment="1">
      <alignment horizontal="center" vertical="center"/>
    </xf>
    <xf numFmtId="0" fontId="0" fillId="0" borderId="14" xfId="0" applyBorder="1" applyAlignment="1">
      <alignment horizontal="center" vertical="center"/>
    </xf>
    <xf numFmtId="0" fontId="0" fillId="0" borderId="16"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12" xfId="0" applyBorder="1" applyAlignment="1">
      <alignment vertical="center"/>
    </xf>
    <xf numFmtId="43" fontId="0" fillId="0" borderId="12" xfId="1" applyFont="1" applyBorder="1" applyAlignment="1">
      <alignment vertical="center"/>
    </xf>
    <xf numFmtId="43" fontId="0" fillId="5" borderId="48" xfId="1" applyFont="1" applyFill="1" applyBorder="1" applyAlignment="1">
      <alignment vertical="center"/>
    </xf>
    <xf numFmtId="43" fontId="0" fillId="5" borderId="12" xfId="1" applyFont="1" applyFill="1" applyBorder="1" applyAlignment="1">
      <alignment vertical="center"/>
    </xf>
    <xf numFmtId="0" fontId="0" fillId="0" borderId="48" xfId="0" applyBorder="1" applyAlignment="1">
      <alignment horizontal="left" vertical="center"/>
    </xf>
    <xf numFmtId="0" fontId="14" fillId="2" borderId="0" xfId="1" applyNumberFormat="1" applyFont="1" applyFill="1" applyAlignment="1">
      <alignment horizontal="justify" vertical="center" wrapText="1"/>
    </xf>
    <xf numFmtId="0" fontId="15" fillId="2" borderId="0" xfId="1" applyNumberFormat="1" applyFont="1" applyFill="1" applyAlignment="1">
      <alignment horizontal="justify" vertical="center" wrapText="1"/>
    </xf>
    <xf numFmtId="0" fontId="14" fillId="4" borderId="19" xfId="1" applyNumberFormat="1" applyFont="1" applyFill="1" applyBorder="1" applyAlignment="1">
      <alignment horizontal="justify" vertical="center" wrapText="1"/>
    </xf>
    <xf numFmtId="0" fontId="4" fillId="4" borderId="4" xfId="1" applyNumberFormat="1" applyFill="1" applyBorder="1" applyAlignment="1">
      <alignment horizontal="center" vertical="center"/>
    </xf>
    <xf numFmtId="9" fontId="14" fillId="5" borderId="19" xfId="2" applyFont="1" applyFill="1" applyBorder="1" applyAlignment="1">
      <alignment horizontal="center" vertical="center"/>
    </xf>
    <xf numFmtId="0" fontId="14" fillId="5" borderId="3" xfId="2" applyNumberFormat="1" applyFont="1" applyFill="1" applyBorder="1" applyAlignment="1">
      <alignment horizontal="center" vertical="center"/>
    </xf>
    <xf numFmtId="164" fontId="14" fillId="5" borderId="19" xfId="2" applyNumberFormat="1" applyFont="1" applyFill="1" applyBorder="1" applyAlignment="1">
      <alignment horizontal="center" vertical="center"/>
    </xf>
    <xf numFmtId="10" fontId="14" fillId="5" borderId="4" xfId="2" applyNumberFormat="1" applyFont="1" applyFill="1" applyBorder="1" applyAlignment="1">
      <alignment horizontal="center" vertical="center"/>
    </xf>
    <xf numFmtId="43" fontId="5" fillId="8" borderId="0" xfId="1" applyFont="1" applyFill="1" applyAlignment="1">
      <alignment horizontal="center" vertical="center"/>
    </xf>
    <xf numFmtId="9" fontId="5" fillId="8" borderId="0" xfId="2" applyFont="1" applyFill="1" applyAlignment="1">
      <alignment horizontal="center" vertical="center"/>
    </xf>
    <xf numFmtId="0" fontId="4" fillId="8" borderId="3" xfId="1" applyNumberFormat="1" applyFill="1" applyBorder="1" applyAlignment="1">
      <alignment horizontal="center" vertical="center"/>
    </xf>
    <xf numFmtId="43" fontId="4" fillId="8" borderId="19" xfId="1" applyFill="1" applyBorder="1" applyAlignment="1">
      <alignment horizontal="center" vertical="center"/>
    </xf>
    <xf numFmtId="43" fontId="4" fillId="8" borderId="4" xfId="1" applyFill="1" applyBorder="1" applyAlignment="1">
      <alignment horizontal="center" vertical="center"/>
    </xf>
    <xf numFmtId="43" fontId="4" fillId="8" borderId="3" xfId="1" applyFill="1" applyBorder="1" applyAlignment="1">
      <alignment horizontal="center" vertical="center"/>
    </xf>
    <xf numFmtId="10" fontId="5" fillId="8" borderId="0" xfId="2" applyNumberFormat="1" applyFont="1" applyFill="1" applyAlignment="1">
      <alignment horizontal="right" vertical="center"/>
    </xf>
    <xf numFmtId="43" fontId="5" fillId="8" borderId="0" xfId="1" applyFont="1" applyFill="1" applyAlignment="1">
      <alignment horizontal="center" vertical="center" wrapText="1"/>
    </xf>
    <xf numFmtId="0" fontId="5" fillId="8" borderId="0" xfId="1" applyNumberFormat="1" applyFont="1" applyFill="1" applyAlignment="1">
      <alignment horizontal="center" vertical="center"/>
    </xf>
    <xf numFmtId="0" fontId="5" fillId="2" borderId="0" xfId="2" applyNumberFormat="1" applyFont="1" applyFill="1" applyAlignment="1">
      <alignment horizontal="center" vertical="center"/>
    </xf>
    <xf numFmtId="0" fontId="5" fillId="2" borderId="0" xfId="1" applyNumberFormat="1" applyFont="1" applyFill="1" applyAlignment="1">
      <alignment horizontal="center" vertical="center" wrapText="1"/>
    </xf>
    <xf numFmtId="0" fontId="9" fillId="2" borderId="1" xfId="1" applyNumberFormat="1" applyFont="1" applyFill="1" applyBorder="1" applyAlignment="1">
      <alignment horizontal="left" vertical="center"/>
    </xf>
    <xf numFmtId="0" fontId="5" fillId="2" borderId="1" xfId="1" applyNumberFormat="1" applyFont="1" applyFill="1" applyBorder="1" applyAlignment="1">
      <alignment horizontal="center" vertical="center"/>
    </xf>
    <xf numFmtId="0" fontId="5" fillId="2" borderId="1" xfId="1" applyNumberFormat="1" applyFont="1" applyFill="1" applyBorder="1" applyAlignment="1">
      <alignment horizontal="left" vertical="center"/>
    </xf>
    <xf numFmtId="0" fontId="5" fillId="2" borderId="1" xfId="1" applyNumberFormat="1" applyFont="1" applyFill="1" applyBorder="1" applyAlignment="1">
      <alignment vertical="center"/>
    </xf>
    <xf numFmtId="0" fontId="5" fillId="2" borderId="0" xfId="2" applyNumberFormat="1" applyFont="1" applyFill="1" applyAlignment="1">
      <alignment horizontal="center" vertical="center" wrapText="1"/>
    </xf>
    <xf numFmtId="0" fontId="8" fillId="2" borderId="0" xfId="1" applyNumberFormat="1" applyFont="1" applyFill="1" applyAlignment="1">
      <alignment horizontal="center" vertical="center" wrapText="1"/>
    </xf>
    <xf numFmtId="0" fontId="9" fillId="2" borderId="0" xfId="1" applyNumberFormat="1" applyFont="1" applyFill="1" applyAlignment="1">
      <alignment horizontal="center" vertical="center" wrapText="1"/>
    </xf>
    <xf numFmtId="0" fontId="0" fillId="0" borderId="0" xfId="0" applyAlignment="1">
      <alignment horizontal="center" vertical="center"/>
    </xf>
    <xf numFmtId="0" fontId="0" fillId="0" borderId="2" xfId="0" applyBorder="1" applyAlignment="1">
      <alignment horizontal="center" vertical="center"/>
    </xf>
    <xf numFmtId="0" fontId="0" fillId="5" borderId="43" xfId="0" applyFill="1" applyBorder="1" applyAlignment="1">
      <alignment horizontal="center" vertical="center"/>
    </xf>
    <xf numFmtId="43" fontId="0" fillId="0" borderId="48" xfId="1" applyFont="1" applyBorder="1" applyAlignment="1">
      <alignment vertical="center"/>
    </xf>
    <xf numFmtId="0" fontId="0" fillId="0" borderId="12" xfId="0" applyBorder="1" applyAlignment="1">
      <alignment horizontal="left" vertical="center"/>
    </xf>
    <xf numFmtId="43" fontId="0" fillId="5" borderId="50" xfId="1" applyFont="1" applyFill="1" applyBorder="1" applyAlignment="1">
      <alignment vertical="center"/>
    </xf>
    <xf numFmtId="0" fontId="0" fillId="9" borderId="19" xfId="0" applyFill="1" applyBorder="1" applyAlignment="1">
      <alignment vertical="center"/>
    </xf>
    <xf numFmtId="0" fontId="0" fillId="9" borderId="5" xfId="0" applyFill="1" applyBorder="1" applyAlignment="1">
      <alignment horizontal="center" vertical="center" wrapText="1"/>
    </xf>
    <xf numFmtId="0" fontId="0" fillId="9" borderId="5" xfId="0" applyFill="1" applyBorder="1" applyAlignment="1">
      <alignment horizontal="center" vertical="center"/>
    </xf>
    <xf numFmtId="166" fontId="14" fillId="4" borderId="3" xfId="1" applyNumberFormat="1" applyFont="1" applyFill="1" applyBorder="1" applyAlignment="1">
      <alignment horizontal="center" vertical="center"/>
    </xf>
    <xf numFmtId="9" fontId="14" fillId="4" borderId="19" xfId="2" applyFont="1" applyFill="1" applyBorder="1" applyAlignment="1">
      <alignment horizontal="center" vertical="center"/>
    </xf>
    <xf numFmtId="10" fontId="14" fillId="4" borderId="19" xfId="2" applyNumberFormat="1" applyFont="1" applyFill="1" applyBorder="1" applyAlignment="1">
      <alignment horizontal="center" vertical="center"/>
    </xf>
    <xf numFmtId="164" fontId="14" fillId="4" borderId="4" xfId="2" applyNumberFormat="1" applyFont="1" applyFill="1" applyBorder="1" applyAlignment="1">
      <alignment horizontal="center" vertical="center"/>
    </xf>
    <xf numFmtId="43" fontId="0" fillId="5" borderId="0" xfId="1" applyFont="1" applyFill="1" applyAlignment="1">
      <alignment vertical="center"/>
    </xf>
    <xf numFmtId="9" fontId="0" fillId="5" borderId="0" xfId="2" applyFont="1" applyFill="1" applyAlignment="1">
      <alignment horizontal="center" vertical="center"/>
    </xf>
    <xf numFmtId="0" fontId="0" fillId="0" borderId="15" xfId="0" applyBorder="1" applyAlignment="1">
      <alignment horizontal="left" vertical="center"/>
    </xf>
    <xf numFmtId="0" fontId="0" fillId="9" borderId="33" xfId="0" applyFill="1" applyBorder="1" applyAlignment="1">
      <alignment horizontal="center" vertical="center"/>
    </xf>
    <xf numFmtId="43" fontId="5" fillId="10" borderId="0" xfId="1" applyFont="1" applyFill="1" applyAlignment="1">
      <alignment horizontal="center" vertical="center"/>
    </xf>
    <xf numFmtId="164" fontId="7" fillId="10" borderId="0" xfId="2" applyNumberFormat="1" applyFont="1" applyFill="1" applyAlignment="1">
      <alignment horizontal="center" vertical="center"/>
    </xf>
    <xf numFmtId="0" fontId="14" fillId="10" borderId="19" xfId="1" applyNumberFormat="1" applyFont="1" applyFill="1" applyBorder="1" applyAlignment="1">
      <alignment horizontal="justify" vertical="center" wrapText="1"/>
    </xf>
    <xf numFmtId="0" fontId="4" fillId="10" borderId="4" xfId="1" applyNumberFormat="1" applyFill="1" applyBorder="1" applyAlignment="1">
      <alignment horizontal="center" vertical="center"/>
    </xf>
    <xf numFmtId="166" fontId="14" fillId="10" borderId="3" xfId="1" applyNumberFormat="1" applyFont="1" applyFill="1" applyBorder="1" applyAlignment="1">
      <alignment horizontal="center" vertical="center"/>
    </xf>
    <xf numFmtId="9" fontId="14" fillId="10" borderId="19" xfId="2" applyFont="1" applyFill="1" applyBorder="1" applyAlignment="1">
      <alignment horizontal="center" vertical="center"/>
    </xf>
    <xf numFmtId="10" fontId="14" fillId="10" borderId="19" xfId="2" applyNumberFormat="1" applyFont="1" applyFill="1" applyBorder="1" applyAlignment="1">
      <alignment horizontal="center" vertical="center"/>
    </xf>
    <xf numFmtId="164" fontId="14" fillId="10" borderId="4" xfId="2" applyNumberFormat="1" applyFont="1" applyFill="1" applyBorder="1" applyAlignment="1">
      <alignment horizontal="center" vertical="center"/>
    </xf>
    <xf numFmtId="164" fontId="14" fillId="10" borderId="19" xfId="2" applyNumberFormat="1" applyFont="1" applyFill="1" applyBorder="1" applyAlignment="1">
      <alignment horizontal="center" vertical="center"/>
    </xf>
    <xf numFmtId="10" fontId="14" fillId="10" borderId="4" xfId="2" applyNumberFormat="1" applyFont="1" applyFill="1" applyBorder="1" applyAlignment="1">
      <alignment horizontal="center" vertical="center"/>
    </xf>
    <xf numFmtId="0" fontId="10" fillId="4" borderId="1" xfId="1" applyNumberFormat="1" applyFont="1" applyFill="1" applyBorder="1" applyAlignment="1">
      <alignment horizontal="center" vertical="center" wrapText="1"/>
    </xf>
    <xf numFmtId="43" fontId="7" fillId="2" borderId="0" xfId="1" applyFont="1" applyFill="1" applyAlignment="1">
      <alignment horizontal="center" vertical="center"/>
    </xf>
    <xf numFmtId="0" fontId="0" fillId="0" borderId="1" xfId="0" applyBorder="1" applyAlignment="1">
      <alignment horizontal="center" vertical="center"/>
    </xf>
    <xf numFmtId="0" fontId="0" fillId="4" borderId="33" xfId="0" applyFill="1" applyBorder="1" applyAlignment="1">
      <alignment vertical="center"/>
    </xf>
    <xf numFmtId="43" fontId="0" fillId="4" borderId="43" xfId="1" applyFont="1" applyFill="1" applyBorder="1" applyAlignment="1">
      <alignment vertical="center"/>
    </xf>
    <xf numFmtId="9" fontId="0" fillId="4" borderId="43" xfId="2" applyFont="1" applyFill="1" applyBorder="1" applyAlignment="1">
      <alignment horizontal="center" vertical="center"/>
    </xf>
    <xf numFmtId="0" fontId="0" fillId="4" borderId="32" xfId="0" applyFill="1" applyBorder="1" applyAlignment="1">
      <alignment vertical="center"/>
    </xf>
    <xf numFmtId="43" fontId="0" fillId="4" borderId="0" xfId="1" applyFont="1" applyFill="1" applyAlignment="1">
      <alignment vertical="center"/>
    </xf>
    <xf numFmtId="9" fontId="0" fillId="4" borderId="0" xfId="2" applyFont="1" applyFill="1" applyAlignment="1">
      <alignment horizontal="center" vertical="center"/>
    </xf>
    <xf numFmtId="0" fontId="0" fillId="4" borderId="35" xfId="0" applyFill="1" applyBorder="1" applyAlignment="1">
      <alignment vertical="center"/>
    </xf>
    <xf numFmtId="43" fontId="0" fillId="4" borderId="1" xfId="1" applyFont="1" applyFill="1" applyBorder="1" applyAlignment="1">
      <alignment vertical="center"/>
    </xf>
    <xf numFmtId="9" fontId="0" fillId="4" borderId="1" xfId="2" applyFont="1" applyFill="1" applyBorder="1" applyAlignment="1">
      <alignment horizontal="center" vertical="center"/>
    </xf>
    <xf numFmtId="0" fontId="0" fillId="5" borderId="0" xfId="0" applyFill="1" applyAlignment="1">
      <alignment vertical="center"/>
    </xf>
    <xf numFmtId="0" fontId="10" fillId="5" borderId="0" xfId="0" applyFont="1" applyFill="1" applyAlignment="1">
      <alignment vertical="center"/>
    </xf>
    <xf numFmtId="0" fontId="0" fillId="5" borderId="0" xfId="0" applyFill="1" applyAlignment="1">
      <alignment horizontal="center" vertical="center"/>
    </xf>
    <xf numFmtId="0" fontId="0" fillId="5" borderId="0" xfId="0" applyFill="1" applyAlignment="1">
      <alignment horizontal="center" vertical="center" wrapText="1"/>
    </xf>
    <xf numFmtId="43" fontId="0" fillId="5" borderId="34" xfId="1" applyFont="1" applyFill="1" applyBorder="1" applyAlignment="1">
      <alignment vertical="center"/>
    </xf>
    <xf numFmtId="43" fontId="0" fillId="5" borderId="42" xfId="1" applyFont="1" applyFill="1" applyBorder="1" applyAlignment="1">
      <alignment vertical="center"/>
    </xf>
    <xf numFmtId="43" fontId="0" fillId="5" borderId="36" xfId="1" applyFont="1" applyFill="1" applyBorder="1" applyAlignment="1">
      <alignment vertical="center"/>
    </xf>
    <xf numFmtId="0" fontId="0" fillId="5" borderId="0" xfId="0" applyFill="1" applyAlignment="1">
      <alignment horizontal="right" vertical="center"/>
    </xf>
    <xf numFmtId="43" fontId="10" fillId="5" borderId="2" xfId="1" applyFont="1" applyFill="1" applyBorder="1" applyAlignment="1">
      <alignment vertical="center"/>
    </xf>
    <xf numFmtId="43" fontId="10" fillId="5" borderId="0" xfId="1" applyFont="1" applyFill="1" applyAlignment="1">
      <alignment vertical="center"/>
    </xf>
    <xf numFmtId="43" fontId="5" fillId="5" borderId="0" xfId="1" applyFont="1" applyFill="1" applyAlignment="1">
      <alignment vertical="center"/>
    </xf>
    <xf numFmtId="43" fontId="11" fillId="5" borderId="0" xfId="1" applyFont="1" applyFill="1" applyAlignment="1">
      <alignment vertical="center"/>
    </xf>
    <xf numFmtId="0" fontId="0" fillId="5" borderId="33" xfId="0" applyFill="1" applyBorder="1" applyAlignment="1">
      <alignment vertical="center"/>
    </xf>
    <xf numFmtId="10" fontId="0" fillId="5" borderId="34" xfId="2" applyNumberFormat="1" applyFont="1" applyFill="1" applyBorder="1" applyAlignment="1">
      <alignment vertical="center"/>
    </xf>
    <xf numFmtId="10" fontId="0" fillId="5" borderId="42" xfId="2" applyNumberFormat="1" applyFont="1" applyFill="1" applyBorder="1" applyAlignment="1">
      <alignment vertical="center"/>
    </xf>
    <xf numFmtId="0" fontId="0" fillId="5" borderId="35" xfId="0" applyFill="1" applyBorder="1" applyAlignment="1">
      <alignment vertical="center"/>
    </xf>
    <xf numFmtId="10" fontId="0" fillId="5" borderId="36" xfId="2" applyNumberFormat="1" applyFont="1" applyFill="1" applyBorder="1" applyAlignment="1">
      <alignment vertical="center"/>
    </xf>
    <xf numFmtId="0" fontId="0" fillId="5" borderId="33" xfId="0" applyFill="1" applyBorder="1" applyAlignment="1">
      <alignment horizontal="left" vertical="center"/>
    </xf>
    <xf numFmtId="0" fontId="0" fillId="5" borderId="32" xfId="0" applyFill="1" applyBorder="1" applyAlignment="1">
      <alignment horizontal="left" vertical="center"/>
    </xf>
    <xf numFmtId="0" fontId="0" fillId="5" borderId="35" xfId="0" applyFill="1" applyBorder="1" applyAlignment="1">
      <alignment horizontal="left" vertical="center"/>
    </xf>
    <xf numFmtId="10" fontId="5" fillId="5" borderId="0" xfId="0" applyNumberFormat="1" applyFont="1" applyFill="1" applyAlignment="1">
      <alignment horizontal="center" vertical="center"/>
    </xf>
    <xf numFmtId="0" fontId="5" fillId="5" borderId="0" xfId="0" applyFont="1" applyFill="1" applyAlignment="1">
      <alignment horizontal="center" vertical="center"/>
    </xf>
    <xf numFmtId="0" fontId="5" fillId="5" borderId="0" xfId="0" applyFont="1" applyFill="1" applyAlignment="1">
      <alignment vertical="center"/>
    </xf>
    <xf numFmtId="170" fontId="0" fillId="5" borderId="34" xfId="2" applyNumberFormat="1" applyFont="1" applyFill="1" applyBorder="1" applyAlignment="1">
      <alignment vertical="center"/>
    </xf>
    <xf numFmtId="170" fontId="0" fillId="5" borderId="36" xfId="2" applyNumberFormat="1" applyFont="1" applyFill="1" applyBorder="1" applyAlignment="1">
      <alignment vertical="center"/>
    </xf>
    <xf numFmtId="43" fontId="5" fillId="5" borderId="3" xfId="1" applyFont="1" applyFill="1" applyBorder="1" applyAlignment="1">
      <alignment vertical="center"/>
    </xf>
    <xf numFmtId="43" fontId="5" fillId="5" borderId="19" xfId="1" applyFont="1" applyFill="1" applyBorder="1" applyAlignment="1">
      <alignment vertical="center"/>
    </xf>
    <xf numFmtId="43" fontId="5" fillId="5" borderId="4" xfId="1" applyFont="1" applyFill="1" applyBorder="1" applyAlignment="1">
      <alignment vertical="center"/>
    </xf>
    <xf numFmtId="43" fontId="5" fillId="5" borderId="0" xfId="0" applyNumberFormat="1" applyFont="1" applyFill="1" applyAlignment="1">
      <alignment vertical="center"/>
    </xf>
    <xf numFmtId="0" fontId="0" fillId="0" borderId="43" xfId="0" applyBorder="1" applyAlignment="1">
      <alignment horizontal="center" vertical="center"/>
    </xf>
    <xf numFmtId="0" fontId="0" fillId="0" borderId="32" xfId="0" applyBorder="1" applyAlignment="1">
      <alignment horizontal="center" vertical="center"/>
    </xf>
    <xf numFmtId="0" fontId="0" fillId="0" borderId="42"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169" fontId="5" fillId="5" borderId="0" xfId="0" applyNumberFormat="1" applyFont="1" applyFill="1" applyAlignment="1">
      <alignment horizontal="center" vertical="center"/>
    </xf>
    <xf numFmtId="43" fontId="11" fillId="5" borderId="0" xfId="0" applyNumberFormat="1" applyFont="1" applyFill="1" applyAlignment="1">
      <alignment vertical="center"/>
    </xf>
    <xf numFmtId="169" fontId="0" fillId="5" borderId="0" xfId="0" applyNumberFormat="1" applyFill="1" applyAlignment="1">
      <alignment horizontal="center" vertical="center"/>
    </xf>
    <xf numFmtId="43" fontId="5" fillId="5" borderId="40" xfId="1" applyFont="1" applyFill="1" applyBorder="1" applyAlignment="1">
      <alignment vertical="center"/>
    </xf>
    <xf numFmtId="43" fontId="5" fillId="5" borderId="12" xfId="1" applyFont="1" applyFill="1" applyBorder="1" applyAlignment="1">
      <alignment vertical="center"/>
    </xf>
    <xf numFmtId="43" fontId="5" fillId="5" borderId="51" xfId="1" applyFont="1" applyFill="1" applyBorder="1" applyAlignment="1">
      <alignment vertical="center"/>
    </xf>
    <xf numFmtId="43" fontId="5" fillId="5" borderId="40" xfId="0" applyNumberFormat="1" applyFont="1" applyFill="1" applyBorder="1" applyAlignment="1">
      <alignment vertical="center"/>
    </xf>
    <xf numFmtId="43" fontId="5" fillId="5" borderId="12" xfId="0" applyNumberFormat="1" applyFont="1" applyFill="1" applyBorder="1" applyAlignment="1">
      <alignment vertical="center"/>
    </xf>
    <xf numFmtId="43" fontId="5" fillId="5" borderId="41" xfId="1" applyFont="1" applyFill="1" applyBorder="1" applyAlignment="1">
      <alignment vertical="center"/>
    </xf>
    <xf numFmtId="43" fontId="5" fillId="5" borderId="15" xfId="1" applyFont="1" applyFill="1" applyBorder="1" applyAlignment="1">
      <alignment vertical="center"/>
    </xf>
    <xf numFmtId="43" fontId="5" fillId="5" borderId="52" xfId="1" applyFont="1" applyFill="1" applyBorder="1" applyAlignment="1">
      <alignment vertical="center"/>
    </xf>
    <xf numFmtId="43" fontId="5" fillId="5" borderId="39" xfId="1" applyFont="1" applyFill="1" applyBorder="1" applyAlignment="1">
      <alignment vertical="center"/>
    </xf>
    <xf numFmtId="43" fontId="5" fillId="5" borderId="9" xfId="1" applyFont="1" applyFill="1" applyBorder="1" applyAlignment="1">
      <alignment vertical="center"/>
    </xf>
    <xf numFmtId="43" fontId="5" fillId="5" borderId="53" xfId="1" applyFont="1" applyFill="1" applyBorder="1" applyAlignment="1">
      <alignment vertical="center"/>
    </xf>
    <xf numFmtId="10" fontId="5" fillId="5" borderId="39" xfId="2" applyNumberFormat="1" applyFont="1" applyFill="1" applyBorder="1" applyAlignment="1">
      <alignment horizontal="center" vertical="center"/>
    </xf>
    <xf numFmtId="10" fontId="5" fillId="5" borderId="9" xfId="2" applyNumberFormat="1" applyFont="1" applyFill="1" applyBorder="1" applyAlignment="1">
      <alignment horizontal="center" vertical="center"/>
    </xf>
    <xf numFmtId="10" fontId="5" fillId="5" borderId="53" xfId="2" applyNumberFormat="1" applyFont="1" applyFill="1" applyBorder="1" applyAlignment="1">
      <alignment horizontal="center" vertical="center"/>
    </xf>
    <xf numFmtId="43" fontId="5" fillId="5" borderId="8" xfId="1" applyFont="1" applyFill="1" applyBorder="1" applyAlignment="1">
      <alignment vertical="center"/>
    </xf>
    <xf numFmtId="43" fontId="5" fillId="5" borderId="10" xfId="1" applyFont="1" applyFill="1" applyBorder="1" applyAlignment="1">
      <alignment vertical="center"/>
    </xf>
    <xf numFmtId="43" fontId="5" fillId="5" borderId="11" xfId="1" applyFont="1" applyFill="1" applyBorder="1" applyAlignment="1">
      <alignment vertical="center"/>
    </xf>
    <xf numFmtId="43" fontId="5" fillId="5" borderId="13" xfId="1" applyFont="1" applyFill="1" applyBorder="1" applyAlignment="1">
      <alignment vertical="center"/>
    </xf>
    <xf numFmtId="43" fontId="5" fillId="5" borderId="14" xfId="1" applyFont="1" applyFill="1" applyBorder="1" applyAlignment="1">
      <alignment vertical="center"/>
    </xf>
    <xf numFmtId="43" fontId="5" fillId="5" borderId="16" xfId="1" applyFont="1" applyFill="1" applyBorder="1" applyAlignment="1">
      <alignment vertical="center"/>
    </xf>
    <xf numFmtId="0" fontId="5" fillId="0" borderId="2" xfId="0" applyFont="1" applyBorder="1" applyAlignment="1">
      <alignment horizontal="left" vertical="center"/>
    </xf>
    <xf numFmtId="0" fontId="4" fillId="4" borderId="0" xfId="1" applyNumberFormat="1" applyFill="1" applyAlignment="1">
      <alignment horizontal="center" vertical="center"/>
    </xf>
    <xf numFmtId="0" fontId="14" fillId="4" borderId="0" xfId="1" applyNumberFormat="1" applyFont="1" applyFill="1" applyAlignment="1">
      <alignment horizontal="justify" vertical="center" wrapText="1"/>
    </xf>
    <xf numFmtId="43" fontId="4" fillId="4" borderId="0" xfId="1" applyFill="1" applyAlignment="1">
      <alignment horizontal="center" vertical="center"/>
    </xf>
    <xf numFmtId="0" fontId="0" fillId="5" borderId="2" xfId="0" applyFill="1" applyBorder="1" applyAlignment="1">
      <alignment horizontal="center" vertical="center"/>
    </xf>
    <xf numFmtId="14" fontId="0" fillId="5" borderId="43" xfId="0" applyNumberFormat="1" applyFill="1" applyBorder="1" applyAlignment="1">
      <alignment horizontal="center" vertical="center"/>
    </xf>
    <xf numFmtId="14" fontId="0" fillId="5" borderId="43" xfId="0" applyNumberFormat="1" applyFill="1" applyBorder="1" applyAlignment="1">
      <alignment vertical="center"/>
    </xf>
    <xf numFmtId="0" fontId="0" fillId="5" borderId="32" xfId="0" applyFill="1" applyBorder="1" applyAlignment="1">
      <alignment vertical="center"/>
    </xf>
    <xf numFmtId="43" fontId="0" fillId="5" borderId="2" xfId="1" applyFont="1" applyFill="1" applyBorder="1" applyAlignment="1">
      <alignment vertical="center"/>
    </xf>
    <xf numFmtId="43" fontId="0" fillId="5" borderId="0" xfId="1" applyFont="1" applyFill="1" applyAlignment="1">
      <alignment horizontal="left" vertical="center"/>
    </xf>
    <xf numFmtId="0" fontId="0" fillId="5" borderId="33" xfId="0" applyFill="1" applyBorder="1" applyAlignment="1">
      <alignment horizontal="center" vertical="center"/>
    </xf>
    <xf numFmtId="43" fontId="0" fillId="5" borderId="0" xfId="1" applyFont="1" applyFill="1" applyAlignment="1">
      <alignment horizontal="center" vertical="center"/>
    </xf>
    <xf numFmtId="164" fontId="0" fillId="5" borderId="0" xfId="2" applyNumberFormat="1" applyFont="1" applyFill="1" applyAlignment="1">
      <alignment horizontal="center" vertical="center"/>
    </xf>
    <xf numFmtId="10" fontId="0" fillId="5" borderId="2" xfId="2" applyNumberFormat="1" applyFont="1" applyFill="1" applyBorder="1" applyAlignment="1">
      <alignment horizontal="center" vertical="center"/>
    </xf>
    <xf numFmtId="10" fontId="0" fillId="5" borderId="0" xfId="2" applyNumberFormat="1" applyFont="1" applyFill="1" applyAlignment="1">
      <alignment horizontal="center" vertical="center"/>
    </xf>
    <xf numFmtId="10" fontId="0" fillId="5" borderId="43" xfId="2" applyNumberFormat="1" applyFont="1" applyFill="1" applyBorder="1" applyAlignment="1">
      <alignment horizontal="center" vertical="center"/>
    </xf>
    <xf numFmtId="10" fontId="0" fillId="5" borderId="0" xfId="0" applyNumberFormat="1" applyFill="1" applyAlignment="1">
      <alignment horizontal="center" vertical="center"/>
    </xf>
    <xf numFmtId="0" fontId="0" fillId="5" borderId="43" xfId="0" applyFill="1" applyBorder="1" applyAlignment="1">
      <alignment vertical="center"/>
    </xf>
    <xf numFmtId="0" fontId="12" fillId="5" borderId="0" xfId="0" applyFont="1" applyFill="1" applyAlignment="1">
      <alignment vertical="center"/>
    </xf>
    <xf numFmtId="0" fontId="0" fillId="5" borderId="0" xfId="0" applyFill="1"/>
    <xf numFmtId="43" fontId="0" fillId="5" borderId="0" xfId="1" applyFont="1" applyFill="1" applyAlignment="1">
      <alignment horizontal="center" vertical="center" wrapText="1"/>
    </xf>
    <xf numFmtId="0" fontId="0" fillId="5" borderId="1" xfId="0" applyFill="1" applyBorder="1" applyAlignment="1">
      <alignment horizontal="center" vertical="center"/>
    </xf>
    <xf numFmtId="0" fontId="10" fillId="5" borderId="8" xfId="0" applyFont="1" applyFill="1" applyBorder="1" applyAlignment="1">
      <alignment vertical="center"/>
    </xf>
    <xf numFmtId="43" fontId="4" fillId="5" borderId="0" xfId="1" applyFill="1" applyAlignment="1">
      <alignment vertical="center"/>
    </xf>
    <xf numFmtId="10" fontId="4" fillId="5" borderId="0" xfId="2" applyNumberFormat="1" applyFill="1" applyAlignment="1">
      <alignment horizontal="right" vertical="center"/>
    </xf>
    <xf numFmtId="0" fontId="0" fillId="5" borderId="11" xfId="0" applyFill="1" applyBorder="1" applyAlignment="1">
      <alignment vertical="center"/>
    </xf>
    <xf numFmtId="164" fontId="5" fillId="5" borderId="12" xfId="1" applyNumberFormat="1" applyFont="1" applyFill="1" applyBorder="1" applyAlignment="1">
      <alignment vertical="center"/>
    </xf>
    <xf numFmtId="164" fontId="5" fillId="5" borderId="13" xfId="2" applyNumberFormat="1" applyFont="1" applyFill="1" applyBorder="1" applyAlignment="1">
      <alignment horizontal="right" vertical="center"/>
    </xf>
    <xf numFmtId="10" fontId="0" fillId="5" borderId="0" xfId="2" applyNumberFormat="1" applyFont="1" applyFill="1" applyAlignment="1">
      <alignment horizontal="right" vertical="center"/>
    </xf>
    <xf numFmtId="0" fontId="10" fillId="5" borderId="11" xfId="0" applyFont="1" applyFill="1" applyBorder="1" applyAlignment="1">
      <alignment vertical="center"/>
    </xf>
    <xf numFmtId="43" fontId="5" fillId="5" borderId="0" xfId="1" applyFont="1" applyFill="1" applyAlignment="1">
      <alignment horizontal="center" vertical="center" wrapText="1"/>
    </xf>
    <xf numFmtId="43" fontId="10" fillId="5" borderId="0" xfId="1" applyFont="1" applyFill="1" applyAlignment="1">
      <alignment horizontal="center" vertical="center" wrapText="1"/>
    </xf>
    <xf numFmtId="10" fontId="0" fillId="5" borderId="0" xfId="2" applyNumberFormat="1" applyFont="1" applyFill="1" applyAlignment="1">
      <alignment vertical="center"/>
    </xf>
    <xf numFmtId="0" fontId="10" fillId="5" borderId="17" xfId="0" applyFont="1" applyFill="1" applyBorder="1" applyAlignment="1">
      <alignment vertical="center"/>
    </xf>
    <xf numFmtId="43" fontId="0" fillId="5" borderId="0" xfId="0" applyNumberFormat="1" applyFill="1" applyAlignment="1">
      <alignment vertical="center"/>
    </xf>
    <xf numFmtId="0" fontId="0" fillId="5" borderId="17" xfId="0" applyFill="1" applyBorder="1" applyAlignment="1">
      <alignment vertical="center"/>
    </xf>
    <xf numFmtId="164" fontId="5" fillId="5" borderId="18" xfId="2" applyNumberFormat="1" applyFont="1" applyFill="1" applyBorder="1" applyAlignment="1">
      <alignment horizontal="right" vertical="center"/>
    </xf>
    <xf numFmtId="0" fontId="10" fillId="5" borderId="14" xfId="0" applyFont="1" applyFill="1" applyBorder="1" applyAlignment="1">
      <alignment vertical="center"/>
    </xf>
    <xf numFmtId="164" fontId="0" fillId="5" borderId="0" xfId="2" applyNumberFormat="1" applyFont="1" applyFill="1" applyAlignment="1">
      <alignment horizontal="right" vertical="center"/>
    </xf>
    <xf numFmtId="14" fontId="0" fillId="4" borderId="2" xfId="0" applyNumberFormat="1" applyFill="1" applyBorder="1" applyAlignment="1">
      <alignment horizontal="center" vertical="center"/>
    </xf>
    <xf numFmtId="164" fontId="0" fillId="4" borderId="2" xfId="2" applyNumberFormat="1" applyFont="1" applyFill="1" applyBorder="1" applyAlignment="1">
      <alignment horizontal="center" vertical="center"/>
    </xf>
    <xf numFmtId="10" fontId="0" fillId="4" borderId="2" xfId="2" applyNumberFormat="1" applyFont="1" applyFill="1" applyBorder="1" applyAlignment="1">
      <alignment horizontal="center" vertical="center"/>
    </xf>
    <xf numFmtId="10" fontId="0" fillId="4" borderId="5" xfId="2" applyNumberFormat="1" applyFont="1" applyFill="1" applyBorder="1" applyAlignment="1">
      <alignment horizontal="center" vertical="center"/>
    </xf>
    <xf numFmtId="0" fontId="0" fillId="4" borderId="2" xfId="0" applyFill="1" applyBorder="1" applyAlignment="1">
      <alignment horizontal="center" vertical="center"/>
    </xf>
    <xf numFmtId="165" fontId="0" fillId="4" borderId="2" xfId="1" applyNumberFormat="1" applyFont="1" applyFill="1" applyBorder="1" applyAlignment="1">
      <alignment vertical="center"/>
    </xf>
    <xf numFmtId="14" fontId="0" fillId="4" borderId="2" xfId="1" applyNumberFormat="1" applyFont="1" applyFill="1" applyBorder="1" applyAlignment="1">
      <alignment horizontal="center" vertical="center"/>
    </xf>
    <xf numFmtId="43" fontId="0" fillId="4" borderId="2" xfId="1" applyFont="1" applyFill="1" applyBorder="1" applyAlignment="1">
      <alignment horizontal="center" vertical="center"/>
    </xf>
    <xf numFmtId="10" fontId="0" fillId="4" borderId="2" xfId="2" applyNumberFormat="1" applyFont="1" applyFill="1" applyBorder="1" applyAlignment="1">
      <alignment horizontal="center" vertical="center" wrapText="1"/>
    </xf>
    <xf numFmtId="0" fontId="0" fillId="4" borderId="0" xfId="0" applyFill="1" applyAlignment="1">
      <alignment vertical="center"/>
    </xf>
    <xf numFmtId="0" fontId="0" fillId="4" borderId="6" xfId="0" applyFill="1" applyBorder="1" applyAlignment="1">
      <alignment vertical="center"/>
    </xf>
    <xf numFmtId="0" fontId="0" fillId="4" borderId="0" xfId="0" applyFill="1" applyAlignment="1">
      <alignment horizontal="center" vertical="center"/>
    </xf>
    <xf numFmtId="9" fontId="0" fillId="4" borderId="2" xfId="0" applyNumberFormat="1" applyFill="1" applyBorder="1" applyAlignment="1">
      <alignment horizontal="center" vertical="center"/>
    </xf>
    <xf numFmtId="0" fontId="0" fillId="4" borderId="0" xfId="0" applyFill="1" applyAlignment="1">
      <alignment horizontal="center" vertical="center" wrapText="1"/>
    </xf>
    <xf numFmtId="0" fontId="10" fillId="5" borderId="0" xfId="0" applyFont="1" applyFill="1" applyAlignment="1">
      <alignment horizontal="center" vertical="center"/>
    </xf>
    <xf numFmtId="0" fontId="0" fillId="5" borderId="4" xfId="0" applyFill="1" applyBorder="1" applyAlignment="1">
      <alignment horizontal="center" vertical="center"/>
    </xf>
    <xf numFmtId="43" fontId="18" fillId="11" borderId="0" xfId="1" applyFont="1" applyFill="1" applyAlignment="1">
      <alignment horizontal="center" vertical="center"/>
    </xf>
    <xf numFmtId="9" fontId="18" fillId="11" borderId="0" xfId="2" applyFont="1" applyFill="1" applyAlignment="1">
      <alignment horizontal="center" vertical="center"/>
    </xf>
    <xf numFmtId="0" fontId="18" fillId="11" borderId="3" xfId="1" applyNumberFormat="1" applyFont="1" applyFill="1" applyBorder="1" applyAlignment="1">
      <alignment horizontal="center" vertical="center"/>
    </xf>
    <xf numFmtId="43" fontId="18" fillId="11" borderId="19" xfId="1" applyFont="1" applyFill="1" applyBorder="1" applyAlignment="1">
      <alignment horizontal="center" vertical="center"/>
    </xf>
    <xf numFmtId="43" fontId="18" fillId="11" borderId="4" xfId="1" applyFont="1" applyFill="1" applyBorder="1" applyAlignment="1">
      <alignment horizontal="center" vertical="center"/>
    </xf>
    <xf numFmtId="43" fontId="18" fillId="11" borderId="3" xfId="1" applyFont="1" applyFill="1" applyBorder="1" applyAlignment="1">
      <alignment horizontal="center" vertical="center"/>
    </xf>
    <xf numFmtId="10" fontId="18" fillId="11" borderId="0" xfId="2" applyNumberFormat="1" applyFont="1" applyFill="1" applyAlignment="1">
      <alignment horizontal="right" vertical="center"/>
    </xf>
    <xf numFmtId="43" fontId="18" fillId="11" borderId="0" xfId="1" applyFont="1" applyFill="1" applyAlignment="1">
      <alignment horizontal="center" vertical="center" wrapText="1"/>
    </xf>
    <xf numFmtId="0" fontId="18" fillId="11" borderId="0" xfId="1" applyNumberFormat="1" applyFont="1" applyFill="1" applyAlignment="1">
      <alignment horizontal="center" vertical="center"/>
    </xf>
    <xf numFmtId="43" fontId="5" fillId="12" borderId="0" xfId="1" applyFont="1" applyFill="1" applyAlignment="1">
      <alignment horizontal="center" vertical="center"/>
    </xf>
    <xf numFmtId="9" fontId="5" fillId="12" borderId="0" xfId="2" applyFont="1" applyFill="1" applyAlignment="1">
      <alignment horizontal="center" vertical="center"/>
    </xf>
    <xf numFmtId="0" fontId="4" fillId="12" borderId="3" xfId="1" applyNumberFormat="1" applyFill="1" applyBorder="1" applyAlignment="1">
      <alignment horizontal="center" vertical="center"/>
    </xf>
    <xf numFmtId="43" fontId="4" fillId="12" borderId="19" xfId="1" applyFill="1" applyBorder="1" applyAlignment="1">
      <alignment horizontal="center" vertical="center"/>
    </xf>
    <xf numFmtId="43" fontId="4" fillId="12" borderId="4" xfId="1" applyFill="1" applyBorder="1" applyAlignment="1">
      <alignment horizontal="center" vertical="center"/>
    </xf>
    <xf numFmtId="43" fontId="4" fillId="12" borderId="3" xfId="1" applyFill="1" applyBorder="1" applyAlignment="1">
      <alignment horizontal="center" vertical="center"/>
    </xf>
    <xf numFmtId="10" fontId="5" fillId="12" borderId="0" xfId="2" applyNumberFormat="1" applyFont="1" applyFill="1" applyAlignment="1">
      <alignment horizontal="right" vertical="center"/>
    </xf>
    <xf numFmtId="43" fontId="5" fillId="12" borderId="0" xfId="1" applyFont="1" applyFill="1" applyAlignment="1">
      <alignment horizontal="center" vertical="center" wrapText="1"/>
    </xf>
    <xf numFmtId="0" fontId="5" fillId="12" borderId="0" xfId="1" applyNumberFormat="1" applyFont="1" applyFill="1" applyAlignment="1">
      <alignment horizontal="center" vertical="center"/>
    </xf>
    <xf numFmtId="43" fontId="5" fillId="13" borderId="0" xfId="1" applyFont="1" applyFill="1" applyAlignment="1">
      <alignment horizontal="center" vertical="center"/>
    </xf>
    <xf numFmtId="9" fontId="5" fillId="13" borderId="0" xfId="2" applyFont="1" applyFill="1" applyAlignment="1">
      <alignment horizontal="center" vertical="center"/>
    </xf>
    <xf numFmtId="0" fontId="4" fillId="13" borderId="3" xfId="1" applyNumberFormat="1" applyFill="1" applyBorder="1" applyAlignment="1">
      <alignment horizontal="center" vertical="center"/>
    </xf>
    <xf numFmtId="43" fontId="4" fillId="13" borderId="19" xfId="1" applyFill="1" applyBorder="1" applyAlignment="1">
      <alignment horizontal="center" vertical="center"/>
    </xf>
    <xf numFmtId="43" fontId="4" fillId="13" borderId="4" xfId="1" applyFill="1" applyBorder="1" applyAlignment="1">
      <alignment horizontal="center" vertical="center"/>
    </xf>
    <xf numFmtId="43" fontId="4" fillId="13" borderId="3" xfId="1" applyFill="1" applyBorder="1" applyAlignment="1">
      <alignment horizontal="center" vertical="center"/>
    </xf>
    <xf numFmtId="10" fontId="5" fillId="13" borderId="0" xfId="2" applyNumberFormat="1" applyFont="1" applyFill="1" applyAlignment="1">
      <alignment horizontal="right" vertical="center"/>
    </xf>
    <xf numFmtId="43" fontId="5" fillId="13" borderId="0" xfId="1" applyFont="1" applyFill="1" applyAlignment="1">
      <alignment horizontal="center" vertical="center" wrapText="1"/>
    </xf>
    <xf numFmtId="0" fontId="5" fillId="13" borderId="0" xfId="1" applyNumberFormat="1" applyFont="1" applyFill="1" applyAlignment="1">
      <alignment horizontal="center" vertical="center"/>
    </xf>
    <xf numFmtId="0" fontId="18" fillId="11" borderId="0" xfId="2" applyNumberFormat="1" applyFont="1" applyFill="1" applyAlignment="1">
      <alignment horizontal="center" vertical="center"/>
    </xf>
    <xf numFmtId="0" fontId="5" fillId="12" borderId="0" xfId="2" applyNumberFormat="1" applyFont="1" applyFill="1" applyAlignment="1">
      <alignment horizontal="center" vertical="center"/>
    </xf>
    <xf numFmtId="0" fontId="11" fillId="2" borderId="0" xfId="2" applyNumberFormat="1" applyFont="1" applyFill="1" applyAlignment="1">
      <alignment horizontal="center" vertical="center"/>
    </xf>
    <xf numFmtId="0" fontId="7" fillId="2" borderId="0" xfId="2" applyNumberFormat="1" applyFont="1" applyFill="1" applyAlignment="1">
      <alignment horizontal="center" vertical="center"/>
    </xf>
    <xf numFmtId="0" fontId="7" fillId="2" borderId="0" xfId="2" applyNumberFormat="1" applyFont="1" applyFill="1" applyAlignment="1">
      <alignment horizontal="center" vertical="center" wrapText="1"/>
    </xf>
    <xf numFmtId="0" fontId="19" fillId="11" borderId="0" xfId="2" applyNumberFormat="1" applyFont="1" applyFill="1" applyAlignment="1">
      <alignment horizontal="center" vertical="center"/>
    </xf>
    <xf numFmtId="0" fontId="7" fillId="12" borderId="0" xfId="2" applyNumberFormat="1" applyFont="1" applyFill="1" applyAlignment="1">
      <alignment horizontal="center" vertical="center"/>
    </xf>
    <xf numFmtId="0" fontId="20" fillId="2" borderId="0" xfId="2" applyNumberFormat="1" applyFont="1" applyFill="1" applyAlignment="1">
      <alignment horizontal="center" vertical="center"/>
    </xf>
    <xf numFmtId="0" fontId="0" fillId="5" borderId="37" xfId="0" applyFill="1" applyBorder="1" applyAlignment="1">
      <alignment horizontal="center" vertical="center"/>
    </xf>
    <xf numFmtId="0" fontId="0" fillId="5" borderId="54" xfId="0" applyFill="1" applyBorder="1" applyAlignment="1">
      <alignment horizontal="center" vertical="center"/>
    </xf>
    <xf numFmtId="0" fontId="0" fillId="5" borderId="38" xfId="0" applyFill="1" applyBorder="1" applyAlignment="1">
      <alignment horizontal="center" vertical="center"/>
    </xf>
    <xf numFmtId="0" fontId="0" fillId="5" borderId="44" xfId="0" applyFill="1" applyBorder="1" applyAlignment="1">
      <alignment vertical="center"/>
    </xf>
    <xf numFmtId="43" fontId="0" fillId="5" borderId="20" xfId="1" applyFont="1" applyFill="1" applyBorder="1" applyAlignment="1">
      <alignment vertical="center"/>
    </xf>
    <xf numFmtId="43" fontId="0" fillId="5" borderId="21" xfId="1" applyFont="1" applyFill="1" applyBorder="1" applyAlignment="1">
      <alignment vertical="center"/>
    </xf>
    <xf numFmtId="43" fontId="0" fillId="5" borderId="22" xfId="1" applyFont="1" applyFill="1" applyBorder="1" applyAlignment="1">
      <alignment vertical="center"/>
    </xf>
    <xf numFmtId="0" fontId="0" fillId="5" borderId="45" xfId="0" applyFill="1" applyBorder="1" applyAlignment="1">
      <alignment vertical="center"/>
    </xf>
    <xf numFmtId="43" fontId="0" fillId="5" borderId="23" xfId="1" applyFont="1" applyFill="1" applyBorder="1" applyAlignment="1">
      <alignment vertical="center"/>
    </xf>
    <xf numFmtId="43" fontId="0" fillId="5" borderId="24" xfId="1" applyFont="1" applyFill="1" applyBorder="1" applyAlignment="1">
      <alignment vertical="center"/>
    </xf>
    <xf numFmtId="43" fontId="0" fillId="5" borderId="25" xfId="1" applyFont="1" applyFill="1" applyBorder="1" applyAlignment="1">
      <alignment vertical="center"/>
    </xf>
    <xf numFmtId="0" fontId="0" fillId="5" borderId="46" xfId="0" applyFill="1" applyBorder="1" applyAlignment="1">
      <alignment vertical="center"/>
    </xf>
    <xf numFmtId="43" fontId="0" fillId="5" borderId="26" xfId="1" applyFont="1" applyFill="1" applyBorder="1" applyAlignment="1">
      <alignment vertical="center"/>
    </xf>
    <xf numFmtId="43" fontId="0" fillId="5" borderId="27" xfId="1" applyFont="1" applyFill="1" applyBorder="1" applyAlignment="1">
      <alignment vertical="center"/>
    </xf>
    <xf numFmtId="43" fontId="0" fillId="5" borderId="28" xfId="1" applyFont="1" applyFill="1" applyBorder="1" applyAlignment="1">
      <alignment vertical="center"/>
    </xf>
    <xf numFmtId="0" fontId="0" fillId="4" borderId="44" xfId="0" applyFill="1" applyBorder="1" applyAlignment="1">
      <alignment vertical="center"/>
    </xf>
    <xf numFmtId="0" fontId="0" fillId="4" borderId="45" xfId="0" applyFill="1" applyBorder="1" applyAlignment="1">
      <alignment vertical="center"/>
    </xf>
    <xf numFmtId="0" fontId="0" fillId="4" borderId="37" xfId="0" applyFill="1" applyBorder="1" applyAlignment="1">
      <alignment horizontal="center" vertical="center"/>
    </xf>
    <xf numFmtId="0" fontId="0" fillId="4" borderId="54" xfId="0" applyFill="1" applyBorder="1" applyAlignment="1">
      <alignment horizontal="center" vertical="center"/>
    </xf>
    <xf numFmtId="0" fontId="0" fillId="4" borderId="38" xfId="0" applyFill="1" applyBorder="1" applyAlignment="1">
      <alignment horizontal="center" vertical="center"/>
    </xf>
    <xf numFmtId="43" fontId="10" fillId="5" borderId="0" xfId="0" applyNumberFormat="1" applyFont="1" applyFill="1" applyAlignment="1">
      <alignment vertical="center"/>
    </xf>
    <xf numFmtId="43" fontId="0" fillId="5" borderId="43" xfId="0" applyNumberFormat="1" applyFill="1" applyBorder="1" applyAlignment="1">
      <alignment vertical="center"/>
    </xf>
    <xf numFmtId="0" fontId="21" fillId="5" borderId="0" xfId="0" applyFont="1" applyFill="1" applyAlignment="1">
      <alignment horizontal="center" vertical="center"/>
    </xf>
    <xf numFmtId="43" fontId="21" fillId="5" borderId="0" xfId="0" applyNumberFormat="1" applyFont="1" applyFill="1" applyAlignment="1">
      <alignment horizontal="center" vertical="center"/>
    </xf>
    <xf numFmtId="0" fontId="12" fillId="5" borderId="0" xfId="0" applyFont="1" applyFill="1" applyAlignment="1">
      <alignment vertical="center" wrapText="1"/>
    </xf>
    <xf numFmtId="43" fontId="10" fillId="5" borderId="43" xfId="1" applyFont="1" applyFill="1" applyBorder="1" applyAlignment="1">
      <alignment vertical="center"/>
    </xf>
    <xf numFmtId="10" fontId="10" fillId="5" borderId="43" xfId="0" applyNumberFormat="1" applyFont="1" applyFill="1" applyBorder="1" applyAlignment="1">
      <alignment horizontal="center" vertical="center"/>
    </xf>
    <xf numFmtId="43" fontId="22" fillId="5" borderId="0" xfId="1" applyFont="1" applyFill="1" applyAlignment="1">
      <alignment vertical="center"/>
    </xf>
    <xf numFmtId="43" fontId="22" fillId="5" borderId="0" xfId="0" applyNumberFormat="1" applyFont="1" applyFill="1" applyAlignment="1">
      <alignment vertical="center"/>
    </xf>
    <xf numFmtId="0" fontId="0" fillId="4" borderId="2" xfId="1" applyNumberFormat="1" applyFont="1" applyFill="1" applyBorder="1" applyAlignment="1">
      <alignment horizontal="center" vertical="center"/>
    </xf>
    <xf numFmtId="9" fontId="7" fillId="2" borderId="0" xfId="2" applyFont="1" applyFill="1" applyAlignment="1">
      <alignment horizontal="center" vertical="center"/>
    </xf>
    <xf numFmtId="9" fontId="7" fillId="11" borderId="0" xfId="2" applyFont="1" applyFill="1" applyAlignment="1">
      <alignment horizontal="center" vertical="center"/>
    </xf>
    <xf numFmtId="9" fontId="7" fillId="12" borderId="0" xfId="2" applyFont="1" applyFill="1" applyAlignment="1">
      <alignment horizontal="center" vertical="center"/>
    </xf>
    <xf numFmtId="9" fontId="7" fillId="13" borderId="0" xfId="2" applyFont="1" applyFill="1" applyAlignment="1">
      <alignment horizontal="center" vertical="center"/>
    </xf>
    <xf numFmtId="9" fontId="7" fillId="8" borderId="0" xfId="2" applyFont="1" applyFill="1" applyAlignment="1">
      <alignment horizontal="center" vertical="center"/>
    </xf>
    <xf numFmtId="43" fontId="18" fillId="7" borderId="0" xfId="1" applyFont="1" applyFill="1" applyAlignment="1">
      <alignment horizontal="center" vertical="center"/>
    </xf>
    <xf numFmtId="9" fontId="18" fillId="7" borderId="0" xfId="2" applyFont="1" applyFill="1" applyAlignment="1">
      <alignment horizontal="center" vertical="center"/>
    </xf>
    <xf numFmtId="9" fontId="23" fillId="7" borderId="0" xfId="2" applyFont="1" applyFill="1" applyAlignment="1">
      <alignment horizontal="center" vertical="center"/>
    </xf>
    <xf numFmtId="0" fontId="5" fillId="7" borderId="0" xfId="2" applyNumberFormat="1" applyFont="1" applyFill="1" applyAlignment="1">
      <alignment horizontal="center" vertical="center"/>
    </xf>
    <xf numFmtId="0" fontId="7" fillId="7" borderId="0" xfId="2" applyNumberFormat="1" applyFont="1" applyFill="1" applyAlignment="1">
      <alignment horizontal="center" vertical="center"/>
    </xf>
    <xf numFmtId="0" fontId="19" fillId="7" borderId="19" xfId="1" applyNumberFormat="1" applyFont="1" applyFill="1" applyBorder="1" applyAlignment="1">
      <alignment horizontal="justify" vertical="center" wrapText="1"/>
    </xf>
    <xf numFmtId="0" fontId="18" fillId="7" borderId="4" xfId="1" applyNumberFormat="1" applyFont="1" applyFill="1" applyBorder="1" applyAlignment="1">
      <alignment horizontal="center" vertical="center"/>
    </xf>
    <xf numFmtId="0" fontId="18" fillId="7" borderId="3" xfId="1" applyNumberFormat="1" applyFont="1" applyFill="1" applyBorder="1" applyAlignment="1">
      <alignment horizontal="center" vertical="center"/>
    </xf>
    <xf numFmtId="43" fontId="18" fillId="7" borderId="19" xfId="1" applyFont="1" applyFill="1" applyBorder="1" applyAlignment="1">
      <alignment horizontal="center" vertical="center"/>
    </xf>
    <xf numFmtId="43" fontId="18" fillId="7" borderId="4" xfId="1" applyFont="1" applyFill="1" applyBorder="1" applyAlignment="1">
      <alignment horizontal="center" vertical="center"/>
    </xf>
    <xf numFmtId="43" fontId="18" fillId="7" borderId="3" xfId="1" applyFont="1" applyFill="1" applyBorder="1" applyAlignment="1">
      <alignment horizontal="center" vertical="center"/>
    </xf>
    <xf numFmtId="10" fontId="18" fillId="7" borderId="0" xfId="2" applyNumberFormat="1" applyFont="1" applyFill="1" applyAlignment="1">
      <alignment horizontal="right" vertical="center"/>
    </xf>
    <xf numFmtId="43" fontId="18" fillId="7" borderId="0" xfId="1" applyFont="1" applyFill="1" applyAlignment="1">
      <alignment horizontal="center" vertical="center" wrapText="1"/>
    </xf>
    <xf numFmtId="0" fontId="18" fillId="7" borderId="0" xfId="1" applyNumberFormat="1" applyFont="1" applyFill="1" applyAlignment="1">
      <alignment horizontal="center" vertical="center"/>
    </xf>
    <xf numFmtId="43" fontId="5" fillId="2" borderId="55" xfId="1" applyFont="1" applyFill="1" applyBorder="1" applyAlignment="1">
      <alignment horizontal="center" vertical="center"/>
    </xf>
    <xf numFmtId="9" fontId="5" fillId="2" borderId="55" xfId="2" applyFont="1" applyFill="1" applyBorder="1" applyAlignment="1">
      <alignment horizontal="center" vertical="center"/>
    </xf>
    <xf numFmtId="9" fontId="23" fillId="2" borderId="55" xfId="2" applyFont="1" applyFill="1" applyBorder="1" applyAlignment="1">
      <alignment horizontal="center" vertical="center"/>
    </xf>
    <xf numFmtId="0" fontId="5" fillId="2" borderId="55" xfId="2" applyNumberFormat="1" applyFont="1" applyFill="1" applyBorder="1" applyAlignment="1">
      <alignment horizontal="center" vertical="center"/>
    </xf>
    <xf numFmtId="0" fontId="7" fillId="2" borderId="55" xfId="2" applyNumberFormat="1" applyFont="1" applyFill="1" applyBorder="1" applyAlignment="1">
      <alignment horizontal="center" vertical="center"/>
    </xf>
    <xf numFmtId="0" fontId="14" fillId="2" borderId="55" xfId="1" applyNumberFormat="1" applyFont="1" applyFill="1" applyBorder="1" applyAlignment="1">
      <alignment horizontal="justify" vertical="center" wrapText="1"/>
    </xf>
    <xf numFmtId="0" fontId="4" fillId="2" borderId="55" xfId="1" applyNumberFormat="1" applyFill="1" applyBorder="1" applyAlignment="1">
      <alignment horizontal="center" vertical="center"/>
    </xf>
    <xf numFmtId="43" fontId="4" fillId="2" borderId="55" xfId="1" applyFill="1" applyBorder="1" applyAlignment="1">
      <alignment horizontal="center" vertical="center"/>
    </xf>
    <xf numFmtId="43" fontId="5" fillId="2" borderId="55" xfId="1" applyFont="1" applyFill="1" applyBorder="1" applyAlignment="1">
      <alignment horizontal="center" vertical="center" wrapText="1"/>
    </xf>
    <xf numFmtId="49" fontId="24" fillId="4" borderId="3" xfId="1" applyNumberFormat="1" applyFont="1" applyFill="1" applyBorder="1" applyAlignment="1">
      <alignment horizontal="center" vertical="center"/>
    </xf>
    <xf numFmtId="49" fontId="24" fillId="8" borderId="3" xfId="1" applyNumberFormat="1" applyFont="1" applyFill="1" applyBorder="1" applyAlignment="1">
      <alignment horizontal="center" vertical="center"/>
    </xf>
    <xf numFmtId="49" fontId="24" fillId="10" borderId="3" xfId="1" applyNumberFormat="1" applyFont="1" applyFill="1" applyBorder="1" applyAlignment="1">
      <alignment horizontal="center" vertical="center"/>
    </xf>
    <xf numFmtId="49" fontId="24" fillId="2" borderId="0" xfId="1" applyNumberFormat="1" applyFont="1" applyFill="1" applyAlignment="1">
      <alignment horizontal="center" vertical="center"/>
    </xf>
    <xf numFmtId="43" fontId="0" fillId="4" borderId="2" xfId="1" applyFont="1" applyFill="1" applyBorder="1" applyAlignment="1">
      <alignment vertical="center"/>
    </xf>
    <xf numFmtId="43" fontId="0" fillId="0" borderId="12" xfId="0" applyNumberFormat="1" applyBorder="1" applyAlignment="1">
      <alignment vertical="center"/>
    </xf>
    <xf numFmtId="0" fontId="14" fillId="4" borderId="13" xfId="0" applyFont="1" applyFill="1" applyBorder="1" applyAlignment="1">
      <alignment horizontal="center" vertical="center"/>
    </xf>
    <xf numFmtId="0" fontId="14" fillId="4" borderId="16" xfId="0" applyFont="1" applyFill="1" applyBorder="1" applyAlignment="1">
      <alignment horizontal="center" vertical="center"/>
    </xf>
    <xf numFmtId="167" fontId="5" fillId="2" borderId="0" xfId="1" applyNumberFormat="1" applyFont="1" applyFill="1" applyAlignment="1">
      <alignment horizontal="center" vertical="center"/>
    </xf>
    <xf numFmtId="0" fontId="0" fillId="9" borderId="2" xfId="0" applyFill="1" applyBorder="1" applyAlignment="1">
      <alignment horizontal="center" vertical="center" wrapText="1"/>
    </xf>
    <xf numFmtId="0" fontId="0" fillId="4" borderId="7" xfId="0" applyFill="1" applyBorder="1" applyAlignment="1">
      <alignment vertical="center"/>
    </xf>
    <xf numFmtId="0" fontId="0" fillId="4" borderId="5" xfId="0" applyFill="1" applyBorder="1" applyAlignment="1">
      <alignment vertical="center"/>
    </xf>
    <xf numFmtId="0" fontId="0" fillId="4" borderId="34" xfId="0" applyFill="1" applyBorder="1" applyAlignment="1">
      <alignment horizontal="right" vertical="center"/>
    </xf>
    <xf numFmtId="43" fontId="0" fillId="4" borderId="42" xfId="1" applyFont="1" applyFill="1" applyBorder="1" applyAlignment="1">
      <alignment horizontal="right" vertical="center"/>
    </xf>
    <xf numFmtId="43" fontId="0" fillId="4" borderId="36" xfId="1" applyFont="1" applyFill="1" applyBorder="1" applyAlignment="1">
      <alignment horizontal="right" vertical="center"/>
    </xf>
    <xf numFmtId="43" fontId="0" fillId="4" borderId="0" xfId="0" applyNumberFormat="1" applyFill="1" applyAlignment="1">
      <alignment vertical="center"/>
    </xf>
    <xf numFmtId="0" fontId="29" fillId="16" borderId="19" xfId="0" applyFont="1" applyFill="1" applyBorder="1" applyAlignment="1">
      <alignment vertical="center"/>
    </xf>
    <xf numFmtId="43" fontId="29" fillId="16" borderId="19" xfId="1" applyFont="1" applyFill="1" applyBorder="1" applyAlignment="1">
      <alignment vertical="center"/>
    </xf>
    <xf numFmtId="0" fontId="29" fillId="16" borderId="19" xfId="0" applyFont="1" applyFill="1" applyBorder="1" applyAlignment="1">
      <alignment horizontal="center" vertical="center"/>
    </xf>
    <xf numFmtId="165" fontId="0" fillId="0" borderId="12" xfId="1" applyNumberFormat="1" applyFont="1" applyBorder="1" applyAlignment="1">
      <alignment vertical="center"/>
    </xf>
    <xf numFmtId="0" fontId="0" fillId="5" borderId="12" xfId="0" applyFill="1" applyBorder="1" applyAlignment="1">
      <alignment horizontal="center" vertical="center"/>
    </xf>
    <xf numFmtId="168" fontId="0" fillId="0" borderId="12" xfId="0" applyNumberFormat="1" applyBorder="1" applyAlignment="1">
      <alignment horizontal="center" vertical="center"/>
    </xf>
    <xf numFmtId="9" fontId="0" fillId="5" borderId="12" xfId="2" applyFont="1" applyFill="1" applyBorder="1" applyAlignment="1">
      <alignment horizontal="center" vertical="center"/>
    </xf>
    <xf numFmtId="167" fontId="0" fillId="0" borderId="12" xfId="1" applyNumberFormat="1" applyFont="1" applyBorder="1" applyAlignment="1">
      <alignment vertical="center"/>
    </xf>
    <xf numFmtId="43" fontId="0" fillId="5" borderId="12" xfId="1" applyFont="1" applyFill="1" applyBorder="1" applyAlignment="1">
      <alignment horizontal="center" vertical="center"/>
    </xf>
    <xf numFmtId="0" fontId="14" fillId="16" borderId="12" xfId="0" applyFont="1" applyFill="1" applyBorder="1" applyAlignment="1">
      <alignment vertical="center"/>
    </xf>
    <xf numFmtId="43" fontId="14" fillId="16" borderId="12" xfId="1" applyFont="1" applyFill="1" applyBorder="1" applyAlignment="1">
      <alignment vertical="center"/>
    </xf>
    <xf numFmtId="0" fontId="14" fillId="16" borderId="12" xfId="0" applyFont="1" applyFill="1" applyBorder="1" applyAlignment="1">
      <alignment horizontal="center" vertical="center"/>
    </xf>
    <xf numFmtId="0" fontId="14" fillId="16" borderId="48" xfId="0" applyFont="1" applyFill="1" applyBorder="1" applyAlignment="1">
      <alignment vertical="center"/>
    </xf>
    <xf numFmtId="43" fontId="14" fillId="16" borderId="48" xfId="1" applyFont="1" applyFill="1" applyBorder="1" applyAlignment="1">
      <alignment vertical="center"/>
    </xf>
    <xf numFmtId="0" fontId="14" fillId="16" borderId="48" xfId="0" applyFont="1" applyFill="1" applyBorder="1" applyAlignment="1">
      <alignment horizontal="center" vertical="center"/>
    </xf>
    <xf numFmtId="0" fontId="30" fillId="16" borderId="19" xfId="0" applyFont="1" applyFill="1" applyBorder="1" applyAlignment="1">
      <alignment vertical="center"/>
    </xf>
    <xf numFmtId="0" fontId="29" fillId="4" borderId="0" xfId="0" applyFont="1" applyFill="1" applyAlignment="1">
      <alignment vertical="center"/>
    </xf>
    <xf numFmtId="0" fontId="14" fillId="4" borderId="0" xfId="0" applyFont="1" applyFill="1" applyAlignment="1">
      <alignment vertical="center"/>
    </xf>
    <xf numFmtId="0" fontId="0" fillId="5" borderId="2" xfId="0" applyFill="1" applyBorder="1" applyAlignment="1">
      <alignment horizontal="center" textRotation="90"/>
    </xf>
    <xf numFmtId="0" fontId="0" fillId="5" borderId="2" xfId="0" applyFill="1" applyBorder="1" applyAlignment="1">
      <alignment vertical="center"/>
    </xf>
    <xf numFmtId="167" fontId="0" fillId="5" borderId="2" xfId="1" applyNumberFormat="1" applyFont="1" applyFill="1" applyBorder="1" applyAlignment="1">
      <alignment horizontal="center" vertical="center" textRotation="90"/>
    </xf>
    <xf numFmtId="43" fontId="31" fillId="2" borderId="0" xfId="1" applyFont="1" applyFill="1" applyAlignment="1">
      <alignment horizontal="center" vertical="center"/>
    </xf>
    <xf numFmtId="164" fontId="31" fillId="2" borderId="0" xfId="2" applyNumberFormat="1" applyFont="1" applyFill="1" applyAlignment="1">
      <alignment horizontal="center" vertical="center"/>
    </xf>
    <xf numFmtId="0" fontId="31" fillId="2" borderId="0" xfId="2" applyNumberFormat="1" applyFont="1" applyFill="1" applyAlignment="1">
      <alignment horizontal="center" vertical="center"/>
    </xf>
    <xf numFmtId="0" fontId="32" fillId="4" borderId="19" xfId="1" applyNumberFormat="1" applyFont="1" applyFill="1" applyBorder="1" applyAlignment="1">
      <alignment horizontal="justify" vertical="center" wrapText="1"/>
    </xf>
    <xf numFmtId="0" fontId="32" fillId="4" borderId="4" xfId="1" applyNumberFormat="1" applyFont="1" applyFill="1" applyBorder="1" applyAlignment="1">
      <alignment horizontal="center" vertical="center"/>
    </xf>
    <xf numFmtId="9" fontId="32" fillId="4" borderId="19" xfId="2" applyFont="1" applyFill="1" applyBorder="1" applyAlignment="1">
      <alignment horizontal="center" vertical="center"/>
    </xf>
    <xf numFmtId="10" fontId="32" fillId="4" borderId="19" xfId="2" applyNumberFormat="1" applyFont="1" applyFill="1" applyBorder="1" applyAlignment="1">
      <alignment horizontal="center" vertical="center"/>
    </xf>
    <xf numFmtId="164" fontId="32" fillId="4" borderId="4" xfId="2" applyNumberFormat="1" applyFont="1" applyFill="1" applyBorder="1" applyAlignment="1">
      <alignment horizontal="center" vertical="center"/>
    </xf>
    <xf numFmtId="164" fontId="32" fillId="5" borderId="19" xfId="2" applyNumberFormat="1" applyFont="1" applyFill="1" applyBorder="1" applyAlignment="1">
      <alignment horizontal="center" vertical="center"/>
    </xf>
    <xf numFmtId="9" fontId="32" fillId="5" borderId="19" xfId="2" applyFont="1" applyFill="1" applyBorder="1" applyAlignment="1">
      <alignment horizontal="center" vertical="center"/>
    </xf>
    <xf numFmtId="10" fontId="32" fillId="5" borderId="4" xfId="2" applyNumberFormat="1" applyFont="1" applyFill="1" applyBorder="1" applyAlignment="1">
      <alignment horizontal="center" vertical="center"/>
    </xf>
    <xf numFmtId="10" fontId="31" fillId="2" borderId="0" xfId="2" applyNumberFormat="1" applyFont="1" applyFill="1" applyAlignment="1">
      <alignment horizontal="center" vertical="center"/>
    </xf>
    <xf numFmtId="43" fontId="31" fillId="2" borderId="0" xfId="1" applyFont="1" applyFill="1" applyAlignment="1">
      <alignment horizontal="center" vertical="center" wrapText="1"/>
    </xf>
    <xf numFmtId="9" fontId="31" fillId="2" borderId="0" xfId="2" applyFont="1" applyFill="1" applyAlignment="1">
      <alignment horizontal="center" vertical="center"/>
    </xf>
    <xf numFmtId="9" fontId="31" fillId="2" borderId="0" xfId="1" applyNumberFormat="1" applyFont="1" applyFill="1" applyAlignment="1">
      <alignment horizontal="center" vertical="center"/>
    </xf>
    <xf numFmtId="167" fontId="31" fillId="2" borderId="0" xfId="1" applyNumberFormat="1" applyFont="1" applyFill="1" applyAlignment="1">
      <alignment horizontal="center" vertical="center"/>
    </xf>
    <xf numFmtId="43" fontId="31" fillId="12" borderId="0" xfId="1" applyFont="1" applyFill="1" applyAlignment="1">
      <alignment horizontal="center" vertical="center"/>
    </xf>
    <xf numFmtId="9" fontId="31" fillId="12" borderId="0" xfId="2" applyFont="1" applyFill="1" applyAlignment="1">
      <alignment horizontal="center" vertical="center"/>
    </xf>
    <xf numFmtId="0" fontId="32" fillId="12" borderId="19" xfId="1" applyNumberFormat="1" applyFont="1" applyFill="1" applyBorder="1" applyAlignment="1">
      <alignment horizontal="justify" vertical="center" wrapText="1"/>
    </xf>
    <xf numFmtId="0" fontId="32" fillId="12" borderId="4" xfId="1" applyNumberFormat="1" applyFont="1" applyFill="1" applyBorder="1" applyAlignment="1">
      <alignment horizontal="center" vertical="center"/>
    </xf>
    <xf numFmtId="0" fontId="32" fillId="12" borderId="3" xfId="1" applyNumberFormat="1" applyFont="1" applyFill="1" applyBorder="1" applyAlignment="1">
      <alignment horizontal="center" vertical="center"/>
    </xf>
    <xf numFmtId="43" fontId="32" fillId="12" borderId="19" xfId="1" applyFont="1" applyFill="1" applyBorder="1" applyAlignment="1">
      <alignment horizontal="center" vertical="center"/>
    </xf>
    <xf numFmtId="43" fontId="32" fillId="12" borderId="4" xfId="1" applyFont="1" applyFill="1" applyBorder="1" applyAlignment="1">
      <alignment horizontal="center" vertical="center"/>
    </xf>
    <xf numFmtId="43" fontId="32" fillId="12" borderId="3" xfId="1" applyFont="1" applyFill="1" applyBorder="1" applyAlignment="1">
      <alignment horizontal="center" vertical="center"/>
    </xf>
    <xf numFmtId="0" fontId="21" fillId="5" borderId="2" xfId="0" applyFont="1" applyFill="1" applyBorder="1" applyAlignment="1">
      <alignment horizontal="center" vertical="center"/>
    </xf>
    <xf numFmtId="43" fontId="5" fillId="2" borderId="1" xfId="1" applyFont="1" applyFill="1" applyBorder="1" applyAlignment="1">
      <alignment horizontal="center" vertical="center"/>
    </xf>
    <xf numFmtId="166" fontId="32" fillId="4" borderId="3" xfId="1" applyNumberFormat="1" applyFont="1" applyFill="1" applyBorder="1" applyAlignment="1">
      <alignment horizontal="center" vertical="center"/>
    </xf>
    <xf numFmtId="0" fontId="0" fillId="5" borderId="2" xfId="0" applyFill="1" applyBorder="1" applyAlignment="1">
      <alignment horizontal="center" textRotation="90" wrapText="1"/>
    </xf>
    <xf numFmtId="0" fontId="0" fillId="0" borderId="2" xfId="0" applyBorder="1" applyAlignment="1">
      <alignment vertical="center"/>
    </xf>
    <xf numFmtId="0" fontId="0" fillId="5" borderId="0" xfId="0" applyFill="1" applyAlignment="1">
      <alignment vertical="center" wrapText="1"/>
    </xf>
    <xf numFmtId="0" fontId="0" fillId="5" borderId="2" xfId="0" applyFill="1" applyBorder="1" applyAlignment="1">
      <alignment horizontal="center" vertical="center" wrapText="1"/>
    </xf>
    <xf numFmtId="0" fontId="14" fillId="5" borderId="0" xfId="0" applyFont="1" applyFill="1" applyAlignment="1">
      <alignment horizontal="center" vertical="center"/>
    </xf>
    <xf numFmtId="0" fontId="0" fillId="5" borderId="7" xfId="0" applyFill="1" applyBorder="1" applyAlignment="1">
      <alignment vertical="center"/>
    </xf>
    <xf numFmtId="168" fontId="0" fillId="5" borderId="0" xfId="0" applyNumberFormat="1" applyFill="1" applyAlignment="1">
      <alignment horizontal="center" vertical="center"/>
    </xf>
    <xf numFmtId="168" fontId="0" fillId="4" borderId="2" xfId="0" applyNumberFormat="1" applyFill="1" applyBorder="1" applyAlignment="1">
      <alignment horizontal="center" vertical="center"/>
    </xf>
    <xf numFmtId="0" fontId="0" fillId="5" borderId="0" xfId="0" applyFill="1" applyAlignment="1">
      <alignment horizontal="center" vertical="top" textRotation="90"/>
    </xf>
    <xf numFmtId="0" fontId="0" fillId="5" borderId="0" xfId="0" applyFill="1" applyAlignment="1">
      <alignment vertical="center" textRotation="90"/>
    </xf>
    <xf numFmtId="0" fontId="10" fillId="5" borderId="3" xfId="0" applyFont="1" applyFill="1" applyBorder="1" applyAlignment="1">
      <alignment vertical="center"/>
    </xf>
    <xf numFmtId="0" fontId="10" fillId="5" borderId="54" xfId="0" applyFont="1" applyFill="1" applyBorder="1" applyAlignment="1">
      <alignment horizontal="center" vertical="center"/>
    </xf>
    <xf numFmtId="0" fontId="10" fillId="5" borderId="38" xfId="0" applyFont="1" applyFill="1" applyBorder="1" applyAlignment="1">
      <alignment horizontal="center" vertical="center"/>
    </xf>
    <xf numFmtId="0" fontId="0" fillId="5" borderId="37" xfId="0" applyFill="1" applyBorder="1" applyAlignment="1">
      <alignment vertical="center"/>
    </xf>
    <xf numFmtId="9" fontId="4" fillId="5" borderId="21" xfId="2" applyFill="1" applyBorder="1" applyAlignment="1">
      <alignment horizontal="center" vertical="center"/>
    </xf>
    <xf numFmtId="9" fontId="4" fillId="5" borderId="22" xfId="2" applyFill="1" applyBorder="1" applyAlignment="1">
      <alignment horizontal="center" vertical="center"/>
    </xf>
    <xf numFmtId="0" fontId="0" fillId="5" borderId="20" xfId="0" applyFill="1" applyBorder="1" applyAlignment="1">
      <alignment vertical="center"/>
    </xf>
    <xf numFmtId="0" fontId="0" fillId="5" borderId="39" xfId="0" applyFill="1" applyBorder="1" applyAlignment="1">
      <alignment horizontal="center" vertical="center"/>
    </xf>
    <xf numFmtId="164" fontId="0" fillId="5" borderId="22" xfId="2" applyNumberFormat="1" applyFont="1" applyFill="1" applyBorder="1" applyAlignment="1">
      <alignment horizontal="center" vertical="center"/>
    </xf>
    <xf numFmtId="0" fontId="0" fillId="5" borderId="22" xfId="0" applyFill="1" applyBorder="1" applyAlignment="1">
      <alignment horizontal="center" vertical="center"/>
    </xf>
    <xf numFmtId="9" fontId="4" fillId="5" borderId="29" xfId="2" applyFill="1" applyBorder="1" applyAlignment="1">
      <alignment horizontal="center" vertical="center"/>
    </xf>
    <xf numFmtId="9" fontId="4" fillId="5" borderId="30" xfId="2" applyFill="1" applyBorder="1" applyAlignment="1">
      <alignment horizontal="center" vertical="center"/>
    </xf>
    <xf numFmtId="9" fontId="4" fillId="5" borderId="31" xfId="2" applyFill="1" applyBorder="1" applyAlignment="1">
      <alignment horizontal="center" vertical="center"/>
    </xf>
    <xf numFmtId="0" fontId="0" fillId="5" borderId="23" xfId="0" applyFill="1" applyBorder="1" applyAlignment="1">
      <alignment vertical="center"/>
    </xf>
    <xf numFmtId="0" fontId="0" fillId="5" borderId="40" xfId="0" applyFill="1" applyBorder="1" applyAlignment="1">
      <alignment horizontal="center" vertical="center"/>
    </xf>
    <xf numFmtId="164" fontId="0" fillId="5" borderId="25" xfId="2" applyNumberFormat="1" applyFont="1" applyFill="1" applyBorder="1" applyAlignment="1">
      <alignment horizontal="center" vertical="center"/>
    </xf>
    <xf numFmtId="0" fontId="0" fillId="5" borderId="25" xfId="0" applyFill="1" applyBorder="1" applyAlignment="1">
      <alignment horizontal="center" vertical="center"/>
    </xf>
    <xf numFmtId="9" fontId="4" fillId="5" borderId="23" xfId="2" applyFill="1" applyBorder="1" applyAlignment="1">
      <alignment horizontal="center" vertical="center"/>
    </xf>
    <xf numFmtId="9" fontId="4" fillId="5" borderId="24" xfId="2" applyFill="1" applyBorder="1" applyAlignment="1">
      <alignment horizontal="center" vertical="center"/>
    </xf>
    <xf numFmtId="9" fontId="4" fillId="5" borderId="25" xfId="2" applyFill="1" applyBorder="1" applyAlignment="1">
      <alignment horizontal="center" vertical="center"/>
    </xf>
    <xf numFmtId="164" fontId="0" fillId="5" borderId="44" xfId="2" applyNumberFormat="1" applyFont="1" applyFill="1" applyBorder="1" applyAlignment="1">
      <alignment horizontal="center" vertical="center"/>
    </xf>
    <xf numFmtId="164" fontId="0" fillId="5" borderId="45" xfId="2" applyNumberFormat="1" applyFont="1" applyFill="1" applyBorder="1" applyAlignment="1">
      <alignment horizontal="center" vertical="center"/>
    </xf>
    <xf numFmtId="164" fontId="0" fillId="5" borderId="46" xfId="2" applyNumberFormat="1" applyFont="1" applyFill="1" applyBorder="1" applyAlignment="1">
      <alignment horizontal="center" vertical="center"/>
    </xf>
    <xf numFmtId="0" fontId="0" fillId="5" borderId="26" xfId="0" applyFill="1" applyBorder="1" applyAlignment="1">
      <alignment vertical="center"/>
    </xf>
    <xf numFmtId="164" fontId="0" fillId="5" borderId="28" xfId="2" applyNumberFormat="1" applyFont="1" applyFill="1" applyBorder="1" applyAlignment="1">
      <alignment horizontal="center" vertical="center"/>
    </xf>
    <xf numFmtId="0" fontId="0" fillId="5" borderId="28" xfId="0" applyFill="1" applyBorder="1" applyAlignment="1">
      <alignment horizontal="center" vertical="center"/>
    </xf>
    <xf numFmtId="0" fontId="0" fillId="5" borderId="21" xfId="0" applyFill="1" applyBorder="1" applyAlignment="1">
      <alignment vertical="center"/>
    </xf>
    <xf numFmtId="9" fontId="4" fillId="5" borderId="26" xfId="2" applyFill="1" applyBorder="1" applyAlignment="1">
      <alignment horizontal="center" vertical="center"/>
    </xf>
    <xf numFmtId="9" fontId="4" fillId="5" borderId="27" xfId="2" applyFill="1" applyBorder="1" applyAlignment="1">
      <alignment horizontal="center" vertical="center"/>
    </xf>
    <xf numFmtId="0" fontId="0" fillId="5" borderId="24" xfId="0" applyFill="1" applyBorder="1" applyAlignment="1">
      <alignment vertical="center"/>
    </xf>
    <xf numFmtId="0" fontId="0" fillId="5" borderId="27" xfId="0" applyFill="1" applyBorder="1" applyAlignment="1">
      <alignment vertical="center"/>
    </xf>
    <xf numFmtId="164" fontId="0" fillId="5" borderId="35" xfId="2" applyNumberFormat="1" applyFont="1" applyFill="1" applyBorder="1" applyAlignment="1">
      <alignment horizontal="center" vertical="center"/>
    </xf>
    <xf numFmtId="164" fontId="0" fillId="5" borderId="43" xfId="2" applyNumberFormat="1" applyFont="1" applyFill="1" applyBorder="1" applyAlignment="1">
      <alignment horizontal="center" vertical="center"/>
    </xf>
    <xf numFmtId="9" fontId="10" fillId="5" borderId="20" xfId="2" applyFont="1" applyFill="1" applyBorder="1" applyAlignment="1">
      <alignment horizontal="center" vertical="center"/>
    </xf>
    <xf numFmtId="9" fontId="10" fillId="5" borderId="30" xfId="2" applyFont="1" applyFill="1" applyBorder="1" applyAlignment="1">
      <alignment horizontal="center" vertical="center"/>
    </xf>
    <xf numFmtId="9" fontId="10" fillId="5" borderId="24" xfId="2" applyFont="1" applyFill="1" applyBorder="1" applyAlignment="1">
      <alignment horizontal="center" vertical="center"/>
    </xf>
    <xf numFmtId="9" fontId="10" fillId="5" borderId="28" xfId="2" applyFont="1" applyFill="1" applyBorder="1" applyAlignment="1">
      <alignment horizontal="center" vertical="center"/>
    </xf>
    <xf numFmtId="0" fontId="0" fillId="5" borderId="33" xfId="0" applyFill="1" applyBorder="1"/>
    <xf numFmtId="0" fontId="0" fillId="5" borderId="43" xfId="0" applyFill="1" applyBorder="1" applyAlignment="1">
      <alignment horizontal="right" vertical="center"/>
    </xf>
    <xf numFmtId="0" fontId="0" fillId="5" borderId="43" xfId="0" applyFill="1" applyBorder="1"/>
    <xf numFmtId="0" fontId="0" fillId="5" borderId="34" xfId="0" applyFill="1" applyBorder="1"/>
    <xf numFmtId="0" fontId="0" fillId="5" borderId="32" xfId="0" applyFill="1" applyBorder="1"/>
    <xf numFmtId="0" fontId="10" fillId="5" borderId="0" xfId="0" applyFont="1" applyFill="1" applyAlignment="1">
      <alignment horizontal="left" vertical="center"/>
    </xf>
    <xf numFmtId="0" fontId="0" fillId="5" borderId="42" xfId="0" applyFill="1" applyBorder="1"/>
    <xf numFmtId="0" fontId="0" fillId="5" borderId="0" xfId="0" applyFill="1" applyAlignment="1">
      <alignment horizontal="center"/>
    </xf>
    <xf numFmtId="9" fontId="0" fillId="5" borderId="0" xfId="0" applyNumberFormat="1" applyFill="1" applyAlignment="1">
      <alignment vertical="center"/>
    </xf>
    <xf numFmtId="0" fontId="14" fillId="5" borderId="0" xfId="0" applyFont="1" applyFill="1" applyAlignment="1">
      <alignment horizontal="right" vertical="center"/>
    </xf>
    <xf numFmtId="0" fontId="14" fillId="5" borderId="0" xfId="0" applyFont="1" applyFill="1" applyAlignment="1">
      <alignment vertical="center"/>
    </xf>
    <xf numFmtId="0" fontId="16" fillId="5" borderId="0" xfId="0" applyFont="1" applyFill="1" applyAlignment="1">
      <alignment vertical="center"/>
    </xf>
    <xf numFmtId="43" fontId="0" fillId="5" borderId="0" xfId="0" applyNumberFormat="1" applyFill="1"/>
    <xf numFmtId="0" fontId="10" fillId="5" borderId="35" xfId="0" applyFont="1" applyFill="1" applyBorder="1" applyAlignment="1">
      <alignment horizontal="center" vertical="center"/>
    </xf>
    <xf numFmtId="0" fontId="10" fillId="5" borderId="36" xfId="0" applyFont="1" applyFill="1" applyBorder="1" applyAlignment="1">
      <alignment horizontal="center" vertical="center"/>
    </xf>
    <xf numFmtId="0" fontId="10" fillId="5" borderId="8" xfId="0" applyFont="1" applyFill="1" applyBorder="1" applyAlignment="1">
      <alignment horizontal="right"/>
    </xf>
    <xf numFmtId="0" fontId="0" fillId="5" borderId="10" xfId="0" applyFill="1" applyBorder="1" applyAlignment="1">
      <alignment vertical="center"/>
    </xf>
    <xf numFmtId="43" fontId="0" fillId="5" borderId="20" xfId="0" applyNumberFormat="1" applyFill="1" applyBorder="1"/>
    <xf numFmtId="43" fontId="0" fillId="5" borderId="22" xfId="0" applyNumberFormat="1" applyFill="1" applyBorder="1"/>
    <xf numFmtId="0" fontId="0" fillId="5" borderId="8" xfId="0" applyFill="1" applyBorder="1" applyAlignment="1">
      <alignment vertical="center"/>
    </xf>
    <xf numFmtId="43" fontId="0" fillId="5" borderId="10" xfId="0" applyNumberFormat="1" applyFill="1" applyBorder="1" applyAlignment="1">
      <alignment vertical="center"/>
    </xf>
    <xf numFmtId="0" fontId="10" fillId="5" borderId="14" xfId="0" applyFont="1" applyFill="1" applyBorder="1" applyAlignment="1">
      <alignment horizontal="right"/>
    </xf>
    <xf numFmtId="0" fontId="0" fillId="5" borderId="16" xfId="0" applyFill="1" applyBorder="1" applyAlignment="1">
      <alignment vertical="center"/>
    </xf>
    <xf numFmtId="43" fontId="0" fillId="5" borderId="26" xfId="0" applyNumberFormat="1" applyFill="1" applyBorder="1"/>
    <xf numFmtId="43" fontId="0" fillId="5" borderId="28" xfId="0" applyNumberFormat="1" applyFill="1" applyBorder="1"/>
    <xf numFmtId="0" fontId="0" fillId="5" borderId="14" xfId="0" applyFill="1" applyBorder="1" applyAlignment="1">
      <alignment vertical="center"/>
    </xf>
    <xf numFmtId="43" fontId="0" fillId="5" borderId="16" xfId="0" applyNumberFormat="1" applyFill="1" applyBorder="1" applyAlignment="1">
      <alignment vertical="center"/>
    </xf>
    <xf numFmtId="43" fontId="0" fillId="5" borderId="37" xfId="0" applyNumberFormat="1" applyFill="1" applyBorder="1"/>
    <xf numFmtId="43" fontId="0" fillId="5" borderId="38" xfId="0" applyNumberFormat="1" applyFill="1" applyBorder="1"/>
    <xf numFmtId="0" fontId="0" fillId="5" borderId="3" xfId="0" applyFill="1" applyBorder="1" applyAlignment="1">
      <alignment vertical="center"/>
    </xf>
    <xf numFmtId="43" fontId="10" fillId="5" borderId="4" xfId="0" applyNumberFormat="1" applyFont="1" applyFill="1" applyBorder="1" applyAlignment="1">
      <alignment vertical="center"/>
    </xf>
    <xf numFmtId="0" fontId="0" fillId="5" borderId="35" xfId="0" applyFill="1" applyBorder="1"/>
    <xf numFmtId="0" fontId="0" fillId="5" borderId="1" xfId="0" applyFill="1" applyBorder="1" applyAlignment="1">
      <alignment horizontal="right" vertical="center"/>
    </xf>
    <xf numFmtId="0" fontId="0" fillId="5" borderId="1" xfId="0" applyFill="1" applyBorder="1" applyAlignment="1">
      <alignment vertical="center"/>
    </xf>
    <xf numFmtId="0" fontId="0" fillId="5" borderId="1" xfId="0" applyFill="1" applyBorder="1"/>
    <xf numFmtId="0" fontId="0" fillId="5" borderId="36" xfId="0" applyFill="1" applyBorder="1"/>
    <xf numFmtId="9" fontId="0" fillId="4" borderId="3" xfId="0" applyNumberFormat="1" applyFill="1" applyBorder="1" applyAlignment="1">
      <alignment vertical="center"/>
    </xf>
    <xf numFmtId="9" fontId="0" fillId="4" borderId="4" xfId="0" applyNumberFormat="1" applyFill="1" applyBorder="1" applyAlignment="1">
      <alignment vertical="center"/>
    </xf>
    <xf numFmtId="0" fontId="0" fillId="5" borderId="34" xfId="0" applyFill="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right" vertical="center"/>
    </xf>
    <xf numFmtId="0" fontId="0" fillId="5" borderId="35" xfId="0" applyFill="1" applyBorder="1" applyAlignment="1">
      <alignment horizontal="right" vertical="center"/>
    </xf>
    <xf numFmtId="0" fontId="0" fillId="5" borderId="6" xfId="0" applyFill="1" applyBorder="1" applyAlignment="1">
      <alignment vertical="center"/>
    </xf>
    <xf numFmtId="0" fontId="0" fillId="5" borderId="32" xfId="0" applyFill="1" applyBorder="1" applyAlignment="1">
      <alignment horizontal="right" vertical="center"/>
    </xf>
    <xf numFmtId="0" fontId="0" fillId="4" borderId="33" xfId="0" applyFill="1" applyBorder="1" applyAlignment="1">
      <alignment horizontal="center" vertical="center"/>
    </xf>
    <xf numFmtId="0" fontId="0" fillId="4" borderId="43" xfId="0" applyFill="1" applyBorder="1" applyAlignment="1">
      <alignment horizontal="center" vertical="center"/>
    </xf>
    <xf numFmtId="0" fontId="0" fillId="4" borderId="34" xfId="0" applyFill="1" applyBorder="1" applyAlignment="1">
      <alignment horizontal="center" vertical="center"/>
    </xf>
    <xf numFmtId="0" fontId="0" fillId="4" borderId="33" xfId="0" applyFill="1" applyBorder="1" applyAlignment="1">
      <alignment horizontal="right" vertical="center"/>
    </xf>
    <xf numFmtId="0" fontId="0" fillId="4" borderId="34" xfId="0" applyFill="1" applyBorder="1" applyAlignment="1">
      <alignment vertical="center"/>
    </xf>
    <xf numFmtId="0" fontId="0" fillId="4" borderId="8" xfId="0" applyFill="1" applyBorder="1" applyAlignment="1">
      <alignment vertical="center"/>
    </xf>
    <xf numFmtId="0" fontId="0" fillId="4" borderId="11" xfId="0" applyFill="1" applyBorder="1" applyAlignment="1">
      <alignment vertical="center"/>
    </xf>
    <xf numFmtId="0" fontId="0" fillId="4" borderId="14" xfId="0" applyFill="1" applyBorder="1" applyAlignment="1">
      <alignment vertical="center"/>
    </xf>
    <xf numFmtId="43" fontId="0" fillId="4" borderId="8" xfId="1" applyFont="1" applyFill="1" applyBorder="1" applyAlignment="1">
      <alignment horizontal="center" vertical="center"/>
    </xf>
    <xf numFmtId="43" fontId="0" fillId="4" borderId="9" xfId="1" applyFont="1" applyFill="1" applyBorder="1" applyAlignment="1">
      <alignment horizontal="center" vertical="center"/>
    </xf>
    <xf numFmtId="43" fontId="0" fillId="4" borderId="10" xfId="1" applyFont="1" applyFill="1" applyBorder="1" applyAlignment="1">
      <alignment horizontal="center" vertical="center"/>
    </xf>
    <xf numFmtId="43" fontId="0" fillId="4" borderId="11" xfId="1" applyFont="1" applyFill="1" applyBorder="1" applyAlignment="1">
      <alignment horizontal="center" vertical="center"/>
    </xf>
    <xf numFmtId="43" fontId="0" fillId="4" borderId="12" xfId="1" applyFont="1" applyFill="1" applyBorder="1" applyAlignment="1">
      <alignment horizontal="center" vertical="center"/>
    </xf>
    <xf numFmtId="43" fontId="0" fillId="4" borderId="13" xfId="1" applyFont="1" applyFill="1" applyBorder="1" applyAlignment="1">
      <alignment horizontal="center" vertical="center"/>
    </xf>
    <xf numFmtId="43" fontId="0" fillId="4" borderId="14" xfId="1" applyFont="1" applyFill="1" applyBorder="1" applyAlignment="1">
      <alignment horizontal="center" vertical="center"/>
    </xf>
    <xf numFmtId="43" fontId="0" fillId="4" borderId="15" xfId="1" applyFont="1" applyFill="1" applyBorder="1" applyAlignment="1">
      <alignment horizontal="center" vertical="center"/>
    </xf>
    <xf numFmtId="43" fontId="0" fillId="4" borderId="16" xfId="1" applyFont="1" applyFill="1" applyBorder="1" applyAlignment="1">
      <alignment horizontal="center" vertical="center"/>
    </xf>
    <xf numFmtId="10" fontId="0" fillId="4" borderId="8" xfId="0" applyNumberFormat="1" applyFill="1" applyBorder="1" applyAlignment="1">
      <alignment horizontal="center" vertical="center"/>
    </xf>
    <xf numFmtId="10" fontId="0" fillId="4" borderId="10" xfId="0" applyNumberFormat="1" applyFill="1" applyBorder="1" applyAlignment="1">
      <alignment horizontal="center" vertical="center"/>
    </xf>
    <xf numFmtId="10" fontId="0" fillId="4" borderId="14" xfId="0" applyNumberFormat="1" applyFill="1" applyBorder="1" applyAlignment="1">
      <alignment horizontal="center" vertical="center"/>
    </xf>
    <xf numFmtId="10" fontId="0" fillId="4" borderId="16" xfId="0" applyNumberFormat="1" applyFill="1" applyBorder="1" applyAlignment="1">
      <alignment horizontal="center" vertical="center"/>
    </xf>
    <xf numFmtId="43" fontId="0" fillId="4" borderId="10" xfId="1" applyFont="1" applyFill="1" applyBorder="1" applyAlignment="1">
      <alignment vertical="center"/>
    </xf>
    <xf numFmtId="43" fontId="0" fillId="4" borderId="13" xfId="1" applyFont="1" applyFill="1" applyBorder="1" applyAlignment="1">
      <alignment vertical="center"/>
    </xf>
    <xf numFmtId="43" fontId="0" fillId="4" borderId="16" xfId="1" applyFont="1" applyFill="1" applyBorder="1" applyAlignment="1">
      <alignment vertical="center"/>
    </xf>
    <xf numFmtId="0" fontId="0" fillId="4" borderId="48" xfId="0" applyFill="1" applyBorder="1" applyAlignment="1">
      <alignment vertical="center"/>
    </xf>
    <xf numFmtId="0" fontId="14" fillId="4" borderId="49" xfId="0" applyFont="1" applyFill="1" applyBorder="1" applyAlignment="1">
      <alignment horizontal="center" vertical="center"/>
    </xf>
    <xf numFmtId="0" fontId="0" fillId="4" borderId="12" xfId="0" applyFill="1" applyBorder="1" applyAlignment="1">
      <alignment vertical="center"/>
    </xf>
    <xf numFmtId="0" fontId="0" fillId="4" borderId="15" xfId="0" applyFill="1" applyBorder="1" applyAlignment="1">
      <alignment vertical="center"/>
    </xf>
    <xf numFmtId="14" fontId="21" fillId="5" borderId="0" xfId="0" applyNumberFormat="1" applyFont="1" applyFill="1" applyAlignment="1">
      <alignment horizontal="left" vertical="center"/>
    </xf>
    <xf numFmtId="0" fontId="0" fillId="4" borderId="19" xfId="1" applyNumberFormat="1" applyFont="1" applyFill="1" applyBorder="1" applyAlignment="1">
      <alignment horizontal="left" vertical="center" wrapText="1"/>
    </xf>
    <xf numFmtId="164" fontId="0" fillId="5" borderId="0" xfId="2" applyNumberFormat="1" applyFont="1" applyFill="1" applyAlignment="1">
      <alignment vertical="center"/>
    </xf>
    <xf numFmtId="10" fontId="15" fillId="4" borderId="1" xfId="1" applyNumberFormat="1" applyFont="1" applyFill="1" applyBorder="1" applyAlignment="1">
      <alignment horizontal="center" vertical="center" wrapText="1"/>
    </xf>
    <xf numFmtId="0" fontId="7" fillId="2" borderId="1" xfId="1" applyNumberFormat="1" applyFont="1" applyFill="1" applyBorder="1" applyAlignment="1">
      <alignment horizontal="center" vertical="center"/>
    </xf>
    <xf numFmtId="0" fontId="7" fillId="2" borderId="0" xfId="1" applyNumberFormat="1" applyFont="1" applyFill="1" applyAlignment="1">
      <alignment horizontal="center" vertical="center" wrapText="1"/>
    </xf>
    <xf numFmtId="43" fontId="19" fillId="11" borderId="0" xfId="1" applyFont="1" applyFill="1" applyAlignment="1">
      <alignment horizontal="center" vertical="center"/>
    </xf>
    <xf numFmtId="43" fontId="7" fillId="12" borderId="0" xfId="1" applyFont="1" applyFill="1" applyAlignment="1">
      <alignment horizontal="center" vertical="center"/>
    </xf>
    <xf numFmtId="43" fontId="7" fillId="13" borderId="0" xfId="1" applyFont="1" applyFill="1" applyAlignment="1">
      <alignment horizontal="center" vertical="center"/>
    </xf>
    <xf numFmtId="43" fontId="7" fillId="8" borderId="0" xfId="1" applyFont="1" applyFill="1" applyAlignment="1">
      <alignment horizontal="center" vertical="center"/>
    </xf>
    <xf numFmtId="43" fontId="19" fillId="7" borderId="0" xfId="1" applyFont="1" applyFill="1" applyAlignment="1">
      <alignment horizontal="center" vertical="center"/>
    </xf>
    <xf numFmtId="43" fontId="7" fillId="2" borderId="55" xfId="1" applyFont="1" applyFill="1" applyBorder="1" applyAlignment="1">
      <alignment horizontal="center" vertical="center"/>
    </xf>
    <xf numFmtId="0" fontId="0" fillId="5" borderId="0" xfId="1" applyNumberFormat="1" applyFont="1" applyFill="1" applyAlignment="1">
      <alignment vertical="center"/>
    </xf>
    <xf numFmtId="43" fontId="22" fillId="5" borderId="0" xfId="1" applyFont="1" applyFill="1" applyAlignment="1">
      <alignment horizontal="right" vertical="center"/>
    </xf>
    <xf numFmtId="164" fontId="5" fillId="5" borderId="0" xfId="2" applyNumberFormat="1" applyFont="1" applyFill="1" applyAlignment="1">
      <alignment horizontal="center" vertical="center" wrapText="1"/>
    </xf>
    <xf numFmtId="43" fontId="7" fillId="10" borderId="0" xfId="1" applyFont="1" applyFill="1" applyAlignment="1">
      <alignment horizontal="center" vertical="center"/>
    </xf>
    <xf numFmtId="10" fontId="5" fillId="10" borderId="0" xfId="2" applyNumberFormat="1" applyFont="1" applyFill="1" applyAlignment="1">
      <alignment horizontal="center" vertical="center"/>
    </xf>
    <xf numFmtId="43" fontId="5" fillId="10" borderId="0" xfId="1" applyFont="1" applyFill="1" applyAlignment="1">
      <alignment horizontal="center" vertical="center" wrapText="1"/>
    </xf>
    <xf numFmtId="9" fontId="5" fillId="10" borderId="0" xfId="2" applyFont="1" applyFill="1" applyAlignment="1">
      <alignment horizontal="center" vertical="center"/>
    </xf>
    <xf numFmtId="9" fontId="5" fillId="10" borderId="0" xfId="1" applyNumberFormat="1" applyFont="1" applyFill="1" applyAlignment="1">
      <alignment horizontal="center" vertical="center"/>
    </xf>
    <xf numFmtId="167" fontId="5" fillId="10" borderId="0" xfId="1" applyNumberFormat="1" applyFont="1" applyFill="1" applyAlignment="1">
      <alignment horizontal="center" vertical="center"/>
    </xf>
    <xf numFmtId="0" fontId="25" fillId="5" borderId="0" xfId="0" applyFont="1" applyFill="1" applyAlignment="1">
      <alignment vertical="center"/>
    </xf>
    <xf numFmtId="0" fontId="0" fillId="10" borderId="19" xfId="1" applyNumberFormat="1" applyFont="1" applyFill="1" applyBorder="1" applyAlignment="1">
      <alignment horizontal="left" vertical="center" wrapText="1"/>
    </xf>
    <xf numFmtId="0" fontId="5" fillId="4" borderId="0" xfId="0" applyFont="1" applyFill="1" applyAlignment="1">
      <alignment horizontal="center" vertical="center"/>
    </xf>
    <xf numFmtId="0" fontId="5" fillId="4" borderId="0" xfId="0" applyFont="1" applyFill="1" applyAlignment="1">
      <alignment vertical="center"/>
    </xf>
    <xf numFmtId="0" fontId="5" fillId="4" borderId="0" xfId="0" applyFont="1" applyFill="1" applyAlignment="1">
      <alignment vertical="center" wrapText="1"/>
    </xf>
    <xf numFmtId="0" fontId="5" fillId="9" borderId="19" xfId="0" applyFont="1" applyFill="1" applyBorder="1" applyAlignment="1">
      <alignment vertical="center"/>
    </xf>
    <xf numFmtId="43" fontId="0" fillId="17" borderId="50" xfId="1" applyFont="1" applyFill="1" applyBorder="1" applyAlignment="1">
      <alignment vertical="center"/>
    </xf>
    <xf numFmtId="43" fontId="0" fillId="17" borderId="12" xfId="1" applyFont="1" applyFill="1" applyBorder="1" applyAlignment="1">
      <alignment vertical="center"/>
    </xf>
    <xf numFmtId="0" fontId="35" fillId="5" borderId="0" xfId="0" applyFont="1" applyFill="1" applyAlignment="1">
      <alignment vertical="center"/>
    </xf>
    <xf numFmtId="0" fontId="0" fillId="7" borderId="0" xfId="0" applyFill="1" applyAlignment="1">
      <alignment vertical="center"/>
    </xf>
    <xf numFmtId="0" fontId="26" fillId="5" borderId="0" xfId="0" applyFont="1" applyFill="1" applyAlignment="1">
      <alignment horizontal="right" vertical="center"/>
    </xf>
    <xf numFmtId="43" fontId="14" fillId="5" borderId="0" xfId="0" applyNumberFormat="1" applyFont="1" applyFill="1" applyAlignment="1">
      <alignment horizontal="center" vertical="center"/>
    </xf>
    <xf numFmtId="43" fontId="25" fillId="5" borderId="0" xfId="1" applyFont="1" applyFill="1" applyAlignment="1">
      <alignment vertical="center"/>
    </xf>
    <xf numFmtId="9" fontId="0" fillId="5" borderId="0" xfId="0" applyNumberFormat="1" applyFill="1" applyAlignment="1">
      <alignment horizontal="center"/>
    </xf>
    <xf numFmtId="43" fontId="0" fillId="5" borderId="0" xfId="1" applyFont="1" applyFill="1" applyAlignment="1">
      <alignment horizontal="center"/>
    </xf>
    <xf numFmtId="43" fontId="0" fillId="5" borderId="0" xfId="0" applyNumberFormat="1" applyFill="1" applyAlignment="1">
      <alignment horizontal="center"/>
    </xf>
    <xf numFmtId="0" fontId="10" fillId="5" borderId="0" xfId="0" applyFont="1" applyFill="1" applyAlignment="1">
      <alignment horizontal="center"/>
    </xf>
    <xf numFmtId="9" fontId="14" fillId="5" borderId="24" xfId="2" applyFont="1" applyFill="1" applyBorder="1" applyAlignment="1">
      <alignment horizontal="center" vertical="center"/>
    </xf>
    <xf numFmtId="0" fontId="0" fillId="5" borderId="0" xfId="0" applyFill="1" applyAlignment="1">
      <alignment horizontal="right" vertical="center" wrapText="1"/>
    </xf>
    <xf numFmtId="43" fontId="5" fillId="5" borderId="0" xfId="1" applyFont="1" applyFill="1" applyAlignment="1">
      <alignment horizontal="right" vertical="center" wrapText="1"/>
    </xf>
    <xf numFmtId="43" fontId="10" fillId="5" borderId="0" xfId="1" applyFont="1" applyFill="1" applyAlignment="1">
      <alignment horizontal="right" vertical="center" wrapText="1"/>
    </xf>
    <xf numFmtId="43" fontId="0" fillId="5" borderId="0" xfId="1" applyFont="1" applyFill="1" applyAlignment="1">
      <alignment horizontal="right" vertical="center" wrapText="1"/>
    </xf>
    <xf numFmtId="0" fontId="0" fillId="5" borderId="5" xfId="0" applyFill="1" applyBorder="1" applyAlignment="1">
      <alignment horizontal="center" vertical="center"/>
    </xf>
    <xf numFmtId="0" fontId="0" fillId="5" borderId="7" xfId="0" applyFill="1" applyBorder="1" applyAlignment="1">
      <alignment horizontal="center" vertical="center"/>
    </xf>
    <xf numFmtId="0" fontId="15" fillId="4" borderId="0" xfId="1" applyNumberFormat="1" applyFont="1" applyFill="1" applyAlignment="1">
      <alignment horizontal="justify" vertical="center" wrapText="1"/>
    </xf>
    <xf numFmtId="0" fontId="5" fillId="0" borderId="0" xfId="0" applyFont="1" applyAlignment="1">
      <alignment horizontal="center" vertical="center"/>
    </xf>
    <xf numFmtId="14" fontId="0" fillId="0" borderId="12" xfId="0" applyNumberFormat="1" applyBorder="1" applyAlignment="1">
      <alignment horizontal="center" vertical="center"/>
    </xf>
    <xf numFmtId="0" fontId="0" fillId="4" borderId="4" xfId="1" applyNumberFormat="1" applyFont="1" applyFill="1" applyBorder="1" applyAlignment="1">
      <alignment horizontal="center" vertical="center"/>
    </xf>
    <xf numFmtId="0" fontId="17" fillId="0" borderId="0" xfId="0" applyFont="1"/>
    <xf numFmtId="0" fontId="18" fillId="0" borderId="0" xfId="0" applyFont="1"/>
    <xf numFmtId="0" fontId="18" fillId="0" borderId="0" xfId="0" applyFont="1" applyAlignment="1">
      <alignment horizontal="left"/>
    </xf>
    <xf numFmtId="0" fontId="18" fillId="0" borderId="0" xfId="0" applyFont="1" applyAlignment="1">
      <alignment horizontal="center"/>
    </xf>
    <xf numFmtId="0" fontId="18" fillId="0" borderId="2" xfId="0" applyFont="1" applyBorder="1" applyAlignment="1">
      <alignment horizontal="left"/>
    </xf>
    <xf numFmtId="0" fontId="18" fillId="0" borderId="33" xfId="0" applyFont="1" applyBorder="1"/>
    <xf numFmtId="164" fontId="18" fillId="0" borderId="34" xfId="2" applyNumberFormat="1" applyFont="1" applyBorder="1" applyAlignment="1">
      <alignment horizontal="right"/>
    </xf>
    <xf numFmtId="0" fontId="18" fillId="0" borderId="32" xfId="0" applyFont="1" applyBorder="1"/>
    <xf numFmtId="164" fontId="18" fillId="0" borderId="42" xfId="2" applyNumberFormat="1" applyFont="1" applyBorder="1" applyAlignment="1">
      <alignment horizontal="right"/>
    </xf>
    <xf numFmtId="14" fontId="18" fillId="0" borderId="2" xfId="0" applyNumberFormat="1" applyFont="1" applyBorder="1" applyAlignment="1">
      <alignment horizontal="left"/>
    </xf>
    <xf numFmtId="43" fontId="18" fillId="0" borderId="2" xfId="0" applyNumberFormat="1" applyFont="1" applyBorder="1" applyAlignment="1">
      <alignment horizontal="left"/>
    </xf>
    <xf numFmtId="43" fontId="18" fillId="0" borderId="0" xfId="0" applyNumberFormat="1" applyFont="1"/>
    <xf numFmtId="164" fontId="18" fillId="0" borderId="2" xfId="2" applyNumberFormat="1" applyFont="1" applyBorder="1" applyAlignment="1">
      <alignment horizontal="left"/>
    </xf>
    <xf numFmtId="43" fontId="18" fillId="0" borderId="2" xfId="1" applyFont="1" applyBorder="1" applyAlignment="1">
      <alignment horizontal="left"/>
    </xf>
    <xf numFmtId="0" fontId="18" fillId="0" borderId="35" xfId="0" applyFont="1" applyBorder="1"/>
    <xf numFmtId="164" fontId="18" fillId="0" borderId="36" xfId="2" applyNumberFormat="1" applyFont="1" applyBorder="1" applyAlignment="1">
      <alignment horizontal="right"/>
    </xf>
    <xf numFmtId="0" fontId="18" fillId="0" borderId="0" xfId="0" applyFont="1" applyAlignment="1">
      <alignment horizontal="center" vertical="center"/>
    </xf>
    <xf numFmtId="0" fontId="18" fillId="0" borderId="3" xfId="0" applyFont="1" applyBorder="1" applyAlignment="1">
      <alignment horizontal="left"/>
    </xf>
    <xf numFmtId="0" fontId="18" fillId="0" borderId="19" xfId="0" applyFont="1" applyBorder="1"/>
    <xf numFmtId="0" fontId="18" fillId="0" borderId="4" xfId="0" applyFont="1" applyBorder="1" applyAlignment="1">
      <alignment horizontal="center"/>
    </xf>
    <xf numFmtId="0" fontId="18" fillId="0" borderId="43" xfId="0" applyFont="1" applyBorder="1"/>
    <xf numFmtId="0" fontId="18" fillId="0" borderId="34" xfId="0" applyFont="1" applyBorder="1"/>
    <xf numFmtId="0" fontId="18" fillId="0" borderId="42" xfId="0" applyFont="1" applyBorder="1"/>
    <xf numFmtId="0" fontId="18" fillId="0" borderId="1" xfId="0" applyFont="1" applyBorder="1"/>
    <xf numFmtId="0" fontId="18" fillId="0" borderId="36" xfId="0" applyFont="1" applyBorder="1"/>
    <xf numFmtId="164" fontId="5" fillId="5" borderId="0" xfId="2" applyNumberFormat="1" applyFont="1" applyFill="1" applyAlignment="1">
      <alignment horizontal="right" vertical="center"/>
    </xf>
    <xf numFmtId="43" fontId="37" fillId="5" borderId="12" xfId="1" applyFont="1" applyFill="1" applyBorder="1" applyAlignment="1">
      <alignment vertical="center"/>
    </xf>
    <xf numFmtId="164" fontId="27" fillId="5" borderId="12" xfId="2" applyNumberFormat="1" applyFont="1" applyFill="1" applyBorder="1" applyAlignment="1">
      <alignment vertical="center"/>
    </xf>
    <xf numFmtId="43" fontId="27" fillId="5" borderId="12" xfId="1" applyFont="1" applyFill="1" applyBorder="1" applyAlignment="1">
      <alignment vertical="center"/>
    </xf>
    <xf numFmtId="164" fontId="27" fillId="5" borderId="18" xfId="2" applyNumberFormat="1" applyFont="1" applyFill="1" applyBorder="1" applyAlignment="1">
      <alignment horizontal="right" vertical="center"/>
    </xf>
    <xf numFmtId="43" fontId="37" fillId="5" borderId="15" xfId="1" applyFont="1" applyFill="1" applyBorder="1" applyAlignment="1">
      <alignment vertical="center"/>
    </xf>
    <xf numFmtId="164" fontId="27" fillId="5" borderId="15" xfId="1" applyNumberFormat="1" applyFont="1" applyFill="1" applyBorder="1" applyAlignment="1">
      <alignment vertical="center"/>
    </xf>
    <xf numFmtId="164" fontId="27" fillId="5" borderId="16" xfId="2" applyNumberFormat="1" applyFont="1" applyFill="1" applyBorder="1" applyAlignment="1">
      <alignment horizontal="right" vertical="center"/>
    </xf>
    <xf numFmtId="164" fontId="27" fillId="5" borderId="13" xfId="2" applyNumberFormat="1" applyFont="1" applyFill="1" applyBorder="1" applyAlignment="1">
      <alignment horizontal="right" vertical="center"/>
    </xf>
    <xf numFmtId="43" fontId="37" fillId="5" borderId="9" xfId="1" applyFont="1" applyFill="1" applyBorder="1" applyAlignment="1">
      <alignment vertical="center"/>
    </xf>
    <xf numFmtId="164" fontId="27" fillId="5" borderId="9" xfId="2" applyNumberFormat="1" applyFont="1" applyFill="1" applyBorder="1" applyAlignment="1">
      <alignment vertical="center"/>
    </xf>
    <xf numFmtId="164" fontId="27" fillId="5" borderId="10" xfId="2" applyNumberFormat="1" applyFont="1" applyFill="1" applyBorder="1" applyAlignment="1">
      <alignment horizontal="right" vertical="center"/>
    </xf>
    <xf numFmtId="10" fontId="0" fillId="4" borderId="2" xfId="0" applyNumberFormat="1" applyFill="1" applyBorder="1" applyAlignment="1">
      <alignment horizontal="center" vertical="center"/>
    </xf>
    <xf numFmtId="43" fontId="0" fillId="5" borderId="0" xfId="1" applyFont="1" applyFill="1" applyAlignment="1">
      <alignment horizontal="right" vertical="center"/>
    </xf>
    <xf numFmtId="0" fontId="7" fillId="2" borderId="0" xfId="1" applyNumberFormat="1" applyFont="1" applyFill="1" applyAlignment="1">
      <alignment horizontal="center" vertical="center"/>
    </xf>
    <xf numFmtId="43" fontId="20" fillId="2" borderId="0" xfId="1" applyFont="1" applyFill="1" applyAlignment="1">
      <alignment horizontal="center" vertical="center"/>
    </xf>
    <xf numFmtId="0" fontId="7" fillId="2" borderId="1" xfId="1" applyNumberFormat="1" applyFont="1" applyFill="1" applyBorder="1" applyAlignment="1">
      <alignment horizontal="right" vertical="center"/>
    </xf>
    <xf numFmtId="10" fontId="7" fillId="2" borderId="0" xfId="2" applyNumberFormat="1" applyFont="1" applyFill="1" applyAlignment="1">
      <alignment horizontal="center" vertical="center"/>
    </xf>
    <xf numFmtId="171" fontId="0" fillId="5" borderId="12" xfId="1" applyNumberFormat="1" applyFont="1" applyFill="1" applyBorder="1" applyAlignment="1">
      <alignment horizontal="center" vertical="center"/>
    </xf>
    <xf numFmtId="171" fontId="0" fillId="5" borderId="50" xfId="1" applyNumberFormat="1" applyFont="1" applyFill="1" applyBorder="1" applyAlignment="1">
      <alignment horizontal="center" vertical="center"/>
    </xf>
    <xf numFmtId="0" fontId="5" fillId="5" borderId="0" xfId="0" applyFont="1" applyFill="1" applyAlignment="1">
      <alignment horizontal="right" vertical="center"/>
    </xf>
    <xf numFmtId="0" fontId="5" fillId="5" borderId="0" xfId="0" applyFont="1" applyFill="1" applyAlignment="1">
      <alignment horizontal="left" vertical="center"/>
    </xf>
    <xf numFmtId="43" fontId="0" fillId="0" borderId="2" xfId="1" applyFont="1" applyBorder="1" applyAlignment="1">
      <alignment vertical="center"/>
    </xf>
    <xf numFmtId="0" fontId="0" fillId="0" borderId="0" xfId="0" applyAlignment="1">
      <alignment horizontal="right" vertical="center"/>
    </xf>
    <xf numFmtId="43" fontId="0" fillId="0" borderId="0" xfId="1" applyFont="1" applyAlignment="1">
      <alignment vertical="center"/>
    </xf>
    <xf numFmtId="0" fontId="0" fillId="0" borderId="0" xfId="0" applyAlignment="1">
      <alignment horizontal="right" vertical="center" wrapText="1"/>
    </xf>
    <xf numFmtId="0" fontId="0" fillId="0" borderId="0" xfId="0" applyAlignment="1">
      <alignment horizontal="center" vertical="center" wrapText="1"/>
    </xf>
    <xf numFmtId="43" fontId="28" fillId="5" borderId="0" xfId="1" applyFont="1" applyFill="1" applyAlignment="1">
      <alignment vertical="center"/>
    </xf>
    <xf numFmtId="0" fontId="28" fillId="5" borderId="0" xfId="0" applyFont="1" applyFill="1" applyAlignment="1">
      <alignment vertical="center"/>
    </xf>
    <xf numFmtId="49" fontId="0" fillId="3" borderId="34" xfId="0" applyNumberFormat="1" applyFill="1" applyBorder="1" applyAlignment="1">
      <alignment vertical="center"/>
    </xf>
    <xf numFmtId="49" fontId="0" fillId="3" borderId="49" xfId="0" applyNumberFormat="1" applyFill="1" applyBorder="1" applyAlignment="1">
      <alignment horizontal="center" vertical="center"/>
    </xf>
    <xf numFmtId="49" fontId="0" fillId="0" borderId="47" xfId="0" applyNumberFormat="1" applyBorder="1" applyAlignment="1">
      <alignment horizontal="center" vertical="center"/>
    </xf>
    <xf numFmtId="49" fontId="0" fillId="0" borderId="11" xfId="0" applyNumberFormat="1" applyBorder="1" applyAlignment="1">
      <alignment horizontal="center" vertical="center"/>
    </xf>
    <xf numFmtId="49" fontId="0" fillId="0" borderId="14" xfId="0" applyNumberFormat="1" applyBorder="1" applyAlignment="1">
      <alignment horizontal="center" vertical="center"/>
    </xf>
    <xf numFmtId="0" fontId="0" fillId="10" borderId="4" xfId="1" applyNumberFormat="1" applyFont="1" applyFill="1" applyBorder="1" applyAlignment="1">
      <alignment horizontal="center" vertical="center"/>
    </xf>
    <xf numFmtId="9" fontId="7" fillId="10" borderId="0" xfId="2" applyFont="1" applyFill="1" applyAlignment="1">
      <alignment horizontal="center" vertical="center"/>
    </xf>
    <xf numFmtId="10" fontId="7" fillId="10" borderId="0" xfId="2" applyNumberFormat="1" applyFont="1" applyFill="1" applyAlignment="1">
      <alignment horizontal="center" vertical="center"/>
    </xf>
    <xf numFmtId="49" fontId="7" fillId="13" borderId="3" xfId="1" applyNumberFormat="1" applyFont="1" applyFill="1" applyBorder="1" applyAlignment="1">
      <alignment horizontal="center" vertical="center"/>
    </xf>
    <xf numFmtId="49" fontId="7" fillId="8" borderId="3" xfId="1" applyNumberFormat="1" applyFont="1" applyFill="1" applyBorder="1" applyAlignment="1">
      <alignment horizontal="center" vertical="center"/>
    </xf>
    <xf numFmtId="49" fontId="36" fillId="11" borderId="3" xfId="1" applyNumberFormat="1" applyFont="1" applyFill="1" applyBorder="1" applyAlignment="1">
      <alignment horizontal="center" vertical="center"/>
    </xf>
    <xf numFmtId="49" fontId="20" fillId="12" borderId="3" xfId="1" applyNumberFormat="1" applyFont="1" applyFill="1" applyBorder="1" applyAlignment="1">
      <alignment horizontal="center" vertical="center"/>
    </xf>
    <xf numFmtId="49" fontId="24" fillId="4" borderId="0" xfId="1" applyNumberFormat="1" applyFont="1" applyFill="1" applyAlignment="1">
      <alignment horizontal="center" vertical="center"/>
    </xf>
    <xf numFmtId="49" fontId="24" fillId="4" borderId="0" xfId="1" applyNumberFormat="1" applyFont="1" applyFill="1" applyAlignment="1">
      <alignment horizontal="center" vertical="center" wrapText="1"/>
    </xf>
    <xf numFmtId="49" fontId="38" fillId="11" borderId="3" xfId="1" applyNumberFormat="1" applyFont="1" applyFill="1" applyBorder="1" applyAlignment="1">
      <alignment horizontal="center" vertical="center"/>
    </xf>
    <xf numFmtId="49" fontId="24" fillId="12" borderId="3" xfId="1" applyNumberFormat="1" applyFont="1" applyFill="1" applyBorder="1" applyAlignment="1">
      <alignment horizontal="center" vertical="center"/>
    </xf>
    <xf numFmtId="49" fontId="24" fillId="13" borderId="3" xfId="1" applyNumberFormat="1" applyFont="1" applyFill="1" applyBorder="1" applyAlignment="1">
      <alignment horizontal="center" vertical="center"/>
    </xf>
    <xf numFmtId="49" fontId="39" fillId="7" borderId="3" xfId="1" applyNumberFormat="1" applyFont="1" applyFill="1" applyBorder="1" applyAlignment="1">
      <alignment horizontal="center" vertical="center"/>
    </xf>
    <xf numFmtId="49" fontId="39" fillId="12" borderId="3" xfId="1" applyNumberFormat="1" applyFont="1" applyFill="1" applyBorder="1" applyAlignment="1">
      <alignment horizontal="center" vertical="center"/>
    </xf>
    <xf numFmtId="49" fontId="39" fillId="2" borderId="55" xfId="1" applyNumberFormat="1" applyFont="1" applyFill="1" applyBorder="1" applyAlignment="1">
      <alignment horizontal="center" vertical="center"/>
    </xf>
    <xf numFmtId="0" fontId="0" fillId="9" borderId="3" xfId="0" applyFill="1" applyBorder="1" applyAlignment="1">
      <alignment vertical="center"/>
    </xf>
    <xf numFmtId="0" fontId="0" fillId="9" borderId="4" xfId="0" applyFill="1" applyBorder="1" applyAlignment="1">
      <alignment vertical="center"/>
    </xf>
    <xf numFmtId="171" fontId="0" fillId="0" borderId="48" xfId="1" applyNumberFormat="1" applyFont="1" applyBorder="1" applyAlignment="1">
      <alignment vertical="center"/>
    </xf>
    <xf numFmtId="171" fontId="0" fillId="0" borderId="0" xfId="1" applyNumberFormat="1" applyFont="1" applyAlignment="1">
      <alignment vertical="center"/>
    </xf>
    <xf numFmtId="171" fontId="0" fillId="5" borderId="50" xfId="1" applyNumberFormat="1" applyFont="1" applyFill="1" applyBorder="1" applyAlignment="1">
      <alignment vertical="center"/>
    </xf>
    <xf numFmtId="0" fontId="14" fillId="0" borderId="0" xfId="0" applyFont="1" applyAlignment="1">
      <alignment vertical="center"/>
    </xf>
    <xf numFmtId="0" fontId="0" fillId="0" borderId="48" xfId="0" applyBorder="1" applyAlignment="1">
      <alignment vertical="center" wrapText="1"/>
    </xf>
    <xf numFmtId="0" fontId="0" fillId="0" borderId="12" xfId="0" applyBorder="1" applyAlignment="1">
      <alignment vertical="center" wrapText="1"/>
    </xf>
    <xf numFmtId="0" fontId="0" fillId="0" borderId="50" xfId="0" applyBorder="1" applyAlignment="1">
      <alignment vertical="center"/>
    </xf>
    <xf numFmtId="0" fontId="0" fillId="0" borderId="50" xfId="0" applyBorder="1" applyAlignment="1">
      <alignment horizontal="left" vertical="center"/>
    </xf>
    <xf numFmtId="171" fontId="0" fillId="0" borderId="12" xfId="1" applyNumberFormat="1" applyFont="1" applyBorder="1" applyAlignment="1">
      <alignment horizontal="center" vertical="center"/>
    </xf>
    <xf numFmtId="171" fontId="0" fillId="0" borderId="50" xfId="1" applyNumberFormat="1" applyFont="1" applyBorder="1" applyAlignment="1">
      <alignment horizontal="center" vertical="center"/>
    </xf>
    <xf numFmtId="171" fontId="0" fillId="0" borderId="12" xfId="1" applyNumberFormat="1" applyFont="1" applyBorder="1" applyAlignment="1">
      <alignment vertical="center"/>
    </xf>
    <xf numFmtId="164" fontId="5" fillId="2" borderId="0" xfId="1" applyNumberFormat="1" applyFont="1" applyFill="1" applyAlignment="1">
      <alignment horizontal="center" vertical="center"/>
    </xf>
    <xf numFmtId="43" fontId="5" fillId="2" borderId="56" xfId="1" applyFont="1" applyFill="1" applyBorder="1" applyAlignment="1">
      <alignment horizontal="center" vertical="center"/>
    </xf>
    <xf numFmtId="0" fontId="5" fillId="2" borderId="56" xfId="1" applyNumberFormat="1" applyFont="1" applyFill="1" applyBorder="1" applyAlignment="1">
      <alignment horizontal="center" vertical="center"/>
    </xf>
    <xf numFmtId="0" fontId="5" fillId="2" borderId="56" xfId="1" applyNumberFormat="1" applyFont="1" applyFill="1" applyBorder="1" applyAlignment="1">
      <alignment horizontal="center" vertical="center" wrapText="1"/>
    </xf>
    <xf numFmtId="43" fontId="18" fillId="11" borderId="56" xfId="1" applyFont="1" applyFill="1" applyBorder="1" applyAlignment="1">
      <alignment horizontal="center" vertical="center"/>
    </xf>
    <xf numFmtId="43" fontId="5" fillId="12" borderId="56" xfId="1" applyFont="1" applyFill="1" applyBorder="1" applyAlignment="1">
      <alignment horizontal="center" vertical="center"/>
    </xf>
    <xf numFmtId="43" fontId="5" fillId="13" borderId="56" xfId="1" applyFont="1" applyFill="1" applyBorder="1" applyAlignment="1">
      <alignment horizontal="center" vertical="center"/>
    </xf>
    <xf numFmtId="49" fontId="39" fillId="2" borderId="57" xfId="1" applyNumberFormat="1" applyFont="1" applyFill="1" applyBorder="1" applyAlignment="1">
      <alignment horizontal="center" vertical="center"/>
    </xf>
    <xf numFmtId="164" fontId="11" fillId="2" borderId="0" xfId="2" applyNumberFormat="1" applyFont="1" applyFill="1" applyAlignment="1">
      <alignment horizontal="center" vertical="center"/>
    </xf>
    <xf numFmtId="10" fontId="11" fillId="2" borderId="0" xfId="2" applyNumberFormat="1" applyFont="1" applyFill="1" applyAlignment="1">
      <alignment horizontal="center" vertical="center"/>
    </xf>
    <xf numFmtId="43" fontId="5" fillId="2" borderId="1" xfId="1" applyFont="1" applyFill="1" applyBorder="1" applyAlignment="1">
      <alignment vertical="center"/>
    </xf>
    <xf numFmtId="43" fontId="5" fillId="2" borderId="1" xfId="1" applyFont="1" applyFill="1" applyBorder="1" applyAlignment="1">
      <alignment horizontal="left" vertical="center"/>
    </xf>
    <xf numFmtId="0" fontId="5" fillId="2" borderId="43" xfId="1" applyNumberFormat="1" applyFont="1" applyFill="1" applyBorder="1" applyAlignment="1">
      <alignment horizontal="center" vertical="center"/>
    </xf>
    <xf numFmtId="43" fontId="11" fillId="2" borderId="0" xfId="1" applyFont="1" applyFill="1" applyAlignment="1">
      <alignment horizontal="right" vertical="center"/>
    </xf>
    <xf numFmtId="0" fontId="40" fillId="2" borderId="1" xfId="1" applyNumberFormat="1" applyFont="1" applyFill="1" applyBorder="1" applyAlignment="1">
      <alignment horizontal="center" vertical="center"/>
    </xf>
    <xf numFmtId="0" fontId="21" fillId="5" borderId="58" xfId="0" applyFont="1" applyFill="1" applyBorder="1" applyAlignment="1">
      <alignment horizontal="center" vertical="center"/>
    </xf>
    <xf numFmtId="9" fontId="21" fillId="5" borderId="58" xfId="0" applyNumberFormat="1" applyFont="1" applyFill="1" applyBorder="1" applyAlignment="1">
      <alignment horizontal="right" vertical="center"/>
    </xf>
    <xf numFmtId="0" fontId="21" fillId="5" borderId="58" xfId="0" applyFont="1" applyFill="1" applyBorder="1" applyAlignment="1">
      <alignment horizontal="right" vertical="center"/>
    </xf>
    <xf numFmtId="10" fontId="21" fillId="5" borderId="58" xfId="0" applyNumberFormat="1" applyFont="1" applyFill="1" applyBorder="1" applyAlignment="1">
      <alignment horizontal="right" vertical="center"/>
    </xf>
    <xf numFmtId="164" fontId="21" fillId="5" borderId="58" xfId="2" applyNumberFormat="1" applyFont="1" applyFill="1" applyBorder="1" applyAlignment="1">
      <alignment horizontal="right" vertical="center"/>
    </xf>
    <xf numFmtId="0" fontId="0" fillId="15" borderId="0" xfId="0" applyFill="1" applyAlignment="1">
      <alignment vertical="center"/>
    </xf>
    <xf numFmtId="43" fontId="0" fillId="15" borderId="0" xfId="0" applyNumberFormat="1" applyFill="1" applyAlignment="1">
      <alignment vertical="center"/>
    </xf>
    <xf numFmtId="0" fontId="0" fillId="15" borderId="0" xfId="0" applyFill="1" applyAlignment="1">
      <alignment horizontal="center" vertical="center"/>
    </xf>
    <xf numFmtId="0" fontId="21" fillId="15" borderId="0" xfId="0" applyFont="1" applyFill="1" applyAlignment="1">
      <alignment vertical="center"/>
    </xf>
    <xf numFmtId="0" fontId="0" fillId="15" borderId="0" xfId="0" applyFill="1" applyAlignment="1">
      <alignment horizontal="center" vertical="center" wrapText="1"/>
    </xf>
    <xf numFmtId="0" fontId="41" fillId="15" borderId="0" xfId="0" applyFont="1" applyFill="1" applyAlignment="1">
      <alignment horizontal="center" vertical="center"/>
    </xf>
    <xf numFmtId="164" fontId="0" fillId="15" borderId="0" xfId="2" applyNumberFormat="1" applyFont="1" applyFill="1" applyAlignment="1">
      <alignment vertical="center"/>
    </xf>
    <xf numFmtId="0" fontId="0" fillId="15" borderId="43" xfId="0" applyFill="1" applyBorder="1" applyAlignment="1">
      <alignment vertical="center"/>
    </xf>
    <xf numFmtId="0" fontId="0" fillId="15" borderId="43" xfId="0" applyFill="1" applyBorder="1" applyAlignment="1">
      <alignment horizontal="center" vertical="center"/>
    </xf>
    <xf numFmtId="0" fontId="5" fillId="14" borderId="32" xfId="0" applyFont="1" applyFill="1" applyBorder="1"/>
    <xf numFmtId="0" fontId="5" fillId="14" borderId="0" xfId="0" applyFont="1" applyFill="1" applyAlignment="1">
      <alignment horizontal="center"/>
    </xf>
    <xf numFmtId="43" fontId="5" fillId="14" borderId="0" xfId="1" applyFont="1" applyFill="1" applyAlignment="1">
      <alignment vertical="center"/>
    </xf>
    <xf numFmtId="0" fontId="5" fillId="14" borderId="0" xfId="1" applyNumberFormat="1" applyFont="1" applyFill="1" applyAlignment="1">
      <alignment horizontal="center" vertical="center"/>
    </xf>
    <xf numFmtId="164" fontId="5" fillId="14" borderId="0" xfId="2" applyNumberFormat="1" applyFont="1" applyFill="1" applyAlignment="1">
      <alignment vertical="center"/>
    </xf>
    <xf numFmtId="43" fontId="5" fillId="14" borderId="42" xfId="1" applyFont="1" applyFill="1" applyBorder="1" applyAlignment="1">
      <alignment vertical="center"/>
    </xf>
    <xf numFmtId="0" fontId="5" fillId="14" borderId="35" xfId="0" applyFont="1" applyFill="1" applyBorder="1"/>
    <xf numFmtId="0" fontId="5" fillId="14" borderId="1" xfId="0" applyFont="1" applyFill="1" applyBorder="1" applyAlignment="1">
      <alignment horizontal="center"/>
    </xf>
    <xf numFmtId="164" fontId="5" fillId="14" borderId="1" xfId="2" applyNumberFormat="1" applyFont="1" applyFill="1" applyBorder="1" applyAlignment="1">
      <alignment vertical="center"/>
    </xf>
    <xf numFmtId="43" fontId="5" fillId="15" borderId="0" xfId="0" applyNumberFormat="1" applyFont="1" applyFill="1" applyAlignment="1">
      <alignment vertical="center"/>
    </xf>
    <xf numFmtId="9" fontId="21" fillId="15" borderId="0" xfId="0" applyNumberFormat="1" applyFont="1" applyFill="1" applyAlignment="1">
      <alignment horizontal="center" vertical="center"/>
    </xf>
    <xf numFmtId="0" fontId="5" fillId="15" borderId="0" xfId="0" applyFont="1" applyFill="1" applyAlignment="1">
      <alignment vertical="center"/>
    </xf>
    <xf numFmtId="10" fontId="5" fillId="5" borderId="0" xfId="2" applyNumberFormat="1" applyFont="1" applyFill="1" applyAlignment="1">
      <alignment horizontal="right" vertical="center" wrapText="1"/>
    </xf>
    <xf numFmtId="10" fontId="5" fillId="5" borderId="0" xfId="1" applyNumberFormat="1" applyFont="1" applyFill="1" applyAlignment="1">
      <alignment horizontal="right" vertical="center" wrapText="1"/>
    </xf>
    <xf numFmtId="0" fontId="9" fillId="2" borderId="1" xfId="1" applyNumberFormat="1" applyFont="1" applyFill="1" applyBorder="1" applyAlignment="1">
      <alignment horizontal="center" vertical="center"/>
    </xf>
    <xf numFmtId="43" fontId="7" fillId="2" borderId="2" xfId="1" applyFont="1" applyFill="1" applyBorder="1" applyAlignment="1">
      <alignment horizontal="center" vertical="center"/>
    </xf>
    <xf numFmtId="43" fontId="5" fillId="2" borderId="59" xfId="1" applyFont="1" applyFill="1" applyBorder="1" applyAlignment="1">
      <alignment horizontal="center" vertical="center"/>
    </xf>
    <xf numFmtId="0" fontId="5" fillId="2" borderId="2" xfId="2" applyNumberFormat="1" applyFont="1" applyFill="1" applyBorder="1" applyAlignment="1">
      <alignment horizontal="center" vertical="center"/>
    </xf>
    <xf numFmtId="0" fontId="14" fillId="5" borderId="46" xfId="0" applyFont="1" applyFill="1" applyBorder="1" applyAlignment="1">
      <alignment vertical="center"/>
    </xf>
    <xf numFmtId="0" fontId="8" fillId="2" borderId="1" xfId="1" applyNumberFormat="1" applyFont="1" applyFill="1" applyBorder="1" applyAlignment="1">
      <alignment horizontal="left" vertical="center"/>
    </xf>
    <xf numFmtId="0" fontId="8" fillId="2" borderId="1" xfId="1" applyNumberFormat="1" applyFont="1" applyFill="1" applyBorder="1" applyAlignment="1">
      <alignment vertical="center"/>
    </xf>
    <xf numFmtId="0" fontId="9" fillId="2" borderId="1" xfId="1" applyNumberFormat="1" applyFont="1" applyFill="1" applyBorder="1" applyAlignment="1">
      <alignment vertical="center" wrapText="1"/>
    </xf>
    <xf numFmtId="0" fontId="9" fillId="2" borderId="1" xfId="1" applyNumberFormat="1" applyFont="1" applyFill="1" applyBorder="1" applyAlignment="1">
      <alignment vertical="center"/>
    </xf>
    <xf numFmtId="0" fontId="0" fillId="18" borderId="0" xfId="0" applyFill="1" applyAlignment="1">
      <alignment vertical="center"/>
    </xf>
    <xf numFmtId="0" fontId="0" fillId="18" borderId="5" xfId="0" applyFill="1" applyBorder="1" applyAlignment="1">
      <alignment vertical="center"/>
    </xf>
    <xf numFmtId="0" fontId="0" fillId="18" borderId="6" xfId="0" applyFill="1" applyBorder="1" applyAlignment="1">
      <alignment vertical="center"/>
    </xf>
    <xf numFmtId="0" fontId="0" fillId="18" borderId="7" xfId="0" applyFill="1" applyBorder="1" applyAlignment="1">
      <alignment vertical="center"/>
    </xf>
    <xf numFmtId="0" fontId="0" fillId="18" borderId="0" xfId="0" applyFill="1" applyAlignment="1">
      <alignment horizontal="center" vertical="center"/>
    </xf>
    <xf numFmtId="0" fontId="0" fillId="18" borderId="2" xfId="0" applyFill="1" applyBorder="1" applyAlignment="1">
      <alignment horizontal="center" vertical="center"/>
    </xf>
    <xf numFmtId="0" fontId="0" fillId="18" borderId="0" xfId="0" applyFill="1" applyAlignment="1">
      <alignment horizontal="right" vertical="center"/>
    </xf>
    <xf numFmtId="43" fontId="0" fillId="18" borderId="0" xfId="1" applyFont="1" applyFill="1" applyAlignment="1">
      <alignment vertical="center"/>
    </xf>
    <xf numFmtId="0" fontId="0" fillId="18" borderId="0" xfId="0" applyFill="1" applyAlignment="1">
      <alignment horizontal="right" vertical="center" wrapText="1"/>
    </xf>
    <xf numFmtId="0" fontId="0" fillId="18" borderId="0" xfId="0" applyFill="1" applyAlignment="1">
      <alignment horizontal="center" vertical="center" wrapText="1"/>
    </xf>
    <xf numFmtId="0" fontId="0" fillId="5" borderId="0" xfId="0" applyFill="1" applyAlignment="1">
      <alignment horizontal="left" vertical="center"/>
    </xf>
    <xf numFmtId="164" fontId="0" fillId="5" borderId="0" xfId="0" applyNumberFormat="1" applyFill="1" applyAlignment="1">
      <alignment horizontal="right" vertical="center" wrapText="1"/>
    </xf>
    <xf numFmtId="0" fontId="0" fillId="4" borderId="33" xfId="0" applyFill="1" applyBorder="1" applyAlignment="1">
      <alignment horizontal="left" vertical="center"/>
    </xf>
    <xf numFmtId="164" fontId="0" fillId="4" borderId="34" xfId="0" applyNumberFormat="1" applyFill="1" applyBorder="1" applyAlignment="1">
      <alignment horizontal="right" vertical="center" wrapText="1"/>
    </xf>
    <xf numFmtId="0" fontId="0" fillId="4" borderId="32" xfId="0" applyFill="1" applyBorder="1" applyAlignment="1">
      <alignment horizontal="left" vertical="center"/>
    </xf>
    <xf numFmtId="164" fontId="0" fillId="4" borderId="42" xfId="0" applyNumberFormat="1" applyFill="1" applyBorder="1" applyAlignment="1">
      <alignment horizontal="right" vertical="center" wrapText="1"/>
    </xf>
    <xf numFmtId="0" fontId="5" fillId="5" borderId="0" xfId="0" applyFont="1" applyFill="1" applyAlignment="1">
      <alignment horizontal="center" vertical="center" wrapText="1"/>
    </xf>
    <xf numFmtId="164" fontId="5" fillId="5" borderId="0" xfId="2" applyNumberFormat="1" applyFont="1" applyFill="1" applyAlignment="1">
      <alignment horizontal="right" vertical="center" wrapText="1"/>
    </xf>
    <xf numFmtId="0" fontId="43" fillId="4" borderId="35" xfId="0" applyFont="1" applyFill="1" applyBorder="1" applyAlignment="1">
      <alignment horizontal="left" vertical="center"/>
    </xf>
    <xf numFmtId="164" fontId="14" fillId="4" borderId="36" xfId="0" applyNumberFormat="1" applyFont="1" applyFill="1" applyBorder="1" applyAlignment="1">
      <alignment horizontal="right" vertical="center" wrapText="1"/>
    </xf>
    <xf numFmtId="0" fontId="42" fillId="5" borderId="0" xfId="0" applyFont="1" applyFill="1" applyAlignment="1">
      <alignment horizontal="left" vertical="center"/>
    </xf>
    <xf numFmtId="0" fontId="0" fillId="19" borderId="2" xfId="0" applyFill="1" applyBorder="1" applyAlignment="1">
      <alignment vertical="center"/>
    </xf>
    <xf numFmtId="0" fontId="8" fillId="2" borderId="0" xfId="1" applyNumberFormat="1" applyFont="1" applyFill="1" applyAlignment="1">
      <alignment horizontal="center" vertical="center"/>
    </xf>
    <xf numFmtId="172" fontId="0" fillId="4" borderId="0" xfId="0" applyNumberFormat="1" applyFill="1" applyAlignment="1">
      <alignment vertical="center"/>
    </xf>
    <xf numFmtId="43" fontId="0" fillId="4" borderId="0" xfId="1" applyFont="1" applyFill="1" applyAlignment="1">
      <alignment horizontal="center" vertical="center"/>
    </xf>
    <xf numFmtId="0" fontId="44" fillId="4" borderId="43" xfId="0" applyFont="1" applyFill="1" applyBorder="1" applyAlignment="1">
      <alignment vertical="center"/>
    </xf>
    <xf numFmtId="171" fontId="0" fillId="5" borderId="0" xfId="1" applyNumberFormat="1" applyFont="1" applyFill="1" applyAlignment="1">
      <alignment horizontal="center" vertical="center" wrapText="1"/>
    </xf>
    <xf numFmtId="0" fontId="0" fillId="20" borderId="0" xfId="0" applyFill="1" applyAlignment="1">
      <alignment vertical="center"/>
    </xf>
    <xf numFmtId="0" fontId="0" fillId="20" borderId="0" xfId="0" applyFill="1" applyAlignment="1">
      <alignment horizontal="center" vertical="center"/>
    </xf>
    <xf numFmtId="171" fontId="0" fillId="20" borderId="0" xfId="1" applyNumberFormat="1" applyFont="1" applyFill="1" applyAlignment="1">
      <alignment horizontal="center" vertical="center"/>
    </xf>
    <xf numFmtId="0" fontId="0" fillId="0" borderId="2" xfId="0" applyBorder="1" applyAlignment="1">
      <alignment horizontal="left" vertical="center"/>
    </xf>
    <xf numFmtId="0" fontId="0" fillId="20" borderId="2" xfId="0" applyFill="1" applyBorder="1" applyAlignment="1">
      <alignment horizontal="center" vertical="center"/>
    </xf>
    <xf numFmtId="171" fontId="0" fillId="0" borderId="2" xfId="1" applyNumberFormat="1" applyFont="1" applyBorder="1" applyAlignment="1">
      <alignment horizontal="center" vertical="center"/>
    </xf>
    <xf numFmtId="171" fontId="0" fillId="20" borderId="2" xfId="1" applyNumberFormat="1" applyFont="1" applyFill="1" applyBorder="1" applyAlignment="1">
      <alignment horizontal="center" vertical="center"/>
    </xf>
    <xf numFmtId="171" fontId="10" fillId="20" borderId="0" xfId="1" applyNumberFormat="1" applyFont="1" applyFill="1" applyAlignment="1">
      <alignment horizontal="center" vertical="center"/>
    </xf>
    <xf numFmtId="9" fontId="0" fillId="0" borderId="2" xfId="0" applyNumberFormat="1" applyBorder="1" applyAlignment="1">
      <alignment horizontal="center" vertical="center"/>
    </xf>
    <xf numFmtId="0" fontId="10" fillId="22" borderId="2" xfId="0" applyFont="1" applyFill="1" applyBorder="1" applyAlignment="1">
      <alignment vertical="center"/>
    </xf>
    <xf numFmtId="0" fontId="10" fillId="22" borderId="2" xfId="0" applyFont="1" applyFill="1" applyBorder="1" applyAlignment="1">
      <alignment horizontal="center" vertical="center"/>
    </xf>
    <xf numFmtId="0" fontId="0" fillId="4" borderId="13" xfId="0" applyFill="1" applyBorder="1" applyAlignment="1">
      <alignment horizontal="center"/>
    </xf>
    <xf numFmtId="0" fontId="0" fillId="4" borderId="16" xfId="0" applyFill="1" applyBorder="1" applyAlignment="1">
      <alignment horizontal="center"/>
    </xf>
    <xf numFmtId="43" fontId="5" fillId="5" borderId="0" xfId="1" applyFont="1" applyFill="1" applyBorder="1" applyAlignment="1">
      <alignment horizontal="right" vertical="center" wrapText="1"/>
    </xf>
    <xf numFmtId="43" fontId="5" fillId="5" borderId="0" xfId="1" applyFont="1" applyFill="1" applyBorder="1" applyAlignment="1">
      <alignment horizontal="center" vertical="center" wrapText="1"/>
    </xf>
    <xf numFmtId="0" fontId="0" fillId="19" borderId="0" xfId="0" applyFill="1" applyAlignment="1">
      <alignment vertical="center"/>
    </xf>
    <xf numFmtId="43" fontId="0" fillId="19" borderId="0" xfId="1" applyFont="1" applyFill="1" applyAlignment="1">
      <alignment vertical="center"/>
    </xf>
    <xf numFmtId="164" fontId="0" fillId="5" borderId="0" xfId="2" applyNumberFormat="1" applyFont="1" applyFill="1" applyAlignment="1">
      <alignment horizontal="right" vertical="center" wrapText="1"/>
    </xf>
    <xf numFmtId="0" fontId="26" fillId="0" borderId="0" xfId="0" applyFont="1" applyAlignment="1">
      <alignment vertical="center"/>
    </xf>
    <xf numFmtId="43" fontId="0" fillId="9" borderId="19" xfId="1" applyFont="1" applyFill="1" applyBorder="1" applyAlignment="1">
      <alignment vertical="center"/>
    </xf>
    <xf numFmtId="0" fontId="21" fillId="0" borderId="0" xfId="0" applyFont="1" applyAlignment="1">
      <alignment vertical="center"/>
    </xf>
    <xf numFmtId="0" fontId="21" fillId="0" borderId="0" xfId="0" applyFont="1" applyAlignment="1">
      <alignment horizontal="center" vertical="center"/>
    </xf>
    <xf numFmtId="173" fontId="21" fillId="0" borderId="0" xfId="0" applyNumberFormat="1" applyFont="1" applyAlignment="1">
      <alignment vertical="center"/>
    </xf>
    <xf numFmtId="0" fontId="5" fillId="14" borderId="32" xfId="0" applyFont="1" applyFill="1" applyBorder="1" applyAlignment="1">
      <alignment wrapText="1"/>
    </xf>
    <xf numFmtId="0" fontId="14" fillId="10" borderId="3" xfId="2" applyNumberFormat="1" applyFont="1" applyFill="1" applyBorder="1" applyAlignment="1">
      <alignment horizontal="center" vertical="center"/>
    </xf>
    <xf numFmtId="10" fontId="5" fillId="10" borderId="0" xfId="1" applyNumberFormat="1" applyFont="1" applyFill="1" applyAlignment="1">
      <alignment horizontal="center" vertical="center"/>
    </xf>
    <xf numFmtId="164" fontId="5" fillId="10" borderId="0" xfId="1" applyNumberFormat="1" applyFont="1" applyFill="1" applyAlignment="1">
      <alignment horizontal="center" vertical="center"/>
    </xf>
    <xf numFmtId="43" fontId="5" fillId="10" borderId="56" xfId="1" applyFont="1" applyFill="1" applyBorder="1" applyAlignment="1">
      <alignment horizontal="center" vertical="center"/>
    </xf>
    <xf numFmtId="0" fontId="4" fillId="4" borderId="0" xfId="1" applyNumberFormat="1" applyFill="1" applyAlignment="1">
      <alignment horizontal="center" vertical="center" wrapText="1"/>
    </xf>
    <xf numFmtId="0" fontId="10" fillId="4" borderId="0" xfId="1" applyNumberFormat="1" applyFont="1" applyFill="1" applyAlignment="1">
      <alignment horizontal="left" vertical="center" wrapText="1"/>
    </xf>
    <xf numFmtId="0" fontId="0" fillId="4" borderId="0" xfId="1" applyNumberFormat="1" applyFont="1" applyFill="1" applyAlignment="1">
      <alignment horizontal="left" vertical="center" wrapText="1"/>
    </xf>
    <xf numFmtId="0" fontId="10" fillId="7" borderId="19" xfId="1" applyNumberFormat="1" applyFont="1" applyFill="1" applyBorder="1" applyAlignment="1">
      <alignment horizontal="left" vertical="center" wrapText="1"/>
    </xf>
    <xf numFmtId="0" fontId="33" fillId="12" borderId="19" xfId="1" applyNumberFormat="1" applyFont="1" applyFill="1" applyBorder="1" applyAlignment="1">
      <alignment horizontal="left" vertical="center" wrapText="1"/>
    </xf>
    <xf numFmtId="0" fontId="32" fillId="4" borderId="19" xfId="1" applyNumberFormat="1" applyFont="1" applyFill="1" applyBorder="1" applyAlignment="1">
      <alignment horizontal="left" vertical="center" wrapText="1"/>
    </xf>
    <xf numFmtId="0" fontId="10" fillId="2" borderId="0" xfId="1" applyNumberFormat="1" applyFont="1" applyFill="1" applyAlignment="1">
      <alignment horizontal="center" vertical="center" wrapText="1"/>
    </xf>
    <xf numFmtId="0" fontId="12" fillId="7" borderId="55" xfId="1" applyNumberFormat="1" applyFont="1" applyFill="1" applyBorder="1" applyAlignment="1">
      <alignment horizontal="left" vertical="center" wrapText="1"/>
    </xf>
    <xf numFmtId="164" fontId="7" fillId="4" borderId="0" xfId="2" applyNumberFormat="1" applyFont="1" applyFill="1" applyAlignment="1">
      <alignment horizontal="center" vertical="center"/>
    </xf>
    <xf numFmtId="43" fontId="5" fillId="4" borderId="0" xfId="1" applyFont="1" applyFill="1" applyAlignment="1">
      <alignment horizontal="center" vertical="center"/>
    </xf>
    <xf numFmtId="0" fontId="14" fillId="4" borderId="3" xfId="2" applyNumberFormat="1" applyFont="1" applyFill="1" applyBorder="1" applyAlignment="1">
      <alignment horizontal="center" vertical="center"/>
    </xf>
    <xf numFmtId="164" fontId="14" fillId="4" borderId="19" xfId="2" applyNumberFormat="1" applyFont="1" applyFill="1" applyBorder="1" applyAlignment="1">
      <alignment horizontal="center" vertical="center"/>
    </xf>
    <xf numFmtId="10" fontId="14" fillId="4" borderId="4" xfId="2" applyNumberFormat="1" applyFont="1" applyFill="1" applyBorder="1" applyAlignment="1">
      <alignment horizontal="center" vertical="center"/>
    </xf>
    <xf numFmtId="43" fontId="7" fillId="4" borderId="0" xfId="1" applyFont="1" applyFill="1" applyAlignment="1">
      <alignment horizontal="center" vertical="center"/>
    </xf>
    <xf numFmtId="10" fontId="5" fillId="4" borderId="0" xfId="2" applyNumberFormat="1" applyFont="1" applyFill="1" applyAlignment="1">
      <alignment horizontal="center" vertical="center"/>
    </xf>
    <xf numFmtId="43" fontId="5" fillId="4" borderId="0" xfId="1" applyFont="1" applyFill="1" applyAlignment="1">
      <alignment horizontal="center" vertical="center" wrapText="1"/>
    </xf>
    <xf numFmtId="9" fontId="5" fillId="4" borderId="0" xfId="2" applyFont="1" applyFill="1" applyAlignment="1">
      <alignment horizontal="center" vertical="center"/>
    </xf>
    <xf numFmtId="9" fontId="5" fillId="4" borderId="0" xfId="1" applyNumberFormat="1" applyFont="1" applyFill="1" applyAlignment="1">
      <alignment horizontal="center" vertical="center"/>
    </xf>
    <xf numFmtId="167" fontId="5" fillId="4" borderId="0" xfId="1" applyNumberFormat="1" applyFont="1" applyFill="1" applyAlignment="1">
      <alignment horizontal="center" vertical="center"/>
    </xf>
    <xf numFmtId="9" fontId="7" fillId="4" borderId="0" xfId="2" applyFont="1" applyFill="1" applyAlignment="1">
      <alignment horizontal="center" vertical="center"/>
    </xf>
    <xf numFmtId="10" fontId="7" fillId="4" borderId="0" xfId="2" applyNumberFormat="1" applyFont="1" applyFill="1" applyAlignment="1">
      <alignment horizontal="center" vertical="center"/>
    </xf>
    <xf numFmtId="10" fontId="5" fillId="4" borderId="0" xfId="1" applyNumberFormat="1" applyFont="1" applyFill="1" applyAlignment="1">
      <alignment horizontal="center" vertical="center"/>
    </xf>
    <xf numFmtId="164" fontId="5" fillId="4" borderId="0" xfId="1" applyNumberFormat="1" applyFont="1" applyFill="1" applyAlignment="1">
      <alignment horizontal="center" vertical="center"/>
    </xf>
    <xf numFmtId="43" fontId="5" fillId="4" borderId="56" xfId="1" applyFont="1" applyFill="1" applyBorder="1" applyAlignment="1">
      <alignment horizontal="center" vertical="center"/>
    </xf>
    <xf numFmtId="43" fontId="0" fillId="5" borderId="21" xfId="1" applyFont="1" applyFill="1" applyBorder="1" applyAlignment="1">
      <alignment horizontal="center" vertical="center"/>
    </xf>
    <xf numFmtId="43" fontId="0" fillId="5" borderId="24" xfId="1" applyFont="1" applyFill="1" applyBorder="1" applyAlignment="1">
      <alignment horizontal="center" vertical="center"/>
    </xf>
    <xf numFmtId="43" fontId="0" fillId="5" borderId="27" xfId="1" applyFont="1" applyFill="1" applyBorder="1" applyAlignment="1">
      <alignment horizontal="center" vertical="center"/>
    </xf>
    <xf numFmtId="43" fontId="0" fillId="5" borderId="43" xfId="0" applyNumberFormat="1" applyFill="1" applyBorder="1" applyAlignment="1">
      <alignment horizontal="center" vertical="center"/>
    </xf>
    <xf numFmtId="43" fontId="0" fillId="5" borderId="0" xfId="0" applyNumberFormat="1" applyFill="1" applyAlignment="1">
      <alignment horizontal="center" vertical="center"/>
    </xf>
    <xf numFmtId="9" fontId="21" fillId="5" borderId="58" xfId="0" applyNumberFormat="1" applyFont="1" applyFill="1" applyBorder="1" applyAlignment="1">
      <alignment horizontal="center" vertical="center"/>
    </xf>
    <xf numFmtId="10" fontId="21" fillId="5" borderId="58" xfId="0" applyNumberFormat="1" applyFont="1" applyFill="1" applyBorder="1" applyAlignment="1">
      <alignment horizontal="center" vertical="center"/>
    </xf>
    <xf numFmtId="164" fontId="21" fillId="5" borderId="58" xfId="2" applyNumberFormat="1" applyFont="1" applyFill="1" applyBorder="1" applyAlignment="1">
      <alignment horizontal="center" vertical="center"/>
    </xf>
    <xf numFmtId="9" fontId="0" fillId="5" borderId="0" xfId="2" applyFont="1" applyFill="1" applyAlignment="1">
      <alignment vertical="center"/>
    </xf>
    <xf numFmtId="164" fontId="45" fillId="2" borderId="0" xfId="2" applyNumberFormat="1" applyFont="1" applyFill="1" applyAlignment="1">
      <alignment horizontal="center" vertical="center"/>
    </xf>
    <xf numFmtId="164" fontId="45" fillId="10" borderId="0" xfId="2" applyNumberFormat="1" applyFont="1" applyFill="1" applyAlignment="1">
      <alignment horizontal="center" vertical="center"/>
    </xf>
    <xf numFmtId="43" fontId="46" fillId="2" borderId="0" xfId="1" applyFont="1" applyFill="1" applyAlignment="1">
      <alignment horizontal="center" vertical="center"/>
    </xf>
    <xf numFmtId="173" fontId="0" fillId="20" borderId="0" xfId="0" applyNumberFormat="1" applyFill="1" applyAlignment="1">
      <alignment horizontal="center" vertical="center"/>
    </xf>
    <xf numFmtId="0" fontId="7" fillId="4" borderId="0" xfId="2" applyNumberFormat="1" applyFont="1" applyFill="1" applyAlignment="1">
      <alignment horizontal="center" vertical="center"/>
    </xf>
    <xf numFmtId="164" fontId="0" fillId="4" borderId="34" xfId="2" applyNumberFormat="1" applyFont="1" applyFill="1" applyBorder="1" applyAlignment="1">
      <alignment horizontal="right" vertical="center" wrapText="1"/>
    </xf>
    <xf numFmtId="164" fontId="0" fillId="4" borderId="42" xfId="2" applyNumberFormat="1" applyFont="1" applyFill="1" applyBorder="1" applyAlignment="1">
      <alignment horizontal="right" vertical="center" wrapText="1"/>
    </xf>
    <xf numFmtId="164" fontId="0" fillId="4" borderId="2" xfId="2" applyNumberFormat="1" applyFont="1" applyFill="1" applyBorder="1" applyAlignment="1">
      <alignment vertical="center"/>
    </xf>
    <xf numFmtId="0" fontId="0" fillId="0" borderId="0" xfId="0" applyAlignment="1">
      <alignment horizontal="left"/>
    </xf>
    <xf numFmtId="0" fontId="14" fillId="23" borderId="0" xfId="0" applyFont="1" applyFill="1" applyAlignment="1">
      <alignment horizontal="left"/>
    </xf>
    <xf numFmtId="0" fontId="0" fillId="23" borderId="0" xfId="0" applyFill="1" applyAlignment="1">
      <alignment horizontal="left"/>
    </xf>
    <xf numFmtId="0" fontId="47" fillId="24" borderId="0" xfId="0" applyFont="1" applyFill="1" applyAlignment="1">
      <alignment horizontal="left"/>
    </xf>
    <xf numFmtId="0" fontId="47" fillId="25" borderId="0" xfId="0" applyFont="1" applyFill="1" applyAlignment="1">
      <alignment horizontal="left"/>
    </xf>
    <xf numFmtId="0" fontId="0" fillId="14" borderId="0" xfId="0" applyFill="1" applyAlignment="1">
      <alignment horizontal="left"/>
    </xf>
    <xf numFmtId="0" fontId="0" fillId="15" borderId="0" xfId="0" applyFill="1" applyAlignment="1">
      <alignment horizontal="left"/>
    </xf>
    <xf numFmtId="43" fontId="0" fillId="0" borderId="0" xfId="1" applyFont="1" applyAlignment="1">
      <alignment horizontal="left"/>
    </xf>
    <xf numFmtId="43" fontId="14" fillId="0" borderId="0" xfId="1" applyFont="1" applyAlignment="1">
      <alignment horizontal="left"/>
    </xf>
    <xf numFmtId="0" fontId="0" fillId="0" borderId="0" xfId="0" applyAlignment="1">
      <alignment horizontal="center"/>
    </xf>
    <xf numFmtId="43" fontId="0" fillId="0" borderId="0" xfId="0" applyNumberFormat="1" applyAlignment="1">
      <alignment horizontal="center"/>
    </xf>
    <xf numFmtId="43" fontId="0" fillId="0" borderId="0" xfId="1" applyFont="1" applyAlignment="1">
      <alignment horizontal="right"/>
    </xf>
    <xf numFmtId="43" fontId="0" fillId="0" borderId="0" xfId="1" applyFont="1" applyAlignment="1">
      <alignment horizontal="center"/>
    </xf>
    <xf numFmtId="43" fontId="0" fillId="0" borderId="0" xfId="1" applyFont="1" applyFill="1" applyAlignment="1">
      <alignment horizontal="center"/>
    </xf>
    <xf numFmtId="10" fontId="0" fillId="2" borderId="0" xfId="2" applyNumberFormat="1" applyFont="1" applyFill="1" applyAlignment="1">
      <alignment horizontal="center"/>
    </xf>
    <xf numFmtId="43" fontId="14" fillId="0" borderId="0" xfId="1" applyFont="1"/>
    <xf numFmtId="175" fontId="0" fillId="0" borderId="0" xfId="0" applyNumberFormat="1" applyAlignment="1">
      <alignment horizontal="right"/>
    </xf>
    <xf numFmtId="43" fontId="0" fillId="0" borderId="0" xfId="1" applyFont="1"/>
    <xf numFmtId="164" fontId="45" fillId="4" borderId="0" xfId="2" applyNumberFormat="1" applyFont="1" applyFill="1" applyAlignment="1">
      <alignment horizontal="center" vertical="center"/>
    </xf>
    <xf numFmtId="176" fontId="5" fillId="5" borderId="43" xfId="2" applyNumberFormat="1" applyFont="1" applyFill="1" applyBorder="1" applyAlignment="1">
      <alignment horizontal="center" vertical="center" wrapText="1"/>
    </xf>
    <xf numFmtId="164" fontId="14" fillId="5" borderId="0" xfId="2" applyNumberFormat="1" applyFont="1" applyFill="1" applyAlignment="1">
      <alignment horizontal="left" vertical="center"/>
    </xf>
    <xf numFmtId="43" fontId="5" fillId="8" borderId="56" xfId="1" applyFont="1" applyFill="1" applyBorder="1" applyAlignment="1">
      <alignment horizontal="center" vertical="center"/>
    </xf>
    <xf numFmtId="10" fontId="0" fillId="5" borderId="0" xfId="0" applyNumberFormat="1" applyFill="1" applyAlignment="1">
      <alignment vertical="center"/>
    </xf>
    <xf numFmtId="43" fontId="0" fillId="4" borderId="0" xfId="0" applyNumberFormat="1" applyFill="1" applyAlignment="1">
      <alignment horizontal="center" vertical="center" wrapText="1"/>
    </xf>
    <xf numFmtId="173" fontId="0" fillId="0" borderId="0" xfId="0" applyNumberFormat="1" applyAlignment="1">
      <alignment vertical="center"/>
    </xf>
    <xf numFmtId="171" fontId="0" fillId="0" borderId="12" xfId="1" applyNumberFormat="1" applyFont="1" applyFill="1" applyBorder="1" applyAlignment="1">
      <alignment horizontal="center" vertical="center"/>
    </xf>
    <xf numFmtId="43" fontId="7" fillId="5" borderId="0" xfId="1" applyFont="1" applyFill="1" applyAlignment="1">
      <alignment horizontal="center" vertical="center" wrapText="1"/>
    </xf>
    <xf numFmtId="10" fontId="7" fillId="5" borderId="0" xfId="1" applyNumberFormat="1" applyFont="1" applyFill="1" applyAlignment="1">
      <alignment horizontal="center" vertical="center" wrapText="1"/>
    </xf>
    <xf numFmtId="0" fontId="7" fillId="5" borderId="0" xfId="0" applyFont="1" applyFill="1" applyAlignment="1">
      <alignment horizontal="center" vertical="center" wrapText="1"/>
    </xf>
    <xf numFmtId="10" fontId="7" fillId="5" borderId="0" xfId="0" applyNumberFormat="1" applyFont="1" applyFill="1" applyAlignment="1">
      <alignment horizontal="center" vertical="center" wrapText="1"/>
    </xf>
    <xf numFmtId="43" fontId="0" fillId="0" borderId="2" xfId="1" applyFont="1" applyFill="1" applyBorder="1" applyAlignment="1">
      <alignment vertical="center"/>
    </xf>
    <xf numFmtId="43" fontId="0" fillId="0" borderId="2" xfId="0" applyNumberFormat="1" applyBorder="1" applyAlignment="1">
      <alignment horizontal="center"/>
    </xf>
    <xf numFmtId="43" fontId="0" fillId="0" borderId="2" xfId="1" applyFont="1" applyFill="1" applyBorder="1" applyAlignment="1">
      <alignment horizontal="center"/>
    </xf>
    <xf numFmtId="0" fontId="7" fillId="0" borderId="2" xfId="0" applyFont="1" applyBorder="1" applyAlignment="1">
      <alignment horizontal="left" vertical="center"/>
    </xf>
    <xf numFmtId="43" fontId="28" fillId="17" borderId="0" xfId="1" applyFont="1" applyFill="1" applyAlignment="1">
      <alignment vertical="center"/>
    </xf>
    <xf numFmtId="0" fontId="10" fillId="0" borderId="0" xfId="0" applyFont="1" applyAlignment="1">
      <alignment horizontal="center" vertical="center"/>
    </xf>
    <xf numFmtId="43" fontId="27" fillId="6" borderId="2" xfId="1" applyFont="1" applyFill="1" applyBorder="1" applyAlignment="1">
      <alignment horizontal="center" vertical="center"/>
    </xf>
    <xf numFmtId="43" fontId="37" fillId="21" borderId="2" xfId="1" applyFont="1" applyFill="1" applyBorder="1" applyAlignment="1">
      <alignment horizontal="center" vertical="center"/>
    </xf>
    <xf numFmtId="9" fontId="48" fillId="5" borderId="0" xfId="2" applyFont="1" applyFill="1" applyAlignment="1">
      <alignment horizontal="right" vertical="center" wrapText="1"/>
    </xf>
    <xf numFmtId="0" fontId="0" fillId="8" borderId="19" xfId="1" applyNumberFormat="1" applyFont="1" applyFill="1" applyBorder="1" applyAlignment="1">
      <alignment horizontal="left" vertical="center" wrapText="1"/>
    </xf>
    <xf numFmtId="0" fontId="10" fillId="12" borderId="19" xfId="1" applyNumberFormat="1" applyFont="1" applyFill="1" applyBorder="1" applyAlignment="1">
      <alignment horizontal="left" vertical="center" wrapText="1"/>
    </xf>
    <xf numFmtId="0" fontId="15" fillId="13" borderId="19" xfId="1" applyNumberFormat="1" applyFont="1" applyFill="1" applyBorder="1" applyAlignment="1">
      <alignment horizontal="left" vertical="center" wrapText="1"/>
    </xf>
    <xf numFmtId="0" fontId="4" fillId="8" borderId="19" xfId="1" applyNumberFormat="1" applyFont="1" applyFill="1" applyBorder="1" applyAlignment="1">
      <alignment horizontal="left" vertical="center" wrapText="1"/>
    </xf>
    <xf numFmtId="0" fontId="17" fillId="11" borderId="19" xfId="1" applyNumberFormat="1" applyFont="1" applyFill="1" applyBorder="1" applyAlignment="1">
      <alignment horizontal="left" vertical="center" wrapText="1"/>
    </xf>
    <xf numFmtId="43" fontId="0" fillId="0" borderId="0" xfId="0" applyNumberFormat="1" applyAlignment="1">
      <alignment vertical="center"/>
    </xf>
    <xf numFmtId="43" fontId="0" fillId="5" borderId="0" xfId="2" applyNumberFormat="1" applyFont="1" applyFill="1" applyAlignment="1">
      <alignment vertical="center"/>
    </xf>
    <xf numFmtId="0" fontId="49" fillId="2" borderId="0" xfId="2" applyNumberFormat="1" applyFont="1" applyFill="1" applyAlignment="1">
      <alignment horizontal="center" vertical="center"/>
    </xf>
    <xf numFmtId="0" fontId="49" fillId="4" borderId="0" xfId="2" applyNumberFormat="1" applyFont="1" applyFill="1" applyAlignment="1">
      <alignment horizontal="center" vertical="center"/>
    </xf>
    <xf numFmtId="43" fontId="0" fillId="21" borderId="2" xfId="0" applyNumberFormat="1" applyFill="1" applyBorder="1" applyAlignment="1">
      <alignment vertical="center"/>
    </xf>
    <xf numFmtId="43" fontId="0" fillId="5" borderId="2" xfId="0" applyNumberFormat="1" applyFill="1" applyBorder="1" applyAlignment="1">
      <alignment horizontal="center" vertical="center"/>
    </xf>
    <xf numFmtId="43" fontId="10" fillId="21" borderId="2" xfId="0" applyNumberFormat="1" applyFont="1" applyFill="1" applyBorder="1" applyAlignment="1">
      <alignment vertical="center"/>
    </xf>
    <xf numFmtId="0" fontId="0" fillId="0" borderId="60" xfId="0" applyBorder="1" applyAlignment="1">
      <alignment vertical="center"/>
    </xf>
    <xf numFmtId="43" fontId="0" fillId="0" borderId="60" xfId="0" applyNumberFormat="1" applyBorder="1" applyAlignment="1">
      <alignment vertical="center"/>
    </xf>
    <xf numFmtId="171" fontId="0" fillId="0" borderId="0" xfId="0" applyNumberFormat="1" applyAlignment="1">
      <alignment vertical="center"/>
    </xf>
    <xf numFmtId="0" fontId="0" fillId="8" borderId="0" xfId="0" applyFill="1"/>
    <xf numFmtId="0" fontId="21" fillId="5" borderId="0" xfId="0" applyFont="1" applyFill="1" applyAlignment="1">
      <alignment vertical="center"/>
    </xf>
    <xf numFmtId="0" fontId="21" fillId="5" borderId="0" xfId="0" applyFont="1" applyFill="1" applyAlignment="1">
      <alignment horizontal="right" vertical="center"/>
    </xf>
    <xf numFmtId="43" fontId="21" fillId="5" borderId="0" xfId="0" applyNumberFormat="1" applyFont="1" applyFill="1" applyAlignment="1">
      <alignment horizontal="right" vertical="center"/>
    </xf>
    <xf numFmtId="43" fontId="21" fillId="5" borderId="0" xfId="1" applyFont="1" applyFill="1" applyAlignment="1">
      <alignment vertical="center"/>
    </xf>
    <xf numFmtId="164" fontId="49" fillId="4" borderId="0" xfId="2" applyNumberFormat="1" applyFont="1" applyFill="1" applyAlignment="1">
      <alignment horizontal="center" vertical="center"/>
    </xf>
    <xf numFmtId="164" fontId="49" fillId="2" borderId="0" xfId="2" applyNumberFormat="1" applyFont="1" applyFill="1" applyAlignment="1">
      <alignment horizontal="center" vertical="center"/>
    </xf>
    <xf numFmtId="164" fontId="10" fillId="5" borderId="0" xfId="2" applyNumberFormat="1" applyFont="1" applyFill="1" applyAlignment="1">
      <alignment vertical="center"/>
    </xf>
    <xf numFmtId="0" fontId="21" fillId="5" borderId="0" xfId="0" applyFont="1" applyFill="1" applyAlignment="1">
      <alignment horizontal="center" vertical="center"/>
    </xf>
    <xf numFmtId="0" fontId="0" fillId="5" borderId="42" xfId="0" applyFill="1" applyBorder="1" applyAlignment="1">
      <alignment horizontal="right" vertical="center"/>
    </xf>
    <xf numFmtId="0" fontId="0" fillId="4" borderId="3" xfId="0" applyFill="1" applyBorder="1" applyAlignment="1">
      <alignment horizontal="center" vertical="center"/>
    </xf>
    <xf numFmtId="0" fontId="0" fillId="4" borderId="19" xfId="0" applyFill="1" applyBorder="1" applyAlignment="1">
      <alignment horizontal="center" vertical="center"/>
    </xf>
    <xf numFmtId="0" fontId="0" fillId="4" borderId="4" xfId="0" applyFill="1" applyBorder="1" applyAlignment="1">
      <alignment horizontal="center" vertical="center"/>
    </xf>
    <xf numFmtId="43" fontId="0" fillId="4" borderId="3" xfId="1" applyFont="1" applyFill="1" applyBorder="1" applyAlignment="1">
      <alignment horizontal="center" vertical="center"/>
    </xf>
    <xf numFmtId="43" fontId="0" fillId="4" borderId="19" xfId="1" applyFont="1" applyFill="1" applyBorder="1" applyAlignment="1">
      <alignment horizontal="center" vertical="center"/>
    </xf>
    <xf numFmtId="43" fontId="0" fillId="4" borderId="4" xfId="1" applyFont="1" applyFill="1" applyBorder="1" applyAlignment="1">
      <alignment horizontal="center" vertical="center"/>
    </xf>
    <xf numFmtId="43" fontId="0" fillId="4" borderId="2" xfId="1" applyFont="1" applyFill="1" applyBorder="1" applyAlignment="1">
      <alignment horizontal="center" vertical="center"/>
    </xf>
    <xf numFmtId="0" fontId="0" fillId="4" borderId="2" xfId="1" applyNumberFormat="1" applyFont="1" applyFill="1" applyBorder="1" applyAlignment="1">
      <alignment horizontal="center" vertical="center"/>
    </xf>
    <xf numFmtId="0" fontId="0" fillId="5" borderId="1" xfId="0" applyFill="1" applyBorder="1" applyAlignment="1">
      <alignment horizontal="center" vertical="center"/>
    </xf>
    <xf numFmtId="0" fontId="0" fillId="5" borderId="0" xfId="0" applyFill="1" applyAlignment="1">
      <alignment horizontal="center" vertical="center"/>
    </xf>
    <xf numFmtId="0" fontId="10" fillId="4" borderId="0" xfId="1" applyNumberFormat="1" applyFont="1" applyFill="1" applyAlignment="1">
      <alignment horizontal="center" vertical="center"/>
    </xf>
    <xf numFmtId="0" fontId="36" fillId="11" borderId="19" xfId="1" applyNumberFormat="1" applyFont="1" applyFill="1" applyBorder="1" applyAlignment="1">
      <alignment horizontal="left" vertical="center" wrapText="1"/>
    </xf>
    <xf numFmtId="0" fontId="36" fillId="11" borderId="4" xfId="1" applyNumberFormat="1" applyFont="1" applyFill="1" applyBorder="1" applyAlignment="1">
      <alignment horizontal="left" vertical="center" wrapText="1"/>
    </xf>
    <xf numFmtId="0" fontId="15" fillId="12" borderId="19" xfId="1" applyNumberFormat="1" applyFont="1" applyFill="1" applyBorder="1" applyAlignment="1">
      <alignment horizontal="left" vertical="center" wrapText="1"/>
    </xf>
    <xf numFmtId="0" fontId="15" fillId="12" borderId="4" xfId="1" applyNumberFormat="1" applyFont="1" applyFill="1" applyBorder="1" applyAlignment="1">
      <alignment horizontal="left" vertical="center" wrapText="1"/>
    </xf>
    <xf numFmtId="0" fontId="14" fillId="13" borderId="19" xfId="1" applyNumberFormat="1" applyFont="1" applyFill="1" applyBorder="1" applyAlignment="1">
      <alignment horizontal="left" vertical="center" wrapText="1"/>
    </xf>
    <xf numFmtId="0" fontId="14" fillId="13" borderId="4" xfId="1" applyNumberFormat="1" applyFont="1" applyFill="1" applyBorder="1" applyAlignment="1">
      <alignment horizontal="left" vertical="center" wrapText="1"/>
    </xf>
    <xf numFmtId="0" fontId="14" fillId="8" borderId="19" xfId="1" applyNumberFormat="1" applyFont="1" applyFill="1" applyBorder="1" applyAlignment="1">
      <alignment horizontal="left" vertical="center" wrapText="1"/>
    </xf>
    <xf numFmtId="0" fontId="14" fillId="8" borderId="4" xfId="1" applyNumberFormat="1" applyFont="1" applyFill="1" applyBorder="1" applyAlignment="1">
      <alignment horizontal="left" vertical="center" wrapText="1"/>
    </xf>
    <xf numFmtId="0" fontId="15" fillId="13" borderId="19" xfId="1" applyNumberFormat="1" applyFont="1" applyFill="1" applyBorder="1" applyAlignment="1">
      <alignment horizontal="left" vertical="center" wrapText="1"/>
    </xf>
    <xf numFmtId="0" fontId="0" fillId="0" borderId="4" xfId="0" applyBorder="1" applyAlignment="1">
      <alignment horizontal="left" vertical="center" wrapText="1"/>
    </xf>
    <xf numFmtId="0" fontId="17" fillId="11" borderId="19" xfId="1" applyNumberFormat="1" applyFont="1" applyFill="1" applyBorder="1" applyAlignment="1">
      <alignment horizontal="left" vertical="center" wrapText="1"/>
    </xf>
    <xf numFmtId="0" fontId="10" fillId="12" borderId="19" xfId="1" applyNumberFormat="1" applyFont="1" applyFill="1" applyBorder="1" applyAlignment="1">
      <alignment horizontal="left" vertical="center" wrapText="1"/>
    </xf>
    <xf numFmtId="0" fontId="0" fillId="8" borderId="19" xfId="1" applyNumberFormat="1" applyFont="1" applyFill="1" applyBorder="1" applyAlignment="1">
      <alignment horizontal="left" vertical="center" wrapText="1"/>
    </xf>
    <xf numFmtId="0" fontId="4" fillId="8" borderId="19" xfId="1" applyNumberFormat="1" applyFont="1" applyFill="1" applyBorder="1" applyAlignment="1">
      <alignment horizontal="left" vertical="center" wrapText="1"/>
    </xf>
    <xf numFmtId="0" fontId="0" fillId="9" borderId="2" xfId="0" applyFill="1" applyBorder="1" applyAlignment="1">
      <alignment horizontal="center" vertical="center"/>
    </xf>
    <xf numFmtId="0" fontId="0" fillId="9" borderId="3" xfId="0" applyFill="1" applyBorder="1" applyAlignment="1">
      <alignment horizontal="center" vertical="center"/>
    </xf>
    <xf numFmtId="0" fontId="0" fillId="9" borderId="4" xfId="0" applyFill="1" applyBorder="1" applyAlignment="1">
      <alignment horizontal="center" vertical="center"/>
    </xf>
    <xf numFmtId="0" fontId="0" fillId="5" borderId="2" xfId="0" applyFill="1" applyBorder="1" applyAlignment="1">
      <alignment horizontal="center" vertical="center"/>
    </xf>
    <xf numFmtId="0" fontId="0" fillId="5" borderId="0" xfId="0" applyFill="1" applyAlignment="1">
      <alignment horizontal="center" vertical="top" textRotation="90"/>
    </xf>
    <xf numFmtId="0" fontId="0" fillId="20" borderId="0" xfId="0" applyFill="1" applyAlignment="1">
      <alignment horizontal="center" vertical="center"/>
    </xf>
    <xf numFmtId="0" fontId="10" fillId="5" borderId="2" xfId="0" applyFont="1" applyFill="1" applyBorder="1" applyAlignment="1">
      <alignment horizontal="center" vertical="center"/>
    </xf>
    <xf numFmtId="0" fontId="10" fillId="5" borderId="33" xfId="0" applyFont="1" applyFill="1" applyBorder="1" applyAlignment="1">
      <alignment horizontal="center" vertical="center"/>
    </xf>
    <xf numFmtId="0" fontId="10" fillId="5" borderId="34" xfId="0" applyFont="1" applyFill="1" applyBorder="1" applyAlignment="1">
      <alignment horizontal="center" vertical="center"/>
    </xf>
    <xf numFmtId="0" fontId="13" fillId="5" borderId="0" xfId="0" applyFont="1" applyFill="1" applyAlignment="1">
      <alignment horizontal="center" vertical="center"/>
    </xf>
    <xf numFmtId="0" fontId="0" fillId="4" borderId="32" xfId="0" applyFill="1" applyBorder="1" applyAlignment="1">
      <alignment horizontal="right" vertical="center" textRotation="90"/>
    </xf>
    <xf numFmtId="0" fontId="0" fillId="4" borderId="35" xfId="0" applyFill="1" applyBorder="1" applyAlignment="1">
      <alignment horizontal="right" vertical="center" textRotation="90"/>
    </xf>
    <xf numFmtId="0" fontId="18" fillId="0" borderId="0" xfId="0" applyFont="1" applyAlignment="1">
      <alignment horizontal="center" vertical="center" textRotation="90" wrapText="1"/>
    </xf>
    <xf numFmtId="0" fontId="18" fillId="0" borderId="0" xfId="0" applyFont="1" applyAlignment="1">
      <alignment horizontal="center" vertical="center" textRotation="90"/>
    </xf>
  </cellXfs>
  <cellStyles count="13">
    <cellStyle name="Comma 2" xfId="5" xr:uid="{AF57E793-A421-416B-BB67-7AC0165CBA85}"/>
    <cellStyle name="Normal" xfId="0" builtinId="0"/>
    <cellStyle name="Normal 2" xfId="3" xr:uid="{CEF329B2-FD78-4431-A784-8DB473E7D7B4}"/>
    <cellStyle name="Normal 2 2" xfId="9" xr:uid="{15200F94-80F2-4534-B489-7942A19D8ED7}"/>
    <cellStyle name="Normal 2 2 2" xfId="11" xr:uid="{7A3F58C8-CAE9-4853-864C-16B1A12E0CD2}"/>
    <cellStyle name="Normal 3" xfId="4" xr:uid="{7B27740A-3EAA-4EC7-81F4-26B6A0A6644B}"/>
    <cellStyle name="Normal 4" xfId="7" xr:uid="{1049EF1A-97C2-4EE5-B70C-760D106A7E41}"/>
    <cellStyle name="Percent 2" xfId="6" xr:uid="{D2FF0869-0A6F-405A-940F-41018F6DB283}"/>
    <cellStyle name="Percent 2 2" xfId="10" xr:uid="{730CB774-CDC1-477E-A364-D3D1D21E4E94}"/>
    <cellStyle name="Percent 2 2 2" xfId="12" xr:uid="{1533E398-B9C4-4D56-B079-04F955983B2F}"/>
    <cellStyle name="Percent 3" xfId="8" xr:uid="{F2C47376-746D-4EF5-BD29-61CE27A625F8}"/>
    <cellStyle name="Porcentagem" xfId="2" builtinId="5"/>
    <cellStyle name="Vírgula" xfId="1" builtinId="3"/>
  </cellStyles>
  <dxfs count="41">
    <dxf>
      <font>
        <color theme="0" tint="-0.24994659260841701"/>
      </font>
    </dxf>
    <dxf>
      <font>
        <b/>
        <i val="0"/>
        <color rgb="FF00B050"/>
      </font>
    </dxf>
    <dxf>
      <font>
        <color theme="0" tint="-0.24994659260841701"/>
      </font>
    </dxf>
    <dxf>
      <fill>
        <patternFill>
          <bgColor theme="0"/>
        </patternFill>
      </fill>
    </dxf>
    <dxf>
      <fill>
        <patternFill>
          <bgColor rgb="FFFFFF99"/>
        </patternFill>
      </fill>
    </dxf>
    <dxf>
      <fill>
        <patternFill>
          <bgColor rgb="FF99FF99"/>
        </patternFill>
      </fill>
    </dxf>
    <dxf>
      <fill>
        <patternFill>
          <bgColor rgb="FF99FF99"/>
        </patternFill>
      </fill>
    </dxf>
    <dxf>
      <fill>
        <patternFill>
          <bgColor rgb="FF99FF99"/>
        </patternFill>
      </fill>
    </dxf>
    <dxf>
      <font>
        <color theme="0" tint="-0.24994659260841701"/>
      </font>
    </dxf>
    <dxf>
      <fill>
        <patternFill>
          <bgColor rgb="FF99FF99"/>
        </patternFill>
      </fill>
    </dxf>
    <dxf>
      <font>
        <color theme="0" tint="-0.24994659260841701"/>
      </font>
    </dxf>
    <dxf>
      <fill>
        <patternFill>
          <bgColor rgb="FF99FF99"/>
        </patternFill>
      </fill>
    </dxf>
    <dxf>
      <font>
        <color theme="0" tint="-0.24994659260841701"/>
      </font>
    </dxf>
    <dxf>
      <font>
        <color auto="1"/>
      </font>
      <fill>
        <patternFill>
          <bgColor rgb="FF99FF99"/>
        </patternFill>
      </fill>
    </dxf>
    <dxf>
      <font>
        <b/>
        <i val="0"/>
        <color auto="1"/>
      </font>
      <fill>
        <patternFill>
          <bgColor theme="9" tint="0.39994506668294322"/>
        </patternFill>
      </fill>
    </dxf>
    <dxf>
      <font>
        <color theme="0" tint="-0.24994659260841701"/>
      </font>
    </dxf>
    <dxf>
      <font>
        <color auto="1"/>
      </font>
      <fill>
        <patternFill>
          <bgColor rgb="FF99FF99"/>
        </patternFill>
      </fill>
    </dxf>
    <dxf>
      <font>
        <b/>
        <i val="0"/>
        <color auto="1"/>
      </font>
      <fill>
        <patternFill>
          <bgColor theme="9" tint="0.39994506668294322"/>
        </patternFill>
      </fill>
    </dxf>
    <dxf>
      <font>
        <color theme="0" tint="-0.24994659260841701"/>
      </font>
    </dxf>
    <dxf>
      <font>
        <color auto="1"/>
      </font>
      <fill>
        <patternFill>
          <bgColor rgb="FF99FF99"/>
        </patternFill>
      </fill>
    </dxf>
    <dxf>
      <font>
        <b/>
        <i val="0"/>
        <color auto="1"/>
      </font>
      <fill>
        <patternFill>
          <bgColor theme="9" tint="0.39994506668294322"/>
        </patternFill>
      </fill>
    </dxf>
    <dxf>
      <font>
        <color theme="0" tint="-0.24994659260841701"/>
      </font>
    </dxf>
    <dxf>
      <font>
        <color theme="0" tint="-0.24994659260841701"/>
      </font>
    </dxf>
    <dxf>
      <font>
        <color auto="1"/>
      </font>
      <fill>
        <patternFill>
          <bgColor rgb="FF99FF99"/>
        </patternFill>
      </fill>
    </dxf>
    <dxf>
      <font>
        <b/>
        <i val="0"/>
        <color auto="1"/>
      </font>
      <fill>
        <patternFill>
          <bgColor theme="9" tint="0.39994506668294322"/>
        </patternFill>
      </fill>
    </dxf>
    <dxf>
      <font>
        <color rgb="FFFFFF00"/>
      </font>
    </dxf>
    <dxf>
      <font>
        <color rgb="FFFFFF00"/>
      </font>
    </dxf>
    <dxf>
      <font>
        <color rgb="FFFFFF00"/>
      </font>
    </dxf>
    <dxf>
      <font>
        <color rgb="FFFFFF00"/>
      </font>
    </dxf>
    <dxf>
      <font>
        <color rgb="FFFFFF00"/>
      </font>
    </dxf>
    <dxf>
      <font>
        <color rgb="FFFFFF00"/>
      </font>
    </dxf>
    <dxf>
      <font>
        <color rgb="FFFFFF00"/>
      </font>
    </dxf>
    <dxf>
      <font>
        <color rgb="FFFFFF00"/>
      </font>
    </dxf>
    <dxf>
      <font>
        <color rgb="FFFFFF00"/>
      </font>
    </dxf>
    <dxf>
      <font>
        <color rgb="FFFFFF00"/>
      </font>
    </dxf>
    <dxf>
      <font>
        <color rgb="FFFFFF00"/>
      </font>
    </dxf>
    <dxf>
      <font>
        <color rgb="FFFFFF00"/>
      </font>
    </dxf>
    <dxf>
      <font>
        <color rgb="FFFFFF00"/>
      </font>
    </dxf>
    <dxf>
      <font>
        <color theme="0" tint="-0.34998626667073579"/>
      </font>
    </dxf>
    <dxf>
      <font>
        <color theme="0" tint="-0.34998626667073579"/>
      </font>
    </dxf>
    <dxf>
      <font>
        <color rgb="FF00B050"/>
      </font>
    </dxf>
  </dxfs>
  <tableStyles count="0" defaultTableStyle="TableStyleMedium9" defaultPivotStyle="PivotStyleLight16"/>
  <colors>
    <mruColors>
      <color rgb="FF66FFFF"/>
      <color rgb="FFFFFF99"/>
      <color rgb="FFFF66CC"/>
      <color rgb="FF99FF99"/>
      <color rgb="FF66FF33"/>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invertIfNegative val="0"/>
          <c:cat>
            <c:numRef>
              <c:f>CF!$I$4:$AR$4</c:f>
              <c:numCache>
                <c:formatCode>[$-416]mmm\-yy;@</c:formatCode>
                <c:ptCount val="36"/>
                <c:pt idx="0">
                  <c:v>45561</c:v>
                </c:pt>
                <c:pt idx="1">
                  <c:v>45591</c:v>
                </c:pt>
                <c:pt idx="2">
                  <c:v>45622</c:v>
                </c:pt>
                <c:pt idx="3">
                  <c:v>45652</c:v>
                </c:pt>
                <c:pt idx="4">
                  <c:v>45683</c:v>
                </c:pt>
                <c:pt idx="5">
                  <c:v>45714</c:v>
                </c:pt>
                <c:pt idx="6">
                  <c:v>45742</c:v>
                </c:pt>
                <c:pt idx="7">
                  <c:v>45773</c:v>
                </c:pt>
                <c:pt idx="8">
                  <c:v>45803</c:v>
                </c:pt>
                <c:pt idx="9">
                  <c:v>45834</c:v>
                </c:pt>
                <c:pt idx="10">
                  <c:v>45864</c:v>
                </c:pt>
                <c:pt idx="11">
                  <c:v>45895</c:v>
                </c:pt>
                <c:pt idx="12">
                  <c:v>45926</c:v>
                </c:pt>
                <c:pt idx="13">
                  <c:v>45956</c:v>
                </c:pt>
                <c:pt idx="14">
                  <c:v>45987</c:v>
                </c:pt>
                <c:pt idx="15">
                  <c:v>46017</c:v>
                </c:pt>
                <c:pt idx="16">
                  <c:v>46048</c:v>
                </c:pt>
                <c:pt idx="17">
                  <c:v>46079</c:v>
                </c:pt>
                <c:pt idx="18">
                  <c:v>46107</c:v>
                </c:pt>
                <c:pt idx="19">
                  <c:v>46138</c:v>
                </c:pt>
                <c:pt idx="20">
                  <c:v>46168</c:v>
                </c:pt>
                <c:pt idx="21">
                  <c:v>46199</c:v>
                </c:pt>
                <c:pt idx="22">
                  <c:v>46229</c:v>
                </c:pt>
                <c:pt idx="23">
                  <c:v>46260</c:v>
                </c:pt>
                <c:pt idx="24">
                  <c:v>46291</c:v>
                </c:pt>
                <c:pt idx="25">
                  <c:v>46321</c:v>
                </c:pt>
                <c:pt idx="26">
                  <c:v>46352</c:v>
                </c:pt>
                <c:pt idx="27">
                  <c:v>46382</c:v>
                </c:pt>
                <c:pt idx="28">
                  <c:v>46413</c:v>
                </c:pt>
                <c:pt idx="29">
                  <c:v>46444</c:v>
                </c:pt>
                <c:pt idx="30">
                  <c:v>46472</c:v>
                </c:pt>
                <c:pt idx="31">
                  <c:v>46503</c:v>
                </c:pt>
                <c:pt idx="32">
                  <c:v>46533</c:v>
                </c:pt>
                <c:pt idx="33">
                  <c:v>46564</c:v>
                </c:pt>
                <c:pt idx="34">
                  <c:v>46594</c:v>
                </c:pt>
                <c:pt idx="35">
                  <c:v>46625</c:v>
                </c:pt>
              </c:numCache>
            </c:numRef>
          </c:cat>
          <c:val>
            <c:numRef>
              <c:f>CF!$I$47:$AR$47</c:f>
              <c:numCache>
                <c:formatCode>_(* #,##0.00_);_(* \(#,##0.00\);_(* "-"??_);_(@_)</c:formatCode>
                <c:ptCount val="36"/>
                <c:pt idx="0">
                  <c:v>-5819.7333339316228</c:v>
                </c:pt>
                <c:pt idx="1">
                  <c:v>-11639.466667863246</c:v>
                </c:pt>
                <c:pt idx="2">
                  <c:v>-17459.200001794867</c:v>
                </c:pt>
                <c:pt idx="3">
                  <c:v>-150802.92783055379</c:v>
                </c:pt>
                <c:pt idx="4">
                  <c:v>-284146.65565931273</c:v>
                </c:pt>
                <c:pt idx="5">
                  <c:v>-417490.38348807162</c:v>
                </c:pt>
                <c:pt idx="6">
                  <c:v>-423738.38348866993</c:v>
                </c:pt>
                <c:pt idx="7">
                  <c:v>-429986.38348926825</c:v>
                </c:pt>
                <c:pt idx="8">
                  <c:v>-436234.38348986657</c:v>
                </c:pt>
                <c:pt idx="9">
                  <c:v>-461572.38350404816</c:v>
                </c:pt>
                <c:pt idx="10">
                  <c:v>-605418.11133280711</c:v>
                </c:pt>
                <c:pt idx="11">
                  <c:v>-648637.12067102315</c:v>
                </c:pt>
                <c:pt idx="12">
                  <c:v>-648637.12067102315</c:v>
                </c:pt>
                <c:pt idx="13">
                  <c:v>-648637.12067102315</c:v>
                </c:pt>
                <c:pt idx="14">
                  <c:v>-648637.12067102315</c:v>
                </c:pt>
                <c:pt idx="15">
                  <c:v>-648637.12067102315</c:v>
                </c:pt>
                <c:pt idx="16">
                  <c:v>-648637.12067102315</c:v>
                </c:pt>
                <c:pt idx="17">
                  <c:v>-648637.12067102315</c:v>
                </c:pt>
                <c:pt idx="18">
                  <c:v>-648637.12067102315</c:v>
                </c:pt>
                <c:pt idx="19">
                  <c:v>-648637.12067102315</c:v>
                </c:pt>
                <c:pt idx="20">
                  <c:v>-648637.12067102315</c:v>
                </c:pt>
                <c:pt idx="21">
                  <c:v>-648637.12067102315</c:v>
                </c:pt>
                <c:pt idx="22">
                  <c:v>-648637.12067102315</c:v>
                </c:pt>
                <c:pt idx="23">
                  <c:v>-648637.12067102315</c:v>
                </c:pt>
                <c:pt idx="24">
                  <c:v>-648637.12067102315</c:v>
                </c:pt>
                <c:pt idx="25">
                  <c:v>-648637.12067102315</c:v>
                </c:pt>
                <c:pt idx="26">
                  <c:v>-648637.12067102315</c:v>
                </c:pt>
                <c:pt idx="27">
                  <c:v>-648637.12067102315</c:v>
                </c:pt>
                <c:pt idx="28">
                  <c:v>-648637.12067102315</c:v>
                </c:pt>
                <c:pt idx="29">
                  <c:v>-648637.12067102315</c:v>
                </c:pt>
                <c:pt idx="30">
                  <c:v>-648637.12067102315</c:v>
                </c:pt>
                <c:pt idx="31">
                  <c:v>-648637.12067102315</c:v>
                </c:pt>
                <c:pt idx="32">
                  <c:v>-648637.12067102315</c:v>
                </c:pt>
                <c:pt idx="33">
                  <c:v>-648637.12067102315</c:v>
                </c:pt>
                <c:pt idx="34">
                  <c:v>-648637.12067102315</c:v>
                </c:pt>
                <c:pt idx="35">
                  <c:v>-648637.12067102315</c:v>
                </c:pt>
              </c:numCache>
            </c:numRef>
          </c:val>
          <c:extLst>
            <c:ext xmlns:c16="http://schemas.microsoft.com/office/drawing/2014/chart" uri="{C3380CC4-5D6E-409C-BE32-E72D297353CC}">
              <c16:uniqueId val="{00000000-C9A4-4D81-81A4-47312F6D5F3F}"/>
            </c:ext>
          </c:extLst>
        </c:ser>
        <c:dLbls>
          <c:showLegendKey val="0"/>
          <c:showVal val="0"/>
          <c:showCatName val="0"/>
          <c:showSerName val="0"/>
          <c:showPercent val="0"/>
          <c:showBubbleSize val="0"/>
        </c:dLbls>
        <c:gapWidth val="150"/>
        <c:axId val="316782080"/>
        <c:axId val="315611904"/>
      </c:barChart>
      <c:dateAx>
        <c:axId val="316782080"/>
        <c:scaling>
          <c:orientation val="minMax"/>
        </c:scaling>
        <c:delete val="0"/>
        <c:axPos val="b"/>
        <c:numFmt formatCode="[$-416]mmm\-yy;@" sourceLinked="1"/>
        <c:majorTickMark val="out"/>
        <c:minorTickMark val="none"/>
        <c:tickLblPos val="nextTo"/>
        <c:spPr>
          <a:noFill/>
        </c:spPr>
        <c:crossAx val="315611904"/>
        <c:crosses val="autoZero"/>
        <c:auto val="1"/>
        <c:lblOffset val="100"/>
        <c:baseTimeUnit val="months"/>
      </c:dateAx>
      <c:valAx>
        <c:axId val="315611904"/>
        <c:scaling>
          <c:orientation val="minMax"/>
        </c:scaling>
        <c:delete val="0"/>
        <c:axPos val="l"/>
        <c:majorGridlines>
          <c:spPr>
            <a:ln>
              <a:prstDash val="sysDot"/>
            </a:ln>
          </c:spPr>
        </c:majorGridlines>
        <c:title>
          <c:tx>
            <c:rich>
              <a:bodyPr rot="-5400000" vert="horz"/>
              <a:lstStyle/>
              <a:p>
                <a:pPr>
                  <a:defRPr/>
                </a:pPr>
                <a:r>
                  <a:rPr lang="pt-BR"/>
                  <a:t>Simulação</a:t>
                </a:r>
                <a:r>
                  <a:rPr lang="pt-BR" baseline="0"/>
                  <a:t> de Caixa</a:t>
                </a:r>
                <a:endParaRPr lang="pt-BR"/>
              </a:p>
            </c:rich>
          </c:tx>
          <c:overlay val="0"/>
        </c:title>
        <c:numFmt formatCode="_(* #,##0.00_);_(* \(#,##0.00\);_(* &quot;-&quot;??_);_(@_)" sourceLinked="1"/>
        <c:majorTickMark val="out"/>
        <c:minorTickMark val="none"/>
        <c:tickLblPos val="nextTo"/>
        <c:txPr>
          <a:bodyPr/>
          <a:lstStyle/>
          <a:p>
            <a:pPr>
              <a:defRPr sz="800"/>
            </a:pPr>
            <a:endParaRPr lang="pt-BR"/>
          </a:p>
        </c:txPr>
        <c:crossAx val="316782080"/>
        <c:crosses val="autoZero"/>
        <c:crossBetween val="between"/>
      </c:valAx>
    </c:plotArea>
    <c:plotVisOnly val="1"/>
    <c:dispBlanksAs val="gap"/>
    <c:showDLblsOverMax val="0"/>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invertIfNegative val="0"/>
          <c:cat>
            <c:numRef>
              <c:f>CF!$I$4:$AR$4</c:f>
              <c:numCache>
                <c:formatCode>[$-416]mmm\-yy;@</c:formatCode>
                <c:ptCount val="36"/>
                <c:pt idx="0">
                  <c:v>45561</c:v>
                </c:pt>
                <c:pt idx="1">
                  <c:v>45591</c:v>
                </c:pt>
                <c:pt idx="2">
                  <c:v>45622</c:v>
                </c:pt>
                <c:pt idx="3">
                  <c:v>45652</c:v>
                </c:pt>
                <c:pt idx="4">
                  <c:v>45683</c:v>
                </c:pt>
                <c:pt idx="5">
                  <c:v>45714</c:v>
                </c:pt>
                <c:pt idx="6">
                  <c:v>45742</c:v>
                </c:pt>
                <c:pt idx="7">
                  <c:v>45773</c:v>
                </c:pt>
                <c:pt idx="8">
                  <c:v>45803</c:v>
                </c:pt>
                <c:pt idx="9">
                  <c:v>45834</c:v>
                </c:pt>
                <c:pt idx="10">
                  <c:v>45864</c:v>
                </c:pt>
                <c:pt idx="11">
                  <c:v>45895</c:v>
                </c:pt>
                <c:pt idx="12">
                  <c:v>45926</c:v>
                </c:pt>
                <c:pt idx="13">
                  <c:v>45956</c:v>
                </c:pt>
                <c:pt idx="14">
                  <c:v>45987</c:v>
                </c:pt>
                <c:pt idx="15">
                  <c:v>46017</c:v>
                </c:pt>
                <c:pt idx="16">
                  <c:v>46048</c:v>
                </c:pt>
                <c:pt idx="17">
                  <c:v>46079</c:v>
                </c:pt>
                <c:pt idx="18">
                  <c:v>46107</c:v>
                </c:pt>
                <c:pt idx="19">
                  <c:v>46138</c:v>
                </c:pt>
                <c:pt idx="20">
                  <c:v>46168</c:v>
                </c:pt>
                <c:pt idx="21">
                  <c:v>46199</c:v>
                </c:pt>
                <c:pt idx="22">
                  <c:v>46229</c:v>
                </c:pt>
                <c:pt idx="23">
                  <c:v>46260</c:v>
                </c:pt>
                <c:pt idx="24">
                  <c:v>46291</c:v>
                </c:pt>
                <c:pt idx="25">
                  <c:v>46321</c:v>
                </c:pt>
                <c:pt idx="26">
                  <c:v>46352</c:v>
                </c:pt>
                <c:pt idx="27">
                  <c:v>46382</c:v>
                </c:pt>
                <c:pt idx="28">
                  <c:v>46413</c:v>
                </c:pt>
                <c:pt idx="29">
                  <c:v>46444</c:v>
                </c:pt>
                <c:pt idx="30">
                  <c:v>46472</c:v>
                </c:pt>
                <c:pt idx="31">
                  <c:v>46503</c:v>
                </c:pt>
                <c:pt idx="32">
                  <c:v>46533</c:v>
                </c:pt>
                <c:pt idx="33">
                  <c:v>46564</c:v>
                </c:pt>
                <c:pt idx="34">
                  <c:v>46594</c:v>
                </c:pt>
                <c:pt idx="35">
                  <c:v>46625</c:v>
                </c:pt>
              </c:numCache>
            </c:numRef>
          </c:cat>
          <c:val>
            <c:numRef>
              <c:f>CF!$I$47:$AR$47</c:f>
              <c:numCache>
                <c:formatCode>_(* #,##0.00_);_(* \(#,##0.00\);_(* "-"??_);_(@_)</c:formatCode>
                <c:ptCount val="36"/>
                <c:pt idx="0">
                  <c:v>-5819.7333339316228</c:v>
                </c:pt>
                <c:pt idx="1">
                  <c:v>-11639.466667863246</c:v>
                </c:pt>
                <c:pt idx="2">
                  <c:v>-17459.200001794867</c:v>
                </c:pt>
                <c:pt idx="3">
                  <c:v>-150802.92783055379</c:v>
                </c:pt>
                <c:pt idx="4">
                  <c:v>-284146.65565931273</c:v>
                </c:pt>
                <c:pt idx="5">
                  <c:v>-417490.38348807162</c:v>
                </c:pt>
                <c:pt idx="6">
                  <c:v>-423738.38348866993</c:v>
                </c:pt>
                <c:pt idx="7">
                  <c:v>-429986.38348926825</c:v>
                </c:pt>
                <c:pt idx="8">
                  <c:v>-436234.38348986657</c:v>
                </c:pt>
                <c:pt idx="9">
                  <c:v>-461572.38350404816</c:v>
                </c:pt>
                <c:pt idx="10">
                  <c:v>-605418.11133280711</c:v>
                </c:pt>
                <c:pt idx="11">
                  <c:v>-648637.12067102315</c:v>
                </c:pt>
                <c:pt idx="12">
                  <c:v>-648637.12067102315</c:v>
                </c:pt>
                <c:pt idx="13">
                  <c:v>-648637.12067102315</c:v>
                </c:pt>
                <c:pt idx="14">
                  <c:v>-648637.12067102315</c:v>
                </c:pt>
                <c:pt idx="15">
                  <c:v>-648637.12067102315</c:v>
                </c:pt>
                <c:pt idx="16">
                  <c:v>-648637.12067102315</c:v>
                </c:pt>
                <c:pt idx="17">
                  <c:v>-648637.12067102315</c:v>
                </c:pt>
                <c:pt idx="18">
                  <c:v>-648637.12067102315</c:v>
                </c:pt>
                <c:pt idx="19">
                  <c:v>-648637.12067102315</c:v>
                </c:pt>
                <c:pt idx="20">
                  <c:v>-648637.12067102315</c:v>
                </c:pt>
                <c:pt idx="21">
                  <c:v>-648637.12067102315</c:v>
                </c:pt>
                <c:pt idx="22">
                  <c:v>-648637.12067102315</c:v>
                </c:pt>
                <c:pt idx="23">
                  <c:v>-648637.12067102315</c:v>
                </c:pt>
                <c:pt idx="24">
                  <c:v>-648637.12067102315</c:v>
                </c:pt>
                <c:pt idx="25">
                  <c:v>-648637.12067102315</c:v>
                </c:pt>
                <c:pt idx="26">
                  <c:v>-648637.12067102315</c:v>
                </c:pt>
                <c:pt idx="27">
                  <c:v>-648637.12067102315</c:v>
                </c:pt>
                <c:pt idx="28">
                  <c:v>-648637.12067102315</c:v>
                </c:pt>
                <c:pt idx="29">
                  <c:v>-648637.12067102315</c:v>
                </c:pt>
                <c:pt idx="30">
                  <c:v>-648637.12067102315</c:v>
                </c:pt>
                <c:pt idx="31">
                  <c:v>-648637.12067102315</c:v>
                </c:pt>
                <c:pt idx="32">
                  <c:v>-648637.12067102315</c:v>
                </c:pt>
                <c:pt idx="33">
                  <c:v>-648637.12067102315</c:v>
                </c:pt>
                <c:pt idx="34">
                  <c:v>-648637.12067102315</c:v>
                </c:pt>
                <c:pt idx="35">
                  <c:v>-648637.12067102315</c:v>
                </c:pt>
              </c:numCache>
            </c:numRef>
          </c:val>
          <c:extLst>
            <c:ext xmlns:c16="http://schemas.microsoft.com/office/drawing/2014/chart" uri="{C3380CC4-5D6E-409C-BE32-E72D297353CC}">
              <c16:uniqueId val="{00000000-B07F-4BF5-BE3C-52B360A137BD}"/>
            </c:ext>
          </c:extLst>
        </c:ser>
        <c:dLbls>
          <c:showLegendKey val="0"/>
          <c:showVal val="0"/>
          <c:showCatName val="0"/>
          <c:showSerName val="0"/>
          <c:showPercent val="0"/>
          <c:showBubbleSize val="0"/>
        </c:dLbls>
        <c:gapWidth val="150"/>
        <c:axId val="401334272"/>
        <c:axId val="315718400"/>
      </c:barChart>
      <c:dateAx>
        <c:axId val="401334272"/>
        <c:scaling>
          <c:orientation val="minMax"/>
        </c:scaling>
        <c:delete val="0"/>
        <c:axPos val="b"/>
        <c:numFmt formatCode="[$-416]mmm\-yy;@" sourceLinked="1"/>
        <c:majorTickMark val="out"/>
        <c:minorTickMark val="none"/>
        <c:tickLblPos val="nextTo"/>
        <c:spPr>
          <a:noFill/>
        </c:spPr>
        <c:crossAx val="315718400"/>
        <c:crosses val="autoZero"/>
        <c:auto val="1"/>
        <c:lblOffset val="100"/>
        <c:baseTimeUnit val="months"/>
      </c:dateAx>
      <c:valAx>
        <c:axId val="315718400"/>
        <c:scaling>
          <c:orientation val="minMax"/>
        </c:scaling>
        <c:delete val="0"/>
        <c:axPos val="l"/>
        <c:majorGridlines>
          <c:spPr>
            <a:ln>
              <a:prstDash val="sysDot"/>
            </a:ln>
          </c:spPr>
        </c:majorGridlines>
        <c:title>
          <c:tx>
            <c:rich>
              <a:bodyPr rot="-5400000" vert="horz"/>
              <a:lstStyle/>
              <a:p>
                <a:pPr>
                  <a:defRPr/>
                </a:pPr>
                <a:r>
                  <a:rPr lang="pt-BR"/>
                  <a:t>Simulação</a:t>
                </a:r>
                <a:r>
                  <a:rPr lang="pt-BR" baseline="0"/>
                  <a:t> de Caixa</a:t>
                </a:r>
                <a:endParaRPr lang="pt-BR"/>
              </a:p>
            </c:rich>
          </c:tx>
          <c:overlay val="0"/>
        </c:title>
        <c:numFmt formatCode="_(* #,##0.00_);_(* \(#,##0.00\);_(* &quot;-&quot;??_);_(@_)" sourceLinked="1"/>
        <c:majorTickMark val="out"/>
        <c:minorTickMark val="none"/>
        <c:tickLblPos val="nextTo"/>
        <c:txPr>
          <a:bodyPr/>
          <a:lstStyle/>
          <a:p>
            <a:pPr>
              <a:defRPr sz="800"/>
            </a:pPr>
            <a:endParaRPr lang="pt-BR"/>
          </a:p>
        </c:txPr>
        <c:crossAx val="401334272"/>
        <c:crosses val="autoZero"/>
        <c:crossBetween val="between"/>
      </c:valAx>
    </c:plotArea>
    <c:plotVisOnly val="1"/>
    <c:dispBlanksAs val="gap"/>
    <c:showDLblsOverMax val="0"/>
  </c:chart>
  <c:spPr>
    <a:noFill/>
    <a:ln>
      <a:no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115765</xdr:colOff>
      <xdr:row>127</xdr:row>
      <xdr:rowOff>29307</xdr:rowOff>
    </xdr:from>
    <xdr:to>
      <xdr:col>5</xdr:col>
      <xdr:colOff>1093304</xdr:colOff>
      <xdr:row>129</xdr:row>
      <xdr:rowOff>131886</xdr:rowOff>
    </xdr:to>
    <xdr:sp macro="[0]!calcular_comissao" textlink="">
      <xdr:nvSpPr>
        <xdr:cNvPr id="2" name="Rectangle 1">
          <a:extLst>
            <a:ext uri="{FF2B5EF4-FFF2-40B4-BE49-F238E27FC236}">
              <a16:creationId xmlns:a16="http://schemas.microsoft.com/office/drawing/2014/main" id="{00000000-0008-0000-0200-000002000000}"/>
            </a:ext>
          </a:extLst>
        </xdr:cNvPr>
        <xdr:cNvSpPr/>
      </xdr:nvSpPr>
      <xdr:spPr>
        <a:xfrm>
          <a:off x="6128939" y="12337264"/>
          <a:ext cx="977539" cy="433883"/>
        </a:xfrm>
        <a:prstGeom prst="rect">
          <a:avLst/>
        </a:prstGeom>
        <a:solidFill>
          <a:schemeClr val="accent6">
            <a:lumMod val="40000"/>
            <a:lumOff val="60000"/>
          </a:scheme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900">
              <a:solidFill>
                <a:sysClr val="windowText" lastClr="000000"/>
              </a:solidFill>
            </a:rPr>
            <a:t>Inserir Comissão</a:t>
          </a:r>
        </a:p>
      </xdr:txBody>
    </xdr:sp>
    <xdr:clientData/>
  </xdr:twoCellAnchor>
  <xdr:twoCellAnchor>
    <xdr:from>
      <xdr:col>5</xdr:col>
      <xdr:colOff>115765</xdr:colOff>
      <xdr:row>131</xdr:row>
      <xdr:rowOff>29307</xdr:rowOff>
    </xdr:from>
    <xdr:to>
      <xdr:col>5</xdr:col>
      <xdr:colOff>1101587</xdr:colOff>
      <xdr:row>133</xdr:row>
      <xdr:rowOff>131886</xdr:rowOff>
    </xdr:to>
    <xdr:sp macro="[0]!calcular_risco" textlink="">
      <xdr:nvSpPr>
        <xdr:cNvPr id="3" name="Rectangle 2">
          <a:extLst>
            <a:ext uri="{FF2B5EF4-FFF2-40B4-BE49-F238E27FC236}">
              <a16:creationId xmlns:a16="http://schemas.microsoft.com/office/drawing/2014/main" id="{00000000-0008-0000-0200-000003000000}"/>
            </a:ext>
          </a:extLst>
        </xdr:cNvPr>
        <xdr:cNvSpPr/>
      </xdr:nvSpPr>
      <xdr:spPr>
        <a:xfrm>
          <a:off x="6128939" y="12999872"/>
          <a:ext cx="985822" cy="433884"/>
        </a:xfrm>
        <a:prstGeom prst="rect">
          <a:avLst/>
        </a:prstGeom>
        <a:solidFill>
          <a:schemeClr val="accent6">
            <a:lumMod val="40000"/>
            <a:lumOff val="60000"/>
          </a:scheme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900">
              <a:solidFill>
                <a:sysClr val="windowText" lastClr="000000"/>
              </a:solidFill>
            </a:rPr>
            <a:t>Inserir Risco</a:t>
          </a:r>
        </a:p>
      </xdr:txBody>
    </xdr:sp>
    <xdr:clientData/>
  </xdr:twoCellAnchor>
  <xdr:twoCellAnchor>
    <xdr:from>
      <xdr:col>5</xdr:col>
      <xdr:colOff>115765</xdr:colOff>
      <xdr:row>135</xdr:row>
      <xdr:rowOff>29307</xdr:rowOff>
    </xdr:from>
    <xdr:to>
      <xdr:col>5</xdr:col>
      <xdr:colOff>1101587</xdr:colOff>
      <xdr:row>137</xdr:row>
      <xdr:rowOff>131886</xdr:rowOff>
    </xdr:to>
    <xdr:sp macro="[0]!calcular_cf" textlink="">
      <xdr:nvSpPr>
        <xdr:cNvPr id="4" name="Rectangle 3">
          <a:extLst>
            <a:ext uri="{FF2B5EF4-FFF2-40B4-BE49-F238E27FC236}">
              <a16:creationId xmlns:a16="http://schemas.microsoft.com/office/drawing/2014/main" id="{00000000-0008-0000-0200-000004000000}"/>
            </a:ext>
          </a:extLst>
        </xdr:cNvPr>
        <xdr:cNvSpPr/>
      </xdr:nvSpPr>
      <xdr:spPr>
        <a:xfrm>
          <a:off x="6128939" y="13662481"/>
          <a:ext cx="985822" cy="433883"/>
        </a:xfrm>
        <a:prstGeom prst="rect">
          <a:avLst/>
        </a:prstGeom>
        <a:solidFill>
          <a:schemeClr val="accent6">
            <a:lumMod val="40000"/>
            <a:lumOff val="60000"/>
          </a:scheme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900">
              <a:solidFill>
                <a:sysClr val="windowText" lastClr="000000"/>
              </a:solidFill>
            </a:rPr>
            <a:t>Inserir CF</a:t>
          </a:r>
        </a:p>
      </xdr:txBody>
    </xdr:sp>
    <xdr:clientData/>
  </xdr:twoCellAnchor>
  <xdr:twoCellAnchor>
    <xdr:from>
      <xdr:col>6</xdr:col>
      <xdr:colOff>76242</xdr:colOff>
      <xdr:row>131</xdr:row>
      <xdr:rowOff>27154</xdr:rowOff>
    </xdr:from>
    <xdr:to>
      <xdr:col>8</xdr:col>
      <xdr:colOff>232888</xdr:colOff>
      <xdr:row>133</xdr:row>
      <xdr:rowOff>129733</xdr:rowOff>
    </xdr:to>
    <xdr:sp macro="[0]!inserir_todos_button" textlink="">
      <xdr:nvSpPr>
        <xdr:cNvPr id="5" name="Rectangle 4">
          <a:extLst>
            <a:ext uri="{FF2B5EF4-FFF2-40B4-BE49-F238E27FC236}">
              <a16:creationId xmlns:a16="http://schemas.microsoft.com/office/drawing/2014/main" id="{00000000-0008-0000-0200-000005000000}"/>
            </a:ext>
          </a:extLst>
        </xdr:cNvPr>
        <xdr:cNvSpPr/>
      </xdr:nvSpPr>
      <xdr:spPr>
        <a:xfrm>
          <a:off x="7271586" y="12774779"/>
          <a:ext cx="982146" cy="428017"/>
        </a:xfrm>
        <a:prstGeom prst="rect">
          <a:avLst/>
        </a:prstGeom>
        <a:solidFill>
          <a:schemeClr val="accent6">
            <a:lumMod val="60000"/>
            <a:lumOff val="40000"/>
          </a:scheme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900">
              <a:solidFill>
                <a:sysClr val="windowText" lastClr="000000"/>
              </a:solidFill>
            </a:rPr>
            <a:t>Inserir Todos</a:t>
          </a:r>
        </a:p>
      </xdr:txBody>
    </xdr:sp>
    <xdr:clientData/>
  </xdr:twoCellAnchor>
  <xdr:twoCellAnchor>
    <xdr:from>
      <xdr:col>20</xdr:col>
      <xdr:colOff>64293</xdr:colOff>
      <xdr:row>83</xdr:row>
      <xdr:rowOff>188118</xdr:rowOff>
    </xdr:from>
    <xdr:to>
      <xdr:col>29</xdr:col>
      <xdr:colOff>564356</xdr:colOff>
      <xdr:row>109</xdr:row>
      <xdr:rowOff>35719</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195263</xdr:colOff>
      <xdr:row>117</xdr:row>
      <xdr:rowOff>83806</xdr:rowOff>
    </xdr:from>
    <xdr:to>
      <xdr:col>14</xdr:col>
      <xdr:colOff>466710</xdr:colOff>
      <xdr:row>118</xdr:row>
      <xdr:rowOff>154511</xdr:rowOff>
    </xdr:to>
    <xdr:sp macro="[0]!ForcarTargetViaMN" textlink="">
      <xdr:nvSpPr>
        <xdr:cNvPr id="9" name="Rectangle 8">
          <a:extLst>
            <a:ext uri="{FF2B5EF4-FFF2-40B4-BE49-F238E27FC236}">
              <a16:creationId xmlns:a16="http://schemas.microsoft.com/office/drawing/2014/main" id="{00000000-0008-0000-0200-000009000000}"/>
            </a:ext>
          </a:extLst>
        </xdr:cNvPr>
        <xdr:cNvSpPr/>
      </xdr:nvSpPr>
      <xdr:spPr>
        <a:xfrm>
          <a:off x="12678966" y="11073275"/>
          <a:ext cx="985822" cy="231439"/>
        </a:xfrm>
        <a:prstGeom prst="rect">
          <a:avLst/>
        </a:prstGeom>
        <a:solidFill>
          <a:schemeClr val="accent6">
            <a:lumMod val="40000"/>
            <a:lumOff val="60000"/>
          </a:scheme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900">
              <a:solidFill>
                <a:sysClr val="windowText" lastClr="000000"/>
              </a:solidFill>
            </a:rPr>
            <a:t>Forçar via MN</a:t>
          </a:r>
        </a:p>
      </xdr:txBody>
    </xdr:sp>
    <xdr:clientData/>
  </xdr:twoCellAnchor>
  <xdr:twoCellAnchor>
    <xdr:from>
      <xdr:col>13</xdr:col>
      <xdr:colOff>190500</xdr:colOff>
      <xdr:row>119</xdr:row>
      <xdr:rowOff>59739</xdr:rowOff>
    </xdr:from>
    <xdr:to>
      <xdr:col>14</xdr:col>
      <xdr:colOff>461947</xdr:colOff>
      <xdr:row>121</xdr:row>
      <xdr:rowOff>113112</xdr:rowOff>
    </xdr:to>
    <xdr:sp macro="[0]!ForcarTargetViaZeradora" textlink="">
      <xdr:nvSpPr>
        <xdr:cNvPr id="12" name="Rectangle 11">
          <a:extLst>
            <a:ext uri="{FF2B5EF4-FFF2-40B4-BE49-F238E27FC236}">
              <a16:creationId xmlns:a16="http://schemas.microsoft.com/office/drawing/2014/main" id="{00000000-0008-0000-0200-00000C000000}"/>
            </a:ext>
          </a:extLst>
        </xdr:cNvPr>
        <xdr:cNvSpPr/>
      </xdr:nvSpPr>
      <xdr:spPr>
        <a:xfrm>
          <a:off x="12674203" y="11370677"/>
          <a:ext cx="985822" cy="374841"/>
        </a:xfrm>
        <a:prstGeom prst="rect">
          <a:avLst/>
        </a:prstGeom>
        <a:solidFill>
          <a:schemeClr val="accent6">
            <a:lumMod val="40000"/>
            <a:lumOff val="60000"/>
          </a:scheme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900">
              <a:solidFill>
                <a:sysClr val="windowText" lastClr="000000"/>
              </a:solidFill>
            </a:rPr>
            <a:t>Forçar via Zeradora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447531</xdr:colOff>
      <xdr:row>1</xdr:row>
      <xdr:rowOff>23034</xdr:rowOff>
    </xdr:from>
    <xdr:to>
      <xdr:col>8</xdr:col>
      <xdr:colOff>233818</xdr:colOff>
      <xdr:row>4</xdr:row>
      <xdr:rowOff>149968</xdr:rowOff>
    </xdr:to>
    <xdr:sp macro="[0]!EscopoNumbering" textlink="">
      <xdr:nvSpPr>
        <xdr:cNvPr id="3" name="Rectangle 2">
          <a:extLst>
            <a:ext uri="{FF2B5EF4-FFF2-40B4-BE49-F238E27FC236}">
              <a16:creationId xmlns:a16="http://schemas.microsoft.com/office/drawing/2014/main" id="{00000000-0008-0000-0300-000003000000}"/>
            </a:ext>
          </a:extLst>
        </xdr:cNvPr>
        <xdr:cNvSpPr/>
      </xdr:nvSpPr>
      <xdr:spPr>
        <a:xfrm>
          <a:off x="1317815" y="191476"/>
          <a:ext cx="656571" cy="632260"/>
        </a:xfrm>
        <a:prstGeom prst="rect">
          <a:avLst/>
        </a:prstGeom>
        <a:solidFill>
          <a:srgbClr val="66FF33"/>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900">
              <a:solidFill>
                <a:sysClr val="windowText" lastClr="000000"/>
              </a:solidFill>
            </a:rPr>
            <a:t>Enumera</a:t>
          </a:r>
          <a:r>
            <a:rPr lang="en-US" sz="900" baseline="0">
              <a:solidFill>
                <a:sysClr val="windowText" lastClr="000000"/>
              </a:solidFill>
            </a:rPr>
            <a:t> Linhas</a:t>
          </a:r>
          <a:endParaRPr lang="en-US" sz="900">
            <a:solidFill>
              <a:sysClr val="windowText" lastClr="000000"/>
            </a:solidFill>
          </a:endParaRPr>
        </a:p>
      </xdr:txBody>
    </xdr:sp>
    <xdr:clientData/>
  </xdr:twoCellAnchor>
  <xdr:twoCellAnchor>
    <xdr:from>
      <xdr:col>4</xdr:col>
      <xdr:colOff>99060</xdr:colOff>
      <xdr:row>1</xdr:row>
      <xdr:rowOff>26035</xdr:rowOff>
    </xdr:from>
    <xdr:to>
      <xdr:col>6</xdr:col>
      <xdr:colOff>0</xdr:colOff>
      <xdr:row>2</xdr:row>
      <xdr:rowOff>147638</xdr:rowOff>
    </xdr:to>
    <xdr:sp macro="[0]!ButtonSinglePadraoExploder" textlink="">
      <xdr:nvSpPr>
        <xdr:cNvPr id="4" name="Rectangle 3">
          <a:extLst>
            <a:ext uri="{FF2B5EF4-FFF2-40B4-BE49-F238E27FC236}">
              <a16:creationId xmlns:a16="http://schemas.microsoft.com/office/drawing/2014/main" id="{00000000-0008-0000-0300-000004000000}"/>
            </a:ext>
          </a:extLst>
        </xdr:cNvPr>
        <xdr:cNvSpPr/>
      </xdr:nvSpPr>
      <xdr:spPr>
        <a:xfrm>
          <a:off x="3356610" y="192723"/>
          <a:ext cx="1367790" cy="288290"/>
        </a:xfrm>
        <a:prstGeom prst="rect">
          <a:avLst/>
        </a:prstGeom>
        <a:solidFill>
          <a:schemeClr val="accent2">
            <a:lumMod val="60000"/>
            <a:lumOff val="4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rPr>
            <a:t>Explode um padrão</a:t>
          </a:r>
        </a:p>
      </xdr:txBody>
    </xdr:sp>
    <xdr:clientData/>
  </xdr:twoCellAnchor>
  <xdr:twoCellAnchor>
    <xdr:from>
      <xdr:col>4</xdr:col>
      <xdr:colOff>99060</xdr:colOff>
      <xdr:row>3</xdr:row>
      <xdr:rowOff>20780</xdr:rowOff>
    </xdr:from>
    <xdr:to>
      <xdr:col>6</xdr:col>
      <xdr:colOff>0</xdr:colOff>
      <xdr:row>4</xdr:row>
      <xdr:rowOff>150591</xdr:rowOff>
    </xdr:to>
    <xdr:sp macro="[0]!ButtonFullPadraoExploder" textlink="">
      <xdr:nvSpPr>
        <xdr:cNvPr id="5" name="Rectangle 4">
          <a:extLst>
            <a:ext uri="{FF2B5EF4-FFF2-40B4-BE49-F238E27FC236}">
              <a16:creationId xmlns:a16="http://schemas.microsoft.com/office/drawing/2014/main" id="{00000000-0008-0000-0300-000005000000}"/>
            </a:ext>
          </a:extLst>
        </xdr:cNvPr>
        <xdr:cNvSpPr/>
      </xdr:nvSpPr>
      <xdr:spPr>
        <a:xfrm>
          <a:off x="3354878" y="519544"/>
          <a:ext cx="1369522" cy="296065"/>
        </a:xfrm>
        <a:prstGeom prst="rect">
          <a:avLst/>
        </a:prstGeom>
        <a:solidFill>
          <a:schemeClr val="accent2">
            <a:lumMod val="60000"/>
            <a:lumOff val="4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rPr>
            <a:t>Explode </a:t>
          </a:r>
          <a:r>
            <a:rPr lang="pt-BR" sz="800" b="1" u="sng">
              <a:solidFill>
                <a:sysClr val="windowText" lastClr="000000"/>
              </a:solidFill>
            </a:rPr>
            <a:t>todos</a:t>
          </a:r>
          <a:r>
            <a:rPr lang="pt-BR" sz="800">
              <a:solidFill>
                <a:sysClr val="windowText" lastClr="000000"/>
              </a:solidFill>
            </a:rPr>
            <a:t> os padrões</a:t>
          </a:r>
        </a:p>
      </xdr:txBody>
    </xdr:sp>
    <xdr:clientData/>
  </xdr:twoCellAnchor>
  <xdr:twoCellAnchor>
    <xdr:from>
      <xdr:col>6</xdr:col>
      <xdr:colOff>730010</xdr:colOff>
      <xdr:row>1</xdr:row>
      <xdr:rowOff>25983</xdr:rowOff>
    </xdr:from>
    <xdr:to>
      <xdr:col>7</xdr:col>
      <xdr:colOff>412936</xdr:colOff>
      <xdr:row>4</xdr:row>
      <xdr:rowOff>148710</xdr:rowOff>
    </xdr:to>
    <xdr:sp macro="[0]!LimpezaInterna" textlink="">
      <xdr:nvSpPr>
        <xdr:cNvPr id="6" name="Rectangle 5">
          <a:extLst>
            <a:ext uri="{FF2B5EF4-FFF2-40B4-BE49-F238E27FC236}">
              <a16:creationId xmlns:a16="http://schemas.microsoft.com/office/drawing/2014/main" id="{00000000-0008-0000-0300-000006000000}"/>
            </a:ext>
          </a:extLst>
        </xdr:cNvPr>
        <xdr:cNvSpPr/>
      </xdr:nvSpPr>
      <xdr:spPr>
        <a:xfrm>
          <a:off x="5450177" y="195316"/>
          <a:ext cx="550759" cy="630727"/>
        </a:xfrm>
        <a:prstGeom prst="rect">
          <a:avLst/>
        </a:prstGeom>
        <a:solidFill>
          <a:schemeClr val="bg2">
            <a:lumMod val="9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900">
              <a:solidFill>
                <a:sysClr val="windowText" lastClr="000000"/>
              </a:solidFill>
            </a:rPr>
            <a:t>Limpa Linhas</a:t>
          </a:r>
        </a:p>
      </xdr:txBody>
    </xdr:sp>
    <xdr:clientData/>
  </xdr:twoCellAnchor>
  <xdr:twoCellAnchor>
    <xdr:from>
      <xdr:col>8</xdr:col>
      <xdr:colOff>270636</xdr:colOff>
      <xdr:row>1</xdr:row>
      <xdr:rowOff>25422</xdr:rowOff>
    </xdr:from>
    <xdr:to>
      <xdr:col>9</xdr:col>
      <xdr:colOff>86912</xdr:colOff>
      <xdr:row>4</xdr:row>
      <xdr:rowOff>148149</xdr:rowOff>
    </xdr:to>
    <xdr:sp macro="[0]!RowsHigher_full" textlink="">
      <xdr:nvSpPr>
        <xdr:cNvPr id="7" name="Rectangle 6">
          <a:extLst>
            <a:ext uri="{FF2B5EF4-FFF2-40B4-BE49-F238E27FC236}">
              <a16:creationId xmlns:a16="http://schemas.microsoft.com/office/drawing/2014/main" id="{00000000-0008-0000-0300-000007000000}"/>
            </a:ext>
          </a:extLst>
        </xdr:cNvPr>
        <xdr:cNvSpPr/>
      </xdr:nvSpPr>
      <xdr:spPr>
        <a:xfrm>
          <a:off x="6561189" y="187550"/>
          <a:ext cx="529638" cy="609110"/>
        </a:xfrm>
        <a:prstGeom prst="rect">
          <a:avLst/>
        </a:prstGeom>
        <a:solidFill>
          <a:schemeClr val="accent4">
            <a:lumMod val="40000"/>
            <a:lumOff val="6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900">
              <a:solidFill>
                <a:sysClr val="windowText" lastClr="000000"/>
              </a:solidFill>
            </a:rPr>
            <a:t>Ajuste de Altura</a:t>
          </a:r>
        </a:p>
      </xdr:txBody>
    </xdr:sp>
    <xdr:clientData/>
  </xdr:twoCellAnchor>
  <xdr:twoCellAnchor>
    <xdr:from>
      <xdr:col>6</xdr:col>
      <xdr:colOff>145628</xdr:colOff>
      <xdr:row>1</xdr:row>
      <xdr:rowOff>24320</xdr:rowOff>
    </xdr:from>
    <xdr:to>
      <xdr:col>6</xdr:col>
      <xdr:colOff>695330</xdr:colOff>
      <xdr:row>2</xdr:row>
      <xdr:rowOff>149968</xdr:rowOff>
    </xdr:to>
    <xdr:sp macro="[0]!para_direita_full" textlink="">
      <xdr:nvSpPr>
        <xdr:cNvPr id="8" name="Rectangle 7">
          <a:extLst>
            <a:ext uri="{FF2B5EF4-FFF2-40B4-BE49-F238E27FC236}">
              <a16:creationId xmlns:a16="http://schemas.microsoft.com/office/drawing/2014/main" id="{00000000-0008-0000-0300-000008000000}"/>
            </a:ext>
          </a:extLst>
        </xdr:cNvPr>
        <xdr:cNvSpPr/>
      </xdr:nvSpPr>
      <xdr:spPr>
        <a:xfrm>
          <a:off x="4857996" y="192762"/>
          <a:ext cx="549702" cy="294090"/>
        </a:xfrm>
        <a:prstGeom prst="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900">
              <a:solidFill>
                <a:sysClr val="windowText" lastClr="000000"/>
              </a:solidFill>
            </a:rPr>
            <a:t>tags -&gt;</a:t>
          </a:r>
        </a:p>
      </xdr:txBody>
    </xdr:sp>
    <xdr:clientData/>
  </xdr:twoCellAnchor>
  <xdr:twoCellAnchor>
    <xdr:from>
      <xdr:col>6</xdr:col>
      <xdr:colOff>145628</xdr:colOff>
      <xdr:row>3</xdr:row>
      <xdr:rowOff>20266</xdr:rowOff>
    </xdr:from>
    <xdr:to>
      <xdr:col>6</xdr:col>
      <xdr:colOff>695330</xdr:colOff>
      <xdr:row>4</xdr:row>
      <xdr:rowOff>149968</xdr:rowOff>
    </xdr:to>
    <xdr:sp macro="[0]!para_esquerda_full" textlink="">
      <xdr:nvSpPr>
        <xdr:cNvPr id="9" name="Rectangle 8">
          <a:extLst>
            <a:ext uri="{FF2B5EF4-FFF2-40B4-BE49-F238E27FC236}">
              <a16:creationId xmlns:a16="http://schemas.microsoft.com/office/drawing/2014/main" id="{00000000-0008-0000-0300-000009000000}"/>
            </a:ext>
          </a:extLst>
        </xdr:cNvPr>
        <xdr:cNvSpPr/>
      </xdr:nvSpPr>
      <xdr:spPr>
        <a:xfrm>
          <a:off x="4857996" y="525592"/>
          <a:ext cx="549702" cy="298144"/>
        </a:xfrm>
        <a:prstGeom prst="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900">
              <a:solidFill>
                <a:sysClr val="windowText" lastClr="000000"/>
              </a:solidFill>
            </a:rPr>
            <a:t>tags &lt;-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3657599</xdr:colOff>
      <xdr:row>0</xdr:row>
      <xdr:rowOff>142875</xdr:rowOff>
    </xdr:from>
    <xdr:to>
      <xdr:col>2</xdr:col>
      <xdr:colOff>4286250</xdr:colOff>
      <xdr:row>3</xdr:row>
      <xdr:rowOff>28575</xdr:rowOff>
    </xdr:to>
    <xdr:sp macro="[0]!Analise_80_20.analise_80_20" textlink="">
      <xdr:nvSpPr>
        <xdr:cNvPr id="2" name="Rectangle 1">
          <a:extLst>
            <a:ext uri="{FF2B5EF4-FFF2-40B4-BE49-F238E27FC236}">
              <a16:creationId xmlns:a16="http://schemas.microsoft.com/office/drawing/2014/main" id="{00000000-0008-0000-0700-000002000000}"/>
            </a:ext>
          </a:extLst>
        </xdr:cNvPr>
        <xdr:cNvSpPr/>
      </xdr:nvSpPr>
      <xdr:spPr>
        <a:xfrm>
          <a:off x="3838574" y="142875"/>
          <a:ext cx="628651" cy="400050"/>
        </a:xfrm>
        <a:prstGeom prst="rect">
          <a:avLst/>
        </a:prstGeom>
        <a:solidFill>
          <a:srgbClr val="99FF99"/>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ysClr val="windowText" lastClr="000000"/>
              </a:solidFill>
            </a:rPr>
            <a:t>80/20</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214313</xdr:colOff>
      <xdr:row>36</xdr:row>
      <xdr:rowOff>21167</xdr:rowOff>
    </xdr:from>
    <xdr:to>
      <xdr:col>6</xdr:col>
      <xdr:colOff>21168</xdr:colOff>
      <xdr:row>39</xdr:row>
      <xdr:rowOff>175847</xdr:rowOff>
    </xdr:to>
    <xdr:sp macro="[0]!ButtonUpdatePP" textlink="">
      <xdr:nvSpPr>
        <xdr:cNvPr id="2" name="Rectangle 1">
          <a:extLst>
            <a:ext uri="{FF2B5EF4-FFF2-40B4-BE49-F238E27FC236}">
              <a16:creationId xmlns:a16="http://schemas.microsoft.com/office/drawing/2014/main" id="{00000000-0008-0000-0E00-000002000000}"/>
            </a:ext>
          </a:extLst>
        </xdr:cNvPr>
        <xdr:cNvSpPr/>
      </xdr:nvSpPr>
      <xdr:spPr>
        <a:xfrm>
          <a:off x="3971396" y="5979584"/>
          <a:ext cx="902230" cy="726180"/>
        </a:xfrm>
        <a:prstGeom prst="rect">
          <a:avLst/>
        </a:prstGeom>
        <a:solidFill>
          <a:srgbClr val="66FF33"/>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a:solidFill>
                <a:sysClr val="windowText" lastClr="000000"/>
              </a:solidFill>
            </a:rPr>
            <a:t>Online</a:t>
          </a:r>
        </a:p>
        <a:p>
          <a:pPr algn="ctr"/>
          <a:r>
            <a:rPr lang="en-US" sz="1400" b="1">
              <a:solidFill>
                <a:sysClr val="windowText" lastClr="000000"/>
              </a:solidFill>
            </a:rPr>
            <a:t>Update</a:t>
          </a:r>
        </a:p>
      </xdr:txBody>
    </xdr:sp>
    <xdr:clientData/>
  </xdr:twoCellAnchor>
  <xdr:twoCellAnchor>
    <xdr:from>
      <xdr:col>4</xdr:col>
      <xdr:colOff>58209</xdr:colOff>
      <xdr:row>34</xdr:row>
      <xdr:rowOff>31749</xdr:rowOff>
    </xdr:from>
    <xdr:to>
      <xdr:col>4</xdr:col>
      <xdr:colOff>166209</xdr:colOff>
      <xdr:row>34</xdr:row>
      <xdr:rowOff>139749</xdr:rowOff>
    </xdr:to>
    <xdr:sp macro="[0]!ButtonLinkPP" textlink="">
      <xdr:nvSpPr>
        <xdr:cNvPr id="4" name="Oval 3">
          <a:extLst>
            <a:ext uri="{FF2B5EF4-FFF2-40B4-BE49-F238E27FC236}">
              <a16:creationId xmlns:a16="http://schemas.microsoft.com/office/drawing/2014/main" id="{00000000-0008-0000-0E00-000004000000}"/>
            </a:ext>
          </a:extLst>
        </xdr:cNvPr>
        <xdr:cNvSpPr/>
      </xdr:nvSpPr>
      <xdr:spPr>
        <a:xfrm>
          <a:off x="3815292" y="5609166"/>
          <a:ext cx="108000" cy="108000"/>
        </a:xfrm>
        <a:prstGeom prst="ellipse">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pt-BR" sz="1400" b="1">
            <a:solidFill>
              <a:sysClr val="windowText" lastClr="00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60960</xdr:colOff>
      <xdr:row>4</xdr:row>
      <xdr:rowOff>162560</xdr:rowOff>
    </xdr:from>
    <xdr:to>
      <xdr:col>20</xdr:col>
      <xdr:colOff>584200</xdr:colOff>
      <xdr:row>27</xdr:row>
      <xdr:rowOff>127001</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525780</xdr:colOff>
      <xdr:row>1</xdr:row>
      <xdr:rowOff>22860</xdr:rowOff>
    </xdr:from>
    <xdr:to>
      <xdr:col>20</xdr:col>
      <xdr:colOff>601980</xdr:colOff>
      <xdr:row>3</xdr:row>
      <xdr:rowOff>167640</xdr:rowOff>
    </xdr:to>
    <xdr:pic>
      <xdr:nvPicPr>
        <xdr:cNvPr id="4" name="Picture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839700" y="190500"/>
          <a:ext cx="1905000" cy="5334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rgbClr val="66FF33"/>
        </a:solidFill>
        <a:ln w="6350">
          <a:solidFill>
            <a:schemeClr val="tx1"/>
          </a:solidFill>
        </a:ln>
      </a:spPr>
      <a:bodyPr vertOverflow="clip" rtlCol="0" anchor="ctr"/>
      <a:lstStyle>
        <a:defPPr algn="ctr">
          <a:defRPr sz="1400" b="1">
            <a:solidFill>
              <a:sysClr val="windowText" lastClr="00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E4B42C-BF08-4A0D-8A37-797556D53842}">
  <sheetPr codeName="Sheet17"/>
  <dimension ref="A2:BR58"/>
  <sheetViews>
    <sheetView zoomScale="90" zoomScaleNormal="90" workbookViewId="0"/>
  </sheetViews>
  <sheetFormatPr defaultRowHeight="13.2" x14ac:dyDescent="0.25"/>
  <cols>
    <col min="1" max="1" width="19.88671875" bestFit="1" customWidth="1"/>
    <col min="2" max="2" width="15.109375" style="794" bestFit="1" customWidth="1"/>
    <col min="3" max="3" width="5.5546875" style="794" bestFit="1" customWidth="1"/>
    <col min="4" max="4" width="15.109375" style="794" bestFit="1" customWidth="1"/>
    <col min="6" max="6" width="3.6640625" customWidth="1"/>
    <col min="7" max="7" width="12.6640625" bestFit="1" customWidth="1"/>
    <col min="8" max="8" width="16.33203125" bestFit="1" customWidth="1"/>
    <col min="9" max="9" width="12.109375" bestFit="1" customWidth="1"/>
    <col min="10" max="10" width="15.6640625" bestFit="1" customWidth="1"/>
    <col min="11" max="11" width="15.44140625" bestFit="1" customWidth="1"/>
    <col min="12" max="12" width="10.5546875" bestFit="1" customWidth="1"/>
    <col min="13" max="16" width="10" bestFit="1" customWidth="1"/>
    <col min="17" max="17" width="19.5546875" bestFit="1" customWidth="1"/>
    <col min="18" max="18" width="19.109375" bestFit="1" customWidth="1"/>
    <col min="19" max="19" width="14.33203125" bestFit="1" customWidth="1"/>
    <col min="20" max="24" width="12.109375" bestFit="1" customWidth="1"/>
    <col min="25" max="25" width="15" bestFit="1" customWidth="1"/>
    <col min="26" max="26" width="12.109375" bestFit="1" customWidth="1"/>
    <col min="27" max="27" width="15" bestFit="1" customWidth="1"/>
    <col min="28" max="28" width="12.109375" bestFit="1" customWidth="1"/>
    <col min="29" max="29" width="6.88671875" bestFit="1" customWidth="1"/>
    <col min="30" max="30" width="11.6640625" bestFit="1" customWidth="1"/>
    <col min="31" max="31" width="11.109375" bestFit="1" customWidth="1"/>
    <col min="32" max="32" width="14.33203125" bestFit="1" customWidth="1"/>
    <col min="33" max="33" width="12.88671875" bestFit="1" customWidth="1"/>
    <col min="34" max="34" width="14.5546875" bestFit="1" customWidth="1"/>
    <col min="35" max="35" width="12" bestFit="1" customWidth="1"/>
    <col min="36" max="36" width="12.5546875" bestFit="1" customWidth="1"/>
    <col min="37" max="37" width="13.5546875" bestFit="1" customWidth="1"/>
    <col min="38" max="38" width="9" bestFit="1" customWidth="1"/>
    <col min="39" max="39" width="18.109375" bestFit="1" customWidth="1"/>
    <col min="40" max="40" width="23.88671875" bestFit="1" customWidth="1"/>
    <col min="41" max="41" width="7.44140625" bestFit="1" customWidth="1"/>
    <col min="42" max="42" width="12.44140625" bestFit="1" customWidth="1"/>
    <col min="43" max="43" width="18.44140625" bestFit="1" customWidth="1"/>
    <col min="44" max="44" width="12.109375" bestFit="1" customWidth="1"/>
    <col min="45" max="45" width="15.88671875" bestFit="1" customWidth="1"/>
    <col min="46" max="46" width="21.33203125" bestFit="1" customWidth="1"/>
    <col min="47" max="47" width="17.88671875" bestFit="1" customWidth="1"/>
    <col min="48" max="48" width="18.5546875" bestFit="1" customWidth="1"/>
    <col min="49" max="49" width="21.44140625" bestFit="1" customWidth="1"/>
    <col min="50" max="50" width="20.44140625" bestFit="1" customWidth="1"/>
    <col min="51" max="51" width="10" bestFit="1" customWidth="1"/>
    <col min="52" max="52" width="23.44140625" bestFit="1" customWidth="1"/>
    <col min="53" max="53" width="24.5546875" bestFit="1" customWidth="1"/>
    <col min="54" max="55" width="12.109375" bestFit="1" customWidth="1"/>
    <col min="56" max="56" width="14.6640625" bestFit="1" customWidth="1"/>
    <col min="57" max="57" width="12.109375" bestFit="1" customWidth="1"/>
    <col min="58" max="58" width="13.33203125" bestFit="1" customWidth="1"/>
    <col min="59" max="59" width="11.109375" bestFit="1" customWidth="1"/>
    <col min="60" max="60" width="17.109375" bestFit="1" customWidth="1"/>
    <col min="61" max="61" width="7.109375" bestFit="1" customWidth="1"/>
    <col min="62" max="62" width="11.109375" bestFit="1" customWidth="1"/>
    <col min="63" max="63" width="15" style="794" bestFit="1" customWidth="1"/>
    <col min="64" max="64" width="13.88671875" style="794" bestFit="1" customWidth="1"/>
    <col min="65" max="65" width="15" style="794" bestFit="1" customWidth="1"/>
    <col min="66" max="66" width="7.6640625" style="794" bestFit="1" customWidth="1"/>
    <col min="67" max="68" width="6.109375" bestFit="1" customWidth="1"/>
    <col min="69" max="69" width="3.6640625" customWidth="1"/>
    <col min="70" max="70" width="11.109375" style="802" bestFit="1" customWidth="1"/>
  </cols>
  <sheetData>
    <row r="2" spans="1:70" s="785" customFormat="1" ht="14.4" x14ac:dyDescent="0.3">
      <c r="G2" s="786" t="s">
        <v>1166</v>
      </c>
      <c r="H2" s="786"/>
      <c r="I2" s="787"/>
      <c r="J2" s="788" t="s">
        <v>1167</v>
      </c>
      <c r="K2" s="788"/>
      <c r="L2" s="788"/>
      <c r="M2" s="788"/>
      <c r="N2" s="788"/>
      <c r="O2" s="788"/>
      <c r="P2" s="788"/>
      <c r="Q2" s="789" t="s">
        <v>1168</v>
      </c>
      <c r="R2" s="789"/>
      <c r="S2" s="789"/>
      <c r="T2" s="789"/>
      <c r="U2" s="789"/>
      <c r="V2" s="789"/>
      <c r="W2" s="789"/>
      <c r="X2" s="789"/>
      <c r="Y2" s="790" t="s">
        <v>1169</v>
      </c>
      <c r="Z2" s="790"/>
      <c r="AA2" s="790"/>
      <c r="AB2" s="790"/>
      <c r="AC2" s="790"/>
      <c r="AD2" s="790"/>
      <c r="AE2" s="790"/>
      <c r="AF2" s="790"/>
      <c r="AG2" s="790"/>
      <c r="AH2" s="790"/>
      <c r="AI2" s="790"/>
      <c r="AJ2" s="790"/>
      <c r="AK2" s="790"/>
      <c r="AL2" s="790"/>
      <c r="AM2" s="790"/>
      <c r="AN2" s="790"/>
      <c r="AO2" s="790"/>
      <c r="AP2" s="790"/>
      <c r="AQ2" s="790"/>
      <c r="AR2" s="790"/>
      <c r="AS2" s="790"/>
      <c r="AT2" s="790"/>
      <c r="AU2" s="790"/>
      <c r="AV2" s="790"/>
      <c r="AW2" s="790"/>
      <c r="AX2" s="790"/>
      <c r="AY2" s="790"/>
      <c r="AZ2" s="790"/>
      <c r="BA2" s="790"/>
      <c r="BB2" s="790"/>
      <c r="BC2" s="790"/>
      <c r="BD2" s="790"/>
      <c r="BE2" s="790"/>
      <c r="BF2" s="790"/>
      <c r="BG2" s="790"/>
      <c r="BH2" s="790"/>
      <c r="BI2" s="790"/>
      <c r="BJ2" s="790"/>
      <c r="BK2" s="791" t="s">
        <v>1170</v>
      </c>
      <c r="BL2" s="791"/>
      <c r="BM2" s="791"/>
      <c r="BN2" s="791"/>
      <c r="BO2" s="791"/>
      <c r="BP2" s="791"/>
      <c r="BR2" s="792"/>
    </row>
    <row r="3" spans="1:70" s="785" customFormat="1" ht="14.4" x14ac:dyDescent="0.3">
      <c r="G3" s="787" t="s">
        <v>1171</v>
      </c>
      <c r="H3" s="787" t="s">
        <v>1172</v>
      </c>
      <c r="I3" s="787" t="s">
        <v>1173</v>
      </c>
      <c r="J3" s="788" t="s">
        <v>1174</v>
      </c>
      <c r="K3" s="788" t="s">
        <v>1175</v>
      </c>
      <c r="L3" s="788" t="s">
        <v>1176</v>
      </c>
      <c r="M3" s="788" t="s">
        <v>1177</v>
      </c>
      <c r="N3" s="788" t="s">
        <v>1178</v>
      </c>
      <c r="O3" s="788" t="s">
        <v>1179</v>
      </c>
      <c r="P3" s="788" t="s">
        <v>1180</v>
      </c>
      <c r="Q3" s="789" t="s">
        <v>1181</v>
      </c>
      <c r="R3" s="789" t="s">
        <v>1182</v>
      </c>
      <c r="S3" s="789" t="s">
        <v>1183</v>
      </c>
      <c r="T3" s="789" t="s">
        <v>1184</v>
      </c>
      <c r="U3" s="789" t="s">
        <v>1185</v>
      </c>
      <c r="V3" s="789" t="s">
        <v>1186</v>
      </c>
      <c r="W3" s="789" t="s">
        <v>1187</v>
      </c>
      <c r="X3" s="789" t="s">
        <v>1188</v>
      </c>
      <c r="Y3" s="790" t="s">
        <v>38</v>
      </c>
      <c r="Z3" s="790" t="s">
        <v>37</v>
      </c>
      <c r="AA3" s="790" t="s">
        <v>35</v>
      </c>
      <c r="AB3" s="790" t="s">
        <v>666</v>
      </c>
      <c r="AC3" s="790" t="s">
        <v>667</v>
      </c>
      <c r="AD3" s="790" t="s">
        <v>668</v>
      </c>
      <c r="AE3" s="790" t="s">
        <v>669</v>
      </c>
      <c r="AF3" s="790" t="s">
        <v>34</v>
      </c>
      <c r="AG3" s="790" t="s">
        <v>60</v>
      </c>
      <c r="AH3" s="790" t="s">
        <v>33</v>
      </c>
      <c r="AI3" s="790" t="s">
        <v>36</v>
      </c>
      <c r="AJ3" s="790" t="s">
        <v>32</v>
      </c>
      <c r="AK3" s="790" t="s">
        <v>31</v>
      </c>
      <c r="AL3" s="790" t="s">
        <v>160</v>
      </c>
      <c r="AM3" s="790" t="s">
        <v>161</v>
      </c>
      <c r="AN3" s="790" t="s">
        <v>162</v>
      </c>
      <c r="AO3" s="790" t="s">
        <v>147</v>
      </c>
      <c r="AP3" s="790" t="s">
        <v>148</v>
      </c>
      <c r="AQ3" s="790" t="s">
        <v>154</v>
      </c>
      <c r="AR3" s="790" t="s">
        <v>155</v>
      </c>
      <c r="AS3" s="790" t="s">
        <v>156</v>
      </c>
      <c r="AT3" s="790" t="s">
        <v>158</v>
      </c>
      <c r="AU3" s="790" t="s">
        <v>784</v>
      </c>
      <c r="AV3" s="790" t="s">
        <v>153</v>
      </c>
      <c r="AW3" s="790" t="s">
        <v>149</v>
      </c>
      <c r="AX3" s="790" t="s">
        <v>152</v>
      </c>
      <c r="AY3" s="790" t="s">
        <v>670</v>
      </c>
      <c r="AZ3" s="790" t="s">
        <v>150</v>
      </c>
      <c r="BA3" s="790" t="s">
        <v>151</v>
      </c>
      <c r="BB3" s="790" t="s">
        <v>30</v>
      </c>
      <c r="BC3" s="790" t="s">
        <v>29</v>
      </c>
      <c r="BD3" s="790" t="s">
        <v>28</v>
      </c>
      <c r="BE3" s="790" t="s">
        <v>42</v>
      </c>
      <c r="BF3" s="790" t="s">
        <v>43</v>
      </c>
      <c r="BG3" s="790" t="s">
        <v>44</v>
      </c>
      <c r="BH3" s="790" t="s">
        <v>41</v>
      </c>
      <c r="BI3" s="790" t="s">
        <v>45</v>
      </c>
      <c r="BJ3" s="790" t="s">
        <v>26</v>
      </c>
      <c r="BK3" s="791" t="s">
        <v>328</v>
      </c>
      <c r="BL3" s="791" t="s">
        <v>752</v>
      </c>
      <c r="BM3" s="791" t="s">
        <v>1024</v>
      </c>
      <c r="BN3" s="791" t="s">
        <v>660</v>
      </c>
      <c r="BO3" s="791" t="s">
        <v>263</v>
      </c>
      <c r="BP3" s="791" t="s">
        <v>264</v>
      </c>
      <c r="BR3" s="793" t="s">
        <v>1189</v>
      </c>
    </row>
    <row r="4" spans="1:70" s="794" customFormat="1" x14ac:dyDescent="0.25">
      <c r="G4" s="794" t="e">
        <f>Materiais!#REF!+Materiais!#REF!</f>
        <v>#REF!</v>
      </c>
      <c r="H4" s="794" t="e">
        <f>Materiais!#REF!</f>
        <v>#REF!</v>
      </c>
      <c r="I4" s="795" t="e">
        <f>Materiais!#REF!</f>
        <v>#REF!</v>
      </c>
      <c r="J4" s="796">
        <f>Serviços!J5</f>
        <v>246.40000000000003</v>
      </c>
      <c r="K4" s="796">
        <v>0</v>
      </c>
      <c r="L4" s="796">
        <f>Serviços!J7</f>
        <v>264</v>
      </c>
      <c r="M4" s="796">
        <f>Serviços!J8</f>
        <v>132</v>
      </c>
      <c r="N4" s="796">
        <f>Serviços!J9</f>
        <v>132</v>
      </c>
      <c r="O4" s="796">
        <f>Serviços!J10</f>
        <v>352</v>
      </c>
      <c r="P4" s="796">
        <f>Serviços!J3+Serviços!J4</f>
        <v>281.60000000000002</v>
      </c>
      <c r="Q4" s="797">
        <f>Serviços!K5</f>
        <v>7392.0000000000009</v>
      </c>
      <c r="R4" s="797">
        <v>0</v>
      </c>
      <c r="S4" s="797">
        <f>Serviços!K7</f>
        <v>18744</v>
      </c>
      <c r="T4" s="797">
        <f>Serviços!K8</f>
        <v>9372</v>
      </c>
      <c r="U4" s="797">
        <f>Serviços!K9</f>
        <v>9372</v>
      </c>
      <c r="V4" s="797">
        <f>Serviços!K10</f>
        <v>24992</v>
      </c>
      <c r="W4" s="797">
        <f>Serviços!K4+Serviços!K3</f>
        <v>17459.2</v>
      </c>
      <c r="X4" s="797">
        <f>Serviços!K12</f>
        <v>32650</v>
      </c>
      <c r="Y4" s="797">
        <f>VLOOKUP(Y3,Dados!$E$85:$F$122,2,FALSE)</f>
        <v>498526.91131264239</v>
      </c>
      <c r="Z4" s="797">
        <f>VLOOKUP(Z3,Dados!$E$85:$F$122,2,FALSE)</f>
        <v>20865.424800000001</v>
      </c>
      <c r="AA4" s="797">
        <f>VLOOKUP(AA3,Dados!$E$85:$F$122,2,FALSE)</f>
        <v>0</v>
      </c>
      <c r="AB4" s="797">
        <f>VLOOKUP(AB3,Dados!$E$85:$F$122,2,FALSE)</f>
        <v>0</v>
      </c>
      <c r="AC4" s="797">
        <f>VLOOKUP(AC3,Dados!$E$85:$F$122,2,FALSE)</f>
        <v>0</v>
      </c>
      <c r="AD4" s="797">
        <f>VLOOKUP(AD3,Dados!$E$85:$F$122,2,FALSE)</f>
        <v>219660.53416264238</v>
      </c>
      <c r="AE4" s="797">
        <f>VLOOKUP(AE3,Dados!$E$85:$F$122,2,FALSE)</f>
        <v>94380.000000000015</v>
      </c>
      <c r="AF4" s="797">
        <f>VLOOKUP(AF3,Dados!$E$85:$F$122,2,FALSE)</f>
        <v>161982.5398</v>
      </c>
      <c r="AG4" s="797">
        <f>VLOOKUP(AG3,Dados!$E$85:$F$122,2,FALSE)</f>
        <v>1638.41255</v>
      </c>
      <c r="AH4" s="797">
        <f>VLOOKUP(AH3,Dados!$E$85:$F$122,2,FALSE)</f>
        <v>0</v>
      </c>
      <c r="AI4" s="797">
        <f>VLOOKUP(AI3,Dados!$E$85:$F$122,2,FALSE)</f>
        <v>0</v>
      </c>
      <c r="AJ4" s="797">
        <f>VLOOKUP(AJ3,Dados!$E$85:$F$122,2,FALSE)</f>
        <v>0</v>
      </c>
      <c r="AK4" s="797">
        <f>VLOOKUP(AK3,Dados!$E$85:$F$122,2,FALSE)</f>
        <v>0</v>
      </c>
      <c r="AL4" s="797">
        <f>VLOOKUP(AL3,Dados!$E$85:$F$122,2,FALSE)</f>
        <v>0</v>
      </c>
      <c r="AM4" s="797">
        <f>VLOOKUP(AM3,Dados!$E$85:$F$122,2,FALSE)</f>
        <v>0</v>
      </c>
      <c r="AN4" s="797">
        <f>VLOOKUP(AN3,Dados!$E$85:$F$122,2,FALSE)</f>
        <v>0</v>
      </c>
      <c r="AO4" s="797">
        <f>VLOOKUP(AO3,Dados!$E$85:$F$122,2,FALSE)</f>
        <v>0</v>
      </c>
      <c r="AP4" s="797">
        <f>VLOOKUP(AP3,Dados!$E$85:$F$122,2,FALSE)</f>
        <v>0</v>
      </c>
      <c r="AQ4" s="797">
        <f>VLOOKUP(AQ3,Dados!$E$85:$F$122,2,FALSE)</f>
        <v>62339.199999999997</v>
      </c>
      <c r="AR4" s="797">
        <f>VLOOKUP(AR3,Dados!$E$85:$F$122,2,FALSE)</f>
        <v>17459.2</v>
      </c>
      <c r="AS4" s="797">
        <f>VLOOKUP(AS3,Dados!$E$85:$F$122,2,FALSE)</f>
        <v>18744</v>
      </c>
      <c r="AT4" s="797">
        <f>VLOOKUP(AT3,Dados!$E$85:$F$122,2,FALSE)</f>
        <v>7392.0000000000009</v>
      </c>
      <c r="AU4" s="797">
        <f>VLOOKUP(AU3,Dados!$E$85:$F$122,2,FALSE)</f>
        <v>18744</v>
      </c>
      <c r="AV4" s="797">
        <f>VLOOKUP(AV3,Dados!$E$85:$F$122,2,FALSE)</f>
        <v>27632</v>
      </c>
      <c r="AW4" s="797">
        <f>VLOOKUP(AW3,Dados!$E$85:$F$122,2,FALSE)</f>
        <v>2640</v>
      </c>
      <c r="AX4" s="797">
        <f>VLOOKUP(AX3,Dados!$E$85:$F$122,2,FALSE)</f>
        <v>0</v>
      </c>
      <c r="AY4" s="797">
        <f>VLOOKUP(AY3,Dados!$E$85:$F$122,2,FALSE)</f>
        <v>0</v>
      </c>
      <c r="AZ4" s="797">
        <f>VLOOKUP(AZ3,Dados!$E$85:$F$122,2,FALSE)</f>
        <v>0</v>
      </c>
      <c r="BA4" s="797">
        <f>VLOOKUP(BA3,Dados!$E$85:$F$122,2,FALSE)</f>
        <v>24992</v>
      </c>
      <c r="BB4" s="797">
        <f>VLOOKUP(BB3,Dados!$E$85:$F$122,2,FALSE)</f>
        <v>3124</v>
      </c>
      <c r="BC4" s="797">
        <f>VLOOKUP(BC3,Dados!$E$85:$F$122,2,FALSE)</f>
        <v>32650</v>
      </c>
      <c r="BD4" s="797">
        <f>VLOOKUP(BD3,Dados!$E$85:$F$122,2,FALSE)</f>
        <v>0</v>
      </c>
      <c r="BE4" s="797">
        <f>VLOOKUP(BE3,Dados!$E$85:$F$122,2,FALSE)</f>
        <v>12602.005302768144</v>
      </c>
      <c r="BF4" s="797">
        <f>VLOOKUP(BF3,Dados!$E$85:$F$122,2,FALSE)</f>
        <v>3000.0000135833125</v>
      </c>
      <c r="BG4" s="797">
        <f>VLOOKUP(BG3,Dados!$E$85:$F$122,2,FALSE)</f>
        <v>9602.0052820053606</v>
      </c>
      <c r="BH4" s="797">
        <f>VLOOKUP(BH3,Dados!$E$85:$F$122,2,FALSE)</f>
        <v>9.8262399388642805E-7</v>
      </c>
      <c r="BI4" s="797">
        <f>VLOOKUP(BI3,Dados!$E$85:$F$122,2,FALSE)</f>
        <v>6.1968484011391635E-6</v>
      </c>
      <c r="BJ4" s="797">
        <f>VLOOKUP(BJ3,Dados!$E$85:$F$122,2,FALSE)</f>
        <v>14403.004055612413</v>
      </c>
      <c r="BK4" s="797">
        <f>Dados!M88</f>
        <v>651277.12067102303</v>
      </c>
      <c r="BL4" s="795">
        <f>Dados!M91</f>
        <v>308923.407529513</v>
      </c>
      <c r="BM4" s="798">
        <f>Dados!M93</f>
        <v>960200.52820053604</v>
      </c>
      <c r="BN4" s="799">
        <f>BL4/BM4</f>
        <v>0.32172801248969418</v>
      </c>
      <c r="BO4" s="797">
        <v>5.15</v>
      </c>
      <c r="BP4" s="797">
        <v>6.25</v>
      </c>
      <c r="BR4" s="800" t="e">
        <f>SUM(G4:BP4)/1000</f>
        <v>#REF!</v>
      </c>
    </row>
    <row r="5" spans="1:70" x14ac:dyDescent="0.25">
      <c r="J5" s="801"/>
      <c r="K5" s="801"/>
      <c r="L5" s="801"/>
      <c r="M5" s="801"/>
      <c r="N5" s="801"/>
      <c r="O5" s="801"/>
      <c r="P5" s="801"/>
      <c r="Q5" s="802"/>
      <c r="R5" s="802"/>
      <c r="S5" s="802"/>
      <c r="T5" s="802"/>
      <c r="U5" s="802"/>
      <c r="V5" s="802"/>
      <c r="W5" s="802"/>
      <c r="X5" s="802"/>
      <c r="Y5" s="802"/>
      <c r="Z5" s="802"/>
      <c r="AA5" s="802"/>
      <c r="AB5" s="802"/>
      <c r="AC5" s="802"/>
      <c r="AD5" s="802"/>
      <c r="AE5" s="802"/>
      <c r="AF5" s="802"/>
      <c r="AG5" s="802"/>
      <c r="AH5" s="802"/>
      <c r="AI5" s="802"/>
      <c r="AJ5" s="802"/>
      <c r="AK5" s="802"/>
      <c r="AL5" s="802"/>
      <c r="AM5" s="802"/>
      <c r="AN5" s="802"/>
      <c r="AO5" s="802"/>
      <c r="AP5" s="802"/>
      <c r="AQ5" s="802"/>
      <c r="AR5" s="802"/>
      <c r="AS5" s="802"/>
      <c r="AT5" s="802"/>
      <c r="AU5" s="802"/>
      <c r="AV5" s="802"/>
      <c r="AW5" s="802"/>
      <c r="AX5" s="802"/>
      <c r="AY5" s="802"/>
      <c r="AZ5" s="802"/>
      <c r="BA5" s="802"/>
      <c r="BB5" s="802"/>
      <c r="BC5" s="802"/>
      <c r="BD5" s="802"/>
      <c r="BE5" s="802"/>
      <c r="BF5" s="802"/>
      <c r="BG5" s="802"/>
      <c r="BH5" s="802"/>
      <c r="BI5" s="802"/>
      <c r="BJ5" s="802"/>
    </row>
    <row r="6" spans="1:70" x14ac:dyDescent="0.25">
      <c r="J6" s="796">
        <f>SUM(J4:P4)</f>
        <v>1408</v>
      </c>
      <c r="K6" s="801"/>
      <c r="L6" s="801"/>
      <c r="M6" s="801"/>
      <c r="N6" s="801"/>
      <c r="O6" s="801"/>
      <c r="P6" s="801"/>
      <c r="Q6" s="802">
        <f>SUM(Q4:X4)</f>
        <v>119981.2</v>
      </c>
      <c r="R6" s="802"/>
      <c r="S6" s="802"/>
      <c r="T6" s="802"/>
      <c r="U6" s="802"/>
      <c r="V6" s="802"/>
      <c r="W6" s="802"/>
      <c r="X6" s="802"/>
      <c r="Y6" s="802"/>
      <c r="Z6" s="802"/>
      <c r="AA6" s="802"/>
      <c r="AB6" s="802"/>
      <c r="AC6" s="802"/>
      <c r="AD6" s="802"/>
      <c r="AE6" s="802"/>
      <c r="AF6" s="802"/>
      <c r="AG6" s="802"/>
      <c r="AH6" s="802"/>
      <c r="AI6" s="802"/>
      <c r="AJ6" s="802"/>
      <c r="AK6" s="802"/>
      <c r="AL6" s="802"/>
      <c r="AM6" s="802"/>
      <c r="AN6" s="802"/>
      <c r="AO6" s="802"/>
      <c r="AP6" s="802"/>
      <c r="AQ6" s="802"/>
      <c r="AR6" s="802"/>
      <c r="AS6" s="802"/>
      <c r="AT6" s="802"/>
      <c r="AU6" s="802"/>
      <c r="AV6" s="802"/>
      <c r="AW6" s="802"/>
      <c r="AX6" s="802"/>
      <c r="AY6" s="802"/>
      <c r="AZ6" s="802"/>
      <c r="BA6" s="802"/>
      <c r="BB6" s="802"/>
      <c r="BC6" s="802"/>
      <c r="BD6" s="802"/>
      <c r="BE6" s="802"/>
      <c r="BF6" s="802"/>
      <c r="BG6" s="802"/>
      <c r="BH6" s="802"/>
      <c r="BI6" s="802"/>
      <c r="BJ6" s="802"/>
    </row>
    <row r="7" spans="1:70" x14ac:dyDescent="0.25">
      <c r="B7" t="s">
        <v>1190</v>
      </c>
      <c r="C7" s="794" t="s">
        <v>322</v>
      </c>
      <c r="D7" t="s">
        <v>1191</v>
      </c>
    </row>
    <row r="8" spans="1:70" x14ac:dyDescent="0.25">
      <c r="A8" t="s">
        <v>1149</v>
      </c>
      <c r="B8" s="797">
        <f>VLOOKUP(A8,Materiais!$E:$L,8,FALSE)</f>
        <v>862.52400000000023</v>
      </c>
      <c r="C8" s="794">
        <f>VLOOKUP(A8,Materiais!$E:$M,9,FALSE)</f>
        <v>4</v>
      </c>
      <c r="D8" s="795">
        <f t="shared" ref="D8:D27" si="0">B8*C8</f>
        <v>3450.0960000000009</v>
      </c>
    </row>
    <row r="9" spans="1:70" x14ac:dyDescent="0.25">
      <c r="A9" t="s">
        <v>1144</v>
      </c>
      <c r="B9" s="797">
        <f>VLOOKUP(A9,Materiais!$E:$L,8,FALSE)</f>
        <v>363.75000000000006</v>
      </c>
      <c r="C9" s="794">
        <f>VLOOKUP(A9,Materiais!$E:$M,9,FALSE)</f>
        <v>2</v>
      </c>
      <c r="D9" s="795">
        <f t="shared" si="0"/>
        <v>727.50000000000011</v>
      </c>
    </row>
    <row r="10" spans="1:70" x14ac:dyDescent="0.25">
      <c r="A10" t="s">
        <v>1146</v>
      </c>
      <c r="B10" s="797">
        <f>VLOOKUP(A10,Materiais!$E:$L,8,FALSE)</f>
        <v>7350.7500000000009</v>
      </c>
      <c r="C10" s="794">
        <f>VLOOKUP(A10,Materiais!$E:$M,9,FALSE)</f>
        <v>0</v>
      </c>
      <c r="D10" s="795">
        <f t="shared" si="0"/>
        <v>0</v>
      </c>
    </row>
    <row r="11" spans="1:70" x14ac:dyDescent="0.25">
      <c r="A11" t="s">
        <v>1198</v>
      </c>
      <c r="B11" s="797">
        <f>VLOOKUP(A11,Materiais!$E:$L,8,FALSE)</f>
        <v>46781.305032527198</v>
      </c>
      <c r="C11" s="794">
        <f>VLOOKUP(A11,Materiais!$E:$M,9,FALSE)</f>
        <v>0</v>
      </c>
      <c r="D11" s="795">
        <f t="shared" si="0"/>
        <v>0</v>
      </c>
    </row>
    <row r="12" spans="1:70" x14ac:dyDescent="0.25">
      <c r="A12" t="s">
        <v>1201</v>
      </c>
      <c r="B12" s="797">
        <f>VLOOKUP(A12,Materiais!$E:$L,8,FALSE)</f>
        <v>41689.424259924635</v>
      </c>
      <c r="C12" s="794">
        <f>VLOOKUP(A12,Materiais!$E:$M,9,FALSE)</f>
        <v>0</v>
      </c>
      <c r="D12" s="795">
        <f t="shared" si="0"/>
        <v>0</v>
      </c>
    </row>
    <row r="13" spans="1:70" x14ac:dyDescent="0.25">
      <c r="A13" t="s">
        <v>1202</v>
      </c>
      <c r="B13" s="797">
        <f>VLOOKUP(A13,Materiais!$E:$L,8,FALSE)</f>
        <v>39087.909273705263</v>
      </c>
      <c r="C13" s="794">
        <f>VLOOKUP(A13,Materiais!$E:$M,9,FALSE)</f>
        <v>0</v>
      </c>
      <c r="D13" s="795">
        <f t="shared" si="0"/>
        <v>0</v>
      </c>
    </row>
    <row r="14" spans="1:70" x14ac:dyDescent="0.25">
      <c r="A14" t="s">
        <v>1203</v>
      </c>
      <c r="B14" s="797" t="e">
        <f>VLOOKUP(A14,Materiais!$E:$L,8,FALSE)</f>
        <v>#N/A</v>
      </c>
      <c r="C14" s="794" t="e">
        <f>VLOOKUP(A14,Materiais!$E:$M,9,FALSE)</f>
        <v>#N/A</v>
      </c>
      <c r="D14" s="795" t="e">
        <f t="shared" si="0"/>
        <v>#N/A</v>
      </c>
    </row>
    <row r="15" spans="1:70" x14ac:dyDescent="0.25">
      <c r="A15" t="s">
        <v>1199</v>
      </c>
      <c r="B15" s="797" t="e">
        <f>VLOOKUP(A15,Materiais!$E:$L,8,FALSE)</f>
        <v>#N/A</v>
      </c>
      <c r="C15" s="794" t="e">
        <f>VLOOKUP(A15,Materiais!$E:$M,9,FALSE)</f>
        <v>#N/A</v>
      </c>
      <c r="D15" s="795" t="e">
        <f t="shared" si="0"/>
        <v>#N/A</v>
      </c>
    </row>
    <row r="16" spans="1:70" x14ac:dyDescent="0.25">
      <c r="A16" t="s">
        <v>1192</v>
      </c>
      <c r="B16" s="797" t="e">
        <f>VLOOKUP(A16,Materiais!$E:$L,8,FALSE)</f>
        <v>#N/A</v>
      </c>
      <c r="C16" s="794" t="e">
        <f>VLOOKUP(A16,Materiais!$E:$M,9,FALSE)</f>
        <v>#N/A</v>
      </c>
      <c r="D16" s="795" t="e">
        <f t="shared" si="0"/>
        <v>#N/A</v>
      </c>
    </row>
    <row r="17" spans="1:4" x14ac:dyDescent="0.25">
      <c r="A17" t="s">
        <v>1193</v>
      </c>
      <c r="B17" s="797" t="e">
        <f>VLOOKUP(A17,Materiais!$E:$L,8,FALSE)</f>
        <v>#N/A</v>
      </c>
      <c r="C17" s="794" t="e">
        <f>VLOOKUP(A17,Materiais!$E:$M,9,FALSE)</f>
        <v>#N/A</v>
      </c>
      <c r="D17" s="795" t="e">
        <f t="shared" si="0"/>
        <v>#N/A</v>
      </c>
    </row>
    <row r="18" spans="1:4" x14ac:dyDescent="0.25">
      <c r="A18" t="s">
        <v>1194</v>
      </c>
      <c r="B18" s="797" t="e">
        <f>VLOOKUP(A18,Materiais!$E:$L,8,FALSE)</f>
        <v>#N/A</v>
      </c>
      <c r="C18" s="794" t="e">
        <f>VLOOKUP(A18,Materiais!$E:$M,9,FALSE)</f>
        <v>#N/A</v>
      </c>
      <c r="D18" s="795" t="e">
        <f t="shared" si="0"/>
        <v>#N/A</v>
      </c>
    </row>
    <row r="19" spans="1:4" x14ac:dyDescent="0.25">
      <c r="A19" t="s">
        <v>1195</v>
      </c>
      <c r="B19" s="797" t="e">
        <f>VLOOKUP(A19,Materiais!$E:$L,8,FALSE)</f>
        <v>#N/A</v>
      </c>
      <c r="C19" s="794" t="e">
        <f>VLOOKUP(A19,Materiais!$E:$M,9,FALSE)</f>
        <v>#N/A</v>
      </c>
      <c r="D19" s="795" t="e">
        <f t="shared" ref="D19:D26" si="1">B19*C19</f>
        <v>#N/A</v>
      </c>
    </row>
    <row r="20" spans="1:4" x14ac:dyDescent="0.25">
      <c r="A20" t="s">
        <v>1196</v>
      </c>
      <c r="B20" s="797" t="e">
        <f>VLOOKUP(A20,Materiais!$E:$L,8,FALSE)</f>
        <v>#N/A</v>
      </c>
      <c r="C20" s="794" t="e">
        <f>VLOOKUP(A20,Materiais!$E:$M,9,FALSE)</f>
        <v>#N/A</v>
      </c>
      <c r="D20" s="795" t="e">
        <f t="shared" si="1"/>
        <v>#N/A</v>
      </c>
    </row>
    <row r="21" spans="1:4" x14ac:dyDescent="0.25">
      <c r="A21" t="s">
        <v>1204</v>
      </c>
      <c r="B21" s="797" t="e">
        <f>VLOOKUP(A21,Materiais!$E:$L,8,FALSE)</f>
        <v>#N/A</v>
      </c>
      <c r="C21" s="794" t="e">
        <f>VLOOKUP(A21,Materiais!$E:$M,9,FALSE)</f>
        <v>#N/A</v>
      </c>
      <c r="D21" s="795" t="e">
        <f t="shared" si="1"/>
        <v>#N/A</v>
      </c>
    </row>
    <row r="22" spans="1:4" x14ac:dyDescent="0.25">
      <c r="A22" t="s">
        <v>1197</v>
      </c>
      <c r="B22" s="797" t="e">
        <f>VLOOKUP(A22,Materiais!$E:$L,8,FALSE)</f>
        <v>#N/A</v>
      </c>
      <c r="C22" s="794" t="e">
        <f>VLOOKUP(A22,Materiais!$E:$M,9,FALSE)</f>
        <v>#N/A</v>
      </c>
      <c r="D22" s="795" t="e">
        <f t="shared" si="1"/>
        <v>#N/A</v>
      </c>
    </row>
    <row r="23" spans="1:4" x14ac:dyDescent="0.25">
      <c r="A23" t="s">
        <v>605</v>
      </c>
      <c r="B23" s="797">
        <f>VLOOKUP(A23,Materiais!$E:$L,8,FALSE)</f>
        <v>318.84142500000007</v>
      </c>
      <c r="C23" s="794">
        <f>VLOOKUP(A23,Materiais!$E:$M,9,FALSE)</f>
        <v>0</v>
      </c>
      <c r="D23" s="795">
        <f t="shared" si="1"/>
        <v>0</v>
      </c>
    </row>
    <row r="24" spans="1:4" x14ac:dyDescent="0.25">
      <c r="A24" t="s">
        <v>610</v>
      </c>
      <c r="B24" s="797">
        <f>VLOOKUP(A24,Materiais!$E:$L,8,FALSE)</f>
        <v>474.97747500000008</v>
      </c>
      <c r="C24" s="794">
        <f>VLOOKUP(A24,Materiais!$E:$M,9,FALSE)</f>
        <v>0</v>
      </c>
      <c r="D24" s="795">
        <f t="shared" si="1"/>
        <v>0</v>
      </c>
    </row>
    <row r="25" spans="1:4" x14ac:dyDescent="0.25">
      <c r="A25" t="s">
        <v>600</v>
      </c>
      <c r="B25" s="797">
        <f>VLOOKUP(A25,Materiais!$E:$L,8,FALSE)</f>
        <v>51.616125000000011</v>
      </c>
      <c r="C25" s="794">
        <f>VLOOKUP(A25,Materiais!$E:$M,9,FALSE)</f>
        <v>0</v>
      </c>
      <c r="D25" s="795">
        <f t="shared" si="1"/>
        <v>0</v>
      </c>
    </row>
    <row r="26" spans="1:4" x14ac:dyDescent="0.25">
      <c r="A26" t="s">
        <v>617</v>
      </c>
      <c r="B26" s="797">
        <f>VLOOKUP(A26,Materiais!$E:$L,8,FALSE)</f>
        <v>1835.1181750000001</v>
      </c>
      <c r="C26" s="794">
        <f>VLOOKUP(A26,Materiais!$E:$M,9,FALSE)</f>
        <v>0</v>
      </c>
      <c r="D26" s="795">
        <f t="shared" si="1"/>
        <v>0</v>
      </c>
    </row>
    <row r="27" spans="1:4" x14ac:dyDescent="0.25">
      <c r="A27" t="s">
        <v>807</v>
      </c>
      <c r="B27" s="797">
        <f>VLOOKUP(A27,Materiais!$E:$L,8,FALSE)</f>
        <v>6235.0387500000015</v>
      </c>
      <c r="C27" s="794">
        <f>VLOOKUP(A27,Materiais!$E:$M,9,FALSE)</f>
        <v>0</v>
      </c>
      <c r="D27" s="795">
        <f t="shared" si="0"/>
        <v>0</v>
      </c>
    </row>
    <row r="28" spans="1:4" x14ac:dyDescent="0.25">
      <c r="A28" t="s">
        <v>1155</v>
      </c>
      <c r="B28" s="797">
        <f>VLOOKUP(A28,Materiais!$E:$L,8,FALSE)</f>
        <v>4290.3075750000007</v>
      </c>
      <c r="C28" s="794">
        <f>VLOOKUP(A28,Materiais!$E:$M,9,FALSE)</f>
        <v>0</v>
      </c>
      <c r="D28" s="795">
        <f t="shared" ref="D28:D43" si="2">B28*C28</f>
        <v>0</v>
      </c>
    </row>
    <row r="29" spans="1:4" x14ac:dyDescent="0.25">
      <c r="A29" t="s">
        <v>1151</v>
      </c>
      <c r="B29" s="797">
        <f>VLOOKUP(A29,Materiais!$E:$L,8,FALSE)</f>
        <v>2578.9147500000004</v>
      </c>
      <c r="C29" s="794">
        <f>VLOOKUP(A29,Materiais!$E:$M,9,FALSE)</f>
        <v>0</v>
      </c>
      <c r="D29" s="795">
        <f t="shared" si="2"/>
        <v>0</v>
      </c>
    </row>
    <row r="30" spans="1:4" x14ac:dyDescent="0.25">
      <c r="A30" t="s">
        <v>1138</v>
      </c>
      <c r="B30" s="797" t="e">
        <f>VLOOKUP(A30,Materiais!$E:$L,8,FALSE)</f>
        <v>#N/A</v>
      </c>
      <c r="C30" s="794" t="e">
        <f>VLOOKUP(A30,Materiais!$E:$M,9,FALSE)</f>
        <v>#N/A</v>
      </c>
      <c r="D30" s="795" t="e">
        <f t="shared" si="2"/>
        <v>#N/A</v>
      </c>
    </row>
    <row r="31" spans="1:4" x14ac:dyDescent="0.25">
      <c r="A31" t="s">
        <v>684</v>
      </c>
      <c r="B31" s="797" t="e">
        <f>VLOOKUP(A31,Materiais!$E:$L,8,FALSE)</f>
        <v>#N/A</v>
      </c>
      <c r="C31" s="794" t="e">
        <f>VLOOKUP(A31,Materiais!$E:$M,9,FALSE)</f>
        <v>#N/A</v>
      </c>
      <c r="D31" s="795" t="e">
        <f t="shared" si="2"/>
        <v>#N/A</v>
      </c>
    </row>
    <row r="32" spans="1:4" x14ac:dyDescent="0.25">
      <c r="A32" t="s">
        <v>1139</v>
      </c>
      <c r="B32" s="797">
        <f>VLOOKUP(A32,Materiais!$E:$L,8,FALSE)</f>
        <v>5329.4255250000006</v>
      </c>
      <c r="C32" s="794">
        <f>VLOOKUP(A32,Materiais!$E:$M,9,FALSE)</f>
        <v>0</v>
      </c>
      <c r="D32" s="795">
        <f t="shared" si="2"/>
        <v>0</v>
      </c>
    </row>
    <row r="33" spans="1:5" x14ac:dyDescent="0.25">
      <c r="A33" t="s">
        <v>1156</v>
      </c>
      <c r="B33" s="797">
        <f>VLOOKUP(A33,Materiais!$E:$L,8,FALSE)</f>
        <v>19674.396850000001</v>
      </c>
      <c r="C33" s="794">
        <f>VLOOKUP(A33,Materiais!$E:$M,9,FALSE)</f>
        <v>0</v>
      </c>
      <c r="D33" s="795">
        <f t="shared" si="2"/>
        <v>0</v>
      </c>
    </row>
    <row r="34" spans="1:5" x14ac:dyDescent="0.25">
      <c r="A34" t="s">
        <v>1162</v>
      </c>
      <c r="B34" s="797">
        <f>VLOOKUP(A34,Materiais!$E:$L,8,FALSE)</f>
        <v>14283.2487</v>
      </c>
      <c r="C34" s="794">
        <f>VLOOKUP(A34,Materiais!$E:$M,9,FALSE)</f>
        <v>0</v>
      </c>
      <c r="D34" s="795">
        <f t="shared" si="2"/>
        <v>0</v>
      </c>
    </row>
    <row r="35" spans="1:5" x14ac:dyDescent="0.25">
      <c r="A35" t="s">
        <v>1126</v>
      </c>
      <c r="B35" s="797" t="e">
        <f>VLOOKUP(A35,Materiais!$E:$L,8,FALSE)</f>
        <v>#N/A</v>
      </c>
      <c r="C35" s="794" t="e">
        <f>VLOOKUP(A35,Materiais!$E:$M,9,FALSE)</f>
        <v>#N/A</v>
      </c>
      <c r="D35" s="795" t="e">
        <f t="shared" si="2"/>
        <v>#N/A</v>
      </c>
    </row>
    <row r="36" spans="1:5" x14ac:dyDescent="0.25">
      <c r="A36" t="s">
        <v>1127</v>
      </c>
      <c r="B36" s="797" t="e">
        <f>VLOOKUP(A36,Materiais!$E:$L,8,FALSE)</f>
        <v>#N/A</v>
      </c>
      <c r="C36" s="794" t="e">
        <f>VLOOKUP(A36,Materiais!$E:$M,9,FALSE)</f>
        <v>#N/A</v>
      </c>
      <c r="D36" s="795" t="e">
        <f t="shared" si="2"/>
        <v>#N/A</v>
      </c>
    </row>
    <row r="37" spans="1:5" x14ac:dyDescent="0.25">
      <c r="A37" t="s">
        <v>1120</v>
      </c>
      <c r="B37" s="797">
        <f>VLOOKUP(A37,Materiais!$E:$L,8,FALSE)</f>
        <v>20760.909750000003</v>
      </c>
      <c r="C37" s="794">
        <f>VLOOKUP(A37,Materiais!$E:$M,9,FALSE)</f>
        <v>0</v>
      </c>
      <c r="D37" s="795">
        <f t="shared" si="2"/>
        <v>0</v>
      </c>
    </row>
    <row r="38" spans="1:5" x14ac:dyDescent="0.25">
      <c r="A38" t="s">
        <v>743</v>
      </c>
      <c r="B38" s="797">
        <f>VLOOKUP(A38,Materiais!$E:$L,8,FALSE)</f>
        <v>1042.2165000000002</v>
      </c>
      <c r="C38" s="794">
        <f>VLOOKUP(A38,Materiais!$E:$M,9,FALSE)</f>
        <v>0</v>
      </c>
      <c r="D38" s="795">
        <f t="shared" si="2"/>
        <v>0</v>
      </c>
    </row>
    <row r="39" spans="1:5" x14ac:dyDescent="0.25">
      <c r="A39" t="s">
        <v>1129</v>
      </c>
      <c r="B39" s="797" t="e">
        <f>VLOOKUP(A39,Materiais!$E:$L,8,FALSE)</f>
        <v>#N/A</v>
      </c>
      <c r="C39" s="794" t="e">
        <f>VLOOKUP(A39,Materiais!$E:$M,9,FALSE)</f>
        <v>#N/A</v>
      </c>
      <c r="D39" s="795" t="e">
        <f t="shared" si="2"/>
        <v>#N/A</v>
      </c>
    </row>
    <row r="40" spans="1:5" x14ac:dyDescent="0.25">
      <c r="A40" t="s">
        <v>696</v>
      </c>
      <c r="B40" s="797">
        <f>VLOOKUP(A40,Materiais!$E:$L,8,FALSE)</f>
        <v>32488.500000000004</v>
      </c>
      <c r="C40" s="794">
        <f>VLOOKUP(A40,Materiais!$E:$M,9,FALSE)</f>
        <v>2</v>
      </c>
      <c r="D40" s="795">
        <f t="shared" si="2"/>
        <v>64977.000000000007</v>
      </c>
    </row>
    <row r="41" spans="1:5" x14ac:dyDescent="0.25">
      <c r="A41" t="s">
        <v>698</v>
      </c>
      <c r="B41" s="797">
        <f>VLOOKUP(A41,Materiais!$E:$L,8,FALSE)</f>
        <v>7350.7500000000009</v>
      </c>
      <c r="C41" s="794">
        <f>VLOOKUP(A41,Materiais!$E:$M,9,FALSE)</f>
        <v>2</v>
      </c>
      <c r="D41" s="795">
        <f t="shared" si="2"/>
        <v>14701.500000000002</v>
      </c>
    </row>
    <row r="42" spans="1:5" x14ac:dyDescent="0.25">
      <c r="A42" t="s">
        <v>702</v>
      </c>
      <c r="B42" s="797">
        <f>VLOOKUP(A42,Materiais!$E:$L,8,FALSE)</f>
        <v>7350.7500000000009</v>
      </c>
      <c r="C42" s="794">
        <f>VLOOKUP(A42,Materiais!$E:$M,9,FALSE)</f>
        <v>2</v>
      </c>
      <c r="D42" s="795">
        <f t="shared" si="2"/>
        <v>14701.500000000002</v>
      </c>
    </row>
    <row r="43" spans="1:5" x14ac:dyDescent="0.25">
      <c r="A43" t="s">
        <v>948</v>
      </c>
      <c r="B43" s="797">
        <f>VLOOKUP(A43,Materiais!$E:$L,8,FALSE)</f>
        <v>1076.9839000000002</v>
      </c>
      <c r="C43" s="794">
        <f>VLOOKUP(A43,Materiais!$E:$M,9,FALSE)</f>
        <v>0</v>
      </c>
      <c r="D43" s="795">
        <f t="shared" si="2"/>
        <v>0</v>
      </c>
    </row>
    <row r="44" spans="1:5" x14ac:dyDescent="0.25">
      <c r="A44" t="s">
        <v>984</v>
      </c>
      <c r="B44" s="797">
        <f>VLOOKUP(A44,Materiais!$E:$L,8,FALSE)</f>
        <v>2078.0610000000001</v>
      </c>
      <c r="C44" s="794">
        <f>VLOOKUP(A44,Materiais!$E:$M,9,FALSE)</f>
        <v>0</v>
      </c>
      <c r="D44" s="795">
        <f t="shared" ref="D44" si="3">B44*C44</f>
        <v>0</v>
      </c>
    </row>
    <row r="45" spans="1:5" x14ac:dyDescent="0.25">
      <c r="E45" t="e">
        <f>IF(ABS(SUM(D8:D44)-SUM(AA4,AC4:AP4))&lt;0.01,TRUE,FALSE)</f>
        <v>#N/A</v>
      </c>
    </row>
    <row r="46" spans="1:5" x14ac:dyDescent="0.25">
      <c r="E46" t="b">
        <f>IF(ABS(SUM(Q4:X4)-SUM(AQ4,AV4,BC4))&lt;0.01,TRUE,FALSE)</f>
        <v>0</v>
      </c>
    </row>
    <row r="58" spans="1:70" s="794" customFormat="1" x14ac:dyDescent="0.25">
      <c r="A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O58"/>
      <c r="BP58"/>
      <c r="BQ58"/>
      <c r="BR58" s="802"/>
    </row>
  </sheetData>
  <sortState xmlns:xlrd2="http://schemas.microsoft.com/office/spreadsheetml/2017/richdata2" ref="A19:A21">
    <sortCondition ref="A19:A21"/>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tabColor rgb="FF00B0F0"/>
  </sheetPr>
  <dimension ref="A2:Z363"/>
  <sheetViews>
    <sheetView zoomScale="90" zoomScaleNormal="90" workbookViewId="0">
      <pane xSplit="3" ySplit="5" topLeftCell="D255" activePane="bottomRight" state="frozen"/>
      <selection pane="topRight" activeCell="C1" sqref="C1"/>
      <selection pane="bottomLeft" activeCell="A6" sqref="A6"/>
      <selection pane="bottomRight" activeCell="E346" sqref="E346"/>
    </sheetView>
  </sheetViews>
  <sheetFormatPr defaultColWidth="9.109375" defaultRowHeight="13.2" outlineLevelRow="1" x14ac:dyDescent="0.25"/>
  <cols>
    <col min="1" max="1" width="12.6640625" style="113" hidden="1" customWidth="1"/>
    <col min="2" max="2" width="2.6640625" style="113" customWidth="1"/>
    <col min="3" max="5" width="20.6640625" style="113" customWidth="1"/>
    <col min="6" max="6" width="15.6640625" style="113" customWidth="1"/>
    <col min="7" max="7" width="13.6640625" style="113" customWidth="1"/>
    <col min="8" max="10" width="15.6640625" style="113" customWidth="1"/>
    <col min="11" max="12" width="14.6640625" style="113" customWidth="1"/>
    <col min="13" max="13" width="14.6640625" style="115" customWidth="1"/>
    <col min="14" max="24" width="14.6640625" style="113" customWidth="1"/>
    <col min="25" max="25" width="9.109375" style="113"/>
    <col min="26" max="26" width="20.6640625" style="113" customWidth="1"/>
    <col min="27" max="28" width="18.33203125" style="113" customWidth="1"/>
    <col min="29" max="29" width="13.6640625" style="113" customWidth="1"/>
    <col min="30" max="31" width="8.6640625" style="113" customWidth="1"/>
    <col min="32" max="16384" width="9.109375" style="113"/>
  </cols>
  <sheetData>
    <row r="2" spans="1:26" x14ac:dyDescent="0.25">
      <c r="U2" s="282" t="s">
        <v>339</v>
      </c>
      <c r="V2" s="282" t="s">
        <v>340</v>
      </c>
    </row>
    <row r="3" spans="1:26" x14ac:dyDescent="0.25">
      <c r="A3" s="544" t="s">
        <v>678</v>
      </c>
      <c r="D3" s="114" t="s">
        <v>677</v>
      </c>
      <c r="E3" s="213" t="s">
        <v>679</v>
      </c>
      <c r="U3" s="283">
        <f>SUM(D6:W35)</f>
        <v>1052788.7099949373</v>
      </c>
      <c r="V3" s="283">
        <f>IF($E$3=$A$3,Dados!$M$109,Dados!$M$112)</f>
        <v>1052788.7099949375</v>
      </c>
      <c r="W3" s="522" t="b">
        <f>IF(ABS(U3-V3)&lt;0.01,TRUE,FALSE)</f>
        <v>1</v>
      </c>
    </row>
    <row r="4" spans="1:26" x14ac:dyDescent="0.25">
      <c r="A4" s="545" t="s">
        <v>679</v>
      </c>
    </row>
    <row r="5" spans="1:26" x14ac:dyDescent="0.25">
      <c r="D5" s="277" t="s">
        <v>695</v>
      </c>
      <c r="E5" s="278" t="s">
        <v>2793</v>
      </c>
      <c r="F5" s="278" t="s">
        <v>2300</v>
      </c>
      <c r="G5" s="278"/>
      <c r="H5" s="278"/>
      <c r="I5" s="278"/>
      <c r="J5" s="278"/>
      <c r="K5" s="278"/>
      <c r="L5" s="278"/>
      <c r="M5" s="278"/>
      <c r="N5" s="278"/>
      <c r="O5" s="278"/>
      <c r="P5" s="278"/>
      <c r="Q5" s="278"/>
      <c r="R5" s="278"/>
      <c r="S5" s="278"/>
      <c r="T5" s="278"/>
      <c r="U5" s="278"/>
      <c r="V5" s="278"/>
      <c r="W5" s="279"/>
    </row>
    <row r="6" spans="1:26" ht="15" customHeight="1" x14ac:dyDescent="0.25">
      <c r="C6" s="275" t="s">
        <v>357</v>
      </c>
      <c r="D6" s="269">
        <f t="shared" ref="D6:M15" si="0">IF(AND($C6&lt;&gt;"",D$5&lt;&gt;""),SUMIFS(col_PVcomDIFAL,col_abertura1,$C6,col_abertura2,D$5)+IF($E$3=$A$4,SUMIFS(col_fatdir_bruto_com_mn,col_abertura1,$C6,col_abertura2,D$5),0),0)</f>
        <v>404844.68686140829</v>
      </c>
      <c r="E6" s="269">
        <f t="shared" si="0"/>
        <v>117759.17414216271</v>
      </c>
      <c r="F6" s="269">
        <f t="shared" si="0"/>
        <v>7982.9775371069736</v>
      </c>
      <c r="G6" s="269">
        <f t="shared" si="0"/>
        <v>0</v>
      </c>
      <c r="H6" s="269">
        <f t="shared" si="0"/>
        <v>0</v>
      </c>
      <c r="I6" s="269">
        <f t="shared" si="0"/>
        <v>0</v>
      </c>
      <c r="J6" s="265">
        <f t="shared" si="0"/>
        <v>0</v>
      </c>
      <c r="K6" s="265">
        <f t="shared" si="0"/>
        <v>0</v>
      </c>
      <c r="L6" s="265">
        <f t="shared" si="0"/>
        <v>0</v>
      </c>
      <c r="M6" s="768">
        <f t="shared" si="0"/>
        <v>0</v>
      </c>
      <c r="N6" s="265">
        <f t="shared" ref="N6:W15" si="1">IF(AND($C6&lt;&gt;"",N$5&lt;&gt;""),SUMIFS(col_PVcomDIFAL,col_abertura1,$C6,col_abertura2,N$5)+IF($E$3=$A$4,SUMIFS(col_fatdir_bruto_com_mn,col_abertura1,$C6,col_abertura2,N$5),0),0)</f>
        <v>0</v>
      </c>
      <c r="O6" s="265">
        <f t="shared" si="1"/>
        <v>0</v>
      </c>
      <c r="P6" s="265">
        <f t="shared" si="1"/>
        <v>0</v>
      </c>
      <c r="Q6" s="265">
        <f t="shared" si="1"/>
        <v>0</v>
      </c>
      <c r="R6" s="265">
        <f t="shared" si="1"/>
        <v>0</v>
      </c>
      <c r="S6" s="265">
        <f t="shared" si="1"/>
        <v>0</v>
      </c>
      <c r="T6" s="265">
        <f t="shared" si="1"/>
        <v>0</v>
      </c>
      <c r="U6" s="265">
        <f t="shared" si="1"/>
        <v>0</v>
      </c>
      <c r="V6" s="265">
        <f t="shared" si="1"/>
        <v>0</v>
      </c>
      <c r="W6" s="266">
        <f t="shared" si="1"/>
        <v>0</v>
      </c>
      <c r="X6" s="204">
        <f>SUM(D6:W6)</f>
        <v>530586.83854067803</v>
      </c>
      <c r="Y6" s="776"/>
      <c r="Z6" s="204"/>
    </row>
    <row r="7" spans="1:26" ht="15" customHeight="1" x14ac:dyDescent="0.25">
      <c r="C7" s="276" t="s">
        <v>2794</v>
      </c>
      <c r="D7" s="269">
        <f t="shared" si="0"/>
        <v>428663.09067638032</v>
      </c>
      <c r="E7" s="269">
        <f t="shared" si="0"/>
        <v>0</v>
      </c>
      <c r="F7" s="269">
        <f t="shared" si="0"/>
        <v>60946.287568829561</v>
      </c>
      <c r="G7" s="269">
        <f t="shared" si="0"/>
        <v>0</v>
      </c>
      <c r="H7" s="269">
        <f t="shared" si="0"/>
        <v>0</v>
      </c>
      <c r="I7" s="269">
        <f t="shared" si="0"/>
        <v>0</v>
      </c>
      <c r="J7" s="269">
        <f t="shared" si="0"/>
        <v>0</v>
      </c>
      <c r="K7" s="269">
        <f t="shared" si="0"/>
        <v>0</v>
      </c>
      <c r="L7" s="269">
        <f t="shared" si="0"/>
        <v>0</v>
      </c>
      <c r="M7" s="769">
        <f t="shared" si="0"/>
        <v>0</v>
      </c>
      <c r="N7" s="269">
        <f t="shared" si="1"/>
        <v>0</v>
      </c>
      <c r="O7" s="269">
        <f t="shared" si="1"/>
        <v>0</v>
      </c>
      <c r="P7" s="269">
        <f t="shared" si="1"/>
        <v>0</v>
      </c>
      <c r="Q7" s="269">
        <f t="shared" si="1"/>
        <v>0</v>
      </c>
      <c r="R7" s="269">
        <f t="shared" si="1"/>
        <v>0</v>
      </c>
      <c r="S7" s="269">
        <f t="shared" si="1"/>
        <v>0</v>
      </c>
      <c r="T7" s="269">
        <f t="shared" si="1"/>
        <v>0</v>
      </c>
      <c r="U7" s="269">
        <f t="shared" si="1"/>
        <v>0</v>
      </c>
      <c r="V7" s="269">
        <f t="shared" si="1"/>
        <v>0</v>
      </c>
      <c r="W7" s="270">
        <f t="shared" si="1"/>
        <v>0</v>
      </c>
      <c r="X7" s="204">
        <f t="shared" ref="X7:X35" si="2">SUM(D7:W7)</f>
        <v>489609.37824520987</v>
      </c>
      <c r="Y7" s="776"/>
      <c r="Z7" s="204"/>
    </row>
    <row r="8" spans="1:26" ht="15" customHeight="1" x14ac:dyDescent="0.25">
      <c r="C8" s="276" t="s">
        <v>3044</v>
      </c>
      <c r="D8" s="269">
        <f t="shared" si="0"/>
        <v>0</v>
      </c>
      <c r="E8" s="269">
        <f t="shared" si="0"/>
        <v>0</v>
      </c>
      <c r="F8" s="269">
        <f t="shared" si="0"/>
        <v>20054.837249584423</v>
      </c>
      <c r="G8" s="269">
        <f t="shared" si="0"/>
        <v>0</v>
      </c>
      <c r="H8" s="269">
        <f t="shared" si="0"/>
        <v>0</v>
      </c>
      <c r="I8" s="269">
        <f t="shared" si="0"/>
        <v>0</v>
      </c>
      <c r="J8" s="269">
        <f t="shared" si="0"/>
        <v>0</v>
      </c>
      <c r="K8" s="269">
        <f t="shared" si="0"/>
        <v>0</v>
      </c>
      <c r="L8" s="269">
        <f t="shared" si="0"/>
        <v>0</v>
      </c>
      <c r="M8" s="769">
        <f t="shared" si="0"/>
        <v>0</v>
      </c>
      <c r="N8" s="269">
        <f t="shared" si="1"/>
        <v>0</v>
      </c>
      <c r="O8" s="269">
        <f t="shared" si="1"/>
        <v>0</v>
      </c>
      <c r="P8" s="269">
        <f t="shared" si="1"/>
        <v>0</v>
      </c>
      <c r="Q8" s="269">
        <f t="shared" si="1"/>
        <v>0</v>
      </c>
      <c r="R8" s="269">
        <f t="shared" si="1"/>
        <v>0</v>
      </c>
      <c r="S8" s="269">
        <f t="shared" si="1"/>
        <v>0</v>
      </c>
      <c r="T8" s="269">
        <f t="shared" si="1"/>
        <v>0</v>
      </c>
      <c r="U8" s="269">
        <f t="shared" si="1"/>
        <v>0</v>
      </c>
      <c r="V8" s="269">
        <f t="shared" si="1"/>
        <v>0</v>
      </c>
      <c r="W8" s="270">
        <f t="shared" si="1"/>
        <v>0</v>
      </c>
      <c r="X8" s="204">
        <f t="shared" si="2"/>
        <v>20054.837249584423</v>
      </c>
    </row>
    <row r="9" spans="1:26" ht="15" customHeight="1" x14ac:dyDescent="0.25">
      <c r="C9" s="276" t="s">
        <v>1135</v>
      </c>
      <c r="D9" s="269">
        <f t="shared" si="0"/>
        <v>0</v>
      </c>
      <c r="E9" s="269">
        <f t="shared" si="0"/>
        <v>0</v>
      </c>
      <c r="F9" s="269">
        <f t="shared" si="0"/>
        <v>12537.655959465073</v>
      </c>
      <c r="G9" s="269">
        <f t="shared" si="0"/>
        <v>0</v>
      </c>
      <c r="H9" s="269">
        <f t="shared" si="0"/>
        <v>0</v>
      </c>
      <c r="I9" s="269">
        <f t="shared" si="0"/>
        <v>0</v>
      </c>
      <c r="J9" s="269">
        <f t="shared" si="0"/>
        <v>0</v>
      </c>
      <c r="K9" s="269">
        <f t="shared" si="0"/>
        <v>0</v>
      </c>
      <c r="L9" s="269">
        <f t="shared" si="0"/>
        <v>0</v>
      </c>
      <c r="M9" s="769">
        <f t="shared" si="0"/>
        <v>0</v>
      </c>
      <c r="N9" s="269">
        <f t="shared" si="1"/>
        <v>0</v>
      </c>
      <c r="O9" s="269">
        <f t="shared" si="1"/>
        <v>0</v>
      </c>
      <c r="P9" s="269">
        <f t="shared" si="1"/>
        <v>0</v>
      </c>
      <c r="Q9" s="269">
        <f t="shared" si="1"/>
        <v>0</v>
      </c>
      <c r="R9" s="269">
        <f t="shared" si="1"/>
        <v>0</v>
      </c>
      <c r="S9" s="269">
        <f t="shared" si="1"/>
        <v>0</v>
      </c>
      <c r="T9" s="269">
        <f t="shared" si="1"/>
        <v>0</v>
      </c>
      <c r="U9" s="269">
        <f t="shared" si="1"/>
        <v>0</v>
      </c>
      <c r="V9" s="269">
        <f t="shared" si="1"/>
        <v>0</v>
      </c>
      <c r="W9" s="270">
        <f t="shared" si="1"/>
        <v>0</v>
      </c>
      <c r="X9" s="204">
        <f t="shared" si="2"/>
        <v>12537.655959465073</v>
      </c>
    </row>
    <row r="10" spans="1:26" hidden="1" x14ac:dyDescent="0.25">
      <c r="C10" s="276"/>
      <c r="D10" s="269">
        <f t="shared" si="0"/>
        <v>0</v>
      </c>
      <c r="E10" s="269">
        <f t="shared" si="0"/>
        <v>0</v>
      </c>
      <c r="F10" s="269">
        <f t="shared" si="0"/>
        <v>0</v>
      </c>
      <c r="G10" s="269">
        <f t="shared" si="0"/>
        <v>0</v>
      </c>
      <c r="H10" s="269">
        <f t="shared" si="0"/>
        <v>0</v>
      </c>
      <c r="I10" s="269">
        <f t="shared" si="0"/>
        <v>0</v>
      </c>
      <c r="J10" s="269">
        <f t="shared" si="0"/>
        <v>0</v>
      </c>
      <c r="K10" s="269">
        <f t="shared" si="0"/>
        <v>0</v>
      </c>
      <c r="L10" s="269">
        <f t="shared" si="0"/>
        <v>0</v>
      </c>
      <c r="M10" s="769">
        <f t="shared" si="0"/>
        <v>0</v>
      </c>
      <c r="N10" s="269">
        <f t="shared" si="1"/>
        <v>0</v>
      </c>
      <c r="O10" s="269">
        <f t="shared" si="1"/>
        <v>0</v>
      </c>
      <c r="P10" s="269">
        <f t="shared" si="1"/>
        <v>0</v>
      </c>
      <c r="Q10" s="269">
        <f t="shared" si="1"/>
        <v>0</v>
      </c>
      <c r="R10" s="269">
        <f t="shared" si="1"/>
        <v>0</v>
      </c>
      <c r="S10" s="269">
        <f t="shared" si="1"/>
        <v>0</v>
      </c>
      <c r="T10" s="269">
        <f t="shared" si="1"/>
        <v>0</v>
      </c>
      <c r="U10" s="269">
        <f t="shared" si="1"/>
        <v>0</v>
      </c>
      <c r="V10" s="269">
        <f t="shared" si="1"/>
        <v>0</v>
      </c>
      <c r="W10" s="270">
        <f t="shared" si="1"/>
        <v>0</v>
      </c>
      <c r="X10" s="204">
        <f t="shared" si="2"/>
        <v>0</v>
      </c>
    </row>
    <row r="11" spans="1:26" hidden="1" x14ac:dyDescent="0.25">
      <c r="C11" s="276"/>
      <c r="D11" s="269">
        <f t="shared" si="0"/>
        <v>0</v>
      </c>
      <c r="E11" s="269">
        <f t="shared" si="0"/>
        <v>0</v>
      </c>
      <c r="F11" s="269">
        <f t="shared" si="0"/>
        <v>0</v>
      </c>
      <c r="G11" s="269">
        <f t="shared" si="0"/>
        <v>0</v>
      </c>
      <c r="H11" s="269">
        <f t="shared" si="0"/>
        <v>0</v>
      </c>
      <c r="I11" s="269">
        <f t="shared" si="0"/>
        <v>0</v>
      </c>
      <c r="J11" s="269">
        <f t="shared" si="0"/>
        <v>0</v>
      </c>
      <c r="K11" s="269">
        <f t="shared" si="0"/>
        <v>0</v>
      </c>
      <c r="L11" s="269">
        <f t="shared" si="0"/>
        <v>0</v>
      </c>
      <c r="M11" s="769">
        <f t="shared" si="0"/>
        <v>0</v>
      </c>
      <c r="N11" s="269">
        <f t="shared" si="1"/>
        <v>0</v>
      </c>
      <c r="O11" s="269">
        <f t="shared" si="1"/>
        <v>0</v>
      </c>
      <c r="P11" s="269">
        <f t="shared" si="1"/>
        <v>0</v>
      </c>
      <c r="Q11" s="269">
        <f t="shared" si="1"/>
        <v>0</v>
      </c>
      <c r="R11" s="269">
        <f t="shared" si="1"/>
        <v>0</v>
      </c>
      <c r="S11" s="269">
        <f t="shared" si="1"/>
        <v>0</v>
      </c>
      <c r="T11" s="269">
        <f t="shared" si="1"/>
        <v>0</v>
      </c>
      <c r="U11" s="269">
        <f t="shared" si="1"/>
        <v>0</v>
      </c>
      <c r="V11" s="269">
        <f t="shared" si="1"/>
        <v>0</v>
      </c>
      <c r="W11" s="270">
        <f t="shared" si="1"/>
        <v>0</v>
      </c>
      <c r="X11" s="204">
        <f t="shared" si="2"/>
        <v>0</v>
      </c>
    </row>
    <row r="12" spans="1:26" hidden="1" x14ac:dyDescent="0.25">
      <c r="C12" s="276"/>
      <c r="D12" s="268">
        <f t="shared" si="0"/>
        <v>0</v>
      </c>
      <c r="E12" s="269">
        <f t="shared" si="0"/>
        <v>0</v>
      </c>
      <c r="F12" s="269">
        <f t="shared" si="0"/>
        <v>0</v>
      </c>
      <c r="G12" s="269">
        <f t="shared" si="0"/>
        <v>0</v>
      </c>
      <c r="H12" s="269">
        <f t="shared" si="0"/>
        <v>0</v>
      </c>
      <c r="I12" s="269">
        <f t="shared" si="0"/>
        <v>0</v>
      </c>
      <c r="J12" s="269">
        <f t="shared" si="0"/>
        <v>0</v>
      </c>
      <c r="K12" s="269">
        <f t="shared" si="0"/>
        <v>0</v>
      </c>
      <c r="L12" s="269">
        <f t="shared" si="0"/>
        <v>0</v>
      </c>
      <c r="M12" s="769">
        <f t="shared" si="0"/>
        <v>0</v>
      </c>
      <c r="N12" s="269">
        <f t="shared" si="1"/>
        <v>0</v>
      </c>
      <c r="O12" s="269">
        <f t="shared" si="1"/>
        <v>0</v>
      </c>
      <c r="P12" s="269">
        <f t="shared" si="1"/>
        <v>0</v>
      </c>
      <c r="Q12" s="269">
        <f t="shared" si="1"/>
        <v>0</v>
      </c>
      <c r="R12" s="269">
        <f t="shared" si="1"/>
        <v>0</v>
      </c>
      <c r="S12" s="269">
        <f t="shared" si="1"/>
        <v>0</v>
      </c>
      <c r="T12" s="269">
        <f t="shared" si="1"/>
        <v>0</v>
      </c>
      <c r="U12" s="269">
        <f t="shared" si="1"/>
        <v>0</v>
      </c>
      <c r="V12" s="269">
        <f t="shared" si="1"/>
        <v>0</v>
      </c>
      <c r="W12" s="270">
        <f t="shared" si="1"/>
        <v>0</v>
      </c>
      <c r="X12" s="204">
        <f t="shared" si="2"/>
        <v>0</v>
      </c>
    </row>
    <row r="13" spans="1:26" hidden="1" x14ac:dyDescent="0.25">
      <c r="C13" s="276"/>
      <c r="D13" s="268">
        <f t="shared" si="0"/>
        <v>0</v>
      </c>
      <c r="E13" s="269">
        <f t="shared" si="0"/>
        <v>0</v>
      </c>
      <c r="F13" s="269">
        <f t="shared" si="0"/>
        <v>0</v>
      </c>
      <c r="G13" s="269">
        <f t="shared" si="0"/>
        <v>0</v>
      </c>
      <c r="H13" s="269">
        <f t="shared" si="0"/>
        <v>0</v>
      </c>
      <c r="I13" s="269">
        <f t="shared" si="0"/>
        <v>0</v>
      </c>
      <c r="J13" s="269">
        <f t="shared" si="0"/>
        <v>0</v>
      </c>
      <c r="K13" s="269">
        <f t="shared" si="0"/>
        <v>0</v>
      </c>
      <c r="L13" s="269">
        <f t="shared" si="0"/>
        <v>0</v>
      </c>
      <c r="M13" s="769">
        <f t="shared" si="0"/>
        <v>0</v>
      </c>
      <c r="N13" s="269">
        <f t="shared" si="1"/>
        <v>0</v>
      </c>
      <c r="O13" s="269">
        <f t="shared" si="1"/>
        <v>0</v>
      </c>
      <c r="P13" s="269">
        <f t="shared" si="1"/>
        <v>0</v>
      </c>
      <c r="Q13" s="269">
        <f t="shared" si="1"/>
        <v>0</v>
      </c>
      <c r="R13" s="269">
        <f t="shared" si="1"/>
        <v>0</v>
      </c>
      <c r="S13" s="269">
        <f t="shared" si="1"/>
        <v>0</v>
      </c>
      <c r="T13" s="269">
        <f t="shared" si="1"/>
        <v>0</v>
      </c>
      <c r="U13" s="269">
        <f t="shared" si="1"/>
        <v>0</v>
      </c>
      <c r="V13" s="269">
        <f t="shared" si="1"/>
        <v>0</v>
      </c>
      <c r="W13" s="270">
        <f t="shared" si="1"/>
        <v>0</v>
      </c>
      <c r="X13" s="204">
        <f t="shared" si="2"/>
        <v>0</v>
      </c>
    </row>
    <row r="14" spans="1:26" hidden="1" x14ac:dyDescent="0.25">
      <c r="C14" s="276"/>
      <c r="D14" s="268">
        <f t="shared" si="0"/>
        <v>0</v>
      </c>
      <c r="E14" s="269">
        <f t="shared" si="0"/>
        <v>0</v>
      </c>
      <c r="F14" s="269">
        <f t="shared" si="0"/>
        <v>0</v>
      </c>
      <c r="G14" s="269">
        <f t="shared" si="0"/>
        <v>0</v>
      </c>
      <c r="H14" s="269">
        <f t="shared" si="0"/>
        <v>0</v>
      </c>
      <c r="I14" s="269">
        <f t="shared" si="0"/>
        <v>0</v>
      </c>
      <c r="J14" s="269">
        <f t="shared" si="0"/>
        <v>0</v>
      </c>
      <c r="K14" s="269">
        <f t="shared" si="0"/>
        <v>0</v>
      </c>
      <c r="L14" s="269">
        <f t="shared" si="0"/>
        <v>0</v>
      </c>
      <c r="M14" s="769">
        <f t="shared" si="0"/>
        <v>0</v>
      </c>
      <c r="N14" s="269">
        <f t="shared" si="1"/>
        <v>0</v>
      </c>
      <c r="O14" s="269">
        <f t="shared" si="1"/>
        <v>0</v>
      </c>
      <c r="P14" s="269">
        <f t="shared" si="1"/>
        <v>0</v>
      </c>
      <c r="Q14" s="269">
        <f t="shared" si="1"/>
        <v>0</v>
      </c>
      <c r="R14" s="269">
        <f t="shared" si="1"/>
        <v>0</v>
      </c>
      <c r="S14" s="269">
        <f t="shared" si="1"/>
        <v>0</v>
      </c>
      <c r="T14" s="269">
        <f t="shared" si="1"/>
        <v>0</v>
      </c>
      <c r="U14" s="269">
        <f t="shared" si="1"/>
        <v>0</v>
      </c>
      <c r="V14" s="269">
        <f t="shared" si="1"/>
        <v>0</v>
      </c>
      <c r="W14" s="270">
        <f t="shared" si="1"/>
        <v>0</v>
      </c>
      <c r="X14" s="204">
        <f t="shared" si="2"/>
        <v>0</v>
      </c>
    </row>
    <row r="15" spans="1:26" hidden="1" x14ac:dyDescent="0.25">
      <c r="C15" s="276"/>
      <c r="D15" s="268">
        <f t="shared" si="0"/>
        <v>0</v>
      </c>
      <c r="E15" s="269">
        <f t="shared" si="0"/>
        <v>0</v>
      </c>
      <c r="F15" s="269">
        <f t="shared" si="0"/>
        <v>0</v>
      </c>
      <c r="G15" s="269">
        <f t="shared" si="0"/>
        <v>0</v>
      </c>
      <c r="H15" s="269">
        <f t="shared" si="0"/>
        <v>0</v>
      </c>
      <c r="I15" s="269">
        <f t="shared" si="0"/>
        <v>0</v>
      </c>
      <c r="J15" s="269">
        <f t="shared" si="0"/>
        <v>0</v>
      </c>
      <c r="K15" s="269">
        <f t="shared" si="0"/>
        <v>0</v>
      </c>
      <c r="L15" s="269">
        <f t="shared" si="0"/>
        <v>0</v>
      </c>
      <c r="M15" s="769">
        <f t="shared" si="0"/>
        <v>0</v>
      </c>
      <c r="N15" s="269">
        <f t="shared" si="1"/>
        <v>0</v>
      </c>
      <c r="O15" s="269">
        <f t="shared" si="1"/>
        <v>0</v>
      </c>
      <c r="P15" s="269">
        <f t="shared" si="1"/>
        <v>0</v>
      </c>
      <c r="Q15" s="269">
        <f t="shared" si="1"/>
        <v>0</v>
      </c>
      <c r="R15" s="269">
        <f t="shared" si="1"/>
        <v>0</v>
      </c>
      <c r="S15" s="269">
        <f t="shared" si="1"/>
        <v>0</v>
      </c>
      <c r="T15" s="269">
        <f t="shared" si="1"/>
        <v>0</v>
      </c>
      <c r="U15" s="269">
        <f t="shared" si="1"/>
        <v>0</v>
      </c>
      <c r="V15" s="269">
        <f t="shared" si="1"/>
        <v>0</v>
      </c>
      <c r="W15" s="270">
        <f t="shared" si="1"/>
        <v>0</v>
      </c>
      <c r="X15" s="204">
        <f t="shared" si="2"/>
        <v>0</v>
      </c>
    </row>
    <row r="16" spans="1:26" hidden="1" x14ac:dyDescent="0.25">
      <c r="C16" s="276"/>
      <c r="D16" s="268">
        <f t="shared" ref="D16:M25" si="3">IF(AND($C16&lt;&gt;"",D$5&lt;&gt;""),SUMIFS(col_PVcomDIFAL,col_abertura1,$C16,col_abertura2,D$5)+IF($E$3=$A$4,SUMIFS(col_fatdir_bruto_com_mn,col_abertura1,$C16,col_abertura2,D$5),0),0)</f>
        <v>0</v>
      </c>
      <c r="E16" s="269">
        <f t="shared" si="3"/>
        <v>0</v>
      </c>
      <c r="F16" s="269">
        <f t="shared" si="3"/>
        <v>0</v>
      </c>
      <c r="G16" s="269">
        <f t="shared" si="3"/>
        <v>0</v>
      </c>
      <c r="H16" s="269">
        <f t="shared" si="3"/>
        <v>0</v>
      </c>
      <c r="I16" s="269">
        <f t="shared" si="3"/>
        <v>0</v>
      </c>
      <c r="J16" s="269">
        <f t="shared" si="3"/>
        <v>0</v>
      </c>
      <c r="K16" s="269">
        <f t="shared" si="3"/>
        <v>0</v>
      </c>
      <c r="L16" s="269">
        <f t="shared" si="3"/>
        <v>0</v>
      </c>
      <c r="M16" s="769">
        <f t="shared" si="3"/>
        <v>0</v>
      </c>
      <c r="N16" s="269">
        <f t="shared" ref="N16:W25" si="4">IF(AND($C16&lt;&gt;"",N$5&lt;&gt;""),SUMIFS(col_PVcomDIFAL,col_abertura1,$C16,col_abertura2,N$5)+IF($E$3=$A$4,SUMIFS(col_fatdir_bruto_com_mn,col_abertura1,$C16,col_abertura2,N$5),0),0)</f>
        <v>0</v>
      </c>
      <c r="O16" s="269">
        <f t="shared" si="4"/>
        <v>0</v>
      </c>
      <c r="P16" s="269">
        <f t="shared" si="4"/>
        <v>0</v>
      </c>
      <c r="Q16" s="269">
        <f t="shared" si="4"/>
        <v>0</v>
      </c>
      <c r="R16" s="269">
        <f t="shared" si="4"/>
        <v>0</v>
      </c>
      <c r="S16" s="269">
        <f t="shared" si="4"/>
        <v>0</v>
      </c>
      <c r="T16" s="269">
        <f t="shared" si="4"/>
        <v>0</v>
      </c>
      <c r="U16" s="269">
        <f t="shared" si="4"/>
        <v>0</v>
      </c>
      <c r="V16" s="269">
        <f t="shared" si="4"/>
        <v>0</v>
      </c>
      <c r="W16" s="270">
        <f t="shared" si="4"/>
        <v>0</v>
      </c>
      <c r="X16" s="204">
        <f t="shared" si="2"/>
        <v>0</v>
      </c>
    </row>
    <row r="17" spans="3:24" hidden="1" x14ac:dyDescent="0.25">
      <c r="C17" s="276"/>
      <c r="D17" s="268">
        <f t="shared" si="3"/>
        <v>0</v>
      </c>
      <c r="E17" s="269">
        <f t="shared" si="3"/>
        <v>0</v>
      </c>
      <c r="F17" s="269">
        <f t="shared" si="3"/>
        <v>0</v>
      </c>
      <c r="G17" s="269">
        <f t="shared" si="3"/>
        <v>0</v>
      </c>
      <c r="H17" s="269">
        <f t="shared" si="3"/>
        <v>0</v>
      </c>
      <c r="I17" s="269">
        <f t="shared" si="3"/>
        <v>0</v>
      </c>
      <c r="J17" s="269">
        <f t="shared" si="3"/>
        <v>0</v>
      </c>
      <c r="K17" s="269">
        <f t="shared" si="3"/>
        <v>0</v>
      </c>
      <c r="L17" s="269">
        <f t="shared" si="3"/>
        <v>0</v>
      </c>
      <c r="M17" s="769">
        <f t="shared" si="3"/>
        <v>0</v>
      </c>
      <c r="N17" s="269">
        <f t="shared" si="4"/>
        <v>0</v>
      </c>
      <c r="O17" s="269">
        <f t="shared" si="4"/>
        <v>0</v>
      </c>
      <c r="P17" s="269">
        <f t="shared" si="4"/>
        <v>0</v>
      </c>
      <c r="Q17" s="269">
        <f t="shared" si="4"/>
        <v>0</v>
      </c>
      <c r="R17" s="269">
        <f t="shared" si="4"/>
        <v>0</v>
      </c>
      <c r="S17" s="269">
        <f t="shared" si="4"/>
        <v>0</v>
      </c>
      <c r="T17" s="269">
        <f t="shared" si="4"/>
        <v>0</v>
      </c>
      <c r="U17" s="269">
        <f t="shared" si="4"/>
        <v>0</v>
      </c>
      <c r="V17" s="269">
        <f t="shared" si="4"/>
        <v>0</v>
      </c>
      <c r="W17" s="270">
        <f t="shared" si="4"/>
        <v>0</v>
      </c>
      <c r="X17" s="204">
        <f t="shared" si="2"/>
        <v>0</v>
      </c>
    </row>
    <row r="18" spans="3:24" hidden="1" x14ac:dyDescent="0.25">
      <c r="C18" s="276"/>
      <c r="D18" s="268">
        <f t="shared" si="3"/>
        <v>0</v>
      </c>
      <c r="E18" s="269">
        <f t="shared" si="3"/>
        <v>0</v>
      </c>
      <c r="F18" s="269">
        <f t="shared" si="3"/>
        <v>0</v>
      </c>
      <c r="G18" s="269">
        <f t="shared" si="3"/>
        <v>0</v>
      </c>
      <c r="H18" s="269">
        <f t="shared" si="3"/>
        <v>0</v>
      </c>
      <c r="I18" s="269">
        <f t="shared" si="3"/>
        <v>0</v>
      </c>
      <c r="J18" s="269">
        <f t="shared" si="3"/>
        <v>0</v>
      </c>
      <c r="K18" s="269">
        <f t="shared" si="3"/>
        <v>0</v>
      </c>
      <c r="L18" s="269">
        <f t="shared" si="3"/>
        <v>0</v>
      </c>
      <c r="M18" s="769">
        <f t="shared" si="3"/>
        <v>0</v>
      </c>
      <c r="N18" s="269">
        <f t="shared" si="4"/>
        <v>0</v>
      </c>
      <c r="O18" s="269">
        <f t="shared" si="4"/>
        <v>0</v>
      </c>
      <c r="P18" s="269">
        <f t="shared" si="4"/>
        <v>0</v>
      </c>
      <c r="Q18" s="269">
        <f t="shared" si="4"/>
        <v>0</v>
      </c>
      <c r="R18" s="269">
        <f t="shared" si="4"/>
        <v>0</v>
      </c>
      <c r="S18" s="269">
        <f t="shared" si="4"/>
        <v>0</v>
      </c>
      <c r="T18" s="269">
        <f t="shared" si="4"/>
        <v>0</v>
      </c>
      <c r="U18" s="269">
        <f t="shared" si="4"/>
        <v>0</v>
      </c>
      <c r="V18" s="269">
        <f t="shared" si="4"/>
        <v>0</v>
      </c>
      <c r="W18" s="270">
        <f t="shared" si="4"/>
        <v>0</v>
      </c>
      <c r="X18" s="204">
        <f t="shared" si="2"/>
        <v>0</v>
      </c>
    </row>
    <row r="19" spans="3:24" hidden="1" x14ac:dyDescent="0.25">
      <c r="C19" s="276"/>
      <c r="D19" s="268">
        <f t="shared" si="3"/>
        <v>0</v>
      </c>
      <c r="E19" s="269">
        <f t="shared" si="3"/>
        <v>0</v>
      </c>
      <c r="F19" s="269">
        <f t="shared" si="3"/>
        <v>0</v>
      </c>
      <c r="G19" s="269">
        <f t="shared" si="3"/>
        <v>0</v>
      </c>
      <c r="H19" s="269">
        <f t="shared" si="3"/>
        <v>0</v>
      </c>
      <c r="I19" s="269">
        <f t="shared" si="3"/>
        <v>0</v>
      </c>
      <c r="J19" s="269">
        <f t="shared" si="3"/>
        <v>0</v>
      </c>
      <c r="K19" s="269">
        <f t="shared" si="3"/>
        <v>0</v>
      </c>
      <c r="L19" s="269">
        <f t="shared" si="3"/>
        <v>0</v>
      </c>
      <c r="M19" s="769">
        <f t="shared" si="3"/>
        <v>0</v>
      </c>
      <c r="N19" s="269">
        <f t="shared" si="4"/>
        <v>0</v>
      </c>
      <c r="O19" s="269">
        <f t="shared" si="4"/>
        <v>0</v>
      </c>
      <c r="P19" s="269">
        <f t="shared" si="4"/>
        <v>0</v>
      </c>
      <c r="Q19" s="269">
        <f t="shared" si="4"/>
        <v>0</v>
      </c>
      <c r="R19" s="269">
        <f t="shared" si="4"/>
        <v>0</v>
      </c>
      <c r="S19" s="269">
        <f t="shared" si="4"/>
        <v>0</v>
      </c>
      <c r="T19" s="269">
        <f t="shared" si="4"/>
        <v>0</v>
      </c>
      <c r="U19" s="269">
        <f t="shared" si="4"/>
        <v>0</v>
      </c>
      <c r="V19" s="269">
        <f t="shared" si="4"/>
        <v>0</v>
      </c>
      <c r="W19" s="270">
        <f t="shared" si="4"/>
        <v>0</v>
      </c>
      <c r="X19" s="204">
        <f t="shared" si="2"/>
        <v>0</v>
      </c>
    </row>
    <row r="20" spans="3:24" hidden="1" x14ac:dyDescent="0.25">
      <c r="C20" s="276"/>
      <c r="D20" s="268">
        <f t="shared" si="3"/>
        <v>0</v>
      </c>
      <c r="E20" s="269">
        <f t="shared" si="3"/>
        <v>0</v>
      </c>
      <c r="F20" s="269">
        <f t="shared" si="3"/>
        <v>0</v>
      </c>
      <c r="G20" s="269">
        <f t="shared" si="3"/>
        <v>0</v>
      </c>
      <c r="H20" s="269">
        <f t="shared" si="3"/>
        <v>0</v>
      </c>
      <c r="I20" s="269">
        <f t="shared" si="3"/>
        <v>0</v>
      </c>
      <c r="J20" s="269">
        <f t="shared" si="3"/>
        <v>0</v>
      </c>
      <c r="K20" s="269">
        <f t="shared" si="3"/>
        <v>0</v>
      </c>
      <c r="L20" s="269">
        <f t="shared" si="3"/>
        <v>0</v>
      </c>
      <c r="M20" s="769">
        <f t="shared" si="3"/>
        <v>0</v>
      </c>
      <c r="N20" s="269">
        <f t="shared" si="4"/>
        <v>0</v>
      </c>
      <c r="O20" s="269">
        <f t="shared" si="4"/>
        <v>0</v>
      </c>
      <c r="P20" s="269">
        <f t="shared" si="4"/>
        <v>0</v>
      </c>
      <c r="Q20" s="269">
        <f t="shared" si="4"/>
        <v>0</v>
      </c>
      <c r="R20" s="269">
        <f t="shared" si="4"/>
        <v>0</v>
      </c>
      <c r="S20" s="269">
        <f t="shared" si="4"/>
        <v>0</v>
      </c>
      <c r="T20" s="269">
        <f t="shared" si="4"/>
        <v>0</v>
      </c>
      <c r="U20" s="269">
        <f t="shared" si="4"/>
        <v>0</v>
      </c>
      <c r="V20" s="269">
        <f t="shared" si="4"/>
        <v>0</v>
      </c>
      <c r="W20" s="270">
        <f t="shared" si="4"/>
        <v>0</v>
      </c>
      <c r="X20" s="204">
        <f t="shared" si="2"/>
        <v>0</v>
      </c>
    </row>
    <row r="21" spans="3:24" hidden="1" x14ac:dyDescent="0.25">
      <c r="C21" s="276"/>
      <c r="D21" s="268">
        <f t="shared" si="3"/>
        <v>0</v>
      </c>
      <c r="E21" s="269">
        <f t="shared" si="3"/>
        <v>0</v>
      </c>
      <c r="F21" s="269">
        <f t="shared" si="3"/>
        <v>0</v>
      </c>
      <c r="G21" s="269">
        <f t="shared" si="3"/>
        <v>0</v>
      </c>
      <c r="H21" s="269">
        <f t="shared" si="3"/>
        <v>0</v>
      </c>
      <c r="I21" s="269">
        <f t="shared" si="3"/>
        <v>0</v>
      </c>
      <c r="J21" s="269">
        <f t="shared" si="3"/>
        <v>0</v>
      </c>
      <c r="K21" s="269">
        <f t="shared" si="3"/>
        <v>0</v>
      </c>
      <c r="L21" s="269">
        <f t="shared" si="3"/>
        <v>0</v>
      </c>
      <c r="M21" s="769">
        <f t="shared" si="3"/>
        <v>0</v>
      </c>
      <c r="N21" s="269">
        <f t="shared" si="4"/>
        <v>0</v>
      </c>
      <c r="O21" s="269">
        <f t="shared" si="4"/>
        <v>0</v>
      </c>
      <c r="P21" s="269">
        <f t="shared" si="4"/>
        <v>0</v>
      </c>
      <c r="Q21" s="269">
        <f t="shared" si="4"/>
        <v>0</v>
      </c>
      <c r="R21" s="269">
        <f t="shared" si="4"/>
        <v>0</v>
      </c>
      <c r="S21" s="269">
        <f t="shared" si="4"/>
        <v>0</v>
      </c>
      <c r="T21" s="269">
        <f t="shared" si="4"/>
        <v>0</v>
      </c>
      <c r="U21" s="269">
        <f t="shared" si="4"/>
        <v>0</v>
      </c>
      <c r="V21" s="269">
        <f t="shared" si="4"/>
        <v>0</v>
      </c>
      <c r="W21" s="270">
        <f t="shared" si="4"/>
        <v>0</v>
      </c>
      <c r="X21" s="204">
        <f t="shared" si="2"/>
        <v>0</v>
      </c>
    </row>
    <row r="22" spans="3:24" hidden="1" x14ac:dyDescent="0.25">
      <c r="C22" s="276"/>
      <c r="D22" s="268">
        <f t="shared" si="3"/>
        <v>0</v>
      </c>
      <c r="E22" s="269">
        <f t="shared" si="3"/>
        <v>0</v>
      </c>
      <c r="F22" s="269">
        <f t="shared" si="3"/>
        <v>0</v>
      </c>
      <c r="G22" s="269">
        <f t="shared" si="3"/>
        <v>0</v>
      </c>
      <c r="H22" s="269">
        <f t="shared" si="3"/>
        <v>0</v>
      </c>
      <c r="I22" s="269">
        <f t="shared" si="3"/>
        <v>0</v>
      </c>
      <c r="J22" s="269">
        <f t="shared" si="3"/>
        <v>0</v>
      </c>
      <c r="K22" s="269">
        <f t="shared" si="3"/>
        <v>0</v>
      </c>
      <c r="L22" s="269">
        <f t="shared" si="3"/>
        <v>0</v>
      </c>
      <c r="M22" s="769">
        <f t="shared" si="3"/>
        <v>0</v>
      </c>
      <c r="N22" s="269">
        <f t="shared" si="4"/>
        <v>0</v>
      </c>
      <c r="O22" s="269">
        <f t="shared" si="4"/>
        <v>0</v>
      </c>
      <c r="P22" s="269">
        <f t="shared" si="4"/>
        <v>0</v>
      </c>
      <c r="Q22" s="269">
        <f t="shared" si="4"/>
        <v>0</v>
      </c>
      <c r="R22" s="269">
        <f t="shared" si="4"/>
        <v>0</v>
      </c>
      <c r="S22" s="269">
        <f t="shared" si="4"/>
        <v>0</v>
      </c>
      <c r="T22" s="269">
        <f t="shared" si="4"/>
        <v>0</v>
      </c>
      <c r="U22" s="269">
        <f t="shared" si="4"/>
        <v>0</v>
      </c>
      <c r="V22" s="269">
        <f t="shared" si="4"/>
        <v>0</v>
      </c>
      <c r="W22" s="270">
        <f t="shared" si="4"/>
        <v>0</v>
      </c>
      <c r="X22" s="204">
        <f t="shared" si="2"/>
        <v>0</v>
      </c>
    </row>
    <row r="23" spans="3:24" hidden="1" x14ac:dyDescent="0.25">
      <c r="C23" s="276"/>
      <c r="D23" s="268">
        <f t="shared" si="3"/>
        <v>0</v>
      </c>
      <c r="E23" s="269">
        <f t="shared" si="3"/>
        <v>0</v>
      </c>
      <c r="F23" s="269">
        <f t="shared" si="3"/>
        <v>0</v>
      </c>
      <c r="G23" s="269">
        <f t="shared" si="3"/>
        <v>0</v>
      </c>
      <c r="H23" s="269">
        <f t="shared" si="3"/>
        <v>0</v>
      </c>
      <c r="I23" s="269">
        <f t="shared" si="3"/>
        <v>0</v>
      </c>
      <c r="J23" s="269">
        <f t="shared" si="3"/>
        <v>0</v>
      </c>
      <c r="K23" s="269">
        <f t="shared" si="3"/>
        <v>0</v>
      </c>
      <c r="L23" s="269">
        <f t="shared" si="3"/>
        <v>0</v>
      </c>
      <c r="M23" s="769">
        <f t="shared" si="3"/>
        <v>0</v>
      </c>
      <c r="N23" s="269">
        <f t="shared" si="4"/>
        <v>0</v>
      </c>
      <c r="O23" s="269">
        <f t="shared" si="4"/>
        <v>0</v>
      </c>
      <c r="P23" s="269">
        <f t="shared" si="4"/>
        <v>0</v>
      </c>
      <c r="Q23" s="269">
        <f t="shared" si="4"/>
        <v>0</v>
      </c>
      <c r="R23" s="269">
        <f t="shared" si="4"/>
        <v>0</v>
      </c>
      <c r="S23" s="269">
        <f t="shared" si="4"/>
        <v>0</v>
      </c>
      <c r="T23" s="269">
        <f t="shared" si="4"/>
        <v>0</v>
      </c>
      <c r="U23" s="269">
        <f t="shared" si="4"/>
        <v>0</v>
      </c>
      <c r="V23" s="269">
        <f t="shared" si="4"/>
        <v>0</v>
      </c>
      <c r="W23" s="270">
        <f t="shared" si="4"/>
        <v>0</v>
      </c>
      <c r="X23" s="204">
        <f t="shared" si="2"/>
        <v>0</v>
      </c>
    </row>
    <row r="24" spans="3:24" hidden="1" x14ac:dyDescent="0.25">
      <c r="C24" s="276"/>
      <c r="D24" s="268">
        <f t="shared" si="3"/>
        <v>0</v>
      </c>
      <c r="E24" s="269">
        <f t="shared" si="3"/>
        <v>0</v>
      </c>
      <c r="F24" s="269">
        <f t="shared" si="3"/>
        <v>0</v>
      </c>
      <c r="G24" s="269">
        <f t="shared" si="3"/>
        <v>0</v>
      </c>
      <c r="H24" s="269">
        <f t="shared" si="3"/>
        <v>0</v>
      </c>
      <c r="I24" s="269">
        <f t="shared" si="3"/>
        <v>0</v>
      </c>
      <c r="J24" s="269">
        <f t="shared" si="3"/>
        <v>0</v>
      </c>
      <c r="K24" s="269">
        <f t="shared" si="3"/>
        <v>0</v>
      </c>
      <c r="L24" s="269">
        <f t="shared" si="3"/>
        <v>0</v>
      </c>
      <c r="M24" s="769">
        <f t="shared" si="3"/>
        <v>0</v>
      </c>
      <c r="N24" s="269">
        <f t="shared" si="4"/>
        <v>0</v>
      </c>
      <c r="O24" s="269">
        <f t="shared" si="4"/>
        <v>0</v>
      </c>
      <c r="P24" s="269">
        <f t="shared" si="4"/>
        <v>0</v>
      </c>
      <c r="Q24" s="269">
        <f t="shared" si="4"/>
        <v>0</v>
      </c>
      <c r="R24" s="269">
        <f t="shared" si="4"/>
        <v>0</v>
      </c>
      <c r="S24" s="269">
        <f t="shared" si="4"/>
        <v>0</v>
      </c>
      <c r="T24" s="269">
        <f t="shared" si="4"/>
        <v>0</v>
      </c>
      <c r="U24" s="269">
        <f t="shared" si="4"/>
        <v>0</v>
      </c>
      <c r="V24" s="269">
        <f t="shared" si="4"/>
        <v>0</v>
      </c>
      <c r="W24" s="270">
        <f t="shared" si="4"/>
        <v>0</v>
      </c>
      <c r="X24" s="204">
        <f t="shared" si="2"/>
        <v>0</v>
      </c>
    </row>
    <row r="25" spans="3:24" hidden="1" x14ac:dyDescent="0.25">
      <c r="C25" s="276"/>
      <c r="D25" s="268">
        <f t="shared" si="3"/>
        <v>0</v>
      </c>
      <c r="E25" s="269">
        <f t="shared" si="3"/>
        <v>0</v>
      </c>
      <c r="F25" s="269">
        <f t="shared" si="3"/>
        <v>0</v>
      </c>
      <c r="G25" s="269">
        <f t="shared" si="3"/>
        <v>0</v>
      </c>
      <c r="H25" s="269">
        <f t="shared" si="3"/>
        <v>0</v>
      </c>
      <c r="I25" s="269">
        <f t="shared" si="3"/>
        <v>0</v>
      </c>
      <c r="J25" s="269">
        <f t="shared" si="3"/>
        <v>0</v>
      </c>
      <c r="K25" s="269">
        <f t="shared" si="3"/>
        <v>0</v>
      </c>
      <c r="L25" s="269">
        <f t="shared" si="3"/>
        <v>0</v>
      </c>
      <c r="M25" s="769">
        <f t="shared" si="3"/>
        <v>0</v>
      </c>
      <c r="N25" s="269">
        <f t="shared" si="4"/>
        <v>0</v>
      </c>
      <c r="O25" s="269">
        <f t="shared" si="4"/>
        <v>0</v>
      </c>
      <c r="P25" s="269">
        <f t="shared" si="4"/>
        <v>0</v>
      </c>
      <c r="Q25" s="269">
        <f t="shared" si="4"/>
        <v>0</v>
      </c>
      <c r="R25" s="269">
        <f t="shared" si="4"/>
        <v>0</v>
      </c>
      <c r="S25" s="269">
        <f t="shared" si="4"/>
        <v>0</v>
      </c>
      <c r="T25" s="269">
        <f t="shared" si="4"/>
        <v>0</v>
      </c>
      <c r="U25" s="269">
        <f t="shared" si="4"/>
        <v>0</v>
      </c>
      <c r="V25" s="269">
        <f t="shared" si="4"/>
        <v>0</v>
      </c>
      <c r="W25" s="270">
        <f t="shared" si="4"/>
        <v>0</v>
      </c>
      <c r="X25" s="204">
        <f t="shared" si="2"/>
        <v>0</v>
      </c>
    </row>
    <row r="26" spans="3:24" hidden="1" x14ac:dyDescent="0.25">
      <c r="C26" s="276"/>
      <c r="D26" s="268">
        <f t="shared" ref="D26:M35" si="5">IF(AND($C26&lt;&gt;"",D$5&lt;&gt;""),SUMIFS(col_PVcomDIFAL,col_abertura1,$C26,col_abertura2,D$5)+IF($E$3=$A$4,SUMIFS(col_fatdir_bruto_com_mn,col_abertura1,$C26,col_abertura2,D$5),0),0)</f>
        <v>0</v>
      </c>
      <c r="E26" s="269">
        <f t="shared" si="5"/>
        <v>0</v>
      </c>
      <c r="F26" s="269">
        <f t="shared" si="5"/>
        <v>0</v>
      </c>
      <c r="G26" s="269">
        <f t="shared" si="5"/>
        <v>0</v>
      </c>
      <c r="H26" s="269">
        <f t="shared" si="5"/>
        <v>0</v>
      </c>
      <c r="I26" s="269">
        <f t="shared" si="5"/>
        <v>0</v>
      </c>
      <c r="J26" s="269">
        <f t="shared" si="5"/>
        <v>0</v>
      </c>
      <c r="K26" s="269">
        <f t="shared" si="5"/>
        <v>0</v>
      </c>
      <c r="L26" s="269">
        <f t="shared" si="5"/>
        <v>0</v>
      </c>
      <c r="M26" s="769">
        <f t="shared" si="5"/>
        <v>0</v>
      </c>
      <c r="N26" s="269">
        <f t="shared" ref="N26:W35" si="6">IF(AND($C26&lt;&gt;"",N$5&lt;&gt;""),SUMIFS(col_PVcomDIFAL,col_abertura1,$C26,col_abertura2,N$5)+IF($E$3=$A$4,SUMIFS(col_fatdir_bruto_com_mn,col_abertura1,$C26,col_abertura2,N$5),0),0)</f>
        <v>0</v>
      </c>
      <c r="O26" s="269">
        <f t="shared" si="6"/>
        <v>0</v>
      </c>
      <c r="P26" s="269">
        <f t="shared" si="6"/>
        <v>0</v>
      </c>
      <c r="Q26" s="269">
        <f t="shared" si="6"/>
        <v>0</v>
      </c>
      <c r="R26" s="269">
        <f t="shared" si="6"/>
        <v>0</v>
      </c>
      <c r="S26" s="269">
        <f t="shared" si="6"/>
        <v>0</v>
      </c>
      <c r="T26" s="269">
        <f t="shared" si="6"/>
        <v>0</v>
      </c>
      <c r="U26" s="269">
        <f t="shared" si="6"/>
        <v>0</v>
      </c>
      <c r="V26" s="269">
        <f t="shared" si="6"/>
        <v>0</v>
      </c>
      <c r="W26" s="270">
        <f t="shared" si="6"/>
        <v>0</v>
      </c>
      <c r="X26" s="204">
        <f t="shared" si="2"/>
        <v>0</v>
      </c>
    </row>
    <row r="27" spans="3:24" hidden="1" x14ac:dyDescent="0.25">
      <c r="C27" s="276"/>
      <c r="D27" s="268">
        <f t="shared" si="5"/>
        <v>0</v>
      </c>
      <c r="E27" s="269">
        <f t="shared" si="5"/>
        <v>0</v>
      </c>
      <c r="F27" s="269">
        <f t="shared" si="5"/>
        <v>0</v>
      </c>
      <c r="G27" s="269">
        <f t="shared" si="5"/>
        <v>0</v>
      </c>
      <c r="H27" s="269">
        <f t="shared" si="5"/>
        <v>0</v>
      </c>
      <c r="I27" s="269">
        <f t="shared" si="5"/>
        <v>0</v>
      </c>
      <c r="J27" s="269">
        <f t="shared" si="5"/>
        <v>0</v>
      </c>
      <c r="K27" s="269">
        <f t="shared" si="5"/>
        <v>0</v>
      </c>
      <c r="L27" s="269">
        <f t="shared" si="5"/>
        <v>0</v>
      </c>
      <c r="M27" s="769">
        <f t="shared" si="5"/>
        <v>0</v>
      </c>
      <c r="N27" s="269">
        <f t="shared" si="6"/>
        <v>0</v>
      </c>
      <c r="O27" s="269">
        <f t="shared" si="6"/>
        <v>0</v>
      </c>
      <c r="P27" s="269">
        <f t="shared" si="6"/>
        <v>0</v>
      </c>
      <c r="Q27" s="269">
        <f t="shared" si="6"/>
        <v>0</v>
      </c>
      <c r="R27" s="269">
        <f t="shared" si="6"/>
        <v>0</v>
      </c>
      <c r="S27" s="269">
        <f t="shared" si="6"/>
        <v>0</v>
      </c>
      <c r="T27" s="269">
        <f t="shared" si="6"/>
        <v>0</v>
      </c>
      <c r="U27" s="269">
        <f t="shared" si="6"/>
        <v>0</v>
      </c>
      <c r="V27" s="269">
        <f t="shared" si="6"/>
        <v>0</v>
      </c>
      <c r="W27" s="270">
        <f t="shared" si="6"/>
        <v>0</v>
      </c>
      <c r="X27" s="204">
        <f t="shared" si="2"/>
        <v>0</v>
      </c>
    </row>
    <row r="28" spans="3:24" hidden="1" x14ac:dyDescent="0.25">
      <c r="C28" s="276"/>
      <c r="D28" s="268">
        <f t="shared" si="5"/>
        <v>0</v>
      </c>
      <c r="E28" s="269">
        <f t="shared" si="5"/>
        <v>0</v>
      </c>
      <c r="F28" s="269">
        <f t="shared" si="5"/>
        <v>0</v>
      </c>
      <c r="G28" s="269">
        <f t="shared" si="5"/>
        <v>0</v>
      </c>
      <c r="H28" s="269">
        <f t="shared" si="5"/>
        <v>0</v>
      </c>
      <c r="I28" s="269">
        <f t="shared" si="5"/>
        <v>0</v>
      </c>
      <c r="J28" s="269">
        <f t="shared" si="5"/>
        <v>0</v>
      </c>
      <c r="K28" s="269">
        <f t="shared" si="5"/>
        <v>0</v>
      </c>
      <c r="L28" s="269">
        <f t="shared" si="5"/>
        <v>0</v>
      </c>
      <c r="M28" s="769">
        <f t="shared" si="5"/>
        <v>0</v>
      </c>
      <c r="N28" s="269">
        <f t="shared" si="6"/>
        <v>0</v>
      </c>
      <c r="O28" s="269">
        <f t="shared" si="6"/>
        <v>0</v>
      </c>
      <c r="P28" s="269">
        <f t="shared" si="6"/>
        <v>0</v>
      </c>
      <c r="Q28" s="269">
        <f t="shared" si="6"/>
        <v>0</v>
      </c>
      <c r="R28" s="269">
        <f t="shared" si="6"/>
        <v>0</v>
      </c>
      <c r="S28" s="269">
        <f t="shared" si="6"/>
        <v>0</v>
      </c>
      <c r="T28" s="269">
        <f t="shared" si="6"/>
        <v>0</v>
      </c>
      <c r="U28" s="269">
        <f t="shared" si="6"/>
        <v>0</v>
      </c>
      <c r="V28" s="269">
        <f t="shared" si="6"/>
        <v>0</v>
      </c>
      <c r="W28" s="270">
        <f t="shared" si="6"/>
        <v>0</v>
      </c>
      <c r="X28" s="204">
        <f t="shared" si="2"/>
        <v>0</v>
      </c>
    </row>
    <row r="29" spans="3:24" hidden="1" x14ac:dyDescent="0.25">
      <c r="C29" s="276"/>
      <c r="D29" s="268">
        <f t="shared" si="5"/>
        <v>0</v>
      </c>
      <c r="E29" s="269">
        <f t="shared" si="5"/>
        <v>0</v>
      </c>
      <c r="F29" s="269">
        <f t="shared" si="5"/>
        <v>0</v>
      </c>
      <c r="G29" s="269">
        <f t="shared" si="5"/>
        <v>0</v>
      </c>
      <c r="H29" s="269">
        <f t="shared" si="5"/>
        <v>0</v>
      </c>
      <c r="I29" s="269">
        <f t="shared" si="5"/>
        <v>0</v>
      </c>
      <c r="J29" s="269">
        <f t="shared" si="5"/>
        <v>0</v>
      </c>
      <c r="K29" s="269">
        <f t="shared" si="5"/>
        <v>0</v>
      </c>
      <c r="L29" s="269">
        <f t="shared" si="5"/>
        <v>0</v>
      </c>
      <c r="M29" s="769">
        <f t="shared" si="5"/>
        <v>0</v>
      </c>
      <c r="N29" s="269">
        <f t="shared" si="6"/>
        <v>0</v>
      </c>
      <c r="O29" s="269">
        <f t="shared" si="6"/>
        <v>0</v>
      </c>
      <c r="P29" s="269">
        <f t="shared" si="6"/>
        <v>0</v>
      </c>
      <c r="Q29" s="269">
        <f t="shared" si="6"/>
        <v>0</v>
      </c>
      <c r="R29" s="269">
        <f t="shared" si="6"/>
        <v>0</v>
      </c>
      <c r="S29" s="269">
        <f t="shared" si="6"/>
        <v>0</v>
      </c>
      <c r="T29" s="269">
        <f t="shared" si="6"/>
        <v>0</v>
      </c>
      <c r="U29" s="269">
        <f t="shared" si="6"/>
        <v>0</v>
      </c>
      <c r="V29" s="269">
        <f t="shared" si="6"/>
        <v>0</v>
      </c>
      <c r="W29" s="270">
        <f t="shared" si="6"/>
        <v>0</v>
      </c>
      <c r="X29" s="204">
        <f t="shared" si="2"/>
        <v>0</v>
      </c>
    </row>
    <row r="30" spans="3:24" hidden="1" x14ac:dyDescent="0.25">
      <c r="C30" s="276"/>
      <c r="D30" s="268">
        <f t="shared" si="5"/>
        <v>0</v>
      </c>
      <c r="E30" s="269">
        <f t="shared" si="5"/>
        <v>0</v>
      </c>
      <c r="F30" s="269">
        <f t="shared" si="5"/>
        <v>0</v>
      </c>
      <c r="G30" s="269">
        <f t="shared" si="5"/>
        <v>0</v>
      </c>
      <c r="H30" s="269">
        <f t="shared" si="5"/>
        <v>0</v>
      </c>
      <c r="I30" s="269">
        <f t="shared" si="5"/>
        <v>0</v>
      </c>
      <c r="J30" s="269">
        <f t="shared" si="5"/>
        <v>0</v>
      </c>
      <c r="K30" s="269">
        <f t="shared" si="5"/>
        <v>0</v>
      </c>
      <c r="L30" s="269">
        <f t="shared" si="5"/>
        <v>0</v>
      </c>
      <c r="M30" s="769">
        <f t="shared" si="5"/>
        <v>0</v>
      </c>
      <c r="N30" s="269">
        <f t="shared" si="6"/>
        <v>0</v>
      </c>
      <c r="O30" s="269">
        <f t="shared" si="6"/>
        <v>0</v>
      </c>
      <c r="P30" s="269">
        <f t="shared" si="6"/>
        <v>0</v>
      </c>
      <c r="Q30" s="269">
        <f t="shared" si="6"/>
        <v>0</v>
      </c>
      <c r="R30" s="269">
        <f t="shared" si="6"/>
        <v>0</v>
      </c>
      <c r="S30" s="269">
        <f t="shared" si="6"/>
        <v>0</v>
      </c>
      <c r="T30" s="269">
        <f t="shared" si="6"/>
        <v>0</v>
      </c>
      <c r="U30" s="269">
        <f t="shared" si="6"/>
        <v>0</v>
      </c>
      <c r="V30" s="269">
        <f t="shared" si="6"/>
        <v>0</v>
      </c>
      <c r="W30" s="270">
        <f t="shared" si="6"/>
        <v>0</v>
      </c>
      <c r="X30" s="204">
        <f t="shared" si="2"/>
        <v>0</v>
      </c>
    </row>
    <row r="31" spans="3:24" hidden="1" x14ac:dyDescent="0.25">
      <c r="C31" s="276"/>
      <c r="D31" s="268">
        <f t="shared" si="5"/>
        <v>0</v>
      </c>
      <c r="E31" s="269">
        <f t="shared" si="5"/>
        <v>0</v>
      </c>
      <c r="F31" s="269">
        <f t="shared" si="5"/>
        <v>0</v>
      </c>
      <c r="G31" s="269">
        <f t="shared" si="5"/>
        <v>0</v>
      </c>
      <c r="H31" s="269">
        <f t="shared" si="5"/>
        <v>0</v>
      </c>
      <c r="I31" s="269">
        <f t="shared" si="5"/>
        <v>0</v>
      </c>
      <c r="J31" s="269">
        <f t="shared" si="5"/>
        <v>0</v>
      </c>
      <c r="K31" s="269">
        <f t="shared" si="5"/>
        <v>0</v>
      </c>
      <c r="L31" s="269">
        <f t="shared" si="5"/>
        <v>0</v>
      </c>
      <c r="M31" s="769">
        <f t="shared" si="5"/>
        <v>0</v>
      </c>
      <c r="N31" s="269">
        <f t="shared" si="6"/>
        <v>0</v>
      </c>
      <c r="O31" s="269">
        <f t="shared" si="6"/>
        <v>0</v>
      </c>
      <c r="P31" s="269">
        <f t="shared" si="6"/>
        <v>0</v>
      </c>
      <c r="Q31" s="269">
        <f t="shared" si="6"/>
        <v>0</v>
      </c>
      <c r="R31" s="269">
        <f t="shared" si="6"/>
        <v>0</v>
      </c>
      <c r="S31" s="269">
        <f t="shared" si="6"/>
        <v>0</v>
      </c>
      <c r="T31" s="269">
        <f t="shared" si="6"/>
        <v>0</v>
      </c>
      <c r="U31" s="269">
        <f t="shared" si="6"/>
        <v>0</v>
      </c>
      <c r="V31" s="269">
        <f t="shared" si="6"/>
        <v>0</v>
      </c>
      <c r="W31" s="270">
        <f t="shared" si="6"/>
        <v>0</v>
      </c>
      <c r="X31" s="204">
        <f t="shared" si="2"/>
        <v>0</v>
      </c>
    </row>
    <row r="32" spans="3:24" hidden="1" x14ac:dyDescent="0.25">
      <c r="C32" s="276"/>
      <c r="D32" s="268">
        <f t="shared" si="5"/>
        <v>0</v>
      </c>
      <c r="E32" s="269">
        <f t="shared" si="5"/>
        <v>0</v>
      </c>
      <c r="F32" s="269">
        <f t="shared" si="5"/>
        <v>0</v>
      </c>
      <c r="G32" s="269">
        <f t="shared" si="5"/>
        <v>0</v>
      </c>
      <c r="H32" s="269">
        <f t="shared" si="5"/>
        <v>0</v>
      </c>
      <c r="I32" s="269">
        <f t="shared" si="5"/>
        <v>0</v>
      </c>
      <c r="J32" s="269">
        <f t="shared" si="5"/>
        <v>0</v>
      </c>
      <c r="K32" s="269">
        <f t="shared" si="5"/>
        <v>0</v>
      </c>
      <c r="L32" s="269">
        <f t="shared" si="5"/>
        <v>0</v>
      </c>
      <c r="M32" s="769">
        <f t="shared" si="5"/>
        <v>0</v>
      </c>
      <c r="N32" s="269">
        <f t="shared" si="6"/>
        <v>0</v>
      </c>
      <c r="O32" s="269">
        <f t="shared" si="6"/>
        <v>0</v>
      </c>
      <c r="P32" s="269">
        <f t="shared" si="6"/>
        <v>0</v>
      </c>
      <c r="Q32" s="269">
        <f t="shared" si="6"/>
        <v>0</v>
      </c>
      <c r="R32" s="269">
        <f t="shared" si="6"/>
        <v>0</v>
      </c>
      <c r="S32" s="269">
        <f t="shared" si="6"/>
        <v>0</v>
      </c>
      <c r="T32" s="269">
        <f t="shared" si="6"/>
        <v>0</v>
      </c>
      <c r="U32" s="269">
        <f t="shared" si="6"/>
        <v>0</v>
      </c>
      <c r="V32" s="269">
        <f t="shared" si="6"/>
        <v>0</v>
      </c>
      <c r="W32" s="270">
        <f t="shared" si="6"/>
        <v>0</v>
      </c>
      <c r="X32" s="204">
        <f t="shared" si="2"/>
        <v>0</v>
      </c>
    </row>
    <row r="33" spans="3:24" hidden="1" x14ac:dyDescent="0.25">
      <c r="C33" s="276"/>
      <c r="D33" s="268">
        <f t="shared" si="5"/>
        <v>0</v>
      </c>
      <c r="E33" s="269">
        <f t="shared" si="5"/>
        <v>0</v>
      </c>
      <c r="F33" s="269">
        <f t="shared" si="5"/>
        <v>0</v>
      </c>
      <c r="G33" s="269">
        <f t="shared" si="5"/>
        <v>0</v>
      </c>
      <c r="H33" s="269">
        <f t="shared" si="5"/>
        <v>0</v>
      </c>
      <c r="I33" s="269">
        <f t="shared" si="5"/>
        <v>0</v>
      </c>
      <c r="J33" s="269">
        <f t="shared" si="5"/>
        <v>0</v>
      </c>
      <c r="K33" s="269">
        <f t="shared" si="5"/>
        <v>0</v>
      </c>
      <c r="L33" s="269">
        <f t="shared" si="5"/>
        <v>0</v>
      </c>
      <c r="M33" s="769">
        <f t="shared" si="5"/>
        <v>0</v>
      </c>
      <c r="N33" s="269">
        <f t="shared" si="6"/>
        <v>0</v>
      </c>
      <c r="O33" s="269">
        <f t="shared" si="6"/>
        <v>0</v>
      </c>
      <c r="P33" s="269">
        <f t="shared" si="6"/>
        <v>0</v>
      </c>
      <c r="Q33" s="269">
        <f t="shared" si="6"/>
        <v>0</v>
      </c>
      <c r="R33" s="269">
        <f t="shared" si="6"/>
        <v>0</v>
      </c>
      <c r="S33" s="269">
        <f t="shared" si="6"/>
        <v>0</v>
      </c>
      <c r="T33" s="269">
        <f t="shared" si="6"/>
        <v>0</v>
      </c>
      <c r="U33" s="269">
        <f t="shared" si="6"/>
        <v>0</v>
      </c>
      <c r="V33" s="269">
        <f t="shared" si="6"/>
        <v>0</v>
      </c>
      <c r="W33" s="270">
        <f t="shared" si="6"/>
        <v>0</v>
      </c>
      <c r="X33" s="204">
        <f t="shared" si="2"/>
        <v>0</v>
      </c>
    </row>
    <row r="34" spans="3:24" hidden="1" x14ac:dyDescent="0.25">
      <c r="C34" s="276"/>
      <c r="D34" s="268">
        <f t="shared" si="5"/>
        <v>0</v>
      </c>
      <c r="E34" s="269">
        <f t="shared" si="5"/>
        <v>0</v>
      </c>
      <c r="F34" s="269">
        <f t="shared" si="5"/>
        <v>0</v>
      </c>
      <c r="G34" s="269">
        <f t="shared" si="5"/>
        <v>0</v>
      </c>
      <c r="H34" s="269">
        <f t="shared" si="5"/>
        <v>0</v>
      </c>
      <c r="I34" s="269">
        <f t="shared" si="5"/>
        <v>0</v>
      </c>
      <c r="J34" s="269">
        <f t="shared" si="5"/>
        <v>0</v>
      </c>
      <c r="K34" s="269">
        <f t="shared" si="5"/>
        <v>0</v>
      </c>
      <c r="L34" s="269">
        <f t="shared" si="5"/>
        <v>0</v>
      </c>
      <c r="M34" s="769">
        <f t="shared" si="5"/>
        <v>0</v>
      </c>
      <c r="N34" s="269">
        <f t="shared" si="6"/>
        <v>0</v>
      </c>
      <c r="O34" s="269">
        <f t="shared" si="6"/>
        <v>0</v>
      </c>
      <c r="P34" s="269">
        <f t="shared" si="6"/>
        <v>0</v>
      </c>
      <c r="Q34" s="269">
        <f t="shared" si="6"/>
        <v>0</v>
      </c>
      <c r="R34" s="269">
        <f t="shared" si="6"/>
        <v>0</v>
      </c>
      <c r="S34" s="269">
        <f t="shared" si="6"/>
        <v>0</v>
      </c>
      <c r="T34" s="269">
        <f t="shared" si="6"/>
        <v>0</v>
      </c>
      <c r="U34" s="269">
        <f t="shared" si="6"/>
        <v>0</v>
      </c>
      <c r="V34" s="269">
        <f t="shared" si="6"/>
        <v>0</v>
      </c>
      <c r="W34" s="270">
        <f t="shared" si="6"/>
        <v>0</v>
      </c>
      <c r="X34" s="204">
        <f t="shared" si="2"/>
        <v>0</v>
      </c>
    </row>
    <row r="35" spans="3:24" hidden="1" x14ac:dyDescent="0.25">
      <c r="C35" s="684" t="s">
        <v>377</v>
      </c>
      <c r="D35" s="272">
        <f t="shared" si="5"/>
        <v>0</v>
      </c>
      <c r="E35" s="273">
        <f t="shared" si="5"/>
        <v>0</v>
      </c>
      <c r="F35" s="273">
        <f t="shared" si="5"/>
        <v>0</v>
      </c>
      <c r="G35" s="273">
        <f t="shared" si="5"/>
        <v>0</v>
      </c>
      <c r="H35" s="273">
        <f t="shared" si="5"/>
        <v>0</v>
      </c>
      <c r="I35" s="273">
        <f t="shared" si="5"/>
        <v>0</v>
      </c>
      <c r="J35" s="273">
        <f t="shared" si="5"/>
        <v>0</v>
      </c>
      <c r="K35" s="273">
        <f t="shared" si="5"/>
        <v>0</v>
      </c>
      <c r="L35" s="273">
        <f t="shared" si="5"/>
        <v>0</v>
      </c>
      <c r="M35" s="770">
        <f t="shared" si="5"/>
        <v>0</v>
      </c>
      <c r="N35" s="273">
        <f t="shared" si="6"/>
        <v>0</v>
      </c>
      <c r="O35" s="273">
        <f t="shared" si="6"/>
        <v>0</v>
      </c>
      <c r="P35" s="273">
        <f t="shared" si="6"/>
        <v>0</v>
      </c>
      <c r="Q35" s="273">
        <f t="shared" si="6"/>
        <v>0</v>
      </c>
      <c r="R35" s="273">
        <f t="shared" si="6"/>
        <v>0</v>
      </c>
      <c r="S35" s="273">
        <f t="shared" si="6"/>
        <v>0</v>
      </c>
      <c r="T35" s="273">
        <f t="shared" si="6"/>
        <v>0</v>
      </c>
      <c r="U35" s="273">
        <f t="shared" si="6"/>
        <v>0</v>
      </c>
      <c r="V35" s="273">
        <f t="shared" si="6"/>
        <v>0</v>
      </c>
      <c r="W35" s="274">
        <f t="shared" si="6"/>
        <v>0</v>
      </c>
      <c r="X35" s="204">
        <f t="shared" si="2"/>
        <v>0</v>
      </c>
    </row>
    <row r="36" spans="3:24" x14ac:dyDescent="0.25">
      <c r="C36" s="187"/>
      <c r="D36" s="281">
        <f>SUM(D6:D35)</f>
        <v>833507.77753778861</v>
      </c>
      <c r="E36" s="281">
        <f t="shared" ref="E36:W36" si="7">SUM(E6:E35)</f>
        <v>117759.17414216271</v>
      </c>
      <c r="F36" s="281">
        <f t="shared" si="7"/>
        <v>101521.75831498603</v>
      </c>
      <c r="G36" s="281">
        <f t="shared" si="7"/>
        <v>0</v>
      </c>
      <c r="H36" s="281">
        <f t="shared" si="7"/>
        <v>0</v>
      </c>
      <c r="I36" s="281">
        <f t="shared" si="7"/>
        <v>0</v>
      </c>
      <c r="J36" s="281">
        <f t="shared" si="7"/>
        <v>0</v>
      </c>
      <c r="K36" s="281">
        <f t="shared" si="7"/>
        <v>0</v>
      </c>
      <c r="L36" s="281">
        <f t="shared" si="7"/>
        <v>0</v>
      </c>
      <c r="M36" s="771">
        <f t="shared" si="7"/>
        <v>0</v>
      </c>
      <c r="N36" s="281">
        <f t="shared" si="7"/>
        <v>0</v>
      </c>
      <c r="O36" s="281">
        <f t="shared" si="7"/>
        <v>0</v>
      </c>
      <c r="P36" s="281">
        <f t="shared" si="7"/>
        <v>0</v>
      </c>
      <c r="Q36" s="281">
        <f t="shared" si="7"/>
        <v>0</v>
      </c>
      <c r="R36" s="281">
        <f t="shared" si="7"/>
        <v>0</v>
      </c>
      <c r="S36" s="281">
        <f t="shared" si="7"/>
        <v>0</v>
      </c>
      <c r="T36" s="281">
        <f t="shared" si="7"/>
        <v>0</v>
      </c>
      <c r="U36" s="281">
        <f t="shared" si="7"/>
        <v>0</v>
      </c>
      <c r="V36" s="281">
        <f t="shared" si="7"/>
        <v>0</v>
      </c>
      <c r="W36" s="281">
        <f t="shared" si="7"/>
        <v>0</v>
      </c>
      <c r="X36" s="280">
        <f>SUM(X6:X35)</f>
        <v>1052788.7099949373</v>
      </c>
    </row>
    <row r="37" spans="3:24" x14ac:dyDescent="0.25">
      <c r="D37" s="503"/>
      <c r="E37" s="503"/>
      <c r="F37" s="503"/>
      <c r="G37" s="503"/>
      <c r="H37" s="503"/>
      <c r="I37" s="503"/>
      <c r="J37" s="503"/>
      <c r="K37" s="503"/>
      <c r="L37" s="503"/>
    </row>
    <row r="38" spans="3:24" x14ac:dyDescent="0.25">
      <c r="U38" s="282" t="s">
        <v>339</v>
      </c>
      <c r="V38" s="282" t="s">
        <v>340</v>
      </c>
    </row>
    <row r="39" spans="3:24" x14ac:dyDescent="0.25">
      <c r="D39" s="114" t="s">
        <v>1097</v>
      </c>
      <c r="U39" s="283">
        <f t="shared" ref="U39:V39" si="8">U3-U183-U219</f>
        <v>1052788.7099949373</v>
      </c>
      <c r="V39" s="283">
        <f t="shared" si="8"/>
        <v>1052788.7099949375</v>
      </c>
      <c r="W39" s="522" t="b">
        <f>IF(ABS(U39-V39)&lt;0.01,TRUE,FALSE)</f>
        <v>1</v>
      </c>
    </row>
    <row r="40" spans="3:24" hidden="1" outlineLevel="1" x14ac:dyDescent="0.25"/>
    <row r="41" spans="3:24" hidden="1" outlineLevel="1" x14ac:dyDescent="0.25">
      <c r="D41" s="260" t="str">
        <f>IF(D5&lt;&gt;"",D5,"")</f>
        <v>SAGE</v>
      </c>
      <c r="E41" s="261" t="str">
        <f t="shared" ref="E41:W41" si="9">IF(E5&lt;&gt;"",E5,"")</f>
        <v>TELECOM</v>
      </c>
      <c r="F41" s="261" t="str">
        <f t="shared" si="9"/>
        <v>GERAL</v>
      </c>
      <c r="G41" s="261" t="str">
        <f t="shared" si="9"/>
        <v/>
      </c>
      <c r="H41" s="261" t="str">
        <f t="shared" si="9"/>
        <v/>
      </c>
      <c r="I41" s="261" t="str">
        <f t="shared" si="9"/>
        <v/>
      </c>
      <c r="J41" s="261" t="str">
        <f t="shared" si="9"/>
        <v/>
      </c>
      <c r="K41" s="261" t="str">
        <f t="shared" si="9"/>
        <v/>
      </c>
      <c r="L41" s="261" t="str">
        <f t="shared" si="9"/>
        <v/>
      </c>
      <c r="M41" s="261" t="str">
        <f t="shared" si="9"/>
        <v/>
      </c>
      <c r="N41" s="261" t="str">
        <f t="shared" si="9"/>
        <v/>
      </c>
      <c r="O41" s="261" t="str">
        <f t="shared" si="9"/>
        <v/>
      </c>
      <c r="P41" s="261" t="str">
        <f t="shared" si="9"/>
        <v/>
      </c>
      <c r="Q41" s="261" t="str">
        <f t="shared" si="9"/>
        <v/>
      </c>
      <c r="R41" s="261" t="str">
        <f t="shared" si="9"/>
        <v/>
      </c>
      <c r="S41" s="261" t="str">
        <f t="shared" si="9"/>
        <v/>
      </c>
      <c r="T41" s="261" t="str">
        <f t="shared" si="9"/>
        <v/>
      </c>
      <c r="U41" s="261" t="str">
        <f t="shared" si="9"/>
        <v/>
      </c>
      <c r="V41" s="261" t="str">
        <f t="shared" si="9"/>
        <v/>
      </c>
      <c r="W41" s="262" t="str">
        <f t="shared" si="9"/>
        <v/>
      </c>
    </row>
    <row r="42" spans="3:24" hidden="1" outlineLevel="1" x14ac:dyDescent="0.25">
      <c r="C42" s="263" t="str">
        <f>IF(C6&lt;&gt;"",C6,"")</f>
        <v>MAT</v>
      </c>
      <c r="D42" s="264">
        <f>D6-D186-D222</f>
        <v>404844.68686140829</v>
      </c>
      <c r="E42" s="265">
        <f t="shared" ref="E42:W42" si="10">E6-E186-E222</f>
        <v>117759.17414216271</v>
      </c>
      <c r="F42" s="265">
        <f t="shared" si="10"/>
        <v>7982.9775371069736</v>
      </c>
      <c r="G42" s="265">
        <f t="shared" si="10"/>
        <v>0</v>
      </c>
      <c r="H42" s="265">
        <f t="shared" si="10"/>
        <v>0</v>
      </c>
      <c r="I42" s="265">
        <f t="shared" si="10"/>
        <v>0</v>
      </c>
      <c r="J42" s="265">
        <f t="shared" si="10"/>
        <v>0</v>
      </c>
      <c r="K42" s="265">
        <f t="shared" si="10"/>
        <v>0</v>
      </c>
      <c r="L42" s="265">
        <f t="shared" si="10"/>
        <v>0</v>
      </c>
      <c r="M42" s="768">
        <f t="shared" si="10"/>
        <v>0</v>
      </c>
      <c r="N42" s="265">
        <f t="shared" si="10"/>
        <v>0</v>
      </c>
      <c r="O42" s="265">
        <f t="shared" si="10"/>
        <v>0</v>
      </c>
      <c r="P42" s="265">
        <f t="shared" si="10"/>
        <v>0</v>
      </c>
      <c r="Q42" s="265">
        <f t="shared" si="10"/>
        <v>0</v>
      </c>
      <c r="R42" s="265">
        <f t="shared" si="10"/>
        <v>0</v>
      </c>
      <c r="S42" s="265">
        <f t="shared" si="10"/>
        <v>0</v>
      </c>
      <c r="T42" s="265">
        <f t="shared" si="10"/>
        <v>0</v>
      </c>
      <c r="U42" s="265">
        <f t="shared" si="10"/>
        <v>0</v>
      </c>
      <c r="V42" s="265">
        <f t="shared" si="10"/>
        <v>0</v>
      </c>
      <c r="W42" s="266">
        <f t="shared" si="10"/>
        <v>0</v>
      </c>
      <c r="X42" s="204">
        <f>SUM(D42:W42)</f>
        <v>530586.83854067803</v>
      </c>
    </row>
    <row r="43" spans="3:24" hidden="1" outlineLevel="1" x14ac:dyDescent="0.25">
      <c r="C43" s="267" t="str">
        <f t="shared" ref="C43:C71" si="11">IF(C7&lt;&gt;"",C7,"")</f>
        <v>SRV</v>
      </c>
      <c r="D43" s="268">
        <f t="shared" ref="D43:W43" si="12">D7-D187-D223</f>
        <v>428663.09067638032</v>
      </c>
      <c r="E43" s="269">
        <f t="shared" si="12"/>
        <v>0</v>
      </c>
      <c r="F43" s="269">
        <f t="shared" si="12"/>
        <v>60946.287568829561</v>
      </c>
      <c r="G43" s="269">
        <f t="shared" si="12"/>
        <v>0</v>
      </c>
      <c r="H43" s="269">
        <f t="shared" si="12"/>
        <v>0</v>
      </c>
      <c r="I43" s="269">
        <f t="shared" si="12"/>
        <v>0</v>
      </c>
      <c r="J43" s="269">
        <f t="shared" si="12"/>
        <v>0</v>
      </c>
      <c r="K43" s="269">
        <f t="shared" si="12"/>
        <v>0</v>
      </c>
      <c r="L43" s="269">
        <f t="shared" si="12"/>
        <v>0</v>
      </c>
      <c r="M43" s="769">
        <f t="shared" si="12"/>
        <v>0</v>
      </c>
      <c r="N43" s="269">
        <f t="shared" si="12"/>
        <v>0</v>
      </c>
      <c r="O43" s="269">
        <f t="shared" si="12"/>
        <v>0</v>
      </c>
      <c r="P43" s="269">
        <f t="shared" si="12"/>
        <v>0</v>
      </c>
      <c r="Q43" s="269">
        <f t="shared" si="12"/>
        <v>0</v>
      </c>
      <c r="R43" s="269">
        <f t="shared" si="12"/>
        <v>0</v>
      </c>
      <c r="S43" s="269">
        <f t="shared" si="12"/>
        <v>0</v>
      </c>
      <c r="T43" s="269">
        <f t="shared" si="12"/>
        <v>0</v>
      </c>
      <c r="U43" s="269">
        <f t="shared" si="12"/>
        <v>0</v>
      </c>
      <c r="V43" s="269">
        <f t="shared" si="12"/>
        <v>0</v>
      </c>
      <c r="W43" s="270">
        <f t="shared" si="12"/>
        <v>0</v>
      </c>
      <c r="X43" s="204">
        <f t="shared" ref="X43:X71" si="13">SUM(D43:W43)</f>
        <v>489609.37824520987</v>
      </c>
    </row>
    <row r="44" spans="3:24" hidden="1" outlineLevel="1" x14ac:dyDescent="0.25">
      <c r="C44" s="267" t="str">
        <f t="shared" si="11"/>
        <v>MOBI</v>
      </c>
      <c r="D44" s="268">
        <f t="shared" ref="D44:W44" si="14">D8-D188-D224</f>
        <v>0</v>
      </c>
      <c r="E44" s="269">
        <f t="shared" si="14"/>
        <v>0</v>
      </c>
      <c r="F44" s="269">
        <f t="shared" si="14"/>
        <v>20054.837249584423</v>
      </c>
      <c r="G44" s="269">
        <f t="shared" si="14"/>
        <v>0</v>
      </c>
      <c r="H44" s="269">
        <f t="shared" si="14"/>
        <v>0</v>
      </c>
      <c r="I44" s="269">
        <f t="shared" si="14"/>
        <v>0</v>
      </c>
      <c r="J44" s="269">
        <f t="shared" si="14"/>
        <v>0</v>
      </c>
      <c r="K44" s="269">
        <f t="shared" si="14"/>
        <v>0</v>
      </c>
      <c r="L44" s="269">
        <f t="shared" si="14"/>
        <v>0</v>
      </c>
      <c r="M44" s="769">
        <f t="shared" si="14"/>
        <v>0</v>
      </c>
      <c r="N44" s="269">
        <f t="shared" si="14"/>
        <v>0</v>
      </c>
      <c r="O44" s="269">
        <f t="shared" si="14"/>
        <v>0</v>
      </c>
      <c r="P44" s="269">
        <f t="shared" si="14"/>
        <v>0</v>
      </c>
      <c r="Q44" s="269">
        <f t="shared" si="14"/>
        <v>0</v>
      </c>
      <c r="R44" s="269">
        <f t="shared" si="14"/>
        <v>0</v>
      </c>
      <c r="S44" s="269">
        <f t="shared" si="14"/>
        <v>0</v>
      </c>
      <c r="T44" s="269">
        <f t="shared" si="14"/>
        <v>0</v>
      </c>
      <c r="U44" s="269">
        <f t="shared" si="14"/>
        <v>0</v>
      </c>
      <c r="V44" s="269">
        <f t="shared" si="14"/>
        <v>0</v>
      </c>
      <c r="W44" s="270">
        <f t="shared" si="14"/>
        <v>0</v>
      </c>
      <c r="X44" s="204">
        <f t="shared" si="13"/>
        <v>20054.837249584423</v>
      </c>
    </row>
    <row r="45" spans="3:24" hidden="1" outlineLevel="1" x14ac:dyDescent="0.25">
      <c r="C45" s="267" t="str">
        <f t="shared" si="11"/>
        <v>TREIN</v>
      </c>
      <c r="D45" s="268">
        <f t="shared" ref="D45:W45" si="15">D9-D189-D225</f>
        <v>0</v>
      </c>
      <c r="E45" s="269">
        <f t="shared" si="15"/>
        <v>0</v>
      </c>
      <c r="F45" s="269">
        <f t="shared" si="15"/>
        <v>12537.655959465073</v>
      </c>
      <c r="G45" s="269">
        <f t="shared" si="15"/>
        <v>0</v>
      </c>
      <c r="H45" s="269">
        <f t="shared" si="15"/>
        <v>0</v>
      </c>
      <c r="I45" s="269">
        <f t="shared" si="15"/>
        <v>0</v>
      </c>
      <c r="J45" s="269">
        <f t="shared" si="15"/>
        <v>0</v>
      </c>
      <c r="K45" s="269">
        <f t="shared" si="15"/>
        <v>0</v>
      </c>
      <c r="L45" s="269">
        <f t="shared" si="15"/>
        <v>0</v>
      </c>
      <c r="M45" s="769">
        <f t="shared" si="15"/>
        <v>0</v>
      </c>
      <c r="N45" s="269">
        <f t="shared" si="15"/>
        <v>0</v>
      </c>
      <c r="O45" s="269">
        <f t="shared" si="15"/>
        <v>0</v>
      </c>
      <c r="P45" s="269">
        <f t="shared" si="15"/>
        <v>0</v>
      </c>
      <c r="Q45" s="269">
        <f t="shared" si="15"/>
        <v>0</v>
      </c>
      <c r="R45" s="269">
        <f t="shared" si="15"/>
        <v>0</v>
      </c>
      <c r="S45" s="269">
        <f t="shared" si="15"/>
        <v>0</v>
      </c>
      <c r="T45" s="269">
        <f t="shared" si="15"/>
        <v>0</v>
      </c>
      <c r="U45" s="269">
        <f t="shared" si="15"/>
        <v>0</v>
      </c>
      <c r="V45" s="269">
        <f t="shared" si="15"/>
        <v>0</v>
      </c>
      <c r="W45" s="270">
        <f t="shared" si="15"/>
        <v>0</v>
      </c>
      <c r="X45" s="204">
        <f t="shared" si="13"/>
        <v>12537.655959465073</v>
      </c>
    </row>
    <row r="46" spans="3:24" hidden="1" outlineLevel="1" x14ac:dyDescent="0.25">
      <c r="C46" s="267" t="str">
        <f t="shared" si="11"/>
        <v/>
      </c>
      <c r="D46" s="268">
        <f t="shared" ref="D46:W46" si="16">D10-D190-D226</f>
        <v>0</v>
      </c>
      <c r="E46" s="269">
        <f t="shared" si="16"/>
        <v>0</v>
      </c>
      <c r="F46" s="269">
        <f t="shared" si="16"/>
        <v>0</v>
      </c>
      <c r="G46" s="269">
        <f t="shared" si="16"/>
        <v>0</v>
      </c>
      <c r="H46" s="269">
        <f t="shared" si="16"/>
        <v>0</v>
      </c>
      <c r="I46" s="269">
        <f t="shared" si="16"/>
        <v>0</v>
      </c>
      <c r="J46" s="269">
        <f t="shared" si="16"/>
        <v>0</v>
      </c>
      <c r="K46" s="269">
        <f t="shared" si="16"/>
        <v>0</v>
      </c>
      <c r="L46" s="269">
        <f t="shared" si="16"/>
        <v>0</v>
      </c>
      <c r="M46" s="769">
        <f t="shared" si="16"/>
        <v>0</v>
      </c>
      <c r="N46" s="269">
        <f t="shared" si="16"/>
        <v>0</v>
      </c>
      <c r="O46" s="269">
        <f t="shared" si="16"/>
        <v>0</v>
      </c>
      <c r="P46" s="269">
        <f t="shared" si="16"/>
        <v>0</v>
      </c>
      <c r="Q46" s="269">
        <f t="shared" si="16"/>
        <v>0</v>
      </c>
      <c r="R46" s="269">
        <f t="shared" si="16"/>
        <v>0</v>
      </c>
      <c r="S46" s="269">
        <f t="shared" si="16"/>
        <v>0</v>
      </c>
      <c r="T46" s="269">
        <f t="shared" si="16"/>
        <v>0</v>
      </c>
      <c r="U46" s="269">
        <f t="shared" si="16"/>
        <v>0</v>
      </c>
      <c r="V46" s="269">
        <f t="shared" si="16"/>
        <v>0</v>
      </c>
      <c r="W46" s="270">
        <f t="shared" si="16"/>
        <v>0</v>
      </c>
      <c r="X46" s="204">
        <f t="shared" si="13"/>
        <v>0</v>
      </c>
    </row>
    <row r="47" spans="3:24" hidden="1" outlineLevel="1" x14ac:dyDescent="0.25">
      <c r="C47" s="267" t="str">
        <f t="shared" si="11"/>
        <v/>
      </c>
      <c r="D47" s="268">
        <f t="shared" ref="D47:W47" si="17">D11-D191-D227</f>
        <v>0</v>
      </c>
      <c r="E47" s="269">
        <f t="shared" si="17"/>
        <v>0</v>
      </c>
      <c r="F47" s="269">
        <f t="shared" si="17"/>
        <v>0</v>
      </c>
      <c r="G47" s="269">
        <f t="shared" si="17"/>
        <v>0</v>
      </c>
      <c r="H47" s="269">
        <f t="shared" si="17"/>
        <v>0</v>
      </c>
      <c r="I47" s="269">
        <f t="shared" si="17"/>
        <v>0</v>
      </c>
      <c r="J47" s="269">
        <f t="shared" si="17"/>
        <v>0</v>
      </c>
      <c r="K47" s="269">
        <f t="shared" si="17"/>
        <v>0</v>
      </c>
      <c r="L47" s="269">
        <f t="shared" si="17"/>
        <v>0</v>
      </c>
      <c r="M47" s="769">
        <f t="shared" si="17"/>
        <v>0</v>
      </c>
      <c r="N47" s="269">
        <f t="shared" si="17"/>
        <v>0</v>
      </c>
      <c r="O47" s="269">
        <f t="shared" si="17"/>
        <v>0</v>
      </c>
      <c r="P47" s="269">
        <f t="shared" si="17"/>
        <v>0</v>
      </c>
      <c r="Q47" s="269">
        <f t="shared" si="17"/>
        <v>0</v>
      </c>
      <c r="R47" s="269">
        <f t="shared" si="17"/>
        <v>0</v>
      </c>
      <c r="S47" s="269">
        <f t="shared" si="17"/>
        <v>0</v>
      </c>
      <c r="T47" s="269">
        <f t="shared" si="17"/>
        <v>0</v>
      </c>
      <c r="U47" s="269">
        <f t="shared" si="17"/>
        <v>0</v>
      </c>
      <c r="V47" s="269">
        <f t="shared" si="17"/>
        <v>0</v>
      </c>
      <c r="W47" s="270">
        <f t="shared" si="17"/>
        <v>0</v>
      </c>
      <c r="X47" s="204">
        <f t="shared" si="13"/>
        <v>0</v>
      </c>
    </row>
    <row r="48" spans="3:24" hidden="1" outlineLevel="1" x14ac:dyDescent="0.25">
      <c r="C48" s="267" t="str">
        <f t="shared" si="11"/>
        <v/>
      </c>
      <c r="D48" s="268">
        <f t="shared" ref="D48:W48" si="18">D12-D192-D228</f>
        <v>0</v>
      </c>
      <c r="E48" s="269">
        <f t="shared" si="18"/>
        <v>0</v>
      </c>
      <c r="F48" s="269">
        <f t="shared" si="18"/>
        <v>0</v>
      </c>
      <c r="G48" s="269">
        <f t="shared" si="18"/>
        <v>0</v>
      </c>
      <c r="H48" s="269">
        <f t="shared" si="18"/>
        <v>0</v>
      </c>
      <c r="I48" s="269">
        <f t="shared" si="18"/>
        <v>0</v>
      </c>
      <c r="J48" s="269">
        <f t="shared" si="18"/>
        <v>0</v>
      </c>
      <c r="K48" s="269">
        <f t="shared" si="18"/>
        <v>0</v>
      </c>
      <c r="L48" s="269">
        <f t="shared" si="18"/>
        <v>0</v>
      </c>
      <c r="M48" s="769">
        <f t="shared" si="18"/>
        <v>0</v>
      </c>
      <c r="N48" s="269">
        <f t="shared" si="18"/>
        <v>0</v>
      </c>
      <c r="O48" s="269">
        <f t="shared" si="18"/>
        <v>0</v>
      </c>
      <c r="P48" s="269">
        <f t="shared" si="18"/>
        <v>0</v>
      </c>
      <c r="Q48" s="269">
        <f t="shared" si="18"/>
        <v>0</v>
      </c>
      <c r="R48" s="269">
        <f t="shared" si="18"/>
        <v>0</v>
      </c>
      <c r="S48" s="269">
        <f t="shared" si="18"/>
        <v>0</v>
      </c>
      <c r="T48" s="269">
        <f t="shared" si="18"/>
        <v>0</v>
      </c>
      <c r="U48" s="269">
        <f t="shared" si="18"/>
        <v>0</v>
      </c>
      <c r="V48" s="269">
        <f t="shared" si="18"/>
        <v>0</v>
      </c>
      <c r="W48" s="270">
        <f t="shared" si="18"/>
        <v>0</v>
      </c>
      <c r="X48" s="204">
        <f t="shared" si="13"/>
        <v>0</v>
      </c>
    </row>
    <row r="49" spans="3:24" hidden="1" outlineLevel="1" x14ac:dyDescent="0.25">
      <c r="C49" s="267" t="str">
        <f t="shared" si="11"/>
        <v/>
      </c>
      <c r="D49" s="268">
        <f t="shared" ref="D49:W49" si="19">D13-D193-D229</f>
        <v>0</v>
      </c>
      <c r="E49" s="269">
        <f t="shared" si="19"/>
        <v>0</v>
      </c>
      <c r="F49" s="269">
        <f t="shared" si="19"/>
        <v>0</v>
      </c>
      <c r="G49" s="269">
        <f t="shared" si="19"/>
        <v>0</v>
      </c>
      <c r="H49" s="269">
        <f t="shared" si="19"/>
        <v>0</v>
      </c>
      <c r="I49" s="269">
        <f t="shared" si="19"/>
        <v>0</v>
      </c>
      <c r="J49" s="269">
        <f t="shared" si="19"/>
        <v>0</v>
      </c>
      <c r="K49" s="269">
        <f t="shared" si="19"/>
        <v>0</v>
      </c>
      <c r="L49" s="269">
        <f t="shared" si="19"/>
        <v>0</v>
      </c>
      <c r="M49" s="769">
        <f t="shared" si="19"/>
        <v>0</v>
      </c>
      <c r="N49" s="269">
        <f t="shared" si="19"/>
        <v>0</v>
      </c>
      <c r="O49" s="269">
        <f t="shared" si="19"/>
        <v>0</v>
      </c>
      <c r="P49" s="269">
        <f t="shared" si="19"/>
        <v>0</v>
      </c>
      <c r="Q49" s="269">
        <f t="shared" si="19"/>
        <v>0</v>
      </c>
      <c r="R49" s="269">
        <f t="shared" si="19"/>
        <v>0</v>
      </c>
      <c r="S49" s="269">
        <f t="shared" si="19"/>
        <v>0</v>
      </c>
      <c r="T49" s="269">
        <f t="shared" si="19"/>
        <v>0</v>
      </c>
      <c r="U49" s="269">
        <f t="shared" si="19"/>
        <v>0</v>
      </c>
      <c r="V49" s="269">
        <f t="shared" si="19"/>
        <v>0</v>
      </c>
      <c r="W49" s="270">
        <f t="shared" si="19"/>
        <v>0</v>
      </c>
      <c r="X49" s="204">
        <f t="shared" si="13"/>
        <v>0</v>
      </c>
    </row>
    <row r="50" spans="3:24" hidden="1" outlineLevel="1" x14ac:dyDescent="0.25">
      <c r="C50" s="267" t="str">
        <f t="shared" si="11"/>
        <v/>
      </c>
      <c r="D50" s="268">
        <f t="shared" ref="D50:W50" si="20">D14-D194-D230</f>
        <v>0</v>
      </c>
      <c r="E50" s="269">
        <f t="shared" si="20"/>
        <v>0</v>
      </c>
      <c r="F50" s="269">
        <f t="shared" si="20"/>
        <v>0</v>
      </c>
      <c r="G50" s="269">
        <f t="shared" si="20"/>
        <v>0</v>
      </c>
      <c r="H50" s="269">
        <f t="shared" si="20"/>
        <v>0</v>
      </c>
      <c r="I50" s="269">
        <f t="shared" si="20"/>
        <v>0</v>
      </c>
      <c r="J50" s="269">
        <f t="shared" si="20"/>
        <v>0</v>
      </c>
      <c r="K50" s="269">
        <f t="shared" si="20"/>
        <v>0</v>
      </c>
      <c r="L50" s="269">
        <f t="shared" si="20"/>
        <v>0</v>
      </c>
      <c r="M50" s="769">
        <f t="shared" si="20"/>
        <v>0</v>
      </c>
      <c r="N50" s="269">
        <f t="shared" si="20"/>
        <v>0</v>
      </c>
      <c r="O50" s="269">
        <f t="shared" si="20"/>
        <v>0</v>
      </c>
      <c r="P50" s="269">
        <f t="shared" si="20"/>
        <v>0</v>
      </c>
      <c r="Q50" s="269">
        <f t="shared" si="20"/>
        <v>0</v>
      </c>
      <c r="R50" s="269">
        <f t="shared" si="20"/>
        <v>0</v>
      </c>
      <c r="S50" s="269">
        <f t="shared" si="20"/>
        <v>0</v>
      </c>
      <c r="T50" s="269">
        <f t="shared" si="20"/>
        <v>0</v>
      </c>
      <c r="U50" s="269">
        <f t="shared" si="20"/>
        <v>0</v>
      </c>
      <c r="V50" s="269">
        <f t="shared" si="20"/>
        <v>0</v>
      </c>
      <c r="W50" s="270">
        <f t="shared" si="20"/>
        <v>0</v>
      </c>
      <c r="X50" s="204">
        <f t="shared" si="13"/>
        <v>0</v>
      </c>
    </row>
    <row r="51" spans="3:24" hidden="1" outlineLevel="1" x14ac:dyDescent="0.25">
      <c r="C51" s="267" t="str">
        <f t="shared" si="11"/>
        <v/>
      </c>
      <c r="D51" s="268">
        <f t="shared" ref="D51:W51" si="21">D15-D195-D231</f>
        <v>0</v>
      </c>
      <c r="E51" s="269">
        <f t="shared" si="21"/>
        <v>0</v>
      </c>
      <c r="F51" s="269">
        <f t="shared" si="21"/>
        <v>0</v>
      </c>
      <c r="G51" s="269">
        <f t="shared" si="21"/>
        <v>0</v>
      </c>
      <c r="H51" s="269">
        <f t="shared" si="21"/>
        <v>0</v>
      </c>
      <c r="I51" s="269">
        <f t="shared" si="21"/>
        <v>0</v>
      </c>
      <c r="J51" s="269">
        <f t="shared" si="21"/>
        <v>0</v>
      </c>
      <c r="K51" s="269">
        <f t="shared" si="21"/>
        <v>0</v>
      </c>
      <c r="L51" s="269">
        <f t="shared" si="21"/>
        <v>0</v>
      </c>
      <c r="M51" s="769">
        <f t="shared" si="21"/>
        <v>0</v>
      </c>
      <c r="N51" s="269">
        <f t="shared" si="21"/>
        <v>0</v>
      </c>
      <c r="O51" s="269">
        <f t="shared" si="21"/>
        <v>0</v>
      </c>
      <c r="P51" s="269">
        <f t="shared" si="21"/>
        <v>0</v>
      </c>
      <c r="Q51" s="269">
        <f t="shared" si="21"/>
        <v>0</v>
      </c>
      <c r="R51" s="269">
        <f t="shared" si="21"/>
        <v>0</v>
      </c>
      <c r="S51" s="269">
        <f t="shared" si="21"/>
        <v>0</v>
      </c>
      <c r="T51" s="269">
        <f t="shared" si="21"/>
        <v>0</v>
      </c>
      <c r="U51" s="269">
        <f t="shared" si="21"/>
        <v>0</v>
      </c>
      <c r="V51" s="269">
        <f t="shared" si="21"/>
        <v>0</v>
      </c>
      <c r="W51" s="270">
        <f t="shared" si="21"/>
        <v>0</v>
      </c>
      <c r="X51" s="204">
        <f t="shared" si="13"/>
        <v>0</v>
      </c>
    </row>
    <row r="52" spans="3:24" hidden="1" outlineLevel="1" x14ac:dyDescent="0.25">
      <c r="C52" s="267" t="str">
        <f t="shared" si="11"/>
        <v/>
      </c>
      <c r="D52" s="268">
        <f t="shared" ref="D52:W52" si="22">D16-D196-D232</f>
        <v>0</v>
      </c>
      <c r="E52" s="269">
        <f t="shared" si="22"/>
        <v>0</v>
      </c>
      <c r="F52" s="269">
        <f t="shared" si="22"/>
        <v>0</v>
      </c>
      <c r="G52" s="269">
        <f t="shared" si="22"/>
        <v>0</v>
      </c>
      <c r="H52" s="269">
        <f t="shared" si="22"/>
        <v>0</v>
      </c>
      <c r="I52" s="269">
        <f t="shared" si="22"/>
        <v>0</v>
      </c>
      <c r="J52" s="269">
        <f t="shared" si="22"/>
        <v>0</v>
      </c>
      <c r="K52" s="269">
        <f t="shared" si="22"/>
        <v>0</v>
      </c>
      <c r="L52" s="269">
        <f t="shared" si="22"/>
        <v>0</v>
      </c>
      <c r="M52" s="769">
        <f t="shared" si="22"/>
        <v>0</v>
      </c>
      <c r="N52" s="269">
        <f t="shared" si="22"/>
        <v>0</v>
      </c>
      <c r="O52" s="269">
        <f t="shared" si="22"/>
        <v>0</v>
      </c>
      <c r="P52" s="269">
        <f t="shared" si="22"/>
        <v>0</v>
      </c>
      <c r="Q52" s="269">
        <f t="shared" si="22"/>
        <v>0</v>
      </c>
      <c r="R52" s="269">
        <f t="shared" si="22"/>
        <v>0</v>
      </c>
      <c r="S52" s="269">
        <f t="shared" si="22"/>
        <v>0</v>
      </c>
      <c r="T52" s="269">
        <f t="shared" si="22"/>
        <v>0</v>
      </c>
      <c r="U52" s="269">
        <f t="shared" si="22"/>
        <v>0</v>
      </c>
      <c r="V52" s="269">
        <f t="shared" si="22"/>
        <v>0</v>
      </c>
      <c r="W52" s="270">
        <f t="shared" si="22"/>
        <v>0</v>
      </c>
      <c r="X52" s="204">
        <f t="shared" si="13"/>
        <v>0</v>
      </c>
    </row>
    <row r="53" spans="3:24" hidden="1" outlineLevel="1" x14ac:dyDescent="0.25">
      <c r="C53" s="267" t="str">
        <f t="shared" si="11"/>
        <v/>
      </c>
      <c r="D53" s="268">
        <f t="shared" ref="D53:W53" si="23">D17-D197-D233</f>
        <v>0</v>
      </c>
      <c r="E53" s="269">
        <f t="shared" si="23"/>
        <v>0</v>
      </c>
      <c r="F53" s="269">
        <f t="shared" si="23"/>
        <v>0</v>
      </c>
      <c r="G53" s="269">
        <f t="shared" si="23"/>
        <v>0</v>
      </c>
      <c r="H53" s="269">
        <f t="shared" si="23"/>
        <v>0</v>
      </c>
      <c r="I53" s="269">
        <f t="shared" si="23"/>
        <v>0</v>
      </c>
      <c r="J53" s="269">
        <f t="shared" si="23"/>
        <v>0</v>
      </c>
      <c r="K53" s="269">
        <f t="shared" si="23"/>
        <v>0</v>
      </c>
      <c r="L53" s="269">
        <f t="shared" si="23"/>
        <v>0</v>
      </c>
      <c r="M53" s="769">
        <f t="shared" si="23"/>
        <v>0</v>
      </c>
      <c r="N53" s="269">
        <f t="shared" si="23"/>
        <v>0</v>
      </c>
      <c r="O53" s="269">
        <f t="shared" si="23"/>
        <v>0</v>
      </c>
      <c r="P53" s="269">
        <f t="shared" si="23"/>
        <v>0</v>
      </c>
      <c r="Q53" s="269">
        <f t="shared" si="23"/>
        <v>0</v>
      </c>
      <c r="R53" s="269">
        <f t="shared" si="23"/>
        <v>0</v>
      </c>
      <c r="S53" s="269">
        <f t="shared" si="23"/>
        <v>0</v>
      </c>
      <c r="T53" s="269">
        <f t="shared" si="23"/>
        <v>0</v>
      </c>
      <c r="U53" s="269">
        <f t="shared" si="23"/>
        <v>0</v>
      </c>
      <c r="V53" s="269">
        <f t="shared" si="23"/>
        <v>0</v>
      </c>
      <c r="W53" s="270">
        <f t="shared" si="23"/>
        <v>0</v>
      </c>
      <c r="X53" s="204">
        <f t="shared" si="13"/>
        <v>0</v>
      </c>
    </row>
    <row r="54" spans="3:24" hidden="1" outlineLevel="1" x14ac:dyDescent="0.25">
      <c r="C54" s="267" t="str">
        <f t="shared" si="11"/>
        <v/>
      </c>
      <c r="D54" s="268">
        <f t="shared" ref="D54:W54" si="24">D18-D198-D234</f>
        <v>0</v>
      </c>
      <c r="E54" s="269">
        <f t="shared" si="24"/>
        <v>0</v>
      </c>
      <c r="F54" s="269">
        <f t="shared" si="24"/>
        <v>0</v>
      </c>
      <c r="G54" s="269">
        <f t="shared" si="24"/>
        <v>0</v>
      </c>
      <c r="H54" s="269">
        <f t="shared" si="24"/>
        <v>0</v>
      </c>
      <c r="I54" s="269">
        <f t="shared" si="24"/>
        <v>0</v>
      </c>
      <c r="J54" s="269">
        <f t="shared" si="24"/>
        <v>0</v>
      </c>
      <c r="K54" s="269">
        <f t="shared" si="24"/>
        <v>0</v>
      </c>
      <c r="L54" s="269">
        <f t="shared" si="24"/>
        <v>0</v>
      </c>
      <c r="M54" s="769">
        <f t="shared" si="24"/>
        <v>0</v>
      </c>
      <c r="N54" s="269">
        <f t="shared" si="24"/>
        <v>0</v>
      </c>
      <c r="O54" s="269">
        <f t="shared" si="24"/>
        <v>0</v>
      </c>
      <c r="P54" s="269">
        <f t="shared" si="24"/>
        <v>0</v>
      </c>
      <c r="Q54" s="269">
        <f t="shared" si="24"/>
        <v>0</v>
      </c>
      <c r="R54" s="269">
        <f t="shared" si="24"/>
        <v>0</v>
      </c>
      <c r="S54" s="269">
        <f t="shared" si="24"/>
        <v>0</v>
      </c>
      <c r="T54" s="269">
        <f t="shared" si="24"/>
        <v>0</v>
      </c>
      <c r="U54" s="269">
        <f t="shared" si="24"/>
        <v>0</v>
      </c>
      <c r="V54" s="269">
        <f t="shared" si="24"/>
        <v>0</v>
      </c>
      <c r="W54" s="270">
        <f t="shared" si="24"/>
        <v>0</v>
      </c>
      <c r="X54" s="204">
        <f t="shared" si="13"/>
        <v>0</v>
      </c>
    </row>
    <row r="55" spans="3:24" hidden="1" outlineLevel="1" x14ac:dyDescent="0.25">
      <c r="C55" s="267" t="str">
        <f t="shared" si="11"/>
        <v/>
      </c>
      <c r="D55" s="268">
        <f t="shared" ref="D55:W55" si="25">D19-D199-D235</f>
        <v>0</v>
      </c>
      <c r="E55" s="269">
        <f t="shared" si="25"/>
        <v>0</v>
      </c>
      <c r="F55" s="269">
        <f t="shared" si="25"/>
        <v>0</v>
      </c>
      <c r="G55" s="269">
        <f t="shared" si="25"/>
        <v>0</v>
      </c>
      <c r="H55" s="269">
        <f t="shared" si="25"/>
        <v>0</v>
      </c>
      <c r="I55" s="269">
        <f t="shared" si="25"/>
        <v>0</v>
      </c>
      <c r="J55" s="269">
        <f t="shared" si="25"/>
        <v>0</v>
      </c>
      <c r="K55" s="269">
        <f t="shared" si="25"/>
        <v>0</v>
      </c>
      <c r="L55" s="269">
        <f t="shared" si="25"/>
        <v>0</v>
      </c>
      <c r="M55" s="769">
        <f t="shared" si="25"/>
        <v>0</v>
      </c>
      <c r="N55" s="269">
        <f t="shared" si="25"/>
        <v>0</v>
      </c>
      <c r="O55" s="269">
        <f t="shared" si="25"/>
        <v>0</v>
      </c>
      <c r="P55" s="269">
        <f t="shared" si="25"/>
        <v>0</v>
      </c>
      <c r="Q55" s="269">
        <f t="shared" si="25"/>
        <v>0</v>
      </c>
      <c r="R55" s="269">
        <f t="shared" si="25"/>
        <v>0</v>
      </c>
      <c r="S55" s="269">
        <f t="shared" si="25"/>
        <v>0</v>
      </c>
      <c r="T55" s="269">
        <f t="shared" si="25"/>
        <v>0</v>
      </c>
      <c r="U55" s="269">
        <f t="shared" si="25"/>
        <v>0</v>
      </c>
      <c r="V55" s="269">
        <f t="shared" si="25"/>
        <v>0</v>
      </c>
      <c r="W55" s="270">
        <f t="shared" si="25"/>
        <v>0</v>
      </c>
      <c r="X55" s="204">
        <f t="shared" si="13"/>
        <v>0</v>
      </c>
    </row>
    <row r="56" spans="3:24" hidden="1" outlineLevel="1" x14ac:dyDescent="0.25">
      <c r="C56" s="267" t="str">
        <f t="shared" si="11"/>
        <v/>
      </c>
      <c r="D56" s="268">
        <f t="shared" ref="D56:W56" si="26">D20-D200-D236</f>
        <v>0</v>
      </c>
      <c r="E56" s="269">
        <f t="shared" si="26"/>
        <v>0</v>
      </c>
      <c r="F56" s="269">
        <f t="shared" si="26"/>
        <v>0</v>
      </c>
      <c r="G56" s="269">
        <f t="shared" si="26"/>
        <v>0</v>
      </c>
      <c r="H56" s="269">
        <f t="shared" si="26"/>
        <v>0</v>
      </c>
      <c r="I56" s="269">
        <f t="shared" si="26"/>
        <v>0</v>
      </c>
      <c r="J56" s="269">
        <f t="shared" si="26"/>
        <v>0</v>
      </c>
      <c r="K56" s="269">
        <f t="shared" si="26"/>
        <v>0</v>
      </c>
      <c r="L56" s="269">
        <f t="shared" si="26"/>
        <v>0</v>
      </c>
      <c r="M56" s="769">
        <f t="shared" si="26"/>
        <v>0</v>
      </c>
      <c r="N56" s="269">
        <f t="shared" si="26"/>
        <v>0</v>
      </c>
      <c r="O56" s="269">
        <f t="shared" si="26"/>
        <v>0</v>
      </c>
      <c r="P56" s="269">
        <f t="shared" si="26"/>
        <v>0</v>
      </c>
      <c r="Q56" s="269">
        <f t="shared" si="26"/>
        <v>0</v>
      </c>
      <c r="R56" s="269">
        <f t="shared" si="26"/>
        <v>0</v>
      </c>
      <c r="S56" s="269">
        <f t="shared" si="26"/>
        <v>0</v>
      </c>
      <c r="T56" s="269">
        <f t="shared" si="26"/>
        <v>0</v>
      </c>
      <c r="U56" s="269">
        <f t="shared" si="26"/>
        <v>0</v>
      </c>
      <c r="V56" s="269">
        <f t="shared" si="26"/>
        <v>0</v>
      </c>
      <c r="W56" s="270">
        <f t="shared" si="26"/>
        <v>0</v>
      </c>
      <c r="X56" s="204">
        <f t="shared" si="13"/>
        <v>0</v>
      </c>
    </row>
    <row r="57" spans="3:24" hidden="1" outlineLevel="1" x14ac:dyDescent="0.25">
      <c r="C57" s="267" t="str">
        <f t="shared" si="11"/>
        <v/>
      </c>
      <c r="D57" s="268">
        <f t="shared" ref="D57:W57" si="27">D21-D201-D237</f>
        <v>0</v>
      </c>
      <c r="E57" s="269">
        <f t="shared" si="27"/>
        <v>0</v>
      </c>
      <c r="F57" s="269">
        <f t="shared" si="27"/>
        <v>0</v>
      </c>
      <c r="G57" s="269">
        <f t="shared" si="27"/>
        <v>0</v>
      </c>
      <c r="H57" s="269">
        <f t="shared" si="27"/>
        <v>0</v>
      </c>
      <c r="I57" s="269">
        <f t="shared" si="27"/>
        <v>0</v>
      </c>
      <c r="J57" s="269">
        <f t="shared" si="27"/>
        <v>0</v>
      </c>
      <c r="K57" s="269">
        <f t="shared" si="27"/>
        <v>0</v>
      </c>
      <c r="L57" s="269">
        <f t="shared" si="27"/>
        <v>0</v>
      </c>
      <c r="M57" s="769">
        <f t="shared" si="27"/>
        <v>0</v>
      </c>
      <c r="N57" s="269">
        <f t="shared" si="27"/>
        <v>0</v>
      </c>
      <c r="O57" s="269">
        <f t="shared" si="27"/>
        <v>0</v>
      </c>
      <c r="P57" s="269">
        <f t="shared" si="27"/>
        <v>0</v>
      </c>
      <c r="Q57" s="269">
        <f t="shared" si="27"/>
        <v>0</v>
      </c>
      <c r="R57" s="269">
        <f t="shared" si="27"/>
        <v>0</v>
      </c>
      <c r="S57" s="269">
        <f t="shared" si="27"/>
        <v>0</v>
      </c>
      <c r="T57" s="269">
        <f t="shared" si="27"/>
        <v>0</v>
      </c>
      <c r="U57" s="269">
        <f t="shared" si="27"/>
        <v>0</v>
      </c>
      <c r="V57" s="269">
        <f t="shared" si="27"/>
        <v>0</v>
      </c>
      <c r="W57" s="270">
        <f t="shared" si="27"/>
        <v>0</v>
      </c>
      <c r="X57" s="204">
        <f t="shared" si="13"/>
        <v>0</v>
      </c>
    </row>
    <row r="58" spans="3:24" hidden="1" outlineLevel="1" x14ac:dyDescent="0.25">
      <c r="C58" s="267" t="str">
        <f t="shared" si="11"/>
        <v/>
      </c>
      <c r="D58" s="268">
        <f t="shared" ref="D58:W58" si="28">D22-D202-D238</f>
        <v>0</v>
      </c>
      <c r="E58" s="269">
        <f t="shared" si="28"/>
        <v>0</v>
      </c>
      <c r="F58" s="269">
        <f t="shared" si="28"/>
        <v>0</v>
      </c>
      <c r="G58" s="269">
        <f t="shared" si="28"/>
        <v>0</v>
      </c>
      <c r="H58" s="269">
        <f t="shared" si="28"/>
        <v>0</v>
      </c>
      <c r="I58" s="269">
        <f t="shared" si="28"/>
        <v>0</v>
      </c>
      <c r="J58" s="269">
        <f t="shared" si="28"/>
        <v>0</v>
      </c>
      <c r="K58" s="269">
        <f t="shared" si="28"/>
        <v>0</v>
      </c>
      <c r="L58" s="269">
        <f t="shared" si="28"/>
        <v>0</v>
      </c>
      <c r="M58" s="769">
        <f t="shared" si="28"/>
        <v>0</v>
      </c>
      <c r="N58" s="269">
        <f t="shared" si="28"/>
        <v>0</v>
      </c>
      <c r="O58" s="269">
        <f t="shared" si="28"/>
        <v>0</v>
      </c>
      <c r="P58" s="269">
        <f t="shared" si="28"/>
        <v>0</v>
      </c>
      <c r="Q58" s="269">
        <f t="shared" si="28"/>
        <v>0</v>
      </c>
      <c r="R58" s="269">
        <f t="shared" si="28"/>
        <v>0</v>
      </c>
      <c r="S58" s="269">
        <f t="shared" si="28"/>
        <v>0</v>
      </c>
      <c r="T58" s="269">
        <f t="shared" si="28"/>
        <v>0</v>
      </c>
      <c r="U58" s="269">
        <f t="shared" si="28"/>
        <v>0</v>
      </c>
      <c r="V58" s="269">
        <f t="shared" si="28"/>
        <v>0</v>
      </c>
      <c r="W58" s="270">
        <f t="shared" si="28"/>
        <v>0</v>
      </c>
      <c r="X58" s="204">
        <f t="shared" si="13"/>
        <v>0</v>
      </c>
    </row>
    <row r="59" spans="3:24" hidden="1" outlineLevel="1" x14ac:dyDescent="0.25">
      <c r="C59" s="267" t="str">
        <f t="shared" si="11"/>
        <v/>
      </c>
      <c r="D59" s="268">
        <f t="shared" ref="D59:W59" si="29">D23-D203-D239</f>
        <v>0</v>
      </c>
      <c r="E59" s="269">
        <f t="shared" si="29"/>
        <v>0</v>
      </c>
      <c r="F59" s="269">
        <f t="shared" si="29"/>
        <v>0</v>
      </c>
      <c r="G59" s="269">
        <f t="shared" si="29"/>
        <v>0</v>
      </c>
      <c r="H59" s="269">
        <f t="shared" si="29"/>
        <v>0</v>
      </c>
      <c r="I59" s="269">
        <f t="shared" si="29"/>
        <v>0</v>
      </c>
      <c r="J59" s="269">
        <f t="shared" si="29"/>
        <v>0</v>
      </c>
      <c r="K59" s="269">
        <f t="shared" si="29"/>
        <v>0</v>
      </c>
      <c r="L59" s="269">
        <f t="shared" si="29"/>
        <v>0</v>
      </c>
      <c r="M59" s="769">
        <f t="shared" si="29"/>
        <v>0</v>
      </c>
      <c r="N59" s="269">
        <f t="shared" si="29"/>
        <v>0</v>
      </c>
      <c r="O59" s="269">
        <f t="shared" si="29"/>
        <v>0</v>
      </c>
      <c r="P59" s="269">
        <f t="shared" si="29"/>
        <v>0</v>
      </c>
      <c r="Q59" s="269">
        <f t="shared" si="29"/>
        <v>0</v>
      </c>
      <c r="R59" s="269">
        <f t="shared" si="29"/>
        <v>0</v>
      </c>
      <c r="S59" s="269">
        <f t="shared" si="29"/>
        <v>0</v>
      </c>
      <c r="T59" s="269">
        <f t="shared" si="29"/>
        <v>0</v>
      </c>
      <c r="U59" s="269">
        <f t="shared" si="29"/>
        <v>0</v>
      </c>
      <c r="V59" s="269">
        <f t="shared" si="29"/>
        <v>0</v>
      </c>
      <c r="W59" s="270">
        <f t="shared" si="29"/>
        <v>0</v>
      </c>
      <c r="X59" s="204">
        <f t="shared" si="13"/>
        <v>0</v>
      </c>
    </row>
    <row r="60" spans="3:24" hidden="1" outlineLevel="1" x14ac:dyDescent="0.25">
      <c r="C60" s="267" t="str">
        <f t="shared" si="11"/>
        <v/>
      </c>
      <c r="D60" s="268">
        <f t="shared" ref="D60:W60" si="30">D24-D204-D240</f>
        <v>0</v>
      </c>
      <c r="E60" s="269">
        <f t="shared" si="30"/>
        <v>0</v>
      </c>
      <c r="F60" s="269">
        <f t="shared" si="30"/>
        <v>0</v>
      </c>
      <c r="G60" s="269">
        <f t="shared" si="30"/>
        <v>0</v>
      </c>
      <c r="H60" s="269">
        <f t="shared" si="30"/>
        <v>0</v>
      </c>
      <c r="I60" s="269">
        <f t="shared" si="30"/>
        <v>0</v>
      </c>
      <c r="J60" s="269">
        <f t="shared" si="30"/>
        <v>0</v>
      </c>
      <c r="K60" s="269">
        <f t="shared" si="30"/>
        <v>0</v>
      </c>
      <c r="L60" s="269">
        <f t="shared" si="30"/>
        <v>0</v>
      </c>
      <c r="M60" s="769">
        <f t="shared" si="30"/>
        <v>0</v>
      </c>
      <c r="N60" s="269">
        <f t="shared" si="30"/>
        <v>0</v>
      </c>
      <c r="O60" s="269">
        <f t="shared" si="30"/>
        <v>0</v>
      </c>
      <c r="P60" s="269">
        <f t="shared" si="30"/>
        <v>0</v>
      </c>
      <c r="Q60" s="269">
        <f t="shared" si="30"/>
        <v>0</v>
      </c>
      <c r="R60" s="269">
        <f t="shared" si="30"/>
        <v>0</v>
      </c>
      <c r="S60" s="269">
        <f t="shared" si="30"/>
        <v>0</v>
      </c>
      <c r="T60" s="269">
        <f t="shared" si="30"/>
        <v>0</v>
      </c>
      <c r="U60" s="269">
        <f t="shared" si="30"/>
        <v>0</v>
      </c>
      <c r="V60" s="269">
        <f t="shared" si="30"/>
        <v>0</v>
      </c>
      <c r="W60" s="270">
        <f t="shared" si="30"/>
        <v>0</v>
      </c>
      <c r="X60" s="204">
        <f t="shared" si="13"/>
        <v>0</v>
      </c>
    </row>
    <row r="61" spans="3:24" hidden="1" outlineLevel="1" x14ac:dyDescent="0.25">
      <c r="C61" s="267" t="str">
        <f t="shared" si="11"/>
        <v/>
      </c>
      <c r="D61" s="268">
        <f t="shared" ref="D61:W61" si="31">D25-D205-D241</f>
        <v>0</v>
      </c>
      <c r="E61" s="269">
        <f t="shared" si="31"/>
        <v>0</v>
      </c>
      <c r="F61" s="269">
        <f t="shared" si="31"/>
        <v>0</v>
      </c>
      <c r="G61" s="269">
        <f t="shared" si="31"/>
        <v>0</v>
      </c>
      <c r="H61" s="269">
        <f t="shared" si="31"/>
        <v>0</v>
      </c>
      <c r="I61" s="269">
        <f t="shared" si="31"/>
        <v>0</v>
      </c>
      <c r="J61" s="269">
        <f t="shared" si="31"/>
        <v>0</v>
      </c>
      <c r="K61" s="269">
        <f t="shared" si="31"/>
        <v>0</v>
      </c>
      <c r="L61" s="269">
        <f t="shared" si="31"/>
        <v>0</v>
      </c>
      <c r="M61" s="769">
        <f t="shared" si="31"/>
        <v>0</v>
      </c>
      <c r="N61" s="269">
        <f t="shared" si="31"/>
        <v>0</v>
      </c>
      <c r="O61" s="269">
        <f t="shared" si="31"/>
        <v>0</v>
      </c>
      <c r="P61" s="269">
        <f t="shared" si="31"/>
        <v>0</v>
      </c>
      <c r="Q61" s="269">
        <f t="shared" si="31"/>
        <v>0</v>
      </c>
      <c r="R61" s="269">
        <f t="shared" si="31"/>
        <v>0</v>
      </c>
      <c r="S61" s="269">
        <f t="shared" si="31"/>
        <v>0</v>
      </c>
      <c r="T61" s="269">
        <f t="shared" si="31"/>
        <v>0</v>
      </c>
      <c r="U61" s="269">
        <f t="shared" si="31"/>
        <v>0</v>
      </c>
      <c r="V61" s="269">
        <f t="shared" si="31"/>
        <v>0</v>
      </c>
      <c r="W61" s="270">
        <f t="shared" si="31"/>
        <v>0</v>
      </c>
      <c r="X61" s="204">
        <f t="shared" si="13"/>
        <v>0</v>
      </c>
    </row>
    <row r="62" spans="3:24" hidden="1" outlineLevel="1" x14ac:dyDescent="0.25">
      <c r="C62" s="267" t="str">
        <f t="shared" si="11"/>
        <v/>
      </c>
      <c r="D62" s="268">
        <f t="shared" ref="D62:W62" si="32">D26-D206-D242</f>
        <v>0</v>
      </c>
      <c r="E62" s="269">
        <f t="shared" si="32"/>
        <v>0</v>
      </c>
      <c r="F62" s="269">
        <f t="shared" si="32"/>
        <v>0</v>
      </c>
      <c r="G62" s="269">
        <f t="shared" si="32"/>
        <v>0</v>
      </c>
      <c r="H62" s="269">
        <f t="shared" si="32"/>
        <v>0</v>
      </c>
      <c r="I62" s="269">
        <f t="shared" si="32"/>
        <v>0</v>
      </c>
      <c r="J62" s="269">
        <f t="shared" si="32"/>
        <v>0</v>
      </c>
      <c r="K62" s="269">
        <f t="shared" si="32"/>
        <v>0</v>
      </c>
      <c r="L62" s="269">
        <f t="shared" si="32"/>
        <v>0</v>
      </c>
      <c r="M62" s="769">
        <f t="shared" si="32"/>
        <v>0</v>
      </c>
      <c r="N62" s="269">
        <f t="shared" si="32"/>
        <v>0</v>
      </c>
      <c r="O62" s="269">
        <f t="shared" si="32"/>
        <v>0</v>
      </c>
      <c r="P62" s="269">
        <f t="shared" si="32"/>
        <v>0</v>
      </c>
      <c r="Q62" s="269">
        <f t="shared" si="32"/>
        <v>0</v>
      </c>
      <c r="R62" s="269">
        <f t="shared" si="32"/>
        <v>0</v>
      </c>
      <c r="S62" s="269">
        <f t="shared" si="32"/>
        <v>0</v>
      </c>
      <c r="T62" s="269">
        <f t="shared" si="32"/>
        <v>0</v>
      </c>
      <c r="U62" s="269">
        <f t="shared" si="32"/>
        <v>0</v>
      </c>
      <c r="V62" s="269">
        <f t="shared" si="32"/>
        <v>0</v>
      </c>
      <c r="W62" s="270">
        <f t="shared" si="32"/>
        <v>0</v>
      </c>
      <c r="X62" s="204">
        <f t="shared" si="13"/>
        <v>0</v>
      </c>
    </row>
    <row r="63" spans="3:24" hidden="1" outlineLevel="1" x14ac:dyDescent="0.25">
      <c r="C63" s="267" t="str">
        <f t="shared" si="11"/>
        <v/>
      </c>
      <c r="D63" s="268">
        <f t="shared" ref="D63:W63" si="33">D27-D207-D243</f>
        <v>0</v>
      </c>
      <c r="E63" s="269">
        <f t="shared" si="33"/>
        <v>0</v>
      </c>
      <c r="F63" s="269">
        <f t="shared" si="33"/>
        <v>0</v>
      </c>
      <c r="G63" s="269">
        <f t="shared" si="33"/>
        <v>0</v>
      </c>
      <c r="H63" s="269">
        <f t="shared" si="33"/>
        <v>0</v>
      </c>
      <c r="I63" s="269">
        <f t="shared" si="33"/>
        <v>0</v>
      </c>
      <c r="J63" s="269">
        <f t="shared" si="33"/>
        <v>0</v>
      </c>
      <c r="K63" s="269">
        <f t="shared" si="33"/>
        <v>0</v>
      </c>
      <c r="L63" s="269">
        <f t="shared" si="33"/>
        <v>0</v>
      </c>
      <c r="M63" s="769">
        <f t="shared" si="33"/>
        <v>0</v>
      </c>
      <c r="N63" s="269">
        <f t="shared" si="33"/>
        <v>0</v>
      </c>
      <c r="O63" s="269">
        <f t="shared" si="33"/>
        <v>0</v>
      </c>
      <c r="P63" s="269">
        <f t="shared" si="33"/>
        <v>0</v>
      </c>
      <c r="Q63" s="269">
        <f t="shared" si="33"/>
        <v>0</v>
      </c>
      <c r="R63" s="269">
        <f t="shared" si="33"/>
        <v>0</v>
      </c>
      <c r="S63" s="269">
        <f t="shared" si="33"/>
        <v>0</v>
      </c>
      <c r="T63" s="269">
        <f t="shared" si="33"/>
        <v>0</v>
      </c>
      <c r="U63" s="269">
        <f t="shared" si="33"/>
        <v>0</v>
      </c>
      <c r="V63" s="269">
        <f t="shared" si="33"/>
        <v>0</v>
      </c>
      <c r="W63" s="270">
        <f t="shared" si="33"/>
        <v>0</v>
      </c>
      <c r="X63" s="204">
        <f t="shared" si="13"/>
        <v>0</v>
      </c>
    </row>
    <row r="64" spans="3:24" hidden="1" outlineLevel="1" x14ac:dyDescent="0.25">
      <c r="C64" s="267" t="str">
        <f t="shared" si="11"/>
        <v/>
      </c>
      <c r="D64" s="268">
        <f t="shared" ref="D64:W64" si="34">D28-D208-D244</f>
        <v>0</v>
      </c>
      <c r="E64" s="269">
        <f t="shared" si="34"/>
        <v>0</v>
      </c>
      <c r="F64" s="269">
        <f t="shared" si="34"/>
        <v>0</v>
      </c>
      <c r="G64" s="269">
        <f t="shared" si="34"/>
        <v>0</v>
      </c>
      <c r="H64" s="269">
        <f t="shared" si="34"/>
        <v>0</v>
      </c>
      <c r="I64" s="269">
        <f t="shared" si="34"/>
        <v>0</v>
      </c>
      <c r="J64" s="269">
        <f t="shared" si="34"/>
        <v>0</v>
      </c>
      <c r="K64" s="269">
        <f t="shared" si="34"/>
        <v>0</v>
      </c>
      <c r="L64" s="269">
        <f t="shared" si="34"/>
        <v>0</v>
      </c>
      <c r="M64" s="769">
        <f t="shared" si="34"/>
        <v>0</v>
      </c>
      <c r="N64" s="269">
        <f t="shared" si="34"/>
        <v>0</v>
      </c>
      <c r="O64" s="269">
        <f t="shared" si="34"/>
        <v>0</v>
      </c>
      <c r="P64" s="269">
        <f t="shared" si="34"/>
        <v>0</v>
      </c>
      <c r="Q64" s="269">
        <f t="shared" si="34"/>
        <v>0</v>
      </c>
      <c r="R64" s="269">
        <f t="shared" si="34"/>
        <v>0</v>
      </c>
      <c r="S64" s="269">
        <f t="shared" si="34"/>
        <v>0</v>
      </c>
      <c r="T64" s="269">
        <f t="shared" si="34"/>
        <v>0</v>
      </c>
      <c r="U64" s="269">
        <f t="shared" si="34"/>
        <v>0</v>
      </c>
      <c r="V64" s="269">
        <f t="shared" si="34"/>
        <v>0</v>
      </c>
      <c r="W64" s="270">
        <f t="shared" si="34"/>
        <v>0</v>
      </c>
      <c r="X64" s="204">
        <f t="shared" si="13"/>
        <v>0</v>
      </c>
    </row>
    <row r="65" spans="3:24" hidden="1" outlineLevel="1" x14ac:dyDescent="0.25">
      <c r="C65" s="267" t="str">
        <f t="shared" si="11"/>
        <v/>
      </c>
      <c r="D65" s="268">
        <f t="shared" ref="D65:W65" si="35">D29-D209-D245</f>
        <v>0</v>
      </c>
      <c r="E65" s="269">
        <f t="shared" si="35"/>
        <v>0</v>
      </c>
      <c r="F65" s="269">
        <f t="shared" si="35"/>
        <v>0</v>
      </c>
      <c r="G65" s="269">
        <f t="shared" si="35"/>
        <v>0</v>
      </c>
      <c r="H65" s="269">
        <f t="shared" si="35"/>
        <v>0</v>
      </c>
      <c r="I65" s="269">
        <f t="shared" si="35"/>
        <v>0</v>
      </c>
      <c r="J65" s="269">
        <f t="shared" si="35"/>
        <v>0</v>
      </c>
      <c r="K65" s="269">
        <f t="shared" si="35"/>
        <v>0</v>
      </c>
      <c r="L65" s="269">
        <f t="shared" si="35"/>
        <v>0</v>
      </c>
      <c r="M65" s="769">
        <f t="shared" si="35"/>
        <v>0</v>
      </c>
      <c r="N65" s="269">
        <f t="shared" si="35"/>
        <v>0</v>
      </c>
      <c r="O65" s="269">
        <f t="shared" si="35"/>
        <v>0</v>
      </c>
      <c r="P65" s="269">
        <f t="shared" si="35"/>
        <v>0</v>
      </c>
      <c r="Q65" s="269">
        <f t="shared" si="35"/>
        <v>0</v>
      </c>
      <c r="R65" s="269">
        <f t="shared" si="35"/>
        <v>0</v>
      </c>
      <c r="S65" s="269">
        <f t="shared" si="35"/>
        <v>0</v>
      </c>
      <c r="T65" s="269">
        <f t="shared" si="35"/>
        <v>0</v>
      </c>
      <c r="U65" s="269">
        <f t="shared" si="35"/>
        <v>0</v>
      </c>
      <c r="V65" s="269">
        <f t="shared" si="35"/>
        <v>0</v>
      </c>
      <c r="W65" s="270">
        <f t="shared" si="35"/>
        <v>0</v>
      </c>
      <c r="X65" s="204">
        <f t="shared" si="13"/>
        <v>0</v>
      </c>
    </row>
    <row r="66" spans="3:24" hidden="1" outlineLevel="1" x14ac:dyDescent="0.25">
      <c r="C66" s="267" t="str">
        <f t="shared" si="11"/>
        <v/>
      </c>
      <c r="D66" s="268">
        <f t="shared" ref="D66:W66" si="36">D30-D210-D246</f>
        <v>0</v>
      </c>
      <c r="E66" s="269">
        <f t="shared" si="36"/>
        <v>0</v>
      </c>
      <c r="F66" s="269">
        <f t="shared" si="36"/>
        <v>0</v>
      </c>
      <c r="G66" s="269">
        <f t="shared" si="36"/>
        <v>0</v>
      </c>
      <c r="H66" s="269">
        <f t="shared" si="36"/>
        <v>0</v>
      </c>
      <c r="I66" s="269">
        <f t="shared" si="36"/>
        <v>0</v>
      </c>
      <c r="J66" s="269">
        <f t="shared" si="36"/>
        <v>0</v>
      </c>
      <c r="K66" s="269">
        <f t="shared" si="36"/>
        <v>0</v>
      </c>
      <c r="L66" s="269">
        <f t="shared" si="36"/>
        <v>0</v>
      </c>
      <c r="M66" s="769">
        <f t="shared" si="36"/>
        <v>0</v>
      </c>
      <c r="N66" s="269">
        <f t="shared" si="36"/>
        <v>0</v>
      </c>
      <c r="O66" s="269">
        <f t="shared" si="36"/>
        <v>0</v>
      </c>
      <c r="P66" s="269">
        <f t="shared" si="36"/>
        <v>0</v>
      </c>
      <c r="Q66" s="269">
        <f t="shared" si="36"/>
        <v>0</v>
      </c>
      <c r="R66" s="269">
        <f t="shared" si="36"/>
        <v>0</v>
      </c>
      <c r="S66" s="269">
        <f t="shared" si="36"/>
        <v>0</v>
      </c>
      <c r="T66" s="269">
        <f t="shared" si="36"/>
        <v>0</v>
      </c>
      <c r="U66" s="269">
        <f t="shared" si="36"/>
        <v>0</v>
      </c>
      <c r="V66" s="269">
        <f t="shared" si="36"/>
        <v>0</v>
      </c>
      <c r="W66" s="270">
        <f t="shared" si="36"/>
        <v>0</v>
      </c>
      <c r="X66" s="204">
        <f t="shared" si="13"/>
        <v>0</v>
      </c>
    </row>
    <row r="67" spans="3:24" hidden="1" outlineLevel="1" x14ac:dyDescent="0.25">
      <c r="C67" s="267" t="str">
        <f t="shared" si="11"/>
        <v/>
      </c>
      <c r="D67" s="268">
        <f t="shared" ref="D67:W67" si="37">D31-D211-D247</f>
        <v>0</v>
      </c>
      <c r="E67" s="269">
        <f t="shared" si="37"/>
        <v>0</v>
      </c>
      <c r="F67" s="269">
        <f t="shared" si="37"/>
        <v>0</v>
      </c>
      <c r="G67" s="269">
        <f t="shared" si="37"/>
        <v>0</v>
      </c>
      <c r="H67" s="269">
        <f t="shared" si="37"/>
        <v>0</v>
      </c>
      <c r="I67" s="269">
        <f t="shared" si="37"/>
        <v>0</v>
      </c>
      <c r="J67" s="269">
        <f t="shared" si="37"/>
        <v>0</v>
      </c>
      <c r="K67" s="269">
        <f t="shared" si="37"/>
        <v>0</v>
      </c>
      <c r="L67" s="269">
        <f t="shared" si="37"/>
        <v>0</v>
      </c>
      <c r="M67" s="769">
        <f t="shared" si="37"/>
        <v>0</v>
      </c>
      <c r="N67" s="269">
        <f t="shared" si="37"/>
        <v>0</v>
      </c>
      <c r="O67" s="269">
        <f t="shared" si="37"/>
        <v>0</v>
      </c>
      <c r="P67" s="269">
        <f t="shared" si="37"/>
        <v>0</v>
      </c>
      <c r="Q67" s="269">
        <f t="shared" si="37"/>
        <v>0</v>
      </c>
      <c r="R67" s="269">
        <f t="shared" si="37"/>
        <v>0</v>
      </c>
      <c r="S67" s="269">
        <f t="shared" si="37"/>
        <v>0</v>
      </c>
      <c r="T67" s="269">
        <f t="shared" si="37"/>
        <v>0</v>
      </c>
      <c r="U67" s="269">
        <f t="shared" si="37"/>
        <v>0</v>
      </c>
      <c r="V67" s="269">
        <f t="shared" si="37"/>
        <v>0</v>
      </c>
      <c r="W67" s="270">
        <f t="shared" si="37"/>
        <v>0</v>
      </c>
      <c r="X67" s="204">
        <f t="shared" si="13"/>
        <v>0</v>
      </c>
    </row>
    <row r="68" spans="3:24" hidden="1" outlineLevel="1" x14ac:dyDescent="0.25">
      <c r="C68" s="267" t="str">
        <f t="shared" si="11"/>
        <v/>
      </c>
      <c r="D68" s="268">
        <f t="shared" ref="D68:W68" si="38">D32-D212-D248</f>
        <v>0</v>
      </c>
      <c r="E68" s="269">
        <f t="shared" si="38"/>
        <v>0</v>
      </c>
      <c r="F68" s="269">
        <f t="shared" si="38"/>
        <v>0</v>
      </c>
      <c r="G68" s="269">
        <f t="shared" si="38"/>
        <v>0</v>
      </c>
      <c r="H68" s="269">
        <f t="shared" si="38"/>
        <v>0</v>
      </c>
      <c r="I68" s="269">
        <f t="shared" si="38"/>
        <v>0</v>
      </c>
      <c r="J68" s="269">
        <f t="shared" si="38"/>
        <v>0</v>
      </c>
      <c r="K68" s="269">
        <f t="shared" si="38"/>
        <v>0</v>
      </c>
      <c r="L68" s="269">
        <f t="shared" si="38"/>
        <v>0</v>
      </c>
      <c r="M68" s="769">
        <f t="shared" si="38"/>
        <v>0</v>
      </c>
      <c r="N68" s="269">
        <f t="shared" si="38"/>
        <v>0</v>
      </c>
      <c r="O68" s="269">
        <f t="shared" si="38"/>
        <v>0</v>
      </c>
      <c r="P68" s="269">
        <f t="shared" si="38"/>
        <v>0</v>
      </c>
      <c r="Q68" s="269">
        <f t="shared" si="38"/>
        <v>0</v>
      </c>
      <c r="R68" s="269">
        <f t="shared" si="38"/>
        <v>0</v>
      </c>
      <c r="S68" s="269">
        <f t="shared" si="38"/>
        <v>0</v>
      </c>
      <c r="T68" s="269">
        <f t="shared" si="38"/>
        <v>0</v>
      </c>
      <c r="U68" s="269">
        <f t="shared" si="38"/>
        <v>0</v>
      </c>
      <c r="V68" s="269">
        <f t="shared" si="38"/>
        <v>0</v>
      </c>
      <c r="W68" s="270">
        <f t="shared" si="38"/>
        <v>0</v>
      </c>
      <c r="X68" s="204">
        <f t="shared" si="13"/>
        <v>0</v>
      </c>
    </row>
    <row r="69" spans="3:24" hidden="1" outlineLevel="1" x14ac:dyDescent="0.25">
      <c r="C69" s="267" t="str">
        <f t="shared" si="11"/>
        <v/>
      </c>
      <c r="D69" s="268">
        <f t="shared" ref="D69:W69" si="39">D33-D213-D249</f>
        <v>0</v>
      </c>
      <c r="E69" s="269">
        <f t="shared" si="39"/>
        <v>0</v>
      </c>
      <c r="F69" s="269">
        <f t="shared" si="39"/>
        <v>0</v>
      </c>
      <c r="G69" s="269">
        <f t="shared" si="39"/>
        <v>0</v>
      </c>
      <c r="H69" s="269">
        <f t="shared" si="39"/>
        <v>0</v>
      </c>
      <c r="I69" s="269">
        <f t="shared" si="39"/>
        <v>0</v>
      </c>
      <c r="J69" s="269">
        <f t="shared" si="39"/>
        <v>0</v>
      </c>
      <c r="K69" s="269">
        <f t="shared" si="39"/>
        <v>0</v>
      </c>
      <c r="L69" s="269">
        <f t="shared" si="39"/>
        <v>0</v>
      </c>
      <c r="M69" s="769">
        <f t="shared" si="39"/>
        <v>0</v>
      </c>
      <c r="N69" s="269">
        <f t="shared" si="39"/>
        <v>0</v>
      </c>
      <c r="O69" s="269">
        <f t="shared" si="39"/>
        <v>0</v>
      </c>
      <c r="P69" s="269">
        <f t="shared" si="39"/>
        <v>0</v>
      </c>
      <c r="Q69" s="269">
        <f t="shared" si="39"/>
        <v>0</v>
      </c>
      <c r="R69" s="269">
        <f t="shared" si="39"/>
        <v>0</v>
      </c>
      <c r="S69" s="269">
        <f t="shared" si="39"/>
        <v>0</v>
      </c>
      <c r="T69" s="269">
        <f t="shared" si="39"/>
        <v>0</v>
      </c>
      <c r="U69" s="269">
        <f t="shared" si="39"/>
        <v>0</v>
      </c>
      <c r="V69" s="269">
        <f t="shared" si="39"/>
        <v>0</v>
      </c>
      <c r="W69" s="270">
        <f t="shared" si="39"/>
        <v>0</v>
      </c>
      <c r="X69" s="204">
        <f t="shared" si="13"/>
        <v>0</v>
      </c>
    </row>
    <row r="70" spans="3:24" hidden="1" outlineLevel="1" x14ac:dyDescent="0.25">
      <c r="C70" s="267" t="str">
        <f t="shared" si="11"/>
        <v/>
      </c>
      <c r="D70" s="268">
        <f t="shared" ref="D70:W70" si="40">D34-D214-D250</f>
        <v>0</v>
      </c>
      <c r="E70" s="269">
        <f t="shared" si="40"/>
        <v>0</v>
      </c>
      <c r="F70" s="269">
        <f t="shared" si="40"/>
        <v>0</v>
      </c>
      <c r="G70" s="269">
        <f t="shared" si="40"/>
        <v>0</v>
      </c>
      <c r="H70" s="269">
        <f t="shared" si="40"/>
        <v>0</v>
      </c>
      <c r="I70" s="269">
        <f t="shared" si="40"/>
        <v>0</v>
      </c>
      <c r="J70" s="269">
        <f t="shared" si="40"/>
        <v>0</v>
      </c>
      <c r="K70" s="269">
        <f t="shared" si="40"/>
        <v>0</v>
      </c>
      <c r="L70" s="269">
        <f t="shared" si="40"/>
        <v>0</v>
      </c>
      <c r="M70" s="769">
        <f t="shared" si="40"/>
        <v>0</v>
      </c>
      <c r="N70" s="269">
        <f t="shared" si="40"/>
        <v>0</v>
      </c>
      <c r="O70" s="269">
        <f t="shared" si="40"/>
        <v>0</v>
      </c>
      <c r="P70" s="269">
        <f t="shared" si="40"/>
        <v>0</v>
      </c>
      <c r="Q70" s="269">
        <f t="shared" si="40"/>
        <v>0</v>
      </c>
      <c r="R70" s="269">
        <f t="shared" si="40"/>
        <v>0</v>
      </c>
      <c r="S70" s="269">
        <f t="shared" si="40"/>
        <v>0</v>
      </c>
      <c r="T70" s="269">
        <f t="shared" si="40"/>
        <v>0</v>
      </c>
      <c r="U70" s="269">
        <f t="shared" si="40"/>
        <v>0</v>
      </c>
      <c r="V70" s="269">
        <f t="shared" si="40"/>
        <v>0</v>
      </c>
      <c r="W70" s="270">
        <f t="shared" si="40"/>
        <v>0</v>
      </c>
      <c r="X70" s="204">
        <f t="shared" si="13"/>
        <v>0</v>
      </c>
    </row>
    <row r="71" spans="3:24" hidden="1" outlineLevel="1" x14ac:dyDescent="0.25">
      <c r="C71" s="271" t="str">
        <f t="shared" si="11"/>
        <v>Padrões</v>
      </c>
      <c r="D71" s="272">
        <f t="shared" ref="D71:W71" si="41">D35-D215-D251</f>
        <v>0</v>
      </c>
      <c r="E71" s="273">
        <f t="shared" si="41"/>
        <v>0</v>
      </c>
      <c r="F71" s="273">
        <f t="shared" si="41"/>
        <v>0</v>
      </c>
      <c r="G71" s="273">
        <f t="shared" si="41"/>
        <v>0</v>
      </c>
      <c r="H71" s="273">
        <f t="shared" si="41"/>
        <v>0</v>
      </c>
      <c r="I71" s="273">
        <f t="shared" si="41"/>
        <v>0</v>
      </c>
      <c r="J71" s="273">
        <f t="shared" si="41"/>
        <v>0</v>
      </c>
      <c r="K71" s="273">
        <f t="shared" si="41"/>
        <v>0</v>
      </c>
      <c r="L71" s="273">
        <f t="shared" si="41"/>
        <v>0</v>
      </c>
      <c r="M71" s="770">
        <f t="shared" si="41"/>
        <v>0</v>
      </c>
      <c r="N71" s="273">
        <f t="shared" si="41"/>
        <v>0</v>
      </c>
      <c r="O71" s="273">
        <f t="shared" si="41"/>
        <v>0</v>
      </c>
      <c r="P71" s="273">
        <f t="shared" si="41"/>
        <v>0</v>
      </c>
      <c r="Q71" s="273">
        <f t="shared" si="41"/>
        <v>0</v>
      </c>
      <c r="R71" s="273">
        <f t="shared" si="41"/>
        <v>0</v>
      </c>
      <c r="S71" s="273">
        <f t="shared" si="41"/>
        <v>0</v>
      </c>
      <c r="T71" s="273">
        <f t="shared" si="41"/>
        <v>0</v>
      </c>
      <c r="U71" s="273">
        <f t="shared" si="41"/>
        <v>0</v>
      </c>
      <c r="V71" s="273">
        <f t="shared" si="41"/>
        <v>0</v>
      </c>
      <c r="W71" s="274">
        <f t="shared" si="41"/>
        <v>0</v>
      </c>
      <c r="X71" s="204">
        <f t="shared" si="13"/>
        <v>0</v>
      </c>
    </row>
    <row r="72" spans="3:24" hidden="1" outlineLevel="1" x14ac:dyDescent="0.25">
      <c r="C72" s="187"/>
      <c r="D72" s="281">
        <f>SUM(D42:D71)</f>
        <v>833507.77753778861</v>
      </c>
      <c r="E72" s="281">
        <f t="shared" ref="E72:W72" si="42">SUM(E42:E71)</f>
        <v>117759.17414216271</v>
      </c>
      <c r="F72" s="281">
        <f t="shared" si="42"/>
        <v>101521.75831498603</v>
      </c>
      <c r="G72" s="281">
        <f t="shared" si="42"/>
        <v>0</v>
      </c>
      <c r="H72" s="281">
        <f t="shared" si="42"/>
        <v>0</v>
      </c>
      <c r="I72" s="281">
        <f t="shared" si="42"/>
        <v>0</v>
      </c>
      <c r="J72" s="281">
        <f t="shared" si="42"/>
        <v>0</v>
      </c>
      <c r="K72" s="281">
        <f t="shared" si="42"/>
        <v>0</v>
      </c>
      <c r="L72" s="281">
        <f t="shared" si="42"/>
        <v>0</v>
      </c>
      <c r="M72" s="771">
        <f t="shared" si="42"/>
        <v>0</v>
      </c>
      <c r="N72" s="281">
        <f t="shared" si="42"/>
        <v>0</v>
      </c>
      <c r="O72" s="281">
        <f t="shared" si="42"/>
        <v>0</v>
      </c>
      <c r="P72" s="281">
        <f t="shared" si="42"/>
        <v>0</v>
      </c>
      <c r="Q72" s="281">
        <f t="shared" si="42"/>
        <v>0</v>
      </c>
      <c r="R72" s="281">
        <f t="shared" si="42"/>
        <v>0</v>
      </c>
      <c r="S72" s="281">
        <f t="shared" si="42"/>
        <v>0</v>
      </c>
      <c r="T72" s="281">
        <f t="shared" si="42"/>
        <v>0</v>
      </c>
      <c r="U72" s="281">
        <f t="shared" si="42"/>
        <v>0</v>
      </c>
      <c r="V72" s="281">
        <f t="shared" si="42"/>
        <v>0</v>
      </c>
      <c r="W72" s="281">
        <f t="shared" si="42"/>
        <v>0</v>
      </c>
      <c r="X72" s="280">
        <f>SUM(X42:X71)</f>
        <v>1052788.7099949373</v>
      </c>
    </row>
    <row r="73" spans="3:24" collapsed="1" x14ac:dyDescent="0.25">
      <c r="D73" s="503"/>
      <c r="E73" s="503"/>
      <c r="F73" s="503"/>
      <c r="G73" s="503"/>
      <c r="H73" s="503"/>
      <c r="I73" s="503"/>
      <c r="J73" s="503"/>
      <c r="K73" s="503"/>
      <c r="L73" s="503"/>
    </row>
    <row r="74" spans="3:24" x14ac:dyDescent="0.25">
      <c r="U74" s="282" t="s">
        <v>339</v>
      </c>
      <c r="V74" s="282" t="s">
        <v>340</v>
      </c>
    </row>
    <row r="75" spans="3:24" x14ac:dyDescent="0.25">
      <c r="D75" s="114" t="s">
        <v>341</v>
      </c>
      <c r="U75" s="283">
        <f>SUM(D78:W107)</f>
        <v>960200.52820053604</v>
      </c>
      <c r="V75" s="283">
        <f>IF($E$3=$A$3,Dados!M96,Dados!M96+Escopo!$DI$273)</f>
        <v>960200.52820053604</v>
      </c>
      <c r="W75" s="522" t="b">
        <f>IF(ABS(U75-V75)&lt;0.01,TRUE,FALSE)</f>
        <v>1</v>
      </c>
    </row>
    <row r="76" spans="3:24" hidden="1" outlineLevel="1" x14ac:dyDescent="0.25"/>
    <row r="77" spans="3:24" hidden="1" outlineLevel="1" x14ac:dyDescent="0.25">
      <c r="D77" s="260" t="str">
        <f t="shared" ref="D77:W77" si="43">IF(D5&lt;&gt;"",D5,"")</f>
        <v>SAGE</v>
      </c>
      <c r="E77" s="261" t="str">
        <f t="shared" si="43"/>
        <v>TELECOM</v>
      </c>
      <c r="F77" s="261" t="str">
        <f t="shared" si="43"/>
        <v>GERAL</v>
      </c>
      <c r="G77" s="261" t="str">
        <f t="shared" si="43"/>
        <v/>
      </c>
      <c r="H77" s="261" t="str">
        <f t="shared" si="43"/>
        <v/>
      </c>
      <c r="I77" s="261" t="str">
        <f t="shared" si="43"/>
        <v/>
      </c>
      <c r="J77" s="261" t="str">
        <f t="shared" si="43"/>
        <v/>
      </c>
      <c r="K77" s="261" t="str">
        <f t="shared" si="43"/>
        <v/>
      </c>
      <c r="L77" s="261" t="str">
        <f t="shared" si="43"/>
        <v/>
      </c>
      <c r="M77" s="261" t="str">
        <f t="shared" si="43"/>
        <v/>
      </c>
      <c r="N77" s="261" t="str">
        <f t="shared" si="43"/>
        <v/>
      </c>
      <c r="O77" s="261" t="str">
        <f t="shared" si="43"/>
        <v/>
      </c>
      <c r="P77" s="261" t="str">
        <f t="shared" si="43"/>
        <v/>
      </c>
      <c r="Q77" s="261" t="str">
        <f t="shared" si="43"/>
        <v/>
      </c>
      <c r="R77" s="261" t="str">
        <f t="shared" si="43"/>
        <v/>
      </c>
      <c r="S77" s="261" t="str">
        <f t="shared" si="43"/>
        <v/>
      </c>
      <c r="T77" s="261" t="str">
        <f t="shared" si="43"/>
        <v/>
      </c>
      <c r="U77" s="261" t="str">
        <f t="shared" si="43"/>
        <v/>
      </c>
      <c r="V77" s="261" t="str">
        <f t="shared" si="43"/>
        <v/>
      </c>
      <c r="W77" s="262" t="str">
        <f t="shared" si="43"/>
        <v/>
      </c>
    </row>
    <row r="78" spans="3:24" hidden="1" outlineLevel="1" x14ac:dyDescent="0.25">
      <c r="C78" s="263" t="str">
        <f t="shared" ref="C78:C107" si="44">IF(C6&lt;&gt;"",C6,"")</f>
        <v>MAT</v>
      </c>
      <c r="D78" s="264">
        <f t="shared" ref="D78:M87" si="45">IF(AND($C78&lt;&gt;"",D$5&lt;&gt;""),SUMIFS(col_liquidototal,col_abertura1,$C78,col_abertura2,D$5)+IF($E$3=$A$4,SUMIFS(col_fatdir_pi_mn,col_abertura1,$C78,col_abertura2,D$5),0),0)</f>
        <v>356263.32443803921</v>
      </c>
      <c r="E78" s="265">
        <f t="shared" si="45"/>
        <v>103628.07324510318</v>
      </c>
      <c r="F78" s="265">
        <f t="shared" si="45"/>
        <v>7743.4882109937644</v>
      </c>
      <c r="G78" s="265">
        <f t="shared" si="45"/>
        <v>0</v>
      </c>
      <c r="H78" s="265">
        <f t="shared" si="45"/>
        <v>0</v>
      </c>
      <c r="I78" s="265">
        <f t="shared" si="45"/>
        <v>0</v>
      </c>
      <c r="J78" s="265">
        <f t="shared" si="45"/>
        <v>0</v>
      </c>
      <c r="K78" s="265">
        <f t="shared" si="45"/>
        <v>0</v>
      </c>
      <c r="L78" s="265">
        <f t="shared" si="45"/>
        <v>0</v>
      </c>
      <c r="M78" s="768">
        <f t="shared" si="45"/>
        <v>0</v>
      </c>
      <c r="N78" s="265">
        <f t="shared" ref="N78:W87" si="46">IF(AND($C78&lt;&gt;"",N$5&lt;&gt;""),SUMIFS(col_liquidototal,col_abertura1,$C78,col_abertura2,N$5)+IF($E$3=$A$4,SUMIFS(col_fatdir_pi_mn,col_abertura1,$C78,col_abertura2,N$5),0),0)</f>
        <v>0</v>
      </c>
      <c r="O78" s="265">
        <f t="shared" si="46"/>
        <v>0</v>
      </c>
      <c r="P78" s="265">
        <f t="shared" si="46"/>
        <v>0</v>
      </c>
      <c r="Q78" s="265">
        <f t="shared" si="46"/>
        <v>0</v>
      </c>
      <c r="R78" s="265">
        <f t="shared" si="46"/>
        <v>0</v>
      </c>
      <c r="S78" s="265">
        <f t="shared" si="46"/>
        <v>0</v>
      </c>
      <c r="T78" s="265">
        <f t="shared" si="46"/>
        <v>0</v>
      </c>
      <c r="U78" s="265">
        <f t="shared" si="46"/>
        <v>0</v>
      </c>
      <c r="V78" s="265">
        <f t="shared" si="46"/>
        <v>0</v>
      </c>
      <c r="W78" s="266">
        <f t="shared" si="46"/>
        <v>0</v>
      </c>
      <c r="X78" s="204">
        <f>SUM(D78:W78)</f>
        <v>467634.88589413615</v>
      </c>
    </row>
    <row r="79" spans="3:24" hidden="1" outlineLevel="1" x14ac:dyDescent="0.25">
      <c r="C79" s="267" t="str">
        <f t="shared" si="44"/>
        <v>SRV</v>
      </c>
      <c r="D79" s="268">
        <f t="shared" si="45"/>
        <v>404269.22636786592</v>
      </c>
      <c r="E79" s="269">
        <f t="shared" si="45"/>
        <v>0</v>
      </c>
      <c r="F79" s="269">
        <f t="shared" si="45"/>
        <v>59117.898941764681</v>
      </c>
      <c r="G79" s="269">
        <f t="shared" si="45"/>
        <v>0</v>
      </c>
      <c r="H79" s="269">
        <f t="shared" si="45"/>
        <v>0</v>
      </c>
      <c r="I79" s="269">
        <f t="shared" si="45"/>
        <v>0</v>
      </c>
      <c r="J79" s="269">
        <f t="shared" si="45"/>
        <v>0</v>
      </c>
      <c r="K79" s="269">
        <f t="shared" si="45"/>
        <v>0</v>
      </c>
      <c r="L79" s="269">
        <f t="shared" si="45"/>
        <v>0</v>
      </c>
      <c r="M79" s="769">
        <f t="shared" si="45"/>
        <v>0</v>
      </c>
      <c r="N79" s="269">
        <f t="shared" si="46"/>
        <v>0</v>
      </c>
      <c r="O79" s="269">
        <f t="shared" si="46"/>
        <v>0</v>
      </c>
      <c r="P79" s="269">
        <f t="shared" si="46"/>
        <v>0</v>
      </c>
      <c r="Q79" s="269">
        <f t="shared" si="46"/>
        <v>0</v>
      </c>
      <c r="R79" s="269">
        <f t="shared" si="46"/>
        <v>0</v>
      </c>
      <c r="S79" s="269">
        <f t="shared" si="46"/>
        <v>0</v>
      </c>
      <c r="T79" s="269">
        <f t="shared" si="46"/>
        <v>0</v>
      </c>
      <c r="U79" s="269">
        <f t="shared" si="46"/>
        <v>0</v>
      </c>
      <c r="V79" s="269">
        <f t="shared" si="46"/>
        <v>0</v>
      </c>
      <c r="W79" s="270">
        <f t="shared" si="46"/>
        <v>0</v>
      </c>
      <c r="X79" s="204">
        <f t="shared" ref="X79:X107" si="47">SUM(D79:W79)</f>
        <v>463387.12530963059</v>
      </c>
    </row>
    <row r="80" spans="3:24" hidden="1" outlineLevel="1" x14ac:dyDescent="0.25">
      <c r="C80" s="267" t="str">
        <f t="shared" si="44"/>
        <v>MOBI</v>
      </c>
      <c r="D80" s="268">
        <f t="shared" si="45"/>
        <v>0</v>
      </c>
      <c r="E80" s="269">
        <f t="shared" si="45"/>
        <v>0</v>
      </c>
      <c r="F80" s="269">
        <f t="shared" si="45"/>
        <v>17016.990716088054</v>
      </c>
      <c r="G80" s="269">
        <f t="shared" si="45"/>
        <v>0</v>
      </c>
      <c r="H80" s="269">
        <f t="shared" si="45"/>
        <v>0</v>
      </c>
      <c r="I80" s="269">
        <f t="shared" si="45"/>
        <v>0</v>
      </c>
      <c r="J80" s="269">
        <f t="shared" si="45"/>
        <v>0</v>
      </c>
      <c r="K80" s="269">
        <f t="shared" si="45"/>
        <v>0</v>
      </c>
      <c r="L80" s="269">
        <f t="shared" si="45"/>
        <v>0</v>
      </c>
      <c r="M80" s="769">
        <f t="shared" si="45"/>
        <v>0</v>
      </c>
      <c r="N80" s="269">
        <f t="shared" si="46"/>
        <v>0</v>
      </c>
      <c r="O80" s="269">
        <f t="shared" si="46"/>
        <v>0</v>
      </c>
      <c r="P80" s="269">
        <f t="shared" si="46"/>
        <v>0</v>
      </c>
      <c r="Q80" s="269">
        <f t="shared" si="46"/>
        <v>0</v>
      </c>
      <c r="R80" s="269">
        <f t="shared" si="46"/>
        <v>0</v>
      </c>
      <c r="S80" s="269">
        <f t="shared" si="46"/>
        <v>0</v>
      </c>
      <c r="T80" s="269">
        <f t="shared" si="46"/>
        <v>0</v>
      </c>
      <c r="U80" s="269">
        <f t="shared" si="46"/>
        <v>0</v>
      </c>
      <c r="V80" s="269">
        <f t="shared" si="46"/>
        <v>0</v>
      </c>
      <c r="W80" s="270">
        <f t="shared" si="46"/>
        <v>0</v>
      </c>
      <c r="X80" s="204">
        <f t="shared" si="47"/>
        <v>17016.990716088054</v>
      </c>
    </row>
    <row r="81" spans="3:24" hidden="1" outlineLevel="1" x14ac:dyDescent="0.25">
      <c r="C81" s="267" t="str">
        <f t="shared" si="44"/>
        <v>TREIN</v>
      </c>
      <c r="D81" s="268">
        <f t="shared" si="45"/>
        <v>0</v>
      </c>
      <c r="E81" s="269">
        <f t="shared" si="45"/>
        <v>0</v>
      </c>
      <c r="F81" s="269">
        <f t="shared" si="45"/>
        <v>12161.526280681121</v>
      </c>
      <c r="G81" s="269">
        <f t="shared" si="45"/>
        <v>0</v>
      </c>
      <c r="H81" s="269">
        <f t="shared" si="45"/>
        <v>0</v>
      </c>
      <c r="I81" s="269">
        <f t="shared" si="45"/>
        <v>0</v>
      </c>
      <c r="J81" s="269">
        <f t="shared" si="45"/>
        <v>0</v>
      </c>
      <c r="K81" s="269">
        <f t="shared" si="45"/>
        <v>0</v>
      </c>
      <c r="L81" s="269">
        <f t="shared" si="45"/>
        <v>0</v>
      </c>
      <c r="M81" s="769">
        <f t="shared" si="45"/>
        <v>0</v>
      </c>
      <c r="N81" s="269">
        <f t="shared" si="46"/>
        <v>0</v>
      </c>
      <c r="O81" s="269">
        <f t="shared" si="46"/>
        <v>0</v>
      </c>
      <c r="P81" s="269">
        <f t="shared" si="46"/>
        <v>0</v>
      </c>
      <c r="Q81" s="269">
        <f t="shared" si="46"/>
        <v>0</v>
      </c>
      <c r="R81" s="269">
        <f t="shared" si="46"/>
        <v>0</v>
      </c>
      <c r="S81" s="269">
        <f t="shared" si="46"/>
        <v>0</v>
      </c>
      <c r="T81" s="269">
        <f t="shared" si="46"/>
        <v>0</v>
      </c>
      <c r="U81" s="269">
        <f t="shared" si="46"/>
        <v>0</v>
      </c>
      <c r="V81" s="269">
        <f t="shared" si="46"/>
        <v>0</v>
      </c>
      <c r="W81" s="270">
        <f t="shared" si="46"/>
        <v>0</v>
      </c>
      <c r="X81" s="204">
        <f t="shared" si="47"/>
        <v>12161.526280681121</v>
      </c>
    </row>
    <row r="82" spans="3:24" hidden="1" outlineLevel="1" x14ac:dyDescent="0.25">
      <c r="C82" s="267" t="str">
        <f t="shared" si="44"/>
        <v/>
      </c>
      <c r="D82" s="268">
        <f t="shared" si="45"/>
        <v>0</v>
      </c>
      <c r="E82" s="269">
        <f t="shared" si="45"/>
        <v>0</v>
      </c>
      <c r="F82" s="269">
        <f t="shared" si="45"/>
        <v>0</v>
      </c>
      <c r="G82" s="269">
        <f t="shared" si="45"/>
        <v>0</v>
      </c>
      <c r="H82" s="269">
        <f t="shared" si="45"/>
        <v>0</v>
      </c>
      <c r="I82" s="269">
        <f t="shared" si="45"/>
        <v>0</v>
      </c>
      <c r="J82" s="269">
        <f t="shared" si="45"/>
        <v>0</v>
      </c>
      <c r="K82" s="269">
        <f t="shared" si="45"/>
        <v>0</v>
      </c>
      <c r="L82" s="269">
        <f t="shared" si="45"/>
        <v>0</v>
      </c>
      <c r="M82" s="769">
        <f t="shared" si="45"/>
        <v>0</v>
      </c>
      <c r="N82" s="269">
        <f t="shared" si="46"/>
        <v>0</v>
      </c>
      <c r="O82" s="269">
        <f t="shared" si="46"/>
        <v>0</v>
      </c>
      <c r="P82" s="269">
        <f t="shared" si="46"/>
        <v>0</v>
      </c>
      <c r="Q82" s="269">
        <f t="shared" si="46"/>
        <v>0</v>
      </c>
      <c r="R82" s="269">
        <f t="shared" si="46"/>
        <v>0</v>
      </c>
      <c r="S82" s="269">
        <f t="shared" si="46"/>
        <v>0</v>
      </c>
      <c r="T82" s="269">
        <f t="shared" si="46"/>
        <v>0</v>
      </c>
      <c r="U82" s="269">
        <f t="shared" si="46"/>
        <v>0</v>
      </c>
      <c r="V82" s="269">
        <f t="shared" si="46"/>
        <v>0</v>
      </c>
      <c r="W82" s="270">
        <f t="shared" si="46"/>
        <v>0</v>
      </c>
      <c r="X82" s="204">
        <f t="shared" si="47"/>
        <v>0</v>
      </c>
    </row>
    <row r="83" spans="3:24" hidden="1" outlineLevel="1" x14ac:dyDescent="0.25">
      <c r="C83" s="267" t="str">
        <f t="shared" si="44"/>
        <v/>
      </c>
      <c r="D83" s="268">
        <f t="shared" si="45"/>
        <v>0</v>
      </c>
      <c r="E83" s="269">
        <f t="shared" si="45"/>
        <v>0</v>
      </c>
      <c r="F83" s="269">
        <f t="shared" si="45"/>
        <v>0</v>
      </c>
      <c r="G83" s="269">
        <f t="shared" si="45"/>
        <v>0</v>
      </c>
      <c r="H83" s="269">
        <f t="shared" si="45"/>
        <v>0</v>
      </c>
      <c r="I83" s="269">
        <f t="shared" si="45"/>
        <v>0</v>
      </c>
      <c r="J83" s="269">
        <f t="shared" si="45"/>
        <v>0</v>
      </c>
      <c r="K83" s="269">
        <f t="shared" si="45"/>
        <v>0</v>
      </c>
      <c r="L83" s="269">
        <f t="shared" si="45"/>
        <v>0</v>
      </c>
      <c r="M83" s="769">
        <f t="shared" si="45"/>
        <v>0</v>
      </c>
      <c r="N83" s="269">
        <f t="shared" si="46"/>
        <v>0</v>
      </c>
      <c r="O83" s="269">
        <f t="shared" si="46"/>
        <v>0</v>
      </c>
      <c r="P83" s="269">
        <f t="shared" si="46"/>
        <v>0</v>
      </c>
      <c r="Q83" s="269">
        <f t="shared" si="46"/>
        <v>0</v>
      </c>
      <c r="R83" s="269">
        <f t="shared" si="46"/>
        <v>0</v>
      </c>
      <c r="S83" s="269">
        <f t="shared" si="46"/>
        <v>0</v>
      </c>
      <c r="T83" s="269">
        <f t="shared" si="46"/>
        <v>0</v>
      </c>
      <c r="U83" s="269">
        <f t="shared" si="46"/>
        <v>0</v>
      </c>
      <c r="V83" s="269">
        <f t="shared" si="46"/>
        <v>0</v>
      </c>
      <c r="W83" s="270">
        <f t="shared" si="46"/>
        <v>0</v>
      </c>
      <c r="X83" s="204">
        <f t="shared" si="47"/>
        <v>0</v>
      </c>
    </row>
    <row r="84" spans="3:24" hidden="1" outlineLevel="1" x14ac:dyDescent="0.25">
      <c r="C84" s="267" t="str">
        <f t="shared" si="44"/>
        <v/>
      </c>
      <c r="D84" s="268">
        <f t="shared" si="45"/>
        <v>0</v>
      </c>
      <c r="E84" s="269">
        <f t="shared" si="45"/>
        <v>0</v>
      </c>
      <c r="F84" s="269">
        <f t="shared" si="45"/>
        <v>0</v>
      </c>
      <c r="G84" s="269">
        <f t="shared" si="45"/>
        <v>0</v>
      </c>
      <c r="H84" s="269">
        <f t="shared" si="45"/>
        <v>0</v>
      </c>
      <c r="I84" s="269">
        <f t="shared" si="45"/>
        <v>0</v>
      </c>
      <c r="J84" s="269">
        <f t="shared" si="45"/>
        <v>0</v>
      </c>
      <c r="K84" s="269">
        <f t="shared" si="45"/>
        <v>0</v>
      </c>
      <c r="L84" s="269">
        <f t="shared" si="45"/>
        <v>0</v>
      </c>
      <c r="M84" s="769">
        <f t="shared" si="45"/>
        <v>0</v>
      </c>
      <c r="N84" s="269">
        <f t="shared" si="46"/>
        <v>0</v>
      </c>
      <c r="O84" s="269">
        <f t="shared" si="46"/>
        <v>0</v>
      </c>
      <c r="P84" s="269">
        <f t="shared" si="46"/>
        <v>0</v>
      </c>
      <c r="Q84" s="269">
        <f t="shared" si="46"/>
        <v>0</v>
      </c>
      <c r="R84" s="269">
        <f t="shared" si="46"/>
        <v>0</v>
      </c>
      <c r="S84" s="269">
        <f t="shared" si="46"/>
        <v>0</v>
      </c>
      <c r="T84" s="269">
        <f t="shared" si="46"/>
        <v>0</v>
      </c>
      <c r="U84" s="269">
        <f t="shared" si="46"/>
        <v>0</v>
      </c>
      <c r="V84" s="269">
        <f t="shared" si="46"/>
        <v>0</v>
      </c>
      <c r="W84" s="270">
        <f t="shared" si="46"/>
        <v>0</v>
      </c>
      <c r="X84" s="204">
        <f t="shared" si="47"/>
        <v>0</v>
      </c>
    </row>
    <row r="85" spans="3:24" hidden="1" outlineLevel="1" x14ac:dyDescent="0.25">
      <c r="C85" s="267" t="str">
        <f t="shared" si="44"/>
        <v/>
      </c>
      <c r="D85" s="268">
        <f t="shared" si="45"/>
        <v>0</v>
      </c>
      <c r="E85" s="269">
        <f t="shared" si="45"/>
        <v>0</v>
      </c>
      <c r="F85" s="269">
        <f t="shared" si="45"/>
        <v>0</v>
      </c>
      <c r="G85" s="269">
        <f t="shared" si="45"/>
        <v>0</v>
      </c>
      <c r="H85" s="269">
        <f t="shared" si="45"/>
        <v>0</v>
      </c>
      <c r="I85" s="269">
        <f t="shared" si="45"/>
        <v>0</v>
      </c>
      <c r="J85" s="269">
        <f t="shared" si="45"/>
        <v>0</v>
      </c>
      <c r="K85" s="269">
        <f t="shared" si="45"/>
        <v>0</v>
      </c>
      <c r="L85" s="269">
        <f t="shared" si="45"/>
        <v>0</v>
      </c>
      <c r="M85" s="769">
        <f t="shared" si="45"/>
        <v>0</v>
      </c>
      <c r="N85" s="269">
        <f t="shared" si="46"/>
        <v>0</v>
      </c>
      <c r="O85" s="269">
        <f t="shared" si="46"/>
        <v>0</v>
      </c>
      <c r="P85" s="269">
        <f t="shared" si="46"/>
        <v>0</v>
      </c>
      <c r="Q85" s="269">
        <f t="shared" si="46"/>
        <v>0</v>
      </c>
      <c r="R85" s="269">
        <f t="shared" si="46"/>
        <v>0</v>
      </c>
      <c r="S85" s="269">
        <f t="shared" si="46"/>
        <v>0</v>
      </c>
      <c r="T85" s="269">
        <f t="shared" si="46"/>
        <v>0</v>
      </c>
      <c r="U85" s="269">
        <f t="shared" si="46"/>
        <v>0</v>
      </c>
      <c r="V85" s="269">
        <f t="shared" si="46"/>
        <v>0</v>
      </c>
      <c r="W85" s="270">
        <f t="shared" si="46"/>
        <v>0</v>
      </c>
      <c r="X85" s="204">
        <f t="shared" si="47"/>
        <v>0</v>
      </c>
    </row>
    <row r="86" spans="3:24" hidden="1" outlineLevel="1" x14ac:dyDescent="0.25">
      <c r="C86" s="267" t="str">
        <f t="shared" si="44"/>
        <v/>
      </c>
      <c r="D86" s="268">
        <f t="shared" si="45"/>
        <v>0</v>
      </c>
      <c r="E86" s="269">
        <f t="shared" si="45"/>
        <v>0</v>
      </c>
      <c r="F86" s="269">
        <f t="shared" si="45"/>
        <v>0</v>
      </c>
      <c r="G86" s="269">
        <f t="shared" si="45"/>
        <v>0</v>
      </c>
      <c r="H86" s="269">
        <f t="shared" si="45"/>
        <v>0</v>
      </c>
      <c r="I86" s="269">
        <f t="shared" si="45"/>
        <v>0</v>
      </c>
      <c r="J86" s="269">
        <f t="shared" si="45"/>
        <v>0</v>
      </c>
      <c r="K86" s="269">
        <f t="shared" si="45"/>
        <v>0</v>
      </c>
      <c r="L86" s="269">
        <f t="shared" si="45"/>
        <v>0</v>
      </c>
      <c r="M86" s="769">
        <f t="shared" si="45"/>
        <v>0</v>
      </c>
      <c r="N86" s="269">
        <f t="shared" si="46"/>
        <v>0</v>
      </c>
      <c r="O86" s="269">
        <f t="shared" si="46"/>
        <v>0</v>
      </c>
      <c r="P86" s="269">
        <f t="shared" si="46"/>
        <v>0</v>
      </c>
      <c r="Q86" s="269">
        <f t="shared" si="46"/>
        <v>0</v>
      </c>
      <c r="R86" s="269">
        <f t="shared" si="46"/>
        <v>0</v>
      </c>
      <c r="S86" s="269">
        <f t="shared" si="46"/>
        <v>0</v>
      </c>
      <c r="T86" s="269">
        <f t="shared" si="46"/>
        <v>0</v>
      </c>
      <c r="U86" s="269">
        <f t="shared" si="46"/>
        <v>0</v>
      </c>
      <c r="V86" s="269">
        <f t="shared" si="46"/>
        <v>0</v>
      </c>
      <c r="W86" s="270">
        <f t="shared" si="46"/>
        <v>0</v>
      </c>
      <c r="X86" s="204">
        <f t="shared" si="47"/>
        <v>0</v>
      </c>
    </row>
    <row r="87" spans="3:24" hidden="1" outlineLevel="1" x14ac:dyDescent="0.25">
      <c r="C87" s="267" t="str">
        <f t="shared" si="44"/>
        <v/>
      </c>
      <c r="D87" s="268">
        <f t="shared" si="45"/>
        <v>0</v>
      </c>
      <c r="E87" s="269">
        <f t="shared" si="45"/>
        <v>0</v>
      </c>
      <c r="F87" s="269">
        <f t="shared" si="45"/>
        <v>0</v>
      </c>
      <c r="G87" s="269">
        <f t="shared" si="45"/>
        <v>0</v>
      </c>
      <c r="H87" s="269">
        <f t="shared" si="45"/>
        <v>0</v>
      </c>
      <c r="I87" s="269">
        <f t="shared" si="45"/>
        <v>0</v>
      </c>
      <c r="J87" s="269">
        <f t="shared" si="45"/>
        <v>0</v>
      </c>
      <c r="K87" s="269">
        <f t="shared" si="45"/>
        <v>0</v>
      </c>
      <c r="L87" s="269">
        <f t="shared" si="45"/>
        <v>0</v>
      </c>
      <c r="M87" s="769">
        <f t="shared" si="45"/>
        <v>0</v>
      </c>
      <c r="N87" s="269">
        <f t="shared" si="46"/>
        <v>0</v>
      </c>
      <c r="O87" s="269">
        <f t="shared" si="46"/>
        <v>0</v>
      </c>
      <c r="P87" s="269">
        <f t="shared" si="46"/>
        <v>0</v>
      </c>
      <c r="Q87" s="269">
        <f t="shared" si="46"/>
        <v>0</v>
      </c>
      <c r="R87" s="269">
        <f t="shared" si="46"/>
        <v>0</v>
      </c>
      <c r="S87" s="269">
        <f t="shared" si="46"/>
        <v>0</v>
      </c>
      <c r="T87" s="269">
        <f t="shared" si="46"/>
        <v>0</v>
      </c>
      <c r="U87" s="269">
        <f t="shared" si="46"/>
        <v>0</v>
      </c>
      <c r="V87" s="269">
        <f t="shared" si="46"/>
        <v>0</v>
      </c>
      <c r="W87" s="270">
        <f t="shared" si="46"/>
        <v>0</v>
      </c>
      <c r="X87" s="204">
        <f t="shared" si="47"/>
        <v>0</v>
      </c>
    </row>
    <row r="88" spans="3:24" hidden="1" outlineLevel="1" x14ac:dyDescent="0.25">
      <c r="C88" s="267" t="str">
        <f t="shared" si="44"/>
        <v/>
      </c>
      <c r="D88" s="268">
        <f t="shared" ref="D88:M97" si="48">IF(AND($C88&lt;&gt;"",D$5&lt;&gt;""),SUMIFS(col_liquidototal,col_abertura1,$C88,col_abertura2,D$5)+IF($E$3=$A$4,SUMIFS(col_fatdir_pi_mn,col_abertura1,$C88,col_abertura2,D$5),0),0)</f>
        <v>0</v>
      </c>
      <c r="E88" s="269">
        <f t="shared" si="48"/>
        <v>0</v>
      </c>
      <c r="F88" s="269">
        <f t="shared" si="48"/>
        <v>0</v>
      </c>
      <c r="G88" s="269">
        <f t="shared" si="48"/>
        <v>0</v>
      </c>
      <c r="H88" s="269">
        <f t="shared" si="48"/>
        <v>0</v>
      </c>
      <c r="I88" s="269">
        <f t="shared" si="48"/>
        <v>0</v>
      </c>
      <c r="J88" s="269">
        <f t="shared" si="48"/>
        <v>0</v>
      </c>
      <c r="K88" s="269">
        <f t="shared" si="48"/>
        <v>0</v>
      </c>
      <c r="L88" s="269">
        <f t="shared" si="48"/>
        <v>0</v>
      </c>
      <c r="M88" s="769">
        <f t="shared" si="48"/>
        <v>0</v>
      </c>
      <c r="N88" s="269">
        <f t="shared" ref="N88:W97" si="49">IF(AND($C88&lt;&gt;"",N$5&lt;&gt;""),SUMIFS(col_liquidototal,col_abertura1,$C88,col_abertura2,N$5)+IF($E$3=$A$4,SUMIFS(col_fatdir_pi_mn,col_abertura1,$C88,col_abertura2,N$5),0),0)</f>
        <v>0</v>
      </c>
      <c r="O88" s="269">
        <f t="shared" si="49"/>
        <v>0</v>
      </c>
      <c r="P88" s="269">
        <f t="shared" si="49"/>
        <v>0</v>
      </c>
      <c r="Q88" s="269">
        <f t="shared" si="49"/>
        <v>0</v>
      </c>
      <c r="R88" s="269">
        <f t="shared" si="49"/>
        <v>0</v>
      </c>
      <c r="S88" s="269">
        <f t="shared" si="49"/>
        <v>0</v>
      </c>
      <c r="T88" s="269">
        <f t="shared" si="49"/>
        <v>0</v>
      </c>
      <c r="U88" s="269">
        <f t="shared" si="49"/>
        <v>0</v>
      </c>
      <c r="V88" s="269">
        <f t="shared" si="49"/>
        <v>0</v>
      </c>
      <c r="W88" s="270">
        <f t="shared" si="49"/>
        <v>0</v>
      </c>
      <c r="X88" s="204">
        <f t="shared" si="47"/>
        <v>0</v>
      </c>
    </row>
    <row r="89" spans="3:24" hidden="1" outlineLevel="1" x14ac:dyDescent="0.25">
      <c r="C89" s="267" t="str">
        <f t="shared" si="44"/>
        <v/>
      </c>
      <c r="D89" s="268">
        <f t="shared" si="48"/>
        <v>0</v>
      </c>
      <c r="E89" s="269">
        <f t="shared" si="48"/>
        <v>0</v>
      </c>
      <c r="F89" s="269">
        <f t="shared" si="48"/>
        <v>0</v>
      </c>
      <c r="G89" s="269">
        <f t="shared" si="48"/>
        <v>0</v>
      </c>
      <c r="H89" s="269">
        <f t="shared" si="48"/>
        <v>0</v>
      </c>
      <c r="I89" s="269">
        <f t="shared" si="48"/>
        <v>0</v>
      </c>
      <c r="J89" s="269">
        <f t="shared" si="48"/>
        <v>0</v>
      </c>
      <c r="K89" s="269">
        <f t="shared" si="48"/>
        <v>0</v>
      </c>
      <c r="L89" s="269">
        <f t="shared" si="48"/>
        <v>0</v>
      </c>
      <c r="M89" s="769">
        <f t="shared" si="48"/>
        <v>0</v>
      </c>
      <c r="N89" s="269">
        <f t="shared" si="49"/>
        <v>0</v>
      </c>
      <c r="O89" s="269">
        <f t="shared" si="49"/>
        <v>0</v>
      </c>
      <c r="P89" s="269">
        <f t="shared" si="49"/>
        <v>0</v>
      </c>
      <c r="Q89" s="269">
        <f t="shared" si="49"/>
        <v>0</v>
      </c>
      <c r="R89" s="269">
        <f t="shared" si="49"/>
        <v>0</v>
      </c>
      <c r="S89" s="269">
        <f t="shared" si="49"/>
        <v>0</v>
      </c>
      <c r="T89" s="269">
        <f t="shared" si="49"/>
        <v>0</v>
      </c>
      <c r="U89" s="269">
        <f t="shared" si="49"/>
        <v>0</v>
      </c>
      <c r="V89" s="269">
        <f t="shared" si="49"/>
        <v>0</v>
      </c>
      <c r="W89" s="270">
        <f t="shared" si="49"/>
        <v>0</v>
      </c>
      <c r="X89" s="204">
        <f t="shared" si="47"/>
        <v>0</v>
      </c>
    </row>
    <row r="90" spans="3:24" hidden="1" outlineLevel="1" x14ac:dyDescent="0.25">
      <c r="C90" s="267" t="str">
        <f t="shared" si="44"/>
        <v/>
      </c>
      <c r="D90" s="268">
        <f t="shared" si="48"/>
        <v>0</v>
      </c>
      <c r="E90" s="269">
        <f t="shared" si="48"/>
        <v>0</v>
      </c>
      <c r="F90" s="269">
        <f t="shared" si="48"/>
        <v>0</v>
      </c>
      <c r="G90" s="269">
        <f t="shared" si="48"/>
        <v>0</v>
      </c>
      <c r="H90" s="269">
        <f t="shared" si="48"/>
        <v>0</v>
      </c>
      <c r="I90" s="269">
        <f t="shared" si="48"/>
        <v>0</v>
      </c>
      <c r="J90" s="269">
        <f t="shared" si="48"/>
        <v>0</v>
      </c>
      <c r="K90" s="269">
        <f t="shared" si="48"/>
        <v>0</v>
      </c>
      <c r="L90" s="269">
        <f t="shared" si="48"/>
        <v>0</v>
      </c>
      <c r="M90" s="769">
        <f t="shared" si="48"/>
        <v>0</v>
      </c>
      <c r="N90" s="269">
        <f t="shared" si="49"/>
        <v>0</v>
      </c>
      <c r="O90" s="269">
        <f t="shared" si="49"/>
        <v>0</v>
      </c>
      <c r="P90" s="269">
        <f t="shared" si="49"/>
        <v>0</v>
      </c>
      <c r="Q90" s="269">
        <f t="shared" si="49"/>
        <v>0</v>
      </c>
      <c r="R90" s="269">
        <f t="shared" si="49"/>
        <v>0</v>
      </c>
      <c r="S90" s="269">
        <f t="shared" si="49"/>
        <v>0</v>
      </c>
      <c r="T90" s="269">
        <f t="shared" si="49"/>
        <v>0</v>
      </c>
      <c r="U90" s="269">
        <f t="shared" si="49"/>
        <v>0</v>
      </c>
      <c r="V90" s="269">
        <f t="shared" si="49"/>
        <v>0</v>
      </c>
      <c r="W90" s="270">
        <f t="shared" si="49"/>
        <v>0</v>
      </c>
      <c r="X90" s="204">
        <f t="shared" si="47"/>
        <v>0</v>
      </c>
    </row>
    <row r="91" spans="3:24" hidden="1" outlineLevel="1" x14ac:dyDescent="0.25">
      <c r="C91" s="267" t="str">
        <f t="shared" si="44"/>
        <v/>
      </c>
      <c r="D91" s="268">
        <f t="shared" si="48"/>
        <v>0</v>
      </c>
      <c r="E91" s="269">
        <f t="shared" si="48"/>
        <v>0</v>
      </c>
      <c r="F91" s="269">
        <f t="shared" si="48"/>
        <v>0</v>
      </c>
      <c r="G91" s="269">
        <f t="shared" si="48"/>
        <v>0</v>
      </c>
      <c r="H91" s="269">
        <f t="shared" si="48"/>
        <v>0</v>
      </c>
      <c r="I91" s="269">
        <f t="shared" si="48"/>
        <v>0</v>
      </c>
      <c r="J91" s="269">
        <f t="shared" si="48"/>
        <v>0</v>
      </c>
      <c r="K91" s="269">
        <f t="shared" si="48"/>
        <v>0</v>
      </c>
      <c r="L91" s="269">
        <f t="shared" si="48"/>
        <v>0</v>
      </c>
      <c r="M91" s="769">
        <f t="shared" si="48"/>
        <v>0</v>
      </c>
      <c r="N91" s="269">
        <f t="shared" si="49"/>
        <v>0</v>
      </c>
      <c r="O91" s="269">
        <f t="shared" si="49"/>
        <v>0</v>
      </c>
      <c r="P91" s="269">
        <f t="shared" si="49"/>
        <v>0</v>
      </c>
      <c r="Q91" s="269">
        <f t="shared" si="49"/>
        <v>0</v>
      </c>
      <c r="R91" s="269">
        <f t="shared" si="49"/>
        <v>0</v>
      </c>
      <c r="S91" s="269">
        <f t="shared" si="49"/>
        <v>0</v>
      </c>
      <c r="T91" s="269">
        <f t="shared" si="49"/>
        <v>0</v>
      </c>
      <c r="U91" s="269">
        <f t="shared" si="49"/>
        <v>0</v>
      </c>
      <c r="V91" s="269">
        <f t="shared" si="49"/>
        <v>0</v>
      </c>
      <c r="W91" s="270">
        <f t="shared" si="49"/>
        <v>0</v>
      </c>
      <c r="X91" s="204">
        <f t="shared" si="47"/>
        <v>0</v>
      </c>
    </row>
    <row r="92" spans="3:24" hidden="1" outlineLevel="1" x14ac:dyDescent="0.25">
      <c r="C92" s="267" t="str">
        <f t="shared" si="44"/>
        <v/>
      </c>
      <c r="D92" s="268">
        <f t="shared" si="48"/>
        <v>0</v>
      </c>
      <c r="E92" s="269">
        <f t="shared" si="48"/>
        <v>0</v>
      </c>
      <c r="F92" s="269">
        <f t="shared" si="48"/>
        <v>0</v>
      </c>
      <c r="G92" s="269">
        <f t="shared" si="48"/>
        <v>0</v>
      </c>
      <c r="H92" s="269">
        <f t="shared" si="48"/>
        <v>0</v>
      </c>
      <c r="I92" s="269">
        <f t="shared" si="48"/>
        <v>0</v>
      </c>
      <c r="J92" s="269">
        <f t="shared" si="48"/>
        <v>0</v>
      </c>
      <c r="K92" s="269">
        <f t="shared" si="48"/>
        <v>0</v>
      </c>
      <c r="L92" s="269">
        <f t="shared" si="48"/>
        <v>0</v>
      </c>
      <c r="M92" s="769">
        <f t="shared" si="48"/>
        <v>0</v>
      </c>
      <c r="N92" s="269">
        <f t="shared" si="49"/>
        <v>0</v>
      </c>
      <c r="O92" s="269">
        <f t="shared" si="49"/>
        <v>0</v>
      </c>
      <c r="P92" s="269">
        <f t="shared" si="49"/>
        <v>0</v>
      </c>
      <c r="Q92" s="269">
        <f t="shared" si="49"/>
        <v>0</v>
      </c>
      <c r="R92" s="269">
        <f t="shared" si="49"/>
        <v>0</v>
      </c>
      <c r="S92" s="269">
        <f t="shared" si="49"/>
        <v>0</v>
      </c>
      <c r="T92" s="269">
        <f t="shared" si="49"/>
        <v>0</v>
      </c>
      <c r="U92" s="269">
        <f t="shared" si="49"/>
        <v>0</v>
      </c>
      <c r="V92" s="269">
        <f t="shared" si="49"/>
        <v>0</v>
      </c>
      <c r="W92" s="270">
        <f t="shared" si="49"/>
        <v>0</v>
      </c>
      <c r="X92" s="204">
        <f t="shared" si="47"/>
        <v>0</v>
      </c>
    </row>
    <row r="93" spans="3:24" hidden="1" outlineLevel="1" x14ac:dyDescent="0.25">
      <c r="C93" s="267" t="str">
        <f t="shared" si="44"/>
        <v/>
      </c>
      <c r="D93" s="268">
        <f t="shared" si="48"/>
        <v>0</v>
      </c>
      <c r="E93" s="269">
        <f t="shared" si="48"/>
        <v>0</v>
      </c>
      <c r="F93" s="269">
        <f t="shared" si="48"/>
        <v>0</v>
      </c>
      <c r="G93" s="269">
        <f t="shared" si="48"/>
        <v>0</v>
      </c>
      <c r="H93" s="269">
        <f t="shared" si="48"/>
        <v>0</v>
      </c>
      <c r="I93" s="269">
        <f t="shared" si="48"/>
        <v>0</v>
      </c>
      <c r="J93" s="269">
        <f t="shared" si="48"/>
        <v>0</v>
      </c>
      <c r="K93" s="269">
        <f t="shared" si="48"/>
        <v>0</v>
      </c>
      <c r="L93" s="269">
        <f t="shared" si="48"/>
        <v>0</v>
      </c>
      <c r="M93" s="769">
        <f t="shared" si="48"/>
        <v>0</v>
      </c>
      <c r="N93" s="269">
        <f t="shared" si="49"/>
        <v>0</v>
      </c>
      <c r="O93" s="269">
        <f t="shared" si="49"/>
        <v>0</v>
      </c>
      <c r="P93" s="269">
        <f t="shared" si="49"/>
        <v>0</v>
      </c>
      <c r="Q93" s="269">
        <f t="shared" si="49"/>
        <v>0</v>
      </c>
      <c r="R93" s="269">
        <f t="shared" si="49"/>
        <v>0</v>
      </c>
      <c r="S93" s="269">
        <f t="shared" si="49"/>
        <v>0</v>
      </c>
      <c r="T93" s="269">
        <f t="shared" si="49"/>
        <v>0</v>
      </c>
      <c r="U93" s="269">
        <f t="shared" si="49"/>
        <v>0</v>
      </c>
      <c r="V93" s="269">
        <f t="shared" si="49"/>
        <v>0</v>
      </c>
      <c r="W93" s="270">
        <f t="shared" si="49"/>
        <v>0</v>
      </c>
      <c r="X93" s="204">
        <f t="shared" si="47"/>
        <v>0</v>
      </c>
    </row>
    <row r="94" spans="3:24" hidden="1" outlineLevel="1" x14ac:dyDescent="0.25">
      <c r="C94" s="267" t="str">
        <f t="shared" si="44"/>
        <v/>
      </c>
      <c r="D94" s="268">
        <f t="shared" si="48"/>
        <v>0</v>
      </c>
      <c r="E94" s="269">
        <f t="shared" si="48"/>
        <v>0</v>
      </c>
      <c r="F94" s="269">
        <f t="shared" si="48"/>
        <v>0</v>
      </c>
      <c r="G94" s="269">
        <f t="shared" si="48"/>
        <v>0</v>
      </c>
      <c r="H94" s="269">
        <f t="shared" si="48"/>
        <v>0</v>
      </c>
      <c r="I94" s="269">
        <f t="shared" si="48"/>
        <v>0</v>
      </c>
      <c r="J94" s="269">
        <f t="shared" si="48"/>
        <v>0</v>
      </c>
      <c r="K94" s="269">
        <f t="shared" si="48"/>
        <v>0</v>
      </c>
      <c r="L94" s="269">
        <f t="shared" si="48"/>
        <v>0</v>
      </c>
      <c r="M94" s="769">
        <f t="shared" si="48"/>
        <v>0</v>
      </c>
      <c r="N94" s="269">
        <f t="shared" si="49"/>
        <v>0</v>
      </c>
      <c r="O94" s="269">
        <f t="shared" si="49"/>
        <v>0</v>
      </c>
      <c r="P94" s="269">
        <f t="shared" si="49"/>
        <v>0</v>
      </c>
      <c r="Q94" s="269">
        <f t="shared" si="49"/>
        <v>0</v>
      </c>
      <c r="R94" s="269">
        <f t="shared" si="49"/>
        <v>0</v>
      </c>
      <c r="S94" s="269">
        <f t="shared" si="49"/>
        <v>0</v>
      </c>
      <c r="T94" s="269">
        <f t="shared" si="49"/>
        <v>0</v>
      </c>
      <c r="U94" s="269">
        <f t="shared" si="49"/>
        <v>0</v>
      </c>
      <c r="V94" s="269">
        <f t="shared" si="49"/>
        <v>0</v>
      </c>
      <c r="W94" s="270">
        <f t="shared" si="49"/>
        <v>0</v>
      </c>
      <c r="X94" s="204">
        <f t="shared" si="47"/>
        <v>0</v>
      </c>
    </row>
    <row r="95" spans="3:24" hidden="1" outlineLevel="1" x14ac:dyDescent="0.25">
      <c r="C95" s="267" t="str">
        <f t="shared" si="44"/>
        <v/>
      </c>
      <c r="D95" s="268">
        <f t="shared" si="48"/>
        <v>0</v>
      </c>
      <c r="E95" s="269">
        <f t="shared" si="48"/>
        <v>0</v>
      </c>
      <c r="F95" s="269">
        <f t="shared" si="48"/>
        <v>0</v>
      </c>
      <c r="G95" s="269">
        <f t="shared" si="48"/>
        <v>0</v>
      </c>
      <c r="H95" s="269">
        <f t="shared" si="48"/>
        <v>0</v>
      </c>
      <c r="I95" s="269">
        <f t="shared" si="48"/>
        <v>0</v>
      </c>
      <c r="J95" s="269">
        <f t="shared" si="48"/>
        <v>0</v>
      </c>
      <c r="K95" s="269">
        <f t="shared" si="48"/>
        <v>0</v>
      </c>
      <c r="L95" s="269">
        <f t="shared" si="48"/>
        <v>0</v>
      </c>
      <c r="M95" s="769">
        <f t="shared" si="48"/>
        <v>0</v>
      </c>
      <c r="N95" s="269">
        <f t="shared" si="49"/>
        <v>0</v>
      </c>
      <c r="O95" s="269">
        <f t="shared" si="49"/>
        <v>0</v>
      </c>
      <c r="P95" s="269">
        <f t="shared" si="49"/>
        <v>0</v>
      </c>
      <c r="Q95" s="269">
        <f t="shared" si="49"/>
        <v>0</v>
      </c>
      <c r="R95" s="269">
        <f t="shared" si="49"/>
        <v>0</v>
      </c>
      <c r="S95" s="269">
        <f t="shared" si="49"/>
        <v>0</v>
      </c>
      <c r="T95" s="269">
        <f t="shared" si="49"/>
        <v>0</v>
      </c>
      <c r="U95" s="269">
        <f t="shared" si="49"/>
        <v>0</v>
      </c>
      <c r="V95" s="269">
        <f t="shared" si="49"/>
        <v>0</v>
      </c>
      <c r="W95" s="270">
        <f t="shared" si="49"/>
        <v>0</v>
      </c>
      <c r="X95" s="204">
        <f t="shared" si="47"/>
        <v>0</v>
      </c>
    </row>
    <row r="96" spans="3:24" hidden="1" outlineLevel="1" x14ac:dyDescent="0.25">
      <c r="C96" s="267" t="str">
        <f t="shared" si="44"/>
        <v/>
      </c>
      <c r="D96" s="268">
        <f t="shared" si="48"/>
        <v>0</v>
      </c>
      <c r="E96" s="269">
        <f t="shared" si="48"/>
        <v>0</v>
      </c>
      <c r="F96" s="269">
        <f t="shared" si="48"/>
        <v>0</v>
      </c>
      <c r="G96" s="269">
        <f t="shared" si="48"/>
        <v>0</v>
      </c>
      <c r="H96" s="269">
        <f t="shared" si="48"/>
        <v>0</v>
      </c>
      <c r="I96" s="269">
        <f t="shared" si="48"/>
        <v>0</v>
      </c>
      <c r="J96" s="269">
        <f t="shared" si="48"/>
        <v>0</v>
      </c>
      <c r="K96" s="269">
        <f t="shared" si="48"/>
        <v>0</v>
      </c>
      <c r="L96" s="269">
        <f t="shared" si="48"/>
        <v>0</v>
      </c>
      <c r="M96" s="769">
        <f t="shared" si="48"/>
        <v>0</v>
      </c>
      <c r="N96" s="269">
        <f t="shared" si="49"/>
        <v>0</v>
      </c>
      <c r="O96" s="269">
        <f t="shared" si="49"/>
        <v>0</v>
      </c>
      <c r="P96" s="269">
        <f t="shared" si="49"/>
        <v>0</v>
      </c>
      <c r="Q96" s="269">
        <f t="shared" si="49"/>
        <v>0</v>
      </c>
      <c r="R96" s="269">
        <f t="shared" si="49"/>
        <v>0</v>
      </c>
      <c r="S96" s="269">
        <f t="shared" si="49"/>
        <v>0</v>
      </c>
      <c r="T96" s="269">
        <f t="shared" si="49"/>
        <v>0</v>
      </c>
      <c r="U96" s="269">
        <f t="shared" si="49"/>
        <v>0</v>
      </c>
      <c r="V96" s="269">
        <f t="shared" si="49"/>
        <v>0</v>
      </c>
      <c r="W96" s="270">
        <f t="shared" si="49"/>
        <v>0</v>
      </c>
      <c r="X96" s="204">
        <f t="shared" si="47"/>
        <v>0</v>
      </c>
    </row>
    <row r="97" spans="3:24" hidden="1" outlineLevel="1" x14ac:dyDescent="0.25">
      <c r="C97" s="267" t="str">
        <f t="shared" si="44"/>
        <v/>
      </c>
      <c r="D97" s="268">
        <f t="shared" si="48"/>
        <v>0</v>
      </c>
      <c r="E97" s="269">
        <f t="shared" si="48"/>
        <v>0</v>
      </c>
      <c r="F97" s="269">
        <f t="shared" si="48"/>
        <v>0</v>
      </c>
      <c r="G97" s="269">
        <f t="shared" si="48"/>
        <v>0</v>
      </c>
      <c r="H97" s="269">
        <f t="shared" si="48"/>
        <v>0</v>
      </c>
      <c r="I97" s="269">
        <f t="shared" si="48"/>
        <v>0</v>
      </c>
      <c r="J97" s="269">
        <f t="shared" si="48"/>
        <v>0</v>
      </c>
      <c r="K97" s="269">
        <f t="shared" si="48"/>
        <v>0</v>
      </c>
      <c r="L97" s="269">
        <f t="shared" si="48"/>
        <v>0</v>
      </c>
      <c r="M97" s="769">
        <f t="shared" si="48"/>
        <v>0</v>
      </c>
      <c r="N97" s="269">
        <f t="shared" si="49"/>
        <v>0</v>
      </c>
      <c r="O97" s="269">
        <f t="shared" si="49"/>
        <v>0</v>
      </c>
      <c r="P97" s="269">
        <f t="shared" si="49"/>
        <v>0</v>
      </c>
      <c r="Q97" s="269">
        <f t="shared" si="49"/>
        <v>0</v>
      </c>
      <c r="R97" s="269">
        <f t="shared" si="49"/>
        <v>0</v>
      </c>
      <c r="S97" s="269">
        <f t="shared" si="49"/>
        <v>0</v>
      </c>
      <c r="T97" s="269">
        <f t="shared" si="49"/>
        <v>0</v>
      </c>
      <c r="U97" s="269">
        <f t="shared" si="49"/>
        <v>0</v>
      </c>
      <c r="V97" s="269">
        <f t="shared" si="49"/>
        <v>0</v>
      </c>
      <c r="W97" s="270">
        <f t="shared" si="49"/>
        <v>0</v>
      </c>
      <c r="X97" s="204">
        <f t="shared" si="47"/>
        <v>0</v>
      </c>
    </row>
    <row r="98" spans="3:24" hidden="1" outlineLevel="1" x14ac:dyDescent="0.25">
      <c r="C98" s="267" t="str">
        <f t="shared" si="44"/>
        <v/>
      </c>
      <c r="D98" s="268">
        <f t="shared" ref="D98:M107" si="50">IF(AND($C98&lt;&gt;"",D$5&lt;&gt;""),SUMIFS(col_liquidototal,col_abertura1,$C98,col_abertura2,D$5)+IF($E$3=$A$4,SUMIFS(col_fatdir_pi_mn,col_abertura1,$C98,col_abertura2,D$5),0),0)</f>
        <v>0</v>
      </c>
      <c r="E98" s="269">
        <f t="shared" si="50"/>
        <v>0</v>
      </c>
      <c r="F98" s="269">
        <f t="shared" si="50"/>
        <v>0</v>
      </c>
      <c r="G98" s="269">
        <f t="shared" si="50"/>
        <v>0</v>
      </c>
      <c r="H98" s="269">
        <f t="shared" si="50"/>
        <v>0</v>
      </c>
      <c r="I98" s="269">
        <f t="shared" si="50"/>
        <v>0</v>
      </c>
      <c r="J98" s="269">
        <f t="shared" si="50"/>
        <v>0</v>
      </c>
      <c r="K98" s="269">
        <f t="shared" si="50"/>
        <v>0</v>
      </c>
      <c r="L98" s="269">
        <f t="shared" si="50"/>
        <v>0</v>
      </c>
      <c r="M98" s="769">
        <f t="shared" si="50"/>
        <v>0</v>
      </c>
      <c r="N98" s="269">
        <f t="shared" ref="N98:W107" si="51">IF(AND($C98&lt;&gt;"",N$5&lt;&gt;""),SUMIFS(col_liquidototal,col_abertura1,$C98,col_abertura2,N$5)+IF($E$3=$A$4,SUMIFS(col_fatdir_pi_mn,col_abertura1,$C98,col_abertura2,N$5),0),0)</f>
        <v>0</v>
      </c>
      <c r="O98" s="269">
        <f t="shared" si="51"/>
        <v>0</v>
      </c>
      <c r="P98" s="269">
        <f t="shared" si="51"/>
        <v>0</v>
      </c>
      <c r="Q98" s="269">
        <f t="shared" si="51"/>
        <v>0</v>
      </c>
      <c r="R98" s="269">
        <f t="shared" si="51"/>
        <v>0</v>
      </c>
      <c r="S98" s="269">
        <f t="shared" si="51"/>
        <v>0</v>
      </c>
      <c r="T98" s="269">
        <f t="shared" si="51"/>
        <v>0</v>
      </c>
      <c r="U98" s="269">
        <f t="shared" si="51"/>
        <v>0</v>
      </c>
      <c r="V98" s="269">
        <f t="shared" si="51"/>
        <v>0</v>
      </c>
      <c r="W98" s="270">
        <f t="shared" si="51"/>
        <v>0</v>
      </c>
      <c r="X98" s="204">
        <f t="shared" si="47"/>
        <v>0</v>
      </c>
    </row>
    <row r="99" spans="3:24" hidden="1" outlineLevel="1" x14ac:dyDescent="0.25">
      <c r="C99" s="267" t="str">
        <f t="shared" si="44"/>
        <v/>
      </c>
      <c r="D99" s="268">
        <f t="shared" si="50"/>
        <v>0</v>
      </c>
      <c r="E99" s="269">
        <f t="shared" si="50"/>
        <v>0</v>
      </c>
      <c r="F99" s="269">
        <f t="shared" si="50"/>
        <v>0</v>
      </c>
      <c r="G99" s="269">
        <f t="shared" si="50"/>
        <v>0</v>
      </c>
      <c r="H99" s="269">
        <f t="shared" si="50"/>
        <v>0</v>
      </c>
      <c r="I99" s="269">
        <f t="shared" si="50"/>
        <v>0</v>
      </c>
      <c r="J99" s="269">
        <f t="shared" si="50"/>
        <v>0</v>
      </c>
      <c r="K99" s="269">
        <f t="shared" si="50"/>
        <v>0</v>
      </c>
      <c r="L99" s="269">
        <f t="shared" si="50"/>
        <v>0</v>
      </c>
      <c r="M99" s="769">
        <f t="shared" si="50"/>
        <v>0</v>
      </c>
      <c r="N99" s="269">
        <f t="shared" si="51"/>
        <v>0</v>
      </c>
      <c r="O99" s="269">
        <f t="shared" si="51"/>
        <v>0</v>
      </c>
      <c r="P99" s="269">
        <f t="shared" si="51"/>
        <v>0</v>
      </c>
      <c r="Q99" s="269">
        <f t="shared" si="51"/>
        <v>0</v>
      </c>
      <c r="R99" s="269">
        <f t="shared" si="51"/>
        <v>0</v>
      </c>
      <c r="S99" s="269">
        <f t="shared" si="51"/>
        <v>0</v>
      </c>
      <c r="T99" s="269">
        <f t="shared" si="51"/>
        <v>0</v>
      </c>
      <c r="U99" s="269">
        <f t="shared" si="51"/>
        <v>0</v>
      </c>
      <c r="V99" s="269">
        <f t="shared" si="51"/>
        <v>0</v>
      </c>
      <c r="W99" s="270">
        <f t="shared" si="51"/>
        <v>0</v>
      </c>
      <c r="X99" s="204">
        <f t="shared" si="47"/>
        <v>0</v>
      </c>
    </row>
    <row r="100" spans="3:24" hidden="1" outlineLevel="1" x14ac:dyDescent="0.25">
      <c r="C100" s="267" t="str">
        <f t="shared" si="44"/>
        <v/>
      </c>
      <c r="D100" s="268">
        <f t="shared" si="50"/>
        <v>0</v>
      </c>
      <c r="E100" s="269">
        <f t="shared" si="50"/>
        <v>0</v>
      </c>
      <c r="F100" s="269">
        <f t="shared" si="50"/>
        <v>0</v>
      </c>
      <c r="G100" s="269">
        <f t="shared" si="50"/>
        <v>0</v>
      </c>
      <c r="H100" s="269">
        <f t="shared" si="50"/>
        <v>0</v>
      </c>
      <c r="I100" s="269">
        <f t="shared" si="50"/>
        <v>0</v>
      </c>
      <c r="J100" s="269">
        <f t="shared" si="50"/>
        <v>0</v>
      </c>
      <c r="K100" s="269">
        <f t="shared" si="50"/>
        <v>0</v>
      </c>
      <c r="L100" s="269">
        <f t="shared" si="50"/>
        <v>0</v>
      </c>
      <c r="M100" s="769">
        <f t="shared" si="50"/>
        <v>0</v>
      </c>
      <c r="N100" s="269">
        <f t="shared" si="51"/>
        <v>0</v>
      </c>
      <c r="O100" s="269">
        <f t="shared" si="51"/>
        <v>0</v>
      </c>
      <c r="P100" s="269">
        <f t="shared" si="51"/>
        <v>0</v>
      </c>
      <c r="Q100" s="269">
        <f t="shared" si="51"/>
        <v>0</v>
      </c>
      <c r="R100" s="269">
        <f t="shared" si="51"/>
        <v>0</v>
      </c>
      <c r="S100" s="269">
        <f t="shared" si="51"/>
        <v>0</v>
      </c>
      <c r="T100" s="269">
        <f t="shared" si="51"/>
        <v>0</v>
      </c>
      <c r="U100" s="269">
        <f t="shared" si="51"/>
        <v>0</v>
      </c>
      <c r="V100" s="269">
        <f t="shared" si="51"/>
        <v>0</v>
      </c>
      <c r="W100" s="270">
        <f t="shared" si="51"/>
        <v>0</v>
      </c>
      <c r="X100" s="204">
        <f t="shared" si="47"/>
        <v>0</v>
      </c>
    </row>
    <row r="101" spans="3:24" hidden="1" outlineLevel="1" x14ac:dyDescent="0.25">
      <c r="C101" s="267" t="str">
        <f t="shared" si="44"/>
        <v/>
      </c>
      <c r="D101" s="268">
        <f t="shared" si="50"/>
        <v>0</v>
      </c>
      <c r="E101" s="269">
        <f t="shared" si="50"/>
        <v>0</v>
      </c>
      <c r="F101" s="269">
        <f t="shared" si="50"/>
        <v>0</v>
      </c>
      <c r="G101" s="269">
        <f t="shared" si="50"/>
        <v>0</v>
      </c>
      <c r="H101" s="269">
        <f t="shared" si="50"/>
        <v>0</v>
      </c>
      <c r="I101" s="269">
        <f t="shared" si="50"/>
        <v>0</v>
      </c>
      <c r="J101" s="269">
        <f t="shared" si="50"/>
        <v>0</v>
      </c>
      <c r="K101" s="269">
        <f t="shared" si="50"/>
        <v>0</v>
      </c>
      <c r="L101" s="269">
        <f t="shared" si="50"/>
        <v>0</v>
      </c>
      <c r="M101" s="769">
        <f t="shared" si="50"/>
        <v>0</v>
      </c>
      <c r="N101" s="269">
        <f t="shared" si="51"/>
        <v>0</v>
      </c>
      <c r="O101" s="269">
        <f t="shared" si="51"/>
        <v>0</v>
      </c>
      <c r="P101" s="269">
        <f t="shared" si="51"/>
        <v>0</v>
      </c>
      <c r="Q101" s="269">
        <f t="shared" si="51"/>
        <v>0</v>
      </c>
      <c r="R101" s="269">
        <f t="shared" si="51"/>
        <v>0</v>
      </c>
      <c r="S101" s="269">
        <f t="shared" si="51"/>
        <v>0</v>
      </c>
      <c r="T101" s="269">
        <f t="shared" si="51"/>
        <v>0</v>
      </c>
      <c r="U101" s="269">
        <f t="shared" si="51"/>
        <v>0</v>
      </c>
      <c r="V101" s="269">
        <f t="shared" si="51"/>
        <v>0</v>
      </c>
      <c r="W101" s="270">
        <f t="shared" si="51"/>
        <v>0</v>
      </c>
      <c r="X101" s="204">
        <f t="shared" si="47"/>
        <v>0</v>
      </c>
    </row>
    <row r="102" spans="3:24" hidden="1" outlineLevel="1" x14ac:dyDescent="0.25">
      <c r="C102" s="267" t="str">
        <f t="shared" si="44"/>
        <v/>
      </c>
      <c r="D102" s="268">
        <f t="shared" si="50"/>
        <v>0</v>
      </c>
      <c r="E102" s="269">
        <f t="shared" si="50"/>
        <v>0</v>
      </c>
      <c r="F102" s="269">
        <f t="shared" si="50"/>
        <v>0</v>
      </c>
      <c r="G102" s="269">
        <f t="shared" si="50"/>
        <v>0</v>
      </c>
      <c r="H102" s="269">
        <f t="shared" si="50"/>
        <v>0</v>
      </c>
      <c r="I102" s="269">
        <f t="shared" si="50"/>
        <v>0</v>
      </c>
      <c r="J102" s="269">
        <f t="shared" si="50"/>
        <v>0</v>
      </c>
      <c r="K102" s="269">
        <f t="shared" si="50"/>
        <v>0</v>
      </c>
      <c r="L102" s="269">
        <f t="shared" si="50"/>
        <v>0</v>
      </c>
      <c r="M102" s="769">
        <f t="shared" si="50"/>
        <v>0</v>
      </c>
      <c r="N102" s="269">
        <f t="shared" si="51"/>
        <v>0</v>
      </c>
      <c r="O102" s="269">
        <f t="shared" si="51"/>
        <v>0</v>
      </c>
      <c r="P102" s="269">
        <f t="shared" si="51"/>
        <v>0</v>
      </c>
      <c r="Q102" s="269">
        <f t="shared" si="51"/>
        <v>0</v>
      </c>
      <c r="R102" s="269">
        <f t="shared" si="51"/>
        <v>0</v>
      </c>
      <c r="S102" s="269">
        <f t="shared" si="51"/>
        <v>0</v>
      </c>
      <c r="T102" s="269">
        <f t="shared" si="51"/>
        <v>0</v>
      </c>
      <c r="U102" s="269">
        <f t="shared" si="51"/>
        <v>0</v>
      </c>
      <c r="V102" s="269">
        <f t="shared" si="51"/>
        <v>0</v>
      </c>
      <c r="W102" s="270">
        <f t="shared" si="51"/>
        <v>0</v>
      </c>
      <c r="X102" s="204">
        <f t="shared" si="47"/>
        <v>0</v>
      </c>
    </row>
    <row r="103" spans="3:24" hidden="1" outlineLevel="1" x14ac:dyDescent="0.25">
      <c r="C103" s="267" t="str">
        <f t="shared" si="44"/>
        <v/>
      </c>
      <c r="D103" s="268">
        <f t="shared" si="50"/>
        <v>0</v>
      </c>
      <c r="E103" s="269">
        <f t="shared" si="50"/>
        <v>0</v>
      </c>
      <c r="F103" s="269">
        <f t="shared" si="50"/>
        <v>0</v>
      </c>
      <c r="G103" s="269">
        <f t="shared" si="50"/>
        <v>0</v>
      </c>
      <c r="H103" s="269">
        <f t="shared" si="50"/>
        <v>0</v>
      </c>
      <c r="I103" s="269">
        <f t="shared" si="50"/>
        <v>0</v>
      </c>
      <c r="J103" s="269">
        <f t="shared" si="50"/>
        <v>0</v>
      </c>
      <c r="K103" s="269">
        <f t="shared" si="50"/>
        <v>0</v>
      </c>
      <c r="L103" s="269">
        <f t="shared" si="50"/>
        <v>0</v>
      </c>
      <c r="M103" s="769">
        <f t="shared" si="50"/>
        <v>0</v>
      </c>
      <c r="N103" s="269">
        <f t="shared" si="51"/>
        <v>0</v>
      </c>
      <c r="O103" s="269">
        <f t="shared" si="51"/>
        <v>0</v>
      </c>
      <c r="P103" s="269">
        <f t="shared" si="51"/>
        <v>0</v>
      </c>
      <c r="Q103" s="269">
        <f t="shared" si="51"/>
        <v>0</v>
      </c>
      <c r="R103" s="269">
        <f t="shared" si="51"/>
        <v>0</v>
      </c>
      <c r="S103" s="269">
        <f t="shared" si="51"/>
        <v>0</v>
      </c>
      <c r="T103" s="269">
        <f t="shared" si="51"/>
        <v>0</v>
      </c>
      <c r="U103" s="269">
        <f t="shared" si="51"/>
        <v>0</v>
      </c>
      <c r="V103" s="269">
        <f t="shared" si="51"/>
        <v>0</v>
      </c>
      <c r="W103" s="270">
        <f t="shared" si="51"/>
        <v>0</v>
      </c>
      <c r="X103" s="204">
        <f t="shared" si="47"/>
        <v>0</v>
      </c>
    </row>
    <row r="104" spans="3:24" hidden="1" outlineLevel="1" x14ac:dyDescent="0.25">
      <c r="C104" s="267" t="str">
        <f t="shared" si="44"/>
        <v/>
      </c>
      <c r="D104" s="268">
        <f t="shared" si="50"/>
        <v>0</v>
      </c>
      <c r="E104" s="269">
        <f t="shared" si="50"/>
        <v>0</v>
      </c>
      <c r="F104" s="269">
        <f t="shared" si="50"/>
        <v>0</v>
      </c>
      <c r="G104" s="269">
        <f t="shared" si="50"/>
        <v>0</v>
      </c>
      <c r="H104" s="269">
        <f t="shared" si="50"/>
        <v>0</v>
      </c>
      <c r="I104" s="269">
        <f t="shared" si="50"/>
        <v>0</v>
      </c>
      <c r="J104" s="269">
        <f t="shared" si="50"/>
        <v>0</v>
      </c>
      <c r="K104" s="269">
        <f t="shared" si="50"/>
        <v>0</v>
      </c>
      <c r="L104" s="269">
        <f t="shared" si="50"/>
        <v>0</v>
      </c>
      <c r="M104" s="769">
        <f t="shared" si="50"/>
        <v>0</v>
      </c>
      <c r="N104" s="269">
        <f t="shared" si="51"/>
        <v>0</v>
      </c>
      <c r="O104" s="269">
        <f t="shared" si="51"/>
        <v>0</v>
      </c>
      <c r="P104" s="269">
        <f t="shared" si="51"/>
        <v>0</v>
      </c>
      <c r="Q104" s="269">
        <f t="shared" si="51"/>
        <v>0</v>
      </c>
      <c r="R104" s="269">
        <f t="shared" si="51"/>
        <v>0</v>
      </c>
      <c r="S104" s="269">
        <f t="shared" si="51"/>
        <v>0</v>
      </c>
      <c r="T104" s="269">
        <f t="shared" si="51"/>
        <v>0</v>
      </c>
      <c r="U104" s="269">
        <f t="shared" si="51"/>
        <v>0</v>
      </c>
      <c r="V104" s="269">
        <f t="shared" si="51"/>
        <v>0</v>
      </c>
      <c r="W104" s="270">
        <f t="shared" si="51"/>
        <v>0</v>
      </c>
      <c r="X104" s="204">
        <f t="shared" si="47"/>
        <v>0</v>
      </c>
    </row>
    <row r="105" spans="3:24" hidden="1" outlineLevel="1" x14ac:dyDescent="0.25">
      <c r="C105" s="267" t="str">
        <f t="shared" si="44"/>
        <v/>
      </c>
      <c r="D105" s="268">
        <f t="shared" si="50"/>
        <v>0</v>
      </c>
      <c r="E105" s="269">
        <f t="shared" si="50"/>
        <v>0</v>
      </c>
      <c r="F105" s="269">
        <f t="shared" si="50"/>
        <v>0</v>
      </c>
      <c r="G105" s="269">
        <f t="shared" si="50"/>
        <v>0</v>
      </c>
      <c r="H105" s="269">
        <f t="shared" si="50"/>
        <v>0</v>
      </c>
      <c r="I105" s="269">
        <f t="shared" si="50"/>
        <v>0</v>
      </c>
      <c r="J105" s="269">
        <f t="shared" si="50"/>
        <v>0</v>
      </c>
      <c r="K105" s="269">
        <f t="shared" si="50"/>
        <v>0</v>
      </c>
      <c r="L105" s="269">
        <f t="shared" si="50"/>
        <v>0</v>
      </c>
      <c r="M105" s="769">
        <f t="shared" si="50"/>
        <v>0</v>
      </c>
      <c r="N105" s="269">
        <f t="shared" si="51"/>
        <v>0</v>
      </c>
      <c r="O105" s="269">
        <f t="shared" si="51"/>
        <v>0</v>
      </c>
      <c r="P105" s="269">
        <f t="shared" si="51"/>
        <v>0</v>
      </c>
      <c r="Q105" s="269">
        <f t="shared" si="51"/>
        <v>0</v>
      </c>
      <c r="R105" s="269">
        <f t="shared" si="51"/>
        <v>0</v>
      </c>
      <c r="S105" s="269">
        <f t="shared" si="51"/>
        <v>0</v>
      </c>
      <c r="T105" s="269">
        <f t="shared" si="51"/>
        <v>0</v>
      </c>
      <c r="U105" s="269">
        <f t="shared" si="51"/>
        <v>0</v>
      </c>
      <c r="V105" s="269">
        <f t="shared" si="51"/>
        <v>0</v>
      </c>
      <c r="W105" s="270">
        <f t="shared" si="51"/>
        <v>0</v>
      </c>
      <c r="X105" s="204">
        <f t="shared" si="47"/>
        <v>0</v>
      </c>
    </row>
    <row r="106" spans="3:24" hidden="1" outlineLevel="1" x14ac:dyDescent="0.25">
      <c r="C106" s="267" t="str">
        <f t="shared" si="44"/>
        <v/>
      </c>
      <c r="D106" s="268">
        <f t="shared" si="50"/>
        <v>0</v>
      </c>
      <c r="E106" s="269">
        <f t="shared" si="50"/>
        <v>0</v>
      </c>
      <c r="F106" s="269">
        <f t="shared" si="50"/>
        <v>0</v>
      </c>
      <c r="G106" s="269">
        <f t="shared" si="50"/>
        <v>0</v>
      </c>
      <c r="H106" s="269">
        <f t="shared" si="50"/>
        <v>0</v>
      </c>
      <c r="I106" s="269">
        <f t="shared" si="50"/>
        <v>0</v>
      </c>
      <c r="J106" s="269">
        <f t="shared" si="50"/>
        <v>0</v>
      </c>
      <c r="K106" s="269">
        <f t="shared" si="50"/>
        <v>0</v>
      </c>
      <c r="L106" s="269">
        <f t="shared" si="50"/>
        <v>0</v>
      </c>
      <c r="M106" s="769">
        <f t="shared" si="50"/>
        <v>0</v>
      </c>
      <c r="N106" s="269">
        <f t="shared" si="51"/>
        <v>0</v>
      </c>
      <c r="O106" s="269">
        <f t="shared" si="51"/>
        <v>0</v>
      </c>
      <c r="P106" s="269">
        <f t="shared" si="51"/>
        <v>0</v>
      </c>
      <c r="Q106" s="269">
        <f t="shared" si="51"/>
        <v>0</v>
      </c>
      <c r="R106" s="269">
        <f t="shared" si="51"/>
        <v>0</v>
      </c>
      <c r="S106" s="269">
        <f t="shared" si="51"/>
        <v>0</v>
      </c>
      <c r="T106" s="269">
        <f t="shared" si="51"/>
        <v>0</v>
      </c>
      <c r="U106" s="269">
        <f t="shared" si="51"/>
        <v>0</v>
      </c>
      <c r="V106" s="269">
        <f t="shared" si="51"/>
        <v>0</v>
      </c>
      <c r="W106" s="270">
        <f t="shared" si="51"/>
        <v>0</v>
      </c>
      <c r="X106" s="204">
        <f t="shared" si="47"/>
        <v>0</v>
      </c>
    </row>
    <row r="107" spans="3:24" hidden="1" outlineLevel="1" x14ac:dyDescent="0.25">
      <c r="C107" s="271" t="str">
        <f t="shared" si="44"/>
        <v>Padrões</v>
      </c>
      <c r="D107" s="272">
        <f t="shared" si="50"/>
        <v>0</v>
      </c>
      <c r="E107" s="273">
        <f t="shared" si="50"/>
        <v>0</v>
      </c>
      <c r="F107" s="273">
        <f t="shared" si="50"/>
        <v>0</v>
      </c>
      <c r="G107" s="273">
        <f t="shared" si="50"/>
        <v>0</v>
      </c>
      <c r="H107" s="273">
        <f t="shared" si="50"/>
        <v>0</v>
      </c>
      <c r="I107" s="273">
        <f t="shared" si="50"/>
        <v>0</v>
      </c>
      <c r="J107" s="273">
        <f t="shared" si="50"/>
        <v>0</v>
      </c>
      <c r="K107" s="273">
        <f t="shared" si="50"/>
        <v>0</v>
      </c>
      <c r="L107" s="273">
        <f t="shared" si="50"/>
        <v>0</v>
      </c>
      <c r="M107" s="770">
        <f t="shared" si="50"/>
        <v>0</v>
      </c>
      <c r="N107" s="273">
        <f t="shared" si="51"/>
        <v>0</v>
      </c>
      <c r="O107" s="273">
        <f t="shared" si="51"/>
        <v>0</v>
      </c>
      <c r="P107" s="273">
        <f t="shared" si="51"/>
        <v>0</v>
      </c>
      <c r="Q107" s="273">
        <f t="shared" si="51"/>
        <v>0</v>
      </c>
      <c r="R107" s="273">
        <f t="shared" si="51"/>
        <v>0</v>
      </c>
      <c r="S107" s="273">
        <f t="shared" si="51"/>
        <v>0</v>
      </c>
      <c r="T107" s="273">
        <f t="shared" si="51"/>
        <v>0</v>
      </c>
      <c r="U107" s="273">
        <f t="shared" si="51"/>
        <v>0</v>
      </c>
      <c r="V107" s="273">
        <f t="shared" si="51"/>
        <v>0</v>
      </c>
      <c r="W107" s="274">
        <f t="shared" si="51"/>
        <v>0</v>
      </c>
      <c r="X107" s="204">
        <f t="shared" si="47"/>
        <v>0</v>
      </c>
    </row>
    <row r="108" spans="3:24" hidden="1" outlineLevel="1" x14ac:dyDescent="0.25">
      <c r="C108" s="187"/>
      <c r="D108" s="281">
        <f>SUM(D78:D107)</f>
        <v>760532.55080590514</v>
      </c>
      <c r="E108" s="281">
        <f t="shared" ref="E108" si="52">SUM(E78:E107)</f>
        <v>103628.07324510318</v>
      </c>
      <c r="F108" s="281">
        <f t="shared" ref="F108" si="53">SUM(F78:F107)</f>
        <v>96039.904149527618</v>
      </c>
      <c r="G108" s="281">
        <f t="shared" ref="G108" si="54">SUM(G78:G107)</f>
        <v>0</v>
      </c>
      <c r="H108" s="281">
        <f t="shared" ref="H108" si="55">SUM(H78:H107)</f>
        <v>0</v>
      </c>
      <c r="I108" s="281">
        <f t="shared" ref="I108" si="56">SUM(I78:I107)</f>
        <v>0</v>
      </c>
      <c r="J108" s="281">
        <f t="shared" ref="J108" si="57">SUM(J78:J107)</f>
        <v>0</v>
      </c>
      <c r="K108" s="281">
        <f t="shared" ref="K108" si="58">SUM(K78:K107)</f>
        <v>0</v>
      </c>
      <c r="L108" s="281">
        <f t="shared" ref="L108" si="59">SUM(L78:L107)</f>
        <v>0</v>
      </c>
      <c r="M108" s="771">
        <f t="shared" ref="M108" si="60">SUM(M78:M107)</f>
        <v>0</v>
      </c>
      <c r="N108" s="281">
        <f t="shared" ref="N108" si="61">SUM(N78:N107)</f>
        <v>0</v>
      </c>
      <c r="O108" s="281">
        <f t="shared" ref="O108" si="62">SUM(O78:O107)</f>
        <v>0</v>
      </c>
      <c r="P108" s="281">
        <f t="shared" ref="P108" si="63">SUM(P78:P107)</f>
        <v>0</v>
      </c>
      <c r="Q108" s="281">
        <f t="shared" ref="Q108" si="64">SUM(Q78:Q107)</f>
        <v>0</v>
      </c>
      <c r="R108" s="281">
        <f t="shared" ref="R108" si="65">SUM(R78:R107)</f>
        <v>0</v>
      </c>
      <c r="S108" s="281">
        <f t="shared" ref="S108" si="66">SUM(S78:S107)</f>
        <v>0</v>
      </c>
      <c r="T108" s="281">
        <f t="shared" ref="T108" si="67">SUM(T78:T107)</f>
        <v>0</v>
      </c>
      <c r="U108" s="281">
        <f t="shared" ref="U108" si="68">SUM(U78:U107)</f>
        <v>0</v>
      </c>
      <c r="V108" s="281">
        <f t="shared" ref="V108" si="69">SUM(V78:V107)</f>
        <v>0</v>
      </c>
      <c r="W108" s="281">
        <f t="shared" ref="W108" si="70">SUM(W78:W107)</f>
        <v>0</v>
      </c>
      <c r="X108" s="280">
        <f>SUM(X78:X107)</f>
        <v>960200.52820053604</v>
      </c>
    </row>
    <row r="109" spans="3:24" hidden="1" outlineLevel="1" x14ac:dyDescent="0.25"/>
    <row r="110" spans="3:24" hidden="1" outlineLevel="1" x14ac:dyDescent="0.25">
      <c r="U110" s="282" t="s">
        <v>339</v>
      </c>
      <c r="V110" s="282" t="s">
        <v>340</v>
      </c>
    </row>
    <row r="111" spans="3:24" collapsed="1" x14ac:dyDescent="0.25">
      <c r="D111" s="114" t="s">
        <v>16</v>
      </c>
      <c r="U111" s="283">
        <f>SUM(D114:W143)</f>
        <v>80497.672574675962</v>
      </c>
      <c r="V111" s="283">
        <f>IF($E$3=$A$3,Dados!M98,Dados!M98+Escopo!CZ273)</f>
        <v>80497.672574675948</v>
      </c>
      <c r="W111" s="522" t="b">
        <f>IF(ABS(U111-V111)&lt;0.01,TRUE,FALSE)</f>
        <v>1</v>
      </c>
    </row>
    <row r="112" spans="3:24" hidden="1" outlineLevel="1" x14ac:dyDescent="0.25"/>
    <row r="113" spans="3:24" hidden="1" outlineLevel="1" x14ac:dyDescent="0.25">
      <c r="D113" s="260" t="str">
        <f>IF(D77&lt;&gt;"",D77,"")</f>
        <v>SAGE</v>
      </c>
      <c r="E113" s="261" t="str">
        <f t="shared" ref="E113:W113" si="71">IF(E77&lt;&gt;"",E77,"")</f>
        <v>TELECOM</v>
      </c>
      <c r="F113" s="261" t="str">
        <f t="shared" si="71"/>
        <v>GERAL</v>
      </c>
      <c r="G113" s="261" t="str">
        <f t="shared" si="71"/>
        <v/>
      </c>
      <c r="H113" s="261" t="str">
        <f t="shared" si="71"/>
        <v/>
      </c>
      <c r="I113" s="261" t="str">
        <f t="shared" si="71"/>
        <v/>
      </c>
      <c r="J113" s="261" t="str">
        <f t="shared" si="71"/>
        <v/>
      </c>
      <c r="K113" s="261" t="str">
        <f t="shared" si="71"/>
        <v/>
      </c>
      <c r="L113" s="261" t="str">
        <f t="shared" si="71"/>
        <v/>
      </c>
      <c r="M113" s="261" t="str">
        <f t="shared" si="71"/>
        <v/>
      </c>
      <c r="N113" s="261" t="str">
        <f t="shared" si="71"/>
        <v/>
      </c>
      <c r="O113" s="261" t="str">
        <f t="shared" si="71"/>
        <v/>
      </c>
      <c r="P113" s="261" t="str">
        <f t="shared" si="71"/>
        <v/>
      </c>
      <c r="Q113" s="261" t="str">
        <f t="shared" si="71"/>
        <v/>
      </c>
      <c r="R113" s="261" t="str">
        <f t="shared" si="71"/>
        <v/>
      </c>
      <c r="S113" s="261" t="str">
        <f t="shared" si="71"/>
        <v/>
      </c>
      <c r="T113" s="261" t="str">
        <f t="shared" si="71"/>
        <v/>
      </c>
      <c r="U113" s="261" t="str">
        <f t="shared" si="71"/>
        <v/>
      </c>
      <c r="V113" s="261" t="str">
        <f t="shared" si="71"/>
        <v/>
      </c>
      <c r="W113" s="262" t="str">
        <f t="shared" si="71"/>
        <v/>
      </c>
    </row>
    <row r="114" spans="3:24" hidden="1" outlineLevel="1" x14ac:dyDescent="0.25">
      <c r="C114" s="263" t="str">
        <f>C78</f>
        <v>MAT</v>
      </c>
      <c r="D114" s="264">
        <f t="shared" ref="D114:M123" si="72">IF(AND($C114&lt;&gt;"",D$5&lt;&gt;""),SUMIFS(col_icms,col_abertura1,$C114,col_abertura2,D$5)+IF($E$3=$A$4,SUMIFS(col_fatdir_icms_mn,col_abertura1,$C114,col_abertura2,D$5),0),0)</f>
        <v>48581.362423368992</v>
      </c>
      <c r="E114" s="265">
        <f t="shared" si="72"/>
        <v>14131.100897059523</v>
      </c>
      <c r="F114" s="265">
        <f t="shared" si="72"/>
        <v>0</v>
      </c>
      <c r="G114" s="265">
        <f t="shared" si="72"/>
        <v>0</v>
      </c>
      <c r="H114" s="265">
        <f t="shared" si="72"/>
        <v>0</v>
      </c>
      <c r="I114" s="265">
        <f t="shared" si="72"/>
        <v>0</v>
      </c>
      <c r="J114" s="265">
        <f t="shared" si="72"/>
        <v>0</v>
      </c>
      <c r="K114" s="265">
        <f t="shared" si="72"/>
        <v>0</v>
      </c>
      <c r="L114" s="265">
        <f t="shared" si="72"/>
        <v>0</v>
      </c>
      <c r="M114" s="768">
        <f t="shared" si="72"/>
        <v>0</v>
      </c>
      <c r="N114" s="265">
        <f t="shared" ref="N114:W123" si="73">IF(AND($C114&lt;&gt;"",N$5&lt;&gt;""),SUMIFS(col_icms,col_abertura1,$C114,col_abertura2,N$5)+IF($E$3=$A$4,SUMIFS(col_fatdir_icms_mn,col_abertura1,$C114,col_abertura2,N$5),0),0)</f>
        <v>0</v>
      </c>
      <c r="O114" s="265">
        <f t="shared" si="73"/>
        <v>0</v>
      </c>
      <c r="P114" s="265">
        <f t="shared" si="73"/>
        <v>0</v>
      </c>
      <c r="Q114" s="265">
        <f t="shared" si="73"/>
        <v>0</v>
      </c>
      <c r="R114" s="265">
        <f t="shared" si="73"/>
        <v>0</v>
      </c>
      <c r="S114" s="265">
        <f t="shared" si="73"/>
        <v>0</v>
      </c>
      <c r="T114" s="265">
        <f t="shared" si="73"/>
        <v>0</v>
      </c>
      <c r="U114" s="265">
        <f t="shared" si="73"/>
        <v>0</v>
      </c>
      <c r="V114" s="265">
        <f t="shared" si="73"/>
        <v>0</v>
      </c>
      <c r="W114" s="266">
        <f t="shared" si="73"/>
        <v>0</v>
      </c>
      <c r="X114" s="204">
        <f>SUM(D114:W114)</f>
        <v>62712.463320428513</v>
      </c>
    </row>
    <row r="115" spans="3:24" hidden="1" outlineLevel="1" x14ac:dyDescent="0.25">
      <c r="C115" s="267" t="str">
        <f t="shared" ref="C115:C143" si="74">C79</f>
        <v>SRV</v>
      </c>
      <c r="D115" s="268">
        <f t="shared" si="72"/>
        <v>15378.628784297323</v>
      </c>
      <c r="E115" s="269">
        <f t="shared" si="72"/>
        <v>0</v>
      </c>
      <c r="F115" s="269">
        <f t="shared" si="72"/>
        <v>0</v>
      </c>
      <c r="G115" s="269">
        <f t="shared" si="72"/>
        <v>0</v>
      </c>
      <c r="H115" s="269">
        <f t="shared" si="72"/>
        <v>0</v>
      </c>
      <c r="I115" s="269">
        <f t="shared" si="72"/>
        <v>0</v>
      </c>
      <c r="J115" s="269">
        <f t="shared" si="72"/>
        <v>0</v>
      </c>
      <c r="K115" s="269">
        <f t="shared" si="72"/>
        <v>0</v>
      </c>
      <c r="L115" s="269">
        <f t="shared" si="72"/>
        <v>0</v>
      </c>
      <c r="M115" s="769">
        <f t="shared" si="72"/>
        <v>0</v>
      </c>
      <c r="N115" s="269">
        <f t="shared" si="73"/>
        <v>0</v>
      </c>
      <c r="O115" s="269">
        <f t="shared" si="73"/>
        <v>0</v>
      </c>
      <c r="P115" s="269">
        <f t="shared" si="73"/>
        <v>0</v>
      </c>
      <c r="Q115" s="269">
        <f t="shared" si="73"/>
        <v>0</v>
      </c>
      <c r="R115" s="269">
        <f t="shared" si="73"/>
        <v>0</v>
      </c>
      <c r="S115" s="269">
        <f t="shared" si="73"/>
        <v>0</v>
      </c>
      <c r="T115" s="269">
        <f t="shared" si="73"/>
        <v>0</v>
      </c>
      <c r="U115" s="269">
        <f t="shared" si="73"/>
        <v>0</v>
      </c>
      <c r="V115" s="269">
        <f t="shared" si="73"/>
        <v>0</v>
      </c>
      <c r="W115" s="270">
        <f t="shared" si="73"/>
        <v>0</v>
      </c>
      <c r="X115" s="204">
        <f t="shared" ref="X115:X143" si="75">SUM(D115:W115)</f>
        <v>15378.628784297323</v>
      </c>
    </row>
    <row r="116" spans="3:24" hidden="1" outlineLevel="1" x14ac:dyDescent="0.25">
      <c r="C116" s="267" t="str">
        <f t="shared" si="74"/>
        <v>MOBI</v>
      </c>
      <c r="D116" s="268">
        <f t="shared" si="72"/>
        <v>0</v>
      </c>
      <c r="E116" s="269">
        <f t="shared" si="72"/>
        <v>0</v>
      </c>
      <c r="F116" s="269">
        <f t="shared" si="72"/>
        <v>2406.5804699501309</v>
      </c>
      <c r="G116" s="269">
        <f t="shared" si="72"/>
        <v>0</v>
      </c>
      <c r="H116" s="269">
        <f t="shared" si="72"/>
        <v>0</v>
      </c>
      <c r="I116" s="269">
        <f t="shared" si="72"/>
        <v>0</v>
      </c>
      <c r="J116" s="269">
        <f t="shared" si="72"/>
        <v>0</v>
      </c>
      <c r="K116" s="269">
        <f t="shared" si="72"/>
        <v>0</v>
      </c>
      <c r="L116" s="269">
        <f t="shared" si="72"/>
        <v>0</v>
      </c>
      <c r="M116" s="769">
        <f t="shared" si="72"/>
        <v>0</v>
      </c>
      <c r="N116" s="269">
        <f t="shared" si="73"/>
        <v>0</v>
      </c>
      <c r="O116" s="269">
        <f t="shared" si="73"/>
        <v>0</v>
      </c>
      <c r="P116" s="269">
        <f t="shared" si="73"/>
        <v>0</v>
      </c>
      <c r="Q116" s="269">
        <f t="shared" si="73"/>
        <v>0</v>
      </c>
      <c r="R116" s="269">
        <f t="shared" si="73"/>
        <v>0</v>
      </c>
      <c r="S116" s="269">
        <f t="shared" si="73"/>
        <v>0</v>
      </c>
      <c r="T116" s="269">
        <f t="shared" si="73"/>
        <v>0</v>
      </c>
      <c r="U116" s="269">
        <f t="shared" si="73"/>
        <v>0</v>
      </c>
      <c r="V116" s="269">
        <f t="shared" si="73"/>
        <v>0</v>
      </c>
      <c r="W116" s="270">
        <f t="shared" si="73"/>
        <v>0</v>
      </c>
      <c r="X116" s="204">
        <f t="shared" si="75"/>
        <v>2406.5804699501309</v>
      </c>
    </row>
    <row r="117" spans="3:24" hidden="1" outlineLevel="1" x14ac:dyDescent="0.25">
      <c r="C117" s="267" t="str">
        <f t="shared" si="74"/>
        <v>TREIN</v>
      </c>
      <c r="D117" s="268">
        <f t="shared" si="72"/>
        <v>0</v>
      </c>
      <c r="E117" s="269">
        <f t="shared" si="72"/>
        <v>0</v>
      </c>
      <c r="F117" s="269">
        <f t="shared" si="72"/>
        <v>0</v>
      </c>
      <c r="G117" s="269">
        <f t="shared" si="72"/>
        <v>0</v>
      </c>
      <c r="H117" s="269">
        <f t="shared" si="72"/>
        <v>0</v>
      </c>
      <c r="I117" s="269">
        <f t="shared" si="72"/>
        <v>0</v>
      </c>
      <c r="J117" s="269">
        <f t="shared" si="72"/>
        <v>0</v>
      </c>
      <c r="K117" s="269">
        <f t="shared" si="72"/>
        <v>0</v>
      </c>
      <c r="L117" s="269">
        <f t="shared" si="72"/>
        <v>0</v>
      </c>
      <c r="M117" s="769">
        <f t="shared" si="72"/>
        <v>0</v>
      </c>
      <c r="N117" s="269">
        <f t="shared" si="73"/>
        <v>0</v>
      </c>
      <c r="O117" s="269">
        <f t="shared" si="73"/>
        <v>0</v>
      </c>
      <c r="P117" s="269">
        <f t="shared" si="73"/>
        <v>0</v>
      </c>
      <c r="Q117" s="269">
        <f t="shared" si="73"/>
        <v>0</v>
      </c>
      <c r="R117" s="269">
        <f t="shared" si="73"/>
        <v>0</v>
      </c>
      <c r="S117" s="269">
        <f t="shared" si="73"/>
        <v>0</v>
      </c>
      <c r="T117" s="269">
        <f t="shared" si="73"/>
        <v>0</v>
      </c>
      <c r="U117" s="269">
        <f t="shared" si="73"/>
        <v>0</v>
      </c>
      <c r="V117" s="269">
        <f t="shared" si="73"/>
        <v>0</v>
      </c>
      <c r="W117" s="270">
        <f t="shared" si="73"/>
        <v>0</v>
      </c>
      <c r="X117" s="204">
        <f t="shared" si="75"/>
        <v>0</v>
      </c>
    </row>
    <row r="118" spans="3:24" hidden="1" outlineLevel="1" x14ac:dyDescent="0.25">
      <c r="C118" s="267" t="str">
        <f t="shared" si="74"/>
        <v/>
      </c>
      <c r="D118" s="268">
        <f t="shared" si="72"/>
        <v>0</v>
      </c>
      <c r="E118" s="269">
        <f t="shared" si="72"/>
        <v>0</v>
      </c>
      <c r="F118" s="269">
        <f t="shared" si="72"/>
        <v>0</v>
      </c>
      <c r="G118" s="269">
        <f t="shared" si="72"/>
        <v>0</v>
      </c>
      <c r="H118" s="269">
        <f t="shared" si="72"/>
        <v>0</v>
      </c>
      <c r="I118" s="269">
        <f t="shared" si="72"/>
        <v>0</v>
      </c>
      <c r="J118" s="269">
        <f t="shared" si="72"/>
        <v>0</v>
      </c>
      <c r="K118" s="269">
        <f t="shared" si="72"/>
        <v>0</v>
      </c>
      <c r="L118" s="269">
        <f t="shared" si="72"/>
        <v>0</v>
      </c>
      <c r="M118" s="769">
        <f t="shared" si="72"/>
        <v>0</v>
      </c>
      <c r="N118" s="269">
        <f t="shared" si="73"/>
        <v>0</v>
      </c>
      <c r="O118" s="269">
        <f t="shared" si="73"/>
        <v>0</v>
      </c>
      <c r="P118" s="269">
        <f t="shared" si="73"/>
        <v>0</v>
      </c>
      <c r="Q118" s="269">
        <f t="shared" si="73"/>
        <v>0</v>
      </c>
      <c r="R118" s="269">
        <f t="shared" si="73"/>
        <v>0</v>
      </c>
      <c r="S118" s="269">
        <f t="shared" si="73"/>
        <v>0</v>
      </c>
      <c r="T118" s="269">
        <f t="shared" si="73"/>
        <v>0</v>
      </c>
      <c r="U118" s="269">
        <f t="shared" si="73"/>
        <v>0</v>
      </c>
      <c r="V118" s="269">
        <f t="shared" si="73"/>
        <v>0</v>
      </c>
      <c r="W118" s="270">
        <f t="shared" si="73"/>
        <v>0</v>
      </c>
      <c r="X118" s="204">
        <f t="shared" si="75"/>
        <v>0</v>
      </c>
    </row>
    <row r="119" spans="3:24" hidden="1" outlineLevel="1" x14ac:dyDescent="0.25">
      <c r="C119" s="267" t="str">
        <f t="shared" si="74"/>
        <v/>
      </c>
      <c r="D119" s="268">
        <f t="shared" si="72"/>
        <v>0</v>
      </c>
      <c r="E119" s="269">
        <f t="shared" si="72"/>
        <v>0</v>
      </c>
      <c r="F119" s="269">
        <f t="shared" si="72"/>
        <v>0</v>
      </c>
      <c r="G119" s="269">
        <f t="shared" si="72"/>
        <v>0</v>
      </c>
      <c r="H119" s="269">
        <f t="shared" si="72"/>
        <v>0</v>
      </c>
      <c r="I119" s="269">
        <f t="shared" si="72"/>
        <v>0</v>
      </c>
      <c r="J119" s="269">
        <f t="shared" si="72"/>
        <v>0</v>
      </c>
      <c r="K119" s="269">
        <f t="shared" si="72"/>
        <v>0</v>
      </c>
      <c r="L119" s="269">
        <f t="shared" si="72"/>
        <v>0</v>
      </c>
      <c r="M119" s="769">
        <f t="shared" si="72"/>
        <v>0</v>
      </c>
      <c r="N119" s="269">
        <f t="shared" si="73"/>
        <v>0</v>
      </c>
      <c r="O119" s="269">
        <f t="shared" si="73"/>
        <v>0</v>
      </c>
      <c r="P119" s="269">
        <f t="shared" si="73"/>
        <v>0</v>
      </c>
      <c r="Q119" s="269">
        <f t="shared" si="73"/>
        <v>0</v>
      </c>
      <c r="R119" s="269">
        <f t="shared" si="73"/>
        <v>0</v>
      </c>
      <c r="S119" s="269">
        <f t="shared" si="73"/>
        <v>0</v>
      </c>
      <c r="T119" s="269">
        <f t="shared" si="73"/>
        <v>0</v>
      </c>
      <c r="U119" s="269">
        <f t="shared" si="73"/>
        <v>0</v>
      </c>
      <c r="V119" s="269">
        <f t="shared" si="73"/>
        <v>0</v>
      </c>
      <c r="W119" s="270">
        <f t="shared" si="73"/>
        <v>0</v>
      </c>
      <c r="X119" s="204">
        <f t="shared" si="75"/>
        <v>0</v>
      </c>
    </row>
    <row r="120" spans="3:24" hidden="1" outlineLevel="1" x14ac:dyDescent="0.25">
      <c r="C120" s="267" t="str">
        <f t="shared" si="74"/>
        <v/>
      </c>
      <c r="D120" s="268">
        <f t="shared" si="72"/>
        <v>0</v>
      </c>
      <c r="E120" s="269">
        <f t="shared" si="72"/>
        <v>0</v>
      </c>
      <c r="F120" s="269">
        <f t="shared" si="72"/>
        <v>0</v>
      </c>
      <c r="G120" s="269">
        <f t="shared" si="72"/>
        <v>0</v>
      </c>
      <c r="H120" s="269">
        <f t="shared" si="72"/>
        <v>0</v>
      </c>
      <c r="I120" s="269">
        <f t="shared" si="72"/>
        <v>0</v>
      </c>
      <c r="J120" s="269">
        <f t="shared" si="72"/>
        <v>0</v>
      </c>
      <c r="K120" s="269">
        <f t="shared" si="72"/>
        <v>0</v>
      </c>
      <c r="L120" s="269">
        <f t="shared" si="72"/>
        <v>0</v>
      </c>
      <c r="M120" s="769">
        <f t="shared" si="72"/>
        <v>0</v>
      </c>
      <c r="N120" s="269">
        <f t="shared" si="73"/>
        <v>0</v>
      </c>
      <c r="O120" s="269">
        <f t="shared" si="73"/>
        <v>0</v>
      </c>
      <c r="P120" s="269">
        <f t="shared" si="73"/>
        <v>0</v>
      </c>
      <c r="Q120" s="269">
        <f t="shared" si="73"/>
        <v>0</v>
      </c>
      <c r="R120" s="269">
        <f t="shared" si="73"/>
        <v>0</v>
      </c>
      <c r="S120" s="269">
        <f t="shared" si="73"/>
        <v>0</v>
      </c>
      <c r="T120" s="269">
        <f t="shared" si="73"/>
        <v>0</v>
      </c>
      <c r="U120" s="269">
        <f t="shared" si="73"/>
        <v>0</v>
      </c>
      <c r="V120" s="269">
        <f t="shared" si="73"/>
        <v>0</v>
      </c>
      <c r="W120" s="270">
        <f t="shared" si="73"/>
        <v>0</v>
      </c>
      <c r="X120" s="204">
        <f t="shared" si="75"/>
        <v>0</v>
      </c>
    </row>
    <row r="121" spans="3:24" hidden="1" outlineLevel="1" x14ac:dyDescent="0.25">
      <c r="C121" s="267" t="str">
        <f t="shared" si="74"/>
        <v/>
      </c>
      <c r="D121" s="268">
        <f t="shared" si="72"/>
        <v>0</v>
      </c>
      <c r="E121" s="269">
        <f t="shared" si="72"/>
        <v>0</v>
      </c>
      <c r="F121" s="269">
        <f t="shared" si="72"/>
        <v>0</v>
      </c>
      <c r="G121" s="269">
        <f t="shared" si="72"/>
        <v>0</v>
      </c>
      <c r="H121" s="269">
        <f t="shared" si="72"/>
        <v>0</v>
      </c>
      <c r="I121" s="269">
        <f t="shared" si="72"/>
        <v>0</v>
      </c>
      <c r="J121" s="269">
        <f t="shared" si="72"/>
        <v>0</v>
      </c>
      <c r="K121" s="269">
        <f t="shared" si="72"/>
        <v>0</v>
      </c>
      <c r="L121" s="269">
        <f t="shared" si="72"/>
        <v>0</v>
      </c>
      <c r="M121" s="769">
        <f t="shared" si="72"/>
        <v>0</v>
      </c>
      <c r="N121" s="269">
        <f t="shared" si="73"/>
        <v>0</v>
      </c>
      <c r="O121" s="269">
        <f t="shared" si="73"/>
        <v>0</v>
      </c>
      <c r="P121" s="269">
        <f t="shared" si="73"/>
        <v>0</v>
      </c>
      <c r="Q121" s="269">
        <f t="shared" si="73"/>
        <v>0</v>
      </c>
      <c r="R121" s="269">
        <f t="shared" si="73"/>
        <v>0</v>
      </c>
      <c r="S121" s="269">
        <f t="shared" si="73"/>
        <v>0</v>
      </c>
      <c r="T121" s="269">
        <f t="shared" si="73"/>
        <v>0</v>
      </c>
      <c r="U121" s="269">
        <f t="shared" si="73"/>
        <v>0</v>
      </c>
      <c r="V121" s="269">
        <f t="shared" si="73"/>
        <v>0</v>
      </c>
      <c r="W121" s="270">
        <f t="shared" si="73"/>
        <v>0</v>
      </c>
      <c r="X121" s="204">
        <f t="shared" si="75"/>
        <v>0</v>
      </c>
    </row>
    <row r="122" spans="3:24" hidden="1" outlineLevel="1" x14ac:dyDescent="0.25">
      <c r="C122" s="267" t="str">
        <f t="shared" si="74"/>
        <v/>
      </c>
      <c r="D122" s="268">
        <f t="shared" si="72"/>
        <v>0</v>
      </c>
      <c r="E122" s="269">
        <f t="shared" si="72"/>
        <v>0</v>
      </c>
      <c r="F122" s="269">
        <f t="shared" si="72"/>
        <v>0</v>
      </c>
      <c r="G122" s="269">
        <f t="shared" si="72"/>
        <v>0</v>
      </c>
      <c r="H122" s="269">
        <f t="shared" si="72"/>
        <v>0</v>
      </c>
      <c r="I122" s="269">
        <f t="shared" si="72"/>
        <v>0</v>
      </c>
      <c r="J122" s="269">
        <f t="shared" si="72"/>
        <v>0</v>
      </c>
      <c r="K122" s="269">
        <f t="shared" si="72"/>
        <v>0</v>
      </c>
      <c r="L122" s="269">
        <f t="shared" si="72"/>
        <v>0</v>
      </c>
      <c r="M122" s="769">
        <f t="shared" si="72"/>
        <v>0</v>
      </c>
      <c r="N122" s="269">
        <f t="shared" si="73"/>
        <v>0</v>
      </c>
      <c r="O122" s="269">
        <f t="shared" si="73"/>
        <v>0</v>
      </c>
      <c r="P122" s="269">
        <f t="shared" si="73"/>
        <v>0</v>
      </c>
      <c r="Q122" s="269">
        <f t="shared" si="73"/>
        <v>0</v>
      </c>
      <c r="R122" s="269">
        <f t="shared" si="73"/>
        <v>0</v>
      </c>
      <c r="S122" s="269">
        <f t="shared" si="73"/>
        <v>0</v>
      </c>
      <c r="T122" s="269">
        <f t="shared" si="73"/>
        <v>0</v>
      </c>
      <c r="U122" s="269">
        <f t="shared" si="73"/>
        <v>0</v>
      </c>
      <c r="V122" s="269">
        <f t="shared" si="73"/>
        <v>0</v>
      </c>
      <c r="W122" s="270">
        <f t="shared" si="73"/>
        <v>0</v>
      </c>
      <c r="X122" s="204">
        <f t="shared" si="75"/>
        <v>0</v>
      </c>
    </row>
    <row r="123" spans="3:24" hidden="1" outlineLevel="1" x14ac:dyDescent="0.25">
      <c r="C123" s="267" t="str">
        <f t="shared" si="74"/>
        <v/>
      </c>
      <c r="D123" s="268">
        <f t="shared" si="72"/>
        <v>0</v>
      </c>
      <c r="E123" s="269">
        <f t="shared" si="72"/>
        <v>0</v>
      </c>
      <c r="F123" s="269">
        <f t="shared" si="72"/>
        <v>0</v>
      </c>
      <c r="G123" s="269">
        <f t="shared" si="72"/>
        <v>0</v>
      </c>
      <c r="H123" s="269">
        <f t="shared" si="72"/>
        <v>0</v>
      </c>
      <c r="I123" s="269">
        <f t="shared" si="72"/>
        <v>0</v>
      </c>
      <c r="J123" s="269">
        <f t="shared" si="72"/>
        <v>0</v>
      </c>
      <c r="K123" s="269">
        <f t="shared" si="72"/>
        <v>0</v>
      </c>
      <c r="L123" s="269">
        <f t="shared" si="72"/>
        <v>0</v>
      </c>
      <c r="M123" s="769">
        <f t="shared" si="72"/>
        <v>0</v>
      </c>
      <c r="N123" s="269">
        <f t="shared" si="73"/>
        <v>0</v>
      </c>
      <c r="O123" s="269">
        <f t="shared" si="73"/>
        <v>0</v>
      </c>
      <c r="P123" s="269">
        <f t="shared" si="73"/>
        <v>0</v>
      </c>
      <c r="Q123" s="269">
        <f t="shared" si="73"/>
        <v>0</v>
      </c>
      <c r="R123" s="269">
        <f t="shared" si="73"/>
        <v>0</v>
      </c>
      <c r="S123" s="269">
        <f t="shared" si="73"/>
        <v>0</v>
      </c>
      <c r="T123" s="269">
        <f t="shared" si="73"/>
        <v>0</v>
      </c>
      <c r="U123" s="269">
        <f t="shared" si="73"/>
        <v>0</v>
      </c>
      <c r="V123" s="269">
        <f t="shared" si="73"/>
        <v>0</v>
      </c>
      <c r="W123" s="270">
        <f t="shared" si="73"/>
        <v>0</v>
      </c>
      <c r="X123" s="204">
        <f t="shared" si="75"/>
        <v>0</v>
      </c>
    </row>
    <row r="124" spans="3:24" hidden="1" outlineLevel="1" x14ac:dyDescent="0.25">
      <c r="C124" s="267" t="str">
        <f t="shared" si="74"/>
        <v/>
      </c>
      <c r="D124" s="268">
        <f t="shared" ref="D124:M133" si="76">IF(AND($C124&lt;&gt;"",D$5&lt;&gt;""),SUMIFS(col_icms,col_abertura1,$C124,col_abertura2,D$5)+IF($E$3=$A$4,SUMIFS(col_fatdir_icms_mn,col_abertura1,$C124,col_abertura2,D$5),0),0)</f>
        <v>0</v>
      </c>
      <c r="E124" s="269">
        <f t="shared" si="76"/>
        <v>0</v>
      </c>
      <c r="F124" s="269">
        <f t="shared" si="76"/>
        <v>0</v>
      </c>
      <c r="G124" s="269">
        <f t="shared" si="76"/>
        <v>0</v>
      </c>
      <c r="H124" s="269">
        <f t="shared" si="76"/>
        <v>0</v>
      </c>
      <c r="I124" s="269">
        <f t="shared" si="76"/>
        <v>0</v>
      </c>
      <c r="J124" s="269">
        <f t="shared" si="76"/>
        <v>0</v>
      </c>
      <c r="K124" s="269">
        <f t="shared" si="76"/>
        <v>0</v>
      </c>
      <c r="L124" s="269">
        <f t="shared" si="76"/>
        <v>0</v>
      </c>
      <c r="M124" s="769">
        <f t="shared" si="76"/>
        <v>0</v>
      </c>
      <c r="N124" s="269">
        <f t="shared" ref="N124:W133" si="77">IF(AND($C124&lt;&gt;"",N$5&lt;&gt;""),SUMIFS(col_icms,col_abertura1,$C124,col_abertura2,N$5)+IF($E$3=$A$4,SUMIFS(col_fatdir_icms_mn,col_abertura1,$C124,col_abertura2,N$5),0),0)</f>
        <v>0</v>
      </c>
      <c r="O124" s="269">
        <f t="shared" si="77"/>
        <v>0</v>
      </c>
      <c r="P124" s="269">
        <f t="shared" si="77"/>
        <v>0</v>
      </c>
      <c r="Q124" s="269">
        <f t="shared" si="77"/>
        <v>0</v>
      </c>
      <c r="R124" s="269">
        <f t="shared" si="77"/>
        <v>0</v>
      </c>
      <c r="S124" s="269">
        <f t="shared" si="77"/>
        <v>0</v>
      </c>
      <c r="T124" s="269">
        <f t="shared" si="77"/>
        <v>0</v>
      </c>
      <c r="U124" s="269">
        <f t="shared" si="77"/>
        <v>0</v>
      </c>
      <c r="V124" s="269">
        <f t="shared" si="77"/>
        <v>0</v>
      </c>
      <c r="W124" s="270">
        <f t="shared" si="77"/>
        <v>0</v>
      </c>
      <c r="X124" s="204">
        <f t="shared" si="75"/>
        <v>0</v>
      </c>
    </row>
    <row r="125" spans="3:24" hidden="1" outlineLevel="1" x14ac:dyDescent="0.25">
      <c r="C125" s="267" t="str">
        <f t="shared" si="74"/>
        <v/>
      </c>
      <c r="D125" s="268">
        <f t="shared" si="76"/>
        <v>0</v>
      </c>
      <c r="E125" s="269">
        <f t="shared" si="76"/>
        <v>0</v>
      </c>
      <c r="F125" s="269">
        <f t="shared" si="76"/>
        <v>0</v>
      </c>
      <c r="G125" s="269">
        <f t="shared" si="76"/>
        <v>0</v>
      </c>
      <c r="H125" s="269">
        <f t="shared" si="76"/>
        <v>0</v>
      </c>
      <c r="I125" s="269">
        <f t="shared" si="76"/>
        <v>0</v>
      </c>
      <c r="J125" s="269">
        <f t="shared" si="76"/>
        <v>0</v>
      </c>
      <c r="K125" s="269">
        <f t="shared" si="76"/>
        <v>0</v>
      </c>
      <c r="L125" s="269">
        <f t="shared" si="76"/>
        <v>0</v>
      </c>
      <c r="M125" s="769">
        <f t="shared" si="76"/>
        <v>0</v>
      </c>
      <c r="N125" s="269">
        <f t="shared" si="77"/>
        <v>0</v>
      </c>
      <c r="O125" s="269">
        <f t="shared" si="77"/>
        <v>0</v>
      </c>
      <c r="P125" s="269">
        <f t="shared" si="77"/>
        <v>0</v>
      </c>
      <c r="Q125" s="269">
        <f t="shared" si="77"/>
        <v>0</v>
      </c>
      <c r="R125" s="269">
        <f t="shared" si="77"/>
        <v>0</v>
      </c>
      <c r="S125" s="269">
        <f t="shared" si="77"/>
        <v>0</v>
      </c>
      <c r="T125" s="269">
        <f t="shared" si="77"/>
        <v>0</v>
      </c>
      <c r="U125" s="269">
        <f t="shared" si="77"/>
        <v>0</v>
      </c>
      <c r="V125" s="269">
        <f t="shared" si="77"/>
        <v>0</v>
      </c>
      <c r="W125" s="270">
        <f t="shared" si="77"/>
        <v>0</v>
      </c>
      <c r="X125" s="204">
        <f t="shared" si="75"/>
        <v>0</v>
      </c>
    </row>
    <row r="126" spans="3:24" hidden="1" outlineLevel="1" x14ac:dyDescent="0.25">
      <c r="C126" s="267" t="str">
        <f t="shared" si="74"/>
        <v/>
      </c>
      <c r="D126" s="268">
        <f t="shared" si="76"/>
        <v>0</v>
      </c>
      <c r="E126" s="269">
        <f t="shared" si="76"/>
        <v>0</v>
      </c>
      <c r="F126" s="269">
        <f t="shared" si="76"/>
        <v>0</v>
      </c>
      <c r="G126" s="269">
        <f t="shared" si="76"/>
        <v>0</v>
      </c>
      <c r="H126" s="269">
        <f t="shared" si="76"/>
        <v>0</v>
      </c>
      <c r="I126" s="269">
        <f t="shared" si="76"/>
        <v>0</v>
      </c>
      <c r="J126" s="269">
        <f t="shared" si="76"/>
        <v>0</v>
      </c>
      <c r="K126" s="269">
        <f t="shared" si="76"/>
        <v>0</v>
      </c>
      <c r="L126" s="269">
        <f t="shared" si="76"/>
        <v>0</v>
      </c>
      <c r="M126" s="769">
        <f t="shared" si="76"/>
        <v>0</v>
      </c>
      <c r="N126" s="269">
        <f t="shared" si="77"/>
        <v>0</v>
      </c>
      <c r="O126" s="269">
        <f t="shared" si="77"/>
        <v>0</v>
      </c>
      <c r="P126" s="269">
        <f t="shared" si="77"/>
        <v>0</v>
      </c>
      <c r="Q126" s="269">
        <f t="shared" si="77"/>
        <v>0</v>
      </c>
      <c r="R126" s="269">
        <f t="shared" si="77"/>
        <v>0</v>
      </c>
      <c r="S126" s="269">
        <f t="shared" si="77"/>
        <v>0</v>
      </c>
      <c r="T126" s="269">
        <f t="shared" si="77"/>
        <v>0</v>
      </c>
      <c r="U126" s="269">
        <f t="shared" si="77"/>
        <v>0</v>
      </c>
      <c r="V126" s="269">
        <f t="shared" si="77"/>
        <v>0</v>
      </c>
      <c r="W126" s="270">
        <f t="shared" si="77"/>
        <v>0</v>
      </c>
      <c r="X126" s="204">
        <f t="shared" si="75"/>
        <v>0</v>
      </c>
    </row>
    <row r="127" spans="3:24" hidden="1" outlineLevel="1" x14ac:dyDescent="0.25">
      <c r="C127" s="267" t="str">
        <f t="shared" si="74"/>
        <v/>
      </c>
      <c r="D127" s="268">
        <f t="shared" si="76"/>
        <v>0</v>
      </c>
      <c r="E127" s="269">
        <f t="shared" si="76"/>
        <v>0</v>
      </c>
      <c r="F127" s="269">
        <f t="shared" si="76"/>
        <v>0</v>
      </c>
      <c r="G127" s="269">
        <f t="shared" si="76"/>
        <v>0</v>
      </c>
      <c r="H127" s="269">
        <f t="shared" si="76"/>
        <v>0</v>
      </c>
      <c r="I127" s="269">
        <f t="shared" si="76"/>
        <v>0</v>
      </c>
      <c r="J127" s="269">
        <f t="shared" si="76"/>
        <v>0</v>
      </c>
      <c r="K127" s="269">
        <f t="shared" si="76"/>
        <v>0</v>
      </c>
      <c r="L127" s="269">
        <f t="shared" si="76"/>
        <v>0</v>
      </c>
      <c r="M127" s="769">
        <f t="shared" si="76"/>
        <v>0</v>
      </c>
      <c r="N127" s="269">
        <f t="shared" si="77"/>
        <v>0</v>
      </c>
      <c r="O127" s="269">
        <f t="shared" si="77"/>
        <v>0</v>
      </c>
      <c r="P127" s="269">
        <f t="shared" si="77"/>
        <v>0</v>
      </c>
      <c r="Q127" s="269">
        <f t="shared" si="77"/>
        <v>0</v>
      </c>
      <c r="R127" s="269">
        <f t="shared" si="77"/>
        <v>0</v>
      </c>
      <c r="S127" s="269">
        <f t="shared" si="77"/>
        <v>0</v>
      </c>
      <c r="T127" s="269">
        <f t="shared" si="77"/>
        <v>0</v>
      </c>
      <c r="U127" s="269">
        <f t="shared" si="77"/>
        <v>0</v>
      </c>
      <c r="V127" s="269">
        <f t="shared" si="77"/>
        <v>0</v>
      </c>
      <c r="W127" s="270">
        <f t="shared" si="77"/>
        <v>0</v>
      </c>
      <c r="X127" s="204">
        <f t="shared" si="75"/>
        <v>0</v>
      </c>
    </row>
    <row r="128" spans="3:24" hidden="1" outlineLevel="1" x14ac:dyDescent="0.25">
      <c r="C128" s="267" t="str">
        <f t="shared" si="74"/>
        <v/>
      </c>
      <c r="D128" s="268">
        <f t="shared" si="76"/>
        <v>0</v>
      </c>
      <c r="E128" s="269">
        <f t="shared" si="76"/>
        <v>0</v>
      </c>
      <c r="F128" s="269">
        <f t="shared" si="76"/>
        <v>0</v>
      </c>
      <c r="G128" s="269">
        <f t="shared" si="76"/>
        <v>0</v>
      </c>
      <c r="H128" s="269">
        <f t="shared" si="76"/>
        <v>0</v>
      </c>
      <c r="I128" s="269">
        <f t="shared" si="76"/>
        <v>0</v>
      </c>
      <c r="J128" s="269">
        <f t="shared" si="76"/>
        <v>0</v>
      </c>
      <c r="K128" s="269">
        <f t="shared" si="76"/>
        <v>0</v>
      </c>
      <c r="L128" s="269">
        <f t="shared" si="76"/>
        <v>0</v>
      </c>
      <c r="M128" s="769">
        <f t="shared" si="76"/>
        <v>0</v>
      </c>
      <c r="N128" s="269">
        <f t="shared" si="77"/>
        <v>0</v>
      </c>
      <c r="O128" s="269">
        <f t="shared" si="77"/>
        <v>0</v>
      </c>
      <c r="P128" s="269">
        <f t="shared" si="77"/>
        <v>0</v>
      </c>
      <c r="Q128" s="269">
        <f t="shared" si="77"/>
        <v>0</v>
      </c>
      <c r="R128" s="269">
        <f t="shared" si="77"/>
        <v>0</v>
      </c>
      <c r="S128" s="269">
        <f t="shared" si="77"/>
        <v>0</v>
      </c>
      <c r="T128" s="269">
        <f t="shared" si="77"/>
        <v>0</v>
      </c>
      <c r="U128" s="269">
        <f t="shared" si="77"/>
        <v>0</v>
      </c>
      <c r="V128" s="269">
        <f t="shared" si="77"/>
        <v>0</v>
      </c>
      <c r="W128" s="270">
        <f t="shared" si="77"/>
        <v>0</v>
      </c>
      <c r="X128" s="204">
        <f t="shared" si="75"/>
        <v>0</v>
      </c>
    </row>
    <row r="129" spans="3:24" hidden="1" outlineLevel="1" x14ac:dyDescent="0.25">
      <c r="C129" s="267" t="str">
        <f t="shared" si="74"/>
        <v/>
      </c>
      <c r="D129" s="268">
        <f t="shared" si="76"/>
        <v>0</v>
      </c>
      <c r="E129" s="269">
        <f t="shared" si="76"/>
        <v>0</v>
      </c>
      <c r="F129" s="269">
        <f t="shared" si="76"/>
        <v>0</v>
      </c>
      <c r="G129" s="269">
        <f t="shared" si="76"/>
        <v>0</v>
      </c>
      <c r="H129" s="269">
        <f t="shared" si="76"/>
        <v>0</v>
      </c>
      <c r="I129" s="269">
        <f t="shared" si="76"/>
        <v>0</v>
      </c>
      <c r="J129" s="269">
        <f t="shared" si="76"/>
        <v>0</v>
      </c>
      <c r="K129" s="269">
        <f t="shared" si="76"/>
        <v>0</v>
      </c>
      <c r="L129" s="269">
        <f t="shared" si="76"/>
        <v>0</v>
      </c>
      <c r="M129" s="769">
        <f t="shared" si="76"/>
        <v>0</v>
      </c>
      <c r="N129" s="269">
        <f t="shared" si="77"/>
        <v>0</v>
      </c>
      <c r="O129" s="269">
        <f t="shared" si="77"/>
        <v>0</v>
      </c>
      <c r="P129" s="269">
        <f t="shared" si="77"/>
        <v>0</v>
      </c>
      <c r="Q129" s="269">
        <f t="shared" si="77"/>
        <v>0</v>
      </c>
      <c r="R129" s="269">
        <f t="shared" si="77"/>
        <v>0</v>
      </c>
      <c r="S129" s="269">
        <f t="shared" si="77"/>
        <v>0</v>
      </c>
      <c r="T129" s="269">
        <f t="shared" si="77"/>
        <v>0</v>
      </c>
      <c r="U129" s="269">
        <f t="shared" si="77"/>
        <v>0</v>
      </c>
      <c r="V129" s="269">
        <f t="shared" si="77"/>
        <v>0</v>
      </c>
      <c r="W129" s="270">
        <f t="shared" si="77"/>
        <v>0</v>
      </c>
      <c r="X129" s="204">
        <f t="shared" si="75"/>
        <v>0</v>
      </c>
    </row>
    <row r="130" spans="3:24" hidden="1" outlineLevel="1" x14ac:dyDescent="0.25">
      <c r="C130" s="267" t="str">
        <f t="shared" si="74"/>
        <v/>
      </c>
      <c r="D130" s="268">
        <f t="shared" si="76"/>
        <v>0</v>
      </c>
      <c r="E130" s="269">
        <f t="shared" si="76"/>
        <v>0</v>
      </c>
      <c r="F130" s="269">
        <f t="shared" si="76"/>
        <v>0</v>
      </c>
      <c r="G130" s="269">
        <f t="shared" si="76"/>
        <v>0</v>
      </c>
      <c r="H130" s="269">
        <f t="shared" si="76"/>
        <v>0</v>
      </c>
      <c r="I130" s="269">
        <f t="shared" si="76"/>
        <v>0</v>
      </c>
      <c r="J130" s="269">
        <f t="shared" si="76"/>
        <v>0</v>
      </c>
      <c r="K130" s="269">
        <f t="shared" si="76"/>
        <v>0</v>
      </c>
      <c r="L130" s="269">
        <f t="shared" si="76"/>
        <v>0</v>
      </c>
      <c r="M130" s="769">
        <f t="shared" si="76"/>
        <v>0</v>
      </c>
      <c r="N130" s="269">
        <f t="shared" si="77"/>
        <v>0</v>
      </c>
      <c r="O130" s="269">
        <f t="shared" si="77"/>
        <v>0</v>
      </c>
      <c r="P130" s="269">
        <f t="shared" si="77"/>
        <v>0</v>
      </c>
      <c r="Q130" s="269">
        <f t="shared" si="77"/>
        <v>0</v>
      </c>
      <c r="R130" s="269">
        <f t="shared" si="77"/>
        <v>0</v>
      </c>
      <c r="S130" s="269">
        <f t="shared" si="77"/>
        <v>0</v>
      </c>
      <c r="T130" s="269">
        <f t="shared" si="77"/>
        <v>0</v>
      </c>
      <c r="U130" s="269">
        <f t="shared" si="77"/>
        <v>0</v>
      </c>
      <c r="V130" s="269">
        <f t="shared" si="77"/>
        <v>0</v>
      </c>
      <c r="W130" s="270">
        <f t="shared" si="77"/>
        <v>0</v>
      </c>
      <c r="X130" s="204">
        <f t="shared" si="75"/>
        <v>0</v>
      </c>
    </row>
    <row r="131" spans="3:24" hidden="1" outlineLevel="1" x14ac:dyDescent="0.25">
      <c r="C131" s="267" t="str">
        <f t="shared" si="74"/>
        <v/>
      </c>
      <c r="D131" s="268">
        <f t="shared" si="76"/>
        <v>0</v>
      </c>
      <c r="E131" s="269">
        <f t="shared" si="76"/>
        <v>0</v>
      </c>
      <c r="F131" s="269">
        <f t="shared" si="76"/>
        <v>0</v>
      </c>
      <c r="G131" s="269">
        <f t="shared" si="76"/>
        <v>0</v>
      </c>
      <c r="H131" s="269">
        <f t="shared" si="76"/>
        <v>0</v>
      </c>
      <c r="I131" s="269">
        <f t="shared" si="76"/>
        <v>0</v>
      </c>
      <c r="J131" s="269">
        <f t="shared" si="76"/>
        <v>0</v>
      </c>
      <c r="K131" s="269">
        <f t="shared" si="76"/>
        <v>0</v>
      </c>
      <c r="L131" s="269">
        <f t="shared" si="76"/>
        <v>0</v>
      </c>
      <c r="M131" s="769">
        <f t="shared" si="76"/>
        <v>0</v>
      </c>
      <c r="N131" s="269">
        <f t="shared" si="77"/>
        <v>0</v>
      </c>
      <c r="O131" s="269">
        <f t="shared" si="77"/>
        <v>0</v>
      </c>
      <c r="P131" s="269">
        <f t="shared" si="77"/>
        <v>0</v>
      </c>
      <c r="Q131" s="269">
        <f t="shared" si="77"/>
        <v>0</v>
      </c>
      <c r="R131" s="269">
        <f t="shared" si="77"/>
        <v>0</v>
      </c>
      <c r="S131" s="269">
        <f t="shared" si="77"/>
        <v>0</v>
      </c>
      <c r="T131" s="269">
        <f t="shared" si="77"/>
        <v>0</v>
      </c>
      <c r="U131" s="269">
        <f t="shared" si="77"/>
        <v>0</v>
      </c>
      <c r="V131" s="269">
        <f t="shared" si="77"/>
        <v>0</v>
      </c>
      <c r="W131" s="270">
        <f t="shared" si="77"/>
        <v>0</v>
      </c>
      <c r="X131" s="204">
        <f t="shared" si="75"/>
        <v>0</v>
      </c>
    </row>
    <row r="132" spans="3:24" hidden="1" outlineLevel="1" x14ac:dyDescent="0.25">
      <c r="C132" s="267" t="str">
        <f t="shared" si="74"/>
        <v/>
      </c>
      <c r="D132" s="268">
        <f t="shared" si="76"/>
        <v>0</v>
      </c>
      <c r="E132" s="269">
        <f t="shared" si="76"/>
        <v>0</v>
      </c>
      <c r="F132" s="269">
        <f t="shared" si="76"/>
        <v>0</v>
      </c>
      <c r="G132" s="269">
        <f t="shared" si="76"/>
        <v>0</v>
      </c>
      <c r="H132" s="269">
        <f t="shared" si="76"/>
        <v>0</v>
      </c>
      <c r="I132" s="269">
        <f t="shared" si="76"/>
        <v>0</v>
      </c>
      <c r="J132" s="269">
        <f t="shared" si="76"/>
        <v>0</v>
      </c>
      <c r="K132" s="269">
        <f t="shared" si="76"/>
        <v>0</v>
      </c>
      <c r="L132" s="269">
        <f t="shared" si="76"/>
        <v>0</v>
      </c>
      <c r="M132" s="769">
        <f t="shared" si="76"/>
        <v>0</v>
      </c>
      <c r="N132" s="269">
        <f t="shared" si="77"/>
        <v>0</v>
      </c>
      <c r="O132" s="269">
        <f t="shared" si="77"/>
        <v>0</v>
      </c>
      <c r="P132" s="269">
        <f t="shared" si="77"/>
        <v>0</v>
      </c>
      <c r="Q132" s="269">
        <f t="shared" si="77"/>
        <v>0</v>
      </c>
      <c r="R132" s="269">
        <f t="shared" si="77"/>
        <v>0</v>
      </c>
      <c r="S132" s="269">
        <f t="shared" si="77"/>
        <v>0</v>
      </c>
      <c r="T132" s="269">
        <f t="shared" si="77"/>
        <v>0</v>
      </c>
      <c r="U132" s="269">
        <f t="shared" si="77"/>
        <v>0</v>
      </c>
      <c r="V132" s="269">
        <f t="shared" si="77"/>
        <v>0</v>
      </c>
      <c r="W132" s="270">
        <f t="shared" si="77"/>
        <v>0</v>
      </c>
      <c r="X132" s="204">
        <f t="shared" si="75"/>
        <v>0</v>
      </c>
    </row>
    <row r="133" spans="3:24" hidden="1" outlineLevel="1" x14ac:dyDescent="0.25">
      <c r="C133" s="267" t="str">
        <f t="shared" si="74"/>
        <v/>
      </c>
      <c r="D133" s="268">
        <f t="shared" si="76"/>
        <v>0</v>
      </c>
      <c r="E133" s="269">
        <f t="shared" si="76"/>
        <v>0</v>
      </c>
      <c r="F133" s="269">
        <f t="shared" si="76"/>
        <v>0</v>
      </c>
      <c r="G133" s="269">
        <f t="shared" si="76"/>
        <v>0</v>
      </c>
      <c r="H133" s="269">
        <f t="shared" si="76"/>
        <v>0</v>
      </c>
      <c r="I133" s="269">
        <f t="shared" si="76"/>
        <v>0</v>
      </c>
      <c r="J133" s="269">
        <f t="shared" si="76"/>
        <v>0</v>
      </c>
      <c r="K133" s="269">
        <f t="shared" si="76"/>
        <v>0</v>
      </c>
      <c r="L133" s="269">
        <f t="shared" si="76"/>
        <v>0</v>
      </c>
      <c r="M133" s="769">
        <f t="shared" si="76"/>
        <v>0</v>
      </c>
      <c r="N133" s="269">
        <f t="shared" si="77"/>
        <v>0</v>
      </c>
      <c r="O133" s="269">
        <f t="shared" si="77"/>
        <v>0</v>
      </c>
      <c r="P133" s="269">
        <f t="shared" si="77"/>
        <v>0</v>
      </c>
      <c r="Q133" s="269">
        <f t="shared" si="77"/>
        <v>0</v>
      </c>
      <c r="R133" s="269">
        <f t="shared" si="77"/>
        <v>0</v>
      </c>
      <c r="S133" s="269">
        <f t="shared" si="77"/>
        <v>0</v>
      </c>
      <c r="T133" s="269">
        <f t="shared" si="77"/>
        <v>0</v>
      </c>
      <c r="U133" s="269">
        <f t="shared" si="77"/>
        <v>0</v>
      </c>
      <c r="V133" s="269">
        <f t="shared" si="77"/>
        <v>0</v>
      </c>
      <c r="W133" s="270">
        <f t="shared" si="77"/>
        <v>0</v>
      </c>
      <c r="X133" s="204">
        <f t="shared" si="75"/>
        <v>0</v>
      </c>
    </row>
    <row r="134" spans="3:24" hidden="1" outlineLevel="1" x14ac:dyDescent="0.25">
      <c r="C134" s="267" t="str">
        <f t="shared" si="74"/>
        <v/>
      </c>
      <c r="D134" s="268">
        <f t="shared" ref="D134:M143" si="78">IF(AND($C134&lt;&gt;"",D$5&lt;&gt;""),SUMIFS(col_icms,col_abertura1,$C134,col_abertura2,D$5)+IF($E$3=$A$4,SUMIFS(col_fatdir_icms_mn,col_abertura1,$C134,col_abertura2,D$5),0),0)</f>
        <v>0</v>
      </c>
      <c r="E134" s="269">
        <f t="shared" si="78"/>
        <v>0</v>
      </c>
      <c r="F134" s="269">
        <f t="shared" si="78"/>
        <v>0</v>
      </c>
      <c r="G134" s="269">
        <f t="shared" si="78"/>
        <v>0</v>
      </c>
      <c r="H134" s="269">
        <f t="shared" si="78"/>
        <v>0</v>
      </c>
      <c r="I134" s="269">
        <f t="shared" si="78"/>
        <v>0</v>
      </c>
      <c r="J134" s="269">
        <f t="shared" si="78"/>
        <v>0</v>
      </c>
      <c r="K134" s="269">
        <f t="shared" si="78"/>
        <v>0</v>
      </c>
      <c r="L134" s="269">
        <f t="shared" si="78"/>
        <v>0</v>
      </c>
      <c r="M134" s="769">
        <f t="shared" si="78"/>
        <v>0</v>
      </c>
      <c r="N134" s="269">
        <f t="shared" ref="N134:W143" si="79">IF(AND($C134&lt;&gt;"",N$5&lt;&gt;""),SUMIFS(col_icms,col_abertura1,$C134,col_abertura2,N$5)+IF($E$3=$A$4,SUMIFS(col_fatdir_icms_mn,col_abertura1,$C134,col_abertura2,N$5),0),0)</f>
        <v>0</v>
      </c>
      <c r="O134" s="269">
        <f t="shared" si="79"/>
        <v>0</v>
      </c>
      <c r="P134" s="269">
        <f t="shared" si="79"/>
        <v>0</v>
      </c>
      <c r="Q134" s="269">
        <f t="shared" si="79"/>
        <v>0</v>
      </c>
      <c r="R134" s="269">
        <f t="shared" si="79"/>
        <v>0</v>
      </c>
      <c r="S134" s="269">
        <f t="shared" si="79"/>
        <v>0</v>
      </c>
      <c r="T134" s="269">
        <f t="shared" si="79"/>
        <v>0</v>
      </c>
      <c r="U134" s="269">
        <f t="shared" si="79"/>
        <v>0</v>
      </c>
      <c r="V134" s="269">
        <f t="shared" si="79"/>
        <v>0</v>
      </c>
      <c r="W134" s="270">
        <f t="shared" si="79"/>
        <v>0</v>
      </c>
      <c r="X134" s="204">
        <f t="shared" si="75"/>
        <v>0</v>
      </c>
    </row>
    <row r="135" spans="3:24" hidden="1" outlineLevel="1" x14ac:dyDescent="0.25">
      <c r="C135" s="267" t="str">
        <f t="shared" si="74"/>
        <v/>
      </c>
      <c r="D135" s="268">
        <f t="shared" si="78"/>
        <v>0</v>
      </c>
      <c r="E135" s="269">
        <f t="shared" si="78"/>
        <v>0</v>
      </c>
      <c r="F135" s="269">
        <f t="shared" si="78"/>
        <v>0</v>
      </c>
      <c r="G135" s="269">
        <f t="shared" si="78"/>
        <v>0</v>
      </c>
      <c r="H135" s="269">
        <f t="shared" si="78"/>
        <v>0</v>
      </c>
      <c r="I135" s="269">
        <f t="shared" si="78"/>
        <v>0</v>
      </c>
      <c r="J135" s="269">
        <f t="shared" si="78"/>
        <v>0</v>
      </c>
      <c r="K135" s="269">
        <f t="shared" si="78"/>
        <v>0</v>
      </c>
      <c r="L135" s="269">
        <f t="shared" si="78"/>
        <v>0</v>
      </c>
      <c r="M135" s="769">
        <f t="shared" si="78"/>
        <v>0</v>
      </c>
      <c r="N135" s="269">
        <f t="shared" si="79"/>
        <v>0</v>
      </c>
      <c r="O135" s="269">
        <f t="shared" si="79"/>
        <v>0</v>
      </c>
      <c r="P135" s="269">
        <f t="shared" si="79"/>
        <v>0</v>
      </c>
      <c r="Q135" s="269">
        <f t="shared" si="79"/>
        <v>0</v>
      </c>
      <c r="R135" s="269">
        <f t="shared" si="79"/>
        <v>0</v>
      </c>
      <c r="S135" s="269">
        <f t="shared" si="79"/>
        <v>0</v>
      </c>
      <c r="T135" s="269">
        <f t="shared" si="79"/>
        <v>0</v>
      </c>
      <c r="U135" s="269">
        <f t="shared" si="79"/>
        <v>0</v>
      </c>
      <c r="V135" s="269">
        <f t="shared" si="79"/>
        <v>0</v>
      </c>
      <c r="W135" s="270">
        <f t="shared" si="79"/>
        <v>0</v>
      </c>
      <c r="X135" s="204">
        <f t="shared" si="75"/>
        <v>0</v>
      </c>
    </row>
    <row r="136" spans="3:24" hidden="1" outlineLevel="1" x14ac:dyDescent="0.25">
      <c r="C136" s="267" t="str">
        <f t="shared" si="74"/>
        <v/>
      </c>
      <c r="D136" s="268">
        <f t="shared" si="78"/>
        <v>0</v>
      </c>
      <c r="E136" s="269">
        <f t="shared" si="78"/>
        <v>0</v>
      </c>
      <c r="F136" s="269">
        <f t="shared" si="78"/>
        <v>0</v>
      </c>
      <c r="G136" s="269">
        <f t="shared" si="78"/>
        <v>0</v>
      </c>
      <c r="H136" s="269">
        <f t="shared" si="78"/>
        <v>0</v>
      </c>
      <c r="I136" s="269">
        <f t="shared" si="78"/>
        <v>0</v>
      </c>
      <c r="J136" s="269">
        <f t="shared" si="78"/>
        <v>0</v>
      </c>
      <c r="K136" s="269">
        <f t="shared" si="78"/>
        <v>0</v>
      </c>
      <c r="L136" s="269">
        <f t="shared" si="78"/>
        <v>0</v>
      </c>
      <c r="M136" s="769">
        <f t="shared" si="78"/>
        <v>0</v>
      </c>
      <c r="N136" s="269">
        <f t="shared" si="79"/>
        <v>0</v>
      </c>
      <c r="O136" s="269">
        <f t="shared" si="79"/>
        <v>0</v>
      </c>
      <c r="P136" s="269">
        <f t="shared" si="79"/>
        <v>0</v>
      </c>
      <c r="Q136" s="269">
        <f t="shared" si="79"/>
        <v>0</v>
      </c>
      <c r="R136" s="269">
        <f t="shared" si="79"/>
        <v>0</v>
      </c>
      <c r="S136" s="269">
        <f t="shared" si="79"/>
        <v>0</v>
      </c>
      <c r="T136" s="269">
        <f t="shared" si="79"/>
        <v>0</v>
      </c>
      <c r="U136" s="269">
        <f t="shared" si="79"/>
        <v>0</v>
      </c>
      <c r="V136" s="269">
        <f t="shared" si="79"/>
        <v>0</v>
      </c>
      <c r="W136" s="270">
        <f t="shared" si="79"/>
        <v>0</v>
      </c>
      <c r="X136" s="204">
        <f t="shared" si="75"/>
        <v>0</v>
      </c>
    </row>
    <row r="137" spans="3:24" hidden="1" outlineLevel="1" x14ac:dyDescent="0.25">
      <c r="C137" s="267" t="str">
        <f t="shared" si="74"/>
        <v/>
      </c>
      <c r="D137" s="268">
        <f t="shared" si="78"/>
        <v>0</v>
      </c>
      <c r="E137" s="269">
        <f t="shared" si="78"/>
        <v>0</v>
      </c>
      <c r="F137" s="269">
        <f t="shared" si="78"/>
        <v>0</v>
      </c>
      <c r="G137" s="269">
        <f t="shared" si="78"/>
        <v>0</v>
      </c>
      <c r="H137" s="269">
        <f t="shared" si="78"/>
        <v>0</v>
      </c>
      <c r="I137" s="269">
        <f t="shared" si="78"/>
        <v>0</v>
      </c>
      <c r="J137" s="269">
        <f t="shared" si="78"/>
        <v>0</v>
      </c>
      <c r="K137" s="269">
        <f t="shared" si="78"/>
        <v>0</v>
      </c>
      <c r="L137" s="269">
        <f t="shared" si="78"/>
        <v>0</v>
      </c>
      <c r="M137" s="769">
        <f t="shared" si="78"/>
        <v>0</v>
      </c>
      <c r="N137" s="269">
        <f t="shared" si="79"/>
        <v>0</v>
      </c>
      <c r="O137" s="269">
        <f t="shared" si="79"/>
        <v>0</v>
      </c>
      <c r="P137" s="269">
        <f t="shared" si="79"/>
        <v>0</v>
      </c>
      <c r="Q137" s="269">
        <f t="shared" si="79"/>
        <v>0</v>
      </c>
      <c r="R137" s="269">
        <f t="shared" si="79"/>
        <v>0</v>
      </c>
      <c r="S137" s="269">
        <f t="shared" si="79"/>
        <v>0</v>
      </c>
      <c r="T137" s="269">
        <f t="shared" si="79"/>
        <v>0</v>
      </c>
      <c r="U137" s="269">
        <f t="shared" si="79"/>
        <v>0</v>
      </c>
      <c r="V137" s="269">
        <f t="shared" si="79"/>
        <v>0</v>
      </c>
      <c r="W137" s="270">
        <f t="shared" si="79"/>
        <v>0</v>
      </c>
      <c r="X137" s="204">
        <f t="shared" si="75"/>
        <v>0</v>
      </c>
    </row>
    <row r="138" spans="3:24" hidden="1" outlineLevel="1" x14ac:dyDescent="0.25">
      <c r="C138" s="267" t="str">
        <f t="shared" si="74"/>
        <v/>
      </c>
      <c r="D138" s="268">
        <f t="shared" si="78"/>
        <v>0</v>
      </c>
      <c r="E138" s="269">
        <f t="shared" si="78"/>
        <v>0</v>
      </c>
      <c r="F138" s="269">
        <f t="shared" si="78"/>
        <v>0</v>
      </c>
      <c r="G138" s="269">
        <f t="shared" si="78"/>
        <v>0</v>
      </c>
      <c r="H138" s="269">
        <f t="shared" si="78"/>
        <v>0</v>
      </c>
      <c r="I138" s="269">
        <f t="shared" si="78"/>
        <v>0</v>
      </c>
      <c r="J138" s="269">
        <f t="shared" si="78"/>
        <v>0</v>
      </c>
      <c r="K138" s="269">
        <f t="shared" si="78"/>
        <v>0</v>
      </c>
      <c r="L138" s="269">
        <f t="shared" si="78"/>
        <v>0</v>
      </c>
      <c r="M138" s="769">
        <f t="shared" si="78"/>
        <v>0</v>
      </c>
      <c r="N138" s="269">
        <f t="shared" si="79"/>
        <v>0</v>
      </c>
      <c r="O138" s="269">
        <f t="shared" si="79"/>
        <v>0</v>
      </c>
      <c r="P138" s="269">
        <f t="shared" si="79"/>
        <v>0</v>
      </c>
      <c r="Q138" s="269">
        <f t="shared" si="79"/>
        <v>0</v>
      </c>
      <c r="R138" s="269">
        <f t="shared" si="79"/>
        <v>0</v>
      </c>
      <c r="S138" s="269">
        <f t="shared" si="79"/>
        <v>0</v>
      </c>
      <c r="T138" s="269">
        <f t="shared" si="79"/>
        <v>0</v>
      </c>
      <c r="U138" s="269">
        <f t="shared" si="79"/>
        <v>0</v>
      </c>
      <c r="V138" s="269">
        <f t="shared" si="79"/>
        <v>0</v>
      </c>
      <c r="W138" s="270">
        <f t="shared" si="79"/>
        <v>0</v>
      </c>
      <c r="X138" s="204">
        <f t="shared" si="75"/>
        <v>0</v>
      </c>
    </row>
    <row r="139" spans="3:24" hidden="1" outlineLevel="1" x14ac:dyDescent="0.25">
      <c r="C139" s="267" t="str">
        <f t="shared" si="74"/>
        <v/>
      </c>
      <c r="D139" s="268">
        <f t="shared" si="78"/>
        <v>0</v>
      </c>
      <c r="E139" s="269">
        <f t="shared" si="78"/>
        <v>0</v>
      </c>
      <c r="F139" s="269">
        <f t="shared" si="78"/>
        <v>0</v>
      </c>
      <c r="G139" s="269">
        <f t="shared" si="78"/>
        <v>0</v>
      </c>
      <c r="H139" s="269">
        <f t="shared" si="78"/>
        <v>0</v>
      </c>
      <c r="I139" s="269">
        <f t="shared" si="78"/>
        <v>0</v>
      </c>
      <c r="J139" s="269">
        <f t="shared" si="78"/>
        <v>0</v>
      </c>
      <c r="K139" s="269">
        <f t="shared" si="78"/>
        <v>0</v>
      </c>
      <c r="L139" s="269">
        <f t="shared" si="78"/>
        <v>0</v>
      </c>
      <c r="M139" s="769">
        <f t="shared" si="78"/>
        <v>0</v>
      </c>
      <c r="N139" s="269">
        <f t="shared" si="79"/>
        <v>0</v>
      </c>
      <c r="O139" s="269">
        <f t="shared" si="79"/>
        <v>0</v>
      </c>
      <c r="P139" s="269">
        <f t="shared" si="79"/>
        <v>0</v>
      </c>
      <c r="Q139" s="269">
        <f t="shared" si="79"/>
        <v>0</v>
      </c>
      <c r="R139" s="269">
        <f t="shared" si="79"/>
        <v>0</v>
      </c>
      <c r="S139" s="269">
        <f t="shared" si="79"/>
        <v>0</v>
      </c>
      <c r="T139" s="269">
        <f t="shared" si="79"/>
        <v>0</v>
      </c>
      <c r="U139" s="269">
        <f t="shared" si="79"/>
        <v>0</v>
      </c>
      <c r="V139" s="269">
        <f t="shared" si="79"/>
        <v>0</v>
      </c>
      <c r="W139" s="270">
        <f t="shared" si="79"/>
        <v>0</v>
      </c>
      <c r="X139" s="204">
        <f t="shared" si="75"/>
        <v>0</v>
      </c>
    </row>
    <row r="140" spans="3:24" hidden="1" outlineLevel="1" x14ac:dyDescent="0.25">
      <c r="C140" s="267" t="str">
        <f t="shared" si="74"/>
        <v/>
      </c>
      <c r="D140" s="268">
        <f t="shared" si="78"/>
        <v>0</v>
      </c>
      <c r="E140" s="269">
        <f t="shared" si="78"/>
        <v>0</v>
      </c>
      <c r="F140" s="269">
        <f t="shared" si="78"/>
        <v>0</v>
      </c>
      <c r="G140" s="269">
        <f t="shared" si="78"/>
        <v>0</v>
      </c>
      <c r="H140" s="269">
        <f t="shared" si="78"/>
        <v>0</v>
      </c>
      <c r="I140" s="269">
        <f t="shared" si="78"/>
        <v>0</v>
      </c>
      <c r="J140" s="269">
        <f t="shared" si="78"/>
        <v>0</v>
      </c>
      <c r="K140" s="269">
        <f t="shared" si="78"/>
        <v>0</v>
      </c>
      <c r="L140" s="269">
        <f t="shared" si="78"/>
        <v>0</v>
      </c>
      <c r="M140" s="769">
        <f t="shared" si="78"/>
        <v>0</v>
      </c>
      <c r="N140" s="269">
        <f t="shared" si="79"/>
        <v>0</v>
      </c>
      <c r="O140" s="269">
        <f t="shared" si="79"/>
        <v>0</v>
      </c>
      <c r="P140" s="269">
        <f t="shared" si="79"/>
        <v>0</v>
      </c>
      <c r="Q140" s="269">
        <f t="shared" si="79"/>
        <v>0</v>
      </c>
      <c r="R140" s="269">
        <f t="shared" si="79"/>
        <v>0</v>
      </c>
      <c r="S140" s="269">
        <f t="shared" si="79"/>
        <v>0</v>
      </c>
      <c r="T140" s="269">
        <f t="shared" si="79"/>
        <v>0</v>
      </c>
      <c r="U140" s="269">
        <f t="shared" si="79"/>
        <v>0</v>
      </c>
      <c r="V140" s="269">
        <f t="shared" si="79"/>
        <v>0</v>
      </c>
      <c r="W140" s="270">
        <f t="shared" si="79"/>
        <v>0</v>
      </c>
      <c r="X140" s="204">
        <f t="shared" si="75"/>
        <v>0</v>
      </c>
    </row>
    <row r="141" spans="3:24" hidden="1" outlineLevel="1" x14ac:dyDescent="0.25">
      <c r="C141" s="267" t="str">
        <f t="shared" si="74"/>
        <v/>
      </c>
      <c r="D141" s="268">
        <f t="shared" si="78"/>
        <v>0</v>
      </c>
      <c r="E141" s="269">
        <f t="shared" si="78"/>
        <v>0</v>
      </c>
      <c r="F141" s="269">
        <f t="shared" si="78"/>
        <v>0</v>
      </c>
      <c r="G141" s="269">
        <f t="shared" si="78"/>
        <v>0</v>
      </c>
      <c r="H141" s="269">
        <f t="shared" si="78"/>
        <v>0</v>
      </c>
      <c r="I141" s="269">
        <f t="shared" si="78"/>
        <v>0</v>
      </c>
      <c r="J141" s="269">
        <f t="shared" si="78"/>
        <v>0</v>
      </c>
      <c r="K141" s="269">
        <f t="shared" si="78"/>
        <v>0</v>
      </c>
      <c r="L141" s="269">
        <f t="shared" si="78"/>
        <v>0</v>
      </c>
      <c r="M141" s="769">
        <f t="shared" si="78"/>
        <v>0</v>
      </c>
      <c r="N141" s="269">
        <f t="shared" si="79"/>
        <v>0</v>
      </c>
      <c r="O141" s="269">
        <f t="shared" si="79"/>
        <v>0</v>
      </c>
      <c r="P141" s="269">
        <f t="shared" si="79"/>
        <v>0</v>
      </c>
      <c r="Q141" s="269">
        <f t="shared" si="79"/>
        <v>0</v>
      </c>
      <c r="R141" s="269">
        <f t="shared" si="79"/>
        <v>0</v>
      </c>
      <c r="S141" s="269">
        <f t="shared" si="79"/>
        <v>0</v>
      </c>
      <c r="T141" s="269">
        <f t="shared" si="79"/>
        <v>0</v>
      </c>
      <c r="U141" s="269">
        <f t="shared" si="79"/>
        <v>0</v>
      </c>
      <c r="V141" s="269">
        <f t="shared" si="79"/>
        <v>0</v>
      </c>
      <c r="W141" s="270">
        <f t="shared" si="79"/>
        <v>0</v>
      </c>
      <c r="X141" s="204">
        <f t="shared" si="75"/>
        <v>0</v>
      </c>
    </row>
    <row r="142" spans="3:24" hidden="1" outlineLevel="1" x14ac:dyDescent="0.25">
      <c r="C142" s="267" t="str">
        <f t="shared" si="74"/>
        <v/>
      </c>
      <c r="D142" s="268">
        <f t="shared" si="78"/>
        <v>0</v>
      </c>
      <c r="E142" s="269">
        <f t="shared" si="78"/>
        <v>0</v>
      </c>
      <c r="F142" s="269">
        <f t="shared" si="78"/>
        <v>0</v>
      </c>
      <c r="G142" s="269">
        <f t="shared" si="78"/>
        <v>0</v>
      </c>
      <c r="H142" s="269">
        <f t="shared" si="78"/>
        <v>0</v>
      </c>
      <c r="I142" s="269">
        <f t="shared" si="78"/>
        <v>0</v>
      </c>
      <c r="J142" s="269">
        <f t="shared" si="78"/>
        <v>0</v>
      </c>
      <c r="K142" s="269">
        <f t="shared" si="78"/>
        <v>0</v>
      </c>
      <c r="L142" s="269">
        <f t="shared" si="78"/>
        <v>0</v>
      </c>
      <c r="M142" s="769">
        <f t="shared" si="78"/>
        <v>0</v>
      </c>
      <c r="N142" s="269">
        <f t="shared" si="79"/>
        <v>0</v>
      </c>
      <c r="O142" s="269">
        <f t="shared" si="79"/>
        <v>0</v>
      </c>
      <c r="P142" s="269">
        <f t="shared" si="79"/>
        <v>0</v>
      </c>
      <c r="Q142" s="269">
        <f t="shared" si="79"/>
        <v>0</v>
      </c>
      <c r="R142" s="269">
        <f t="shared" si="79"/>
        <v>0</v>
      </c>
      <c r="S142" s="269">
        <f t="shared" si="79"/>
        <v>0</v>
      </c>
      <c r="T142" s="269">
        <f t="shared" si="79"/>
        <v>0</v>
      </c>
      <c r="U142" s="269">
        <f t="shared" si="79"/>
        <v>0</v>
      </c>
      <c r="V142" s="269">
        <f t="shared" si="79"/>
        <v>0</v>
      </c>
      <c r="W142" s="270">
        <f t="shared" si="79"/>
        <v>0</v>
      </c>
      <c r="X142" s="204">
        <f t="shared" si="75"/>
        <v>0</v>
      </c>
    </row>
    <row r="143" spans="3:24" hidden="1" outlineLevel="1" x14ac:dyDescent="0.25">
      <c r="C143" s="271" t="str">
        <f t="shared" si="74"/>
        <v>Padrões</v>
      </c>
      <c r="D143" s="272">
        <f t="shared" si="78"/>
        <v>0</v>
      </c>
      <c r="E143" s="273">
        <f t="shared" si="78"/>
        <v>0</v>
      </c>
      <c r="F143" s="273">
        <f t="shared" si="78"/>
        <v>0</v>
      </c>
      <c r="G143" s="273">
        <f t="shared" si="78"/>
        <v>0</v>
      </c>
      <c r="H143" s="273">
        <f t="shared" si="78"/>
        <v>0</v>
      </c>
      <c r="I143" s="273">
        <f t="shared" si="78"/>
        <v>0</v>
      </c>
      <c r="J143" s="273">
        <f t="shared" si="78"/>
        <v>0</v>
      </c>
      <c r="K143" s="273">
        <f t="shared" si="78"/>
        <v>0</v>
      </c>
      <c r="L143" s="273">
        <f t="shared" si="78"/>
        <v>0</v>
      </c>
      <c r="M143" s="770">
        <f t="shared" si="78"/>
        <v>0</v>
      </c>
      <c r="N143" s="273">
        <f t="shared" si="79"/>
        <v>0</v>
      </c>
      <c r="O143" s="273">
        <f t="shared" si="79"/>
        <v>0</v>
      </c>
      <c r="P143" s="273">
        <f t="shared" si="79"/>
        <v>0</v>
      </c>
      <c r="Q143" s="273">
        <f t="shared" si="79"/>
        <v>0</v>
      </c>
      <c r="R143" s="273">
        <f t="shared" si="79"/>
        <v>0</v>
      </c>
      <c r="S143" s="273">
        <f t="shared" si="79"/>
        <v>0</v>
      </c>
      <c r="T143" s="273">
        <f t="shared" si="79"/>
        <v>0</v>
      </c>
      <c r="U143" s="273">
        <f t="shared" si="79"/>
        <v>0</v>
      </c>
      <c r="V143" s="273">
        <f t="shared" si="79"/>
        <v>0</v>
      </c>
      <c r="W143" s="274">
        <f t="shared" si="79"/>
        <v>0</v>
      </c>
      <c r="X143" s="204">
        <f t="shared" si="75"/>
        <v>0</v>
      </c>
    </row>
    <row r="144" spans="3:24" hidden="1" outlineLevel="1" x14ac:dyDescent="0.25">
      <c r="C144" s="187"/>
      <c r="D144" s="281">
        <f>SUM(D114:D143)</f>
        <v>63959.991207666317</v>
      </c>
      <c r="E144" s="281">
        <f t="shared" ref="E144" si="80">SUM(E114:E143)</f>
        <v>14131.100897059523</v>
      </c>
      <c r="F144" s="281">
        <f t="shared" ref="F144" si="81">SUM(F114:F143)</f>
        <v>2406.5804699501309</v>
      </c>
      <c r="G144" s="281">
        <f t="shared" ref="G144" si="82">SUM(G114:G143)</f>
        <v>0</v>
      </c>
      <c r="H144" s="281">
        <f t="shared" ref="H144" si="83">SUM(H114:H143)</f>
        <v>0</v>
      </c>
      <c r="I144" s="281">
        <f t="shared" ref="I144" si="84">SUM(I114:I143)</f>
        <v>0</v>
      </c>
      <c r="J144" s="281">
        <f t="shared" ref="J144" si="85">SUM(J114:J143)</f>
        <v>0</v>
      </c>
      <c r="K144" s="281">
        <f t="shared" ref="K144" si="86">SUM(K114:K143)</f>
        <v>0</v>
      </c>
      <c r="L144" s="281">
        <f t="shared" ref="L144" si="87">SUM(L114:L143)</f>
        <v>0</v>
      </c>
      <c r="M144" s="771">
        <f t="shared" ref="M144" si="88">SUM(M114:M143)</f>
        <v>0</v>
      </c>
      <c r="N144" s="281">
        <f t="shared" ref="N144" si="89">SUM(N114:N143)</f>
        <v>0</v>
      </c>
      <c r="O144" s="281">
        <f t="shared" ref="O144" si="90">SUM(O114:O143)</f>
        <v>0</v>
      </c>
      <c r="P144" s="281">
        <f t="shared" ref="P144" si="91">SUM(P114:P143)</f>
        <v>0</v>
      </c>
      <c r="Q144" s="281">
        <f t="shared" ref="Q144" si="92">SUM(Q114:Q143)</f>
        <v>0</v>
      </c>
      <c r="R144" s="281">
        <f t="shared" ref="R144" si="93">SUM(R114:R143)</f>
        <v>0</v>
      </c>
      <c r="S144" s="281">
        <f t="shared" ref="S144" si="94">SUM(S114:S143)</f>
        <v>0</v>
      </c>
      <c r="T144" s="281">
        <f t="shared" ref="T144" si="95">SUM(T114:T143)</f>
        <v>0</v>
      </c>
      <c r="U144" s="281">
        <f t="shared" ref="U144" si="96">SUM(U114:U143)</f>
        <v>0</v>
      </c>
      <c r="V144" s="281">
        <f t="shared" ref="V144" si="97">SUM(V114:V143)</f>
        <v>0</v>
      </c>
      <c r="W144" s="281">
        <f t="shared" ref="W144" si="98">SUM(W114:W143)</f>
        <v>0</v>
      </c>
      <c r="X144" s="280">
        <f>SUM(X114:X143)</f>
        <v>80497.672574675962</v>
      </c>
    </row>
    <row r="145" spans="3:24" hidden="1" outlineLevel="1" x14ac:dyDescent="0.25"/>
    <row r="146" spans="3:24" hidden="1" outlineLevel="1" x14ac:dyDescent="0.25">
      <c r="U146" s="282" t="s">
        <v>339</v>
      </c>
      <c r="V146" s="282" t="s">
        <v>340</v>
      </c>
    </row>
    <row r="147" spans="3:24" collapsed="1" x14ac:dyDescent="0.25">
      <c r="D147" s="114" t="s">
        <v>17</v>
      </c>
      <c r="U147" s="283">
        <f>SUM(D150:W179)</f>
        <v>631.26606354624096</v>
      </c>
      <c r="V147" s="283">
        <f>IF($E$3=$A$3,Dados!M104,Dados!M104+Escopo!DD273)</f>
        <v>631.26606354624096</v>
      </c>
      <c r="W147" s="522" t="b">
        <f>IF(ABS(U147-V147)&lt;0.01,TRUE,FALSE)</f>
        <v>1</v>
      </c>
    </row>
    <row r="148" spans="3:24" hidden="1" outlineLevel="1" x14ac:dyDescent="0.25"/>
    <row r="149" spans="3:24" hidden="1" outlineLevel="1" x14ac:dyDescent="0.25">
      <c r="D149" s="260" t="str">
        <f>IF(D113&lt;&gt;"",D113,"")</f>
        <v>SAGE</v>
      </c>
      <c r="E149" s="261" t="str">
        <f t="shared" ref="E149:W149" si="99">IF(E113&lt;&gt;"",E113,"")</f>
        <v>TELECOM</v>
      </c>
      <c r="F149" s="261" t="str">
        <f t="shared" si="99"/>
        <v>GERAL</v>
      </c>
      <c r="G149" s="261" t="str">
        <f t="shared" si="99"/>
        <v/>
      </c>
      <c r="H149" s="261" t="str">
        <f t="shared" si="99"/>
        <v/>
      </c>
      <c r="I149" s="261" t="str">
        <f t="shared" si="99"/>
        <v/>
      </c>
      <c r="J149" s="261" t="str">
        <f t="shared" si="99"/>
        <v/>
      </c>
      <c r="K149" s="261" t="str">
        <f t="shared" si="99"/>
        <v/>
      </c>
      <c r="L149" s="261" t="str">
        <f t="shared" si="99"/>
        <v/>
      </c>
      <c r="M149" s="261" t="str">
        <f t="shared" si="99"/>
        <v/>
      </c>
      <c r="N149" s="261" t="str">
        <f t="shared" si="99"/>
        <v/>
      </c>
      <c r="O149" s="261" t="str">
        <f t="shared" si="99"/>
        <v/>
      </c>
      <c r="P149" s="261" t="str">
        <f t="shared" si="99"/>
        <v/>
      </c>
      <c r="Q149" s="261" t="str">
        <f t="shared" si="99"/>
        <v/>
      </c>
      <c r="R149" s="261" t="str">
        <f t="shared" si="99"/>
        <v/>
      </c>
      <c r="S149" s="261" t="str">
        <f t="shared" si="99"/>
        <v/>
      </c>
      <c r="T149" s="261" t="str">
        <f t="shared" si="99"/>
        <v/>
      </c>
      <c r="U149" s="261" t="str">
        <f t="shared" si="99"/>
        <v/>
      </c>
      <c r="V149" s="261" t="str">
        <f t="shared" si="99"/>
        <v/>
      </c>
      <c r="W149" s="262" t="str">
        <f t="shared" si="99"/>
        <v/>
      </c>
    </row>
    <row r="150" spans="3:24" hidden="1" outlineLevel="1" x14ac:dyDescent="0.25">
      <c r="C150" s="263" t="str">
        <f>IF(C114&lt;&gt;"",C114,"")</f>
        <v>MAT</v>
      </c>
      <c r="D150" s="264">
        <f t="shared" ref="D150:M159" si="100">IF(AND($C150&lt;&gt;"",D$5&lt;&gt;""),SUMIFS(col_ipi,col_abertura1,$C150,col_abertura2,D$5)+IF($E$3=$A$4,SUMIFS(col_fatdir_ipi_mn,col_abertura1,$C150,col_abertura2,D$5),0),0)</f>
        <v>0</v>
      </c>
      <c r="E150" s="265">
        <f t="shared" si="100"/>
        <v>0</v>
      </c>
      <c r="F150" s="265">
        <f t="shared" si="100"/>
        <v>0</v>
      </c>
      <c r="G150" s="265">
        <f t="shared" si="100"/>
        <v>0</v>
      </c>
      <c r="H150" s="265">
        <f t="shared" si="100"/>
        <v>0</v>
      </c>
      <c r="I150" s="265">
        <f t="shared" si="100"/>
        <v>0</v>
      </c>
      <c r="J150" s="265">
        <f t="shared" si="100"/>
        <v>0</v>
      </c>
      <c r="K150" s="265">
        <f t="shared" si="100"/>
        <v>0</v>
      </c>
      <c r="L150" s="265">
        <f t="shared" si="100"/>
        <v>0</v>
      </c>
      <c r="M150" s="768">
        <f t="shared" si="100"/>
        <v>0</v>
      </c>
      <c r="N150" s="265">
        <f t="shared" ref="N150:W159" si="101">IF(AND($C150&lt;&gt;"",N$5&lt;&gt;""),SUMIFS(col_ipi,col_abertura1,$C150,col_abertura2,N$5)+IF($E$3=$A$4,SUMIFS(col_fatdir_ipi_mn,col_abertura1,$C150,col_abertura2,N$5),0),0)</f>
        <v>0</v>
      </c>
      <c r="O150" s="265">
        <f t="shared" si="101"/>
        <v>0</v>
      </c>
      <c r="P150" s="265">
        <f t="shared" si="101"/>
        <v>0</v>
      </c>
      <c r="Q150" s="265">
        <f t="shared" si="101"/>
        <v>0</v>
      </c>
      <c r="R150" s="265">
        <f t="shared" si="101"/>
        <v>0</v>
      </c>
      <c r="S150" s="265">
        <f t="shared" si="101"/>
        <v>0</v>
      </c>
      <c r="T150" s="265">
        <f t="shared" si="101"/>
        <v>0</v>
      </c>
      <c r="U150" s="265">
        <f t="shared" si="101"/>
        <v>0</v>
      </c>
      <c r="V150" s="265">
        <f t="shared" si="101"/>
        <v>0</v>
      </c>
      <c r="W150" s="266">
        <f t="shared" si="101"/>
        <v>0</v>
      </c>
      <c r="X150" s="204">
        <f>SUM(D150:W150)</f>
        <v>0</v>
      </c>
    </row>
    <row r="151" spans="3:24" hidden="1" outlineLevel="1" x14ac:dyDescent="0.25">
      <c r="C151" s="267" t="str">
        <f t="shared" ref="C151:C179" si="102">IF(C115&lt;&gt;"",C115,"")</f>
        <v>SRV</v>
      </c>
      <c r="D151" s="268">
        <f t="shared" si="100"/>
        <v>0</v>
      </c>
      <c r="E151" s="269">
        <f t="shared" si="100"/>
        <v>0</v>
      </c>
      <c r="F151" s="269">
        <f t="shared" si="100"/>
        <v>0</v>
      </c>
      <c r="G151" s="269">
        <f t="shared" si="100"/>
        <v>0</v>
      </c>
      <c r="H151" s="269">
        <f t="shared" si="100"/>
        <v>0</v>
      </c>
      <c r="I151" s="269">
        <f t="shared" si="100"/>
        <v>0</v>
      </c>
      <c r="J151" s="269">
        <f t="shared" si="100"/>
        <v>0</v>
      </c>
      <c r="K151" s="269">
        <f t="shared" si="100"/>
        <v>0</v>
      </c>
      <c r="L151" s="269">
        <f t="shared" si="100"/>
        <v>0</v>
      </c>
      <c r="M151" s="769">
        <f t="shared" si="100"/>
        <v>0</v>
      </c>
      <c r="N151" s="269">
        <f t="shared" si="101"/>
        <v>0</v>
      </c>
      <c r="O151" s="269">
        <f t="shared" si="101"/>
        <v>0</v>
      </c>
      <c r="P151" s="269">
        <f t="shared" si="101"/>
        <v>0</v>
      </c>
      <c r="Q151" s="269">
        <f t="shared" si="101"/>
        <v>0</v>
      </c>
      <c r="R151" s="269">
        <f t="shared" si="101"/>
        <v>0</v>
      </c>
      <c r="S151" s="269">
        <f t="shared" si="101"/>
        <v>0</v>
      </c>
      <c r="T151" s="269">
        <f t="shared" si="101"/>
        <v>0</v>
      </c>
      <c r="U151" s="269">
        <f t="shared" si="101"/>
        <v>0</v>
      </c>
      <c r="V151" s="269">
        <f t="shared" si="101"/>
        <v>0</v>
      </c>
      <c r="W151" s="270">
        <f t="shared" si="101"/>
        <v>0</v>
      </c>
      <c r="X151" s="204">
        <f t="shared" ref="X151:X179" si="103">SUM(D151:W151)</f>
        <v>0</v>
      </c>
    </row>
    <row r="152" spans="3:24" hidden="1" outlineLevel="1" x14ac:dyDescent="0.25">
      <c r="C152" s="267" t="str">
        <f t="shared" si="102"/>
        <v>MOBI</v>
      </c>
      <c r="D152" s="268">
        <f t="shared" si="100"/>
        <v>0</v>
      </c>
      <c r="E152" s="269">
        <f t="shared" si="100"/>
        <v>0</v>
      </c>
      <c r="F152" s="269">
        <f t="shared" si="100"/>
        <v>631.26606354624096</v>
      </c>
      <c r="G152" s="269">
        <f t="shared" si="100"/>
        <v>0</v>
      </c>
      <c r="H152" s="269">
        <f t="shared" si="100"/>
        <v>0</v>
      </c>
      <c r="I152" s="269">
        <f t="shared" si="100"/>
        <v>0</v>
      </c>
      <c r="J152" s="269">
        <f t="shared" si="100"/>
        <v>0</v>
      </c>
      <c r="K152" s="269">
        <f t="shared" si="100"/>
        <v>0</v>
      </c>
      <c r="L152" s="269">
        <f t="shared" si="100"/>
        <v>0</v>
      </c>
      <c r="M152" s="769">
        <f t="shared" si="100"/>
        <v>0</v>
      </c>
      <c r="N152" s="269">
        <f t="shared" si="101"/>
        <v>0</v>
      </c>
      <c r="O152" s="269">
        <f t="shared" si="101"/>
        <v>0</v>
      </c>
      <c r="P152" s="269">
        <f t="shared" si="101"/>
        <v>0</v>
      </c>
      <c r="Q152" s="269">
        <f t="shared" si="101"/>
        <v>0</v>
      </c>
      <c r="R152" s="269">
        <f t="shared" si="101"/>
        <v>0</v>
      </c>
      <c r="S152" s="269">
        <f t="shared" si="101"/>
        <v>0</v>
      </c>
      <c r="T152" s="269">
        <f t="shared" si="101"/>
        <v>0</v>
      </c>
      <c r="U152" s="269">
        <f t="shared" si="101"/>
        <v>0</v>
      </c>
      <c r="V152" s="269">
        <f t="shared" si="101"/>
        <v>0</v>
      </c>
      <c r="W152" s="270">
        <f t="shared" si="101"/>
        <v>0</v>
      </c>
      <c r="X152" s="204">
        <f t="shared" si="103"/>
        <v>631.26606354624096</v>
      </c>
    </row>
    <row r="153" spans="3:24" hidden="1" outlineLevel="1" x14ac:dyDescent="0.25">
      <c r="C153" s="267" t="str">
        <f t="shared" si="102"/>
        <v>TREIN</v>
      </c>
      <c r="D153" s="268">
        <f t="shared" si="100"/>
        <v>0</v>
      </c>
      <c r="E153" s="269">
        <f t="shared" si="100"/>
        <v>0</v>
      </c>
      <c r="F153" s="269">
        <f t="shared" si="100"/>
        <v>0</v>
      </c>
      <c r="G153" s="269">
        <f t="shared" si="100"/>
        <v>0</v>
      </c>
      <c r="H153" s="269">
        <f t="shared" si="100"/>
        <v>0</v>
      </c>
      <c r="I153" s="269">
        <f t="shared" si="100"/>
        <v>0</v>
      </c>
      <c r="J153" s="269">
        <f t="shared" si="100"/>
        <v>0</v>
      </c>
      <c r="K153" s="269">
        <f t="shared" si="100"/>
        <v>0</v>
      </c>
      <c r="L153" s="269">
        <f t="shared" si="100"/>
        <v>0</v>
      </c>
      <c r="M153" s="769">
        <f t="shared" si="100"/>
        <v>0</v>
      </c>
      <c r="N153" s="269">
        <f t="shared" si="101"/>
        <v>0</v>
      </c>
      <c r="O153" s="269">
        <f t="shared" si="101"/>
        <v>0</v>
      </c>
      <c r="P153" s="269">
        <f t="shared" si="101"/>
        <v>0</v>
      </c>
      <c r="Q153" s="269">
        <f t="shared" si="101"/>
        <v>0</v>
      </c>
      <c r="R153" s="269">
        <f t="shared" si="101"/>
        <v>0</v>
      </c>
      <c r="S153" s="269">
        <f t="shared" si="101"/>
        <v>0</v>
      </c>
      <c r="T153" s="269">
        <f t="shared" si="101"/>
        <v>0</v>
      </c>
      <c r="U153" s="269">
        <f t="shared" si="101"/>
        <v>0</v>
      </c>
      <c r="V153" s="269">
        <f t="shared" si="101"/>
        <v>0</v>
      </c>
      <c r="W153" s="270">
        <f t="shared" si="101"/>
        <v>0</v>
      </c>
      <c r="X153" s="204">
        <f t="shared" si="103"/>
        <v>0</v>
      </c>
    </row>
    <row r="154" spans="3:24" hidden="1" outlineLevel="1" x14ac:dyDescent="0.25">
      <c r="C154" s="267" t="str">
        <f t="shared" si="102"/>
        <v/>
      </c>
      <c r="D154" s="268">
        <f t="shared" si="100"/>
        <v>0</v>
      </c>
      <c r="E154" s="269">
        <f t="shared" si="100"/>
        <v>0</v>
      </c>
      <c r="F154" s="269">
        <f t="shared" si="100"/>
        <v>0</v>
      </c>
      <c r="G154" s="269">
        <f t="shared" si="100"/>
        <v>0</v>
      </c>
      <c r="H154" s="269">
        <f t="shared" si="100"/>
        <v>0</v>
      </c>
      <c r="I154" s="269">
        <f t="shared" si="100"/>
        <v>0</v>
      </c>
      <c r="J154" s="269">
        <f t="shared" si="100"/>
        <v>0</v>
      </c>
      <c r="K154" s="269">
        <f t="shared" si="100"/>
        <v>0</v>
      </c>
      <c r="L154" s="269">
        <f t="shared" si="100"/>
        <v>0</v>
      </c>
      <c r="M154" s="769">
        <f t="shared" si="100"/>
        <v>0</v>
      </c>
      <c r="N154" s="269">
        <f t="shared" si="101"/>
        <v>0</v>
      </c>
      <c r="O154" s="269">
        <f t="shared" si="101"/>
        <v>0</v>
      </c>
      <c r="P154" s="269">
        <f t="shared" si="101"/>
        <v>0</v>
      </c>
      <c r="Q154" s="269">
        <f t="shared" si="101"/>
        <v>0</v>
      </c>
      <c r="R154" s="269">
        <f t="shared" si="101"/>
        <v>0</v>
      </c>
      <c r="S154" s="269">
        <f t="shared" si="101"/>
        <v>0</v>
      </c>
      <c r="T154" s="269">
        <f t="shared" si="101"/>
        <v>0</v>
      </c>
      <c r="U154" s="269">
        <f t="shared" si="101"/>
        <v>0</v>
      </c>
      <c r="V154" s="269">
        <f t="shared" si="101"/>
        <v>0</v>
      </c>
      <c r="W154" s="270">
        <f t="shared" si="101"/>
        <v>0</v>
      </c>
      <c r="X154" s="204">
        <f t="shared" si="103"/>
        <v>0</v>
      </c>
    </row>
    <row r="155" spans="3:24" hidden="1" outlineLevel="1" x14ac:dyDescent="0.25">
      <c r="C155" s="267" t="str">
        <f t="shared" si="102"/>
        <v/>
      </c>
      <c r="D155" s="268">
        <f t="shared" si="100"/>
        <v>0</v>
      </c>
      <c r="E155" s="269">
        <f t="shared" si="100"/>
        <v>0</v>
      </c>
      <c r="F155" s="269">
        <f t="shared" si="100"/>
        <v>0</v>
      </c>
      <c r="G155" s="269">
        <f t="shared" si="100"/>
        <v>0</v>
      </c>
      <c r="H155" s="269">
        <f t="shared" si="100"/>
        <v>0</v>
      </c>
      <c r="I155" s="269">
        <f t="shared" si="100"/>
        <v>0</v>
      </c>
      <c r="J155" s="269">
        <f t="shared" si="100"/>
        <v>0</v>
      </c>
      <c r="K155" s="269">
        <f t="shared" si="100"/>
        <v>0</v>
      </c>
      <c r="L155" s="269">
        <f t="shared" si="100"/>
        <v>0</v>
      </c>
      <c r="M155" s="769">
        <f t="shared" si="100"/>
        <v>0</v>
      </c>
      <c r="N155" s="269">
        <f t="shared" si="101"/>
        <v>0</v>
      </c>
      <c r="O155" s="269">
        <f t="shared" si="101"/>
        <v>0</v>
      </c>
      <c r="P155" s="269">
        <f t="shared" si="101"/>
        <v>0</v>
      </c>
      <c r="Q155" s="269">
        <f t="shared" si="101"/>
        <v>0</v>
      </c>
      <c r="R155" s="269">
        <f t="shared" si="101"/>
        <v>0</v>
      </c>
      <c r="S155" s="269">
        <f t="shared" si="101"/>
        <v>0</v>
      </c>
      <c r="T155" s="269">
        <f t="shared" si="101"/>
        <v>0</v>
      </c>
      <c r="U155" s="269">
        <f t="shared" si="101"/>
        <v>0</v>
      </c>
      <c r="V155" s="269">
        <f t="shared" si="101"/>
        <v>0</v>
      </c>
      <c r="W155" s="270">
        <f t="shared" si="101"/>
        <v>0</v>
      </c>
      <c r="X155" s="204">
        <f t="shared" si="103"/>
        <v>0</v>
      </c>
    </row>
    <row r="156" spans="3:24" hidden="1" outlineLevel="1" x14ac:dyDescent="0.25">
      <c r="C156" s="267" t="str">
        <f t="shared" si="102"/>
        <v/>
      </c>
      <c r="D156" s="268">
        <f t="shared" si="100"/>
        <v>0</v>
      </c>
      <c r="E156" s="269">
        <f t="shared" si="100"/>
        <v>0</v>
      </c>
      <c r="F156" s="269">
        <f t="shared" si="100"/>
        <v>0</v>
      </c>
      <c r="G156" s="269">
        <f t="shared" si="100"/>
        <v>0</v>
      </c>
      <c r="H156" s="269">
        <f t="shared" si="100"/>
        <v>0</v>
      </c>
      <c r="I156" s="269">
        <f t="shared" si="100"/>
        <v>0</v>
      </c>
      <c r="J156" s="269">
        <f t="shared" si="100"/>
        <v>0</v>
      </c>
      <c r="K156" s="269">
        <f t="shared" si="100"/>
        <v>0</v>
      </c>
      <c r="L156" s="269">
        <f t="shared" si="100"/>
        <v>0</v>
      </c>
      <c r="M156" s="769">
        <f t="shared" si="100"/>
        <v>0</v>
      </c>
      <c r="N156" s="269">
        <f t="shared" si="101"/>
        <v>0</v>
      </c>
      <c r="O156" s="269">
        <f t="shared" si="101"/>
        <v>0</v>
      </c>
      <c r="P156" s="269">
        <f t="shared" si="101"/>
        <v>0</v>
      </c>
      <c r="Q156" s="269">
        <f t="shared" si="101"/>
        <v>0</v>
      </c>
      <c r="R156" s="269">
        <f t="shared" si="101"/>
        <v>0</v>
      </c>
      <c r="S156" s="269">
        <f t="shared" si="101"/>
        <v>0</v>
      </c>
      <c r="T156" s="269">
        <f t="shared" si="101"/>
        <v>0</v>
      </c>
      <c r="U156" s="269">
        <f t="shared" si="101"/>
        <v>0</v>
      </c>
      <c r="V156" s="269">
        <f t="shared" si="101"/>
        <v>0</v>
      </c>
      <c r="W156" s="270">
        <f t="shared" si="101"/>
        <v>0</v>
      </c>
      <c r="X156" s="204">
        <f t="shared" si="103"/>
        <v>0</v>
      </c>
    </row>
    <row r="157" spans="3:24" hidden="1" outlineLevel="1" x14ac:dyDescent="0.25">
      <c r="C157" s="267" t="str">
        <f t="shared" si="102"/>
        <v/>
      </c>
      <c r="D157" s="268">
        <f t="shared" si="100"/>
        <v>0</v>
      </c>
      <c r="E157" s="269">
        <f t="shared" si="100"/>
        <v>0</v>
      </c>
      <c r="F157" s="269">
        <f t="shared" si="100"/>
        <v>0</v>
      </c>
      <c r="G157" s="269">
        <f t="shared" si="100"/>
        <v>0</v>
      </c>
      <c r="H157" s="269">
        <f t="shared" si="100"/>
        <v>0</v>
      </c>
      <c r="I157" s="269">
        <f t="shared" si="100"/>
        <v>0</v>
      </c>
      <c r="J157" s="269">
        <f t="shared" si="100"/>
        <v>0</v>
      </c>
      <c r="K157" s="269">
        <f t="shared" si="100"/>
        <v>0</v>
      </c>
      <c r="L157" s="269">
        <f t="shared" si="100"/>
        <v>0</v>
      </c>
      <c r="M157" s="769">
        <f t="shared" si="100"/>
        <v>0</v>
      </c>
      <c r="N157" s="269">
        <f t="shared" si="101"/>
        <v>0</v>
      </c>
      <c r="O157" s="269">
        <f t="shared" si="101"/>
        <v>0</v>
      </c>
      <c r="P157" s="269">
        <f t="shared" si="101"/>
        <v>0</v>
      </c>
      <c r="Q157" s="269">
        <f t="shared" si="101"/>
        <v>0</v>
      </c>
      <c r="R157" s="269">
        <f t="shared" si="101"/>
        <v>0</v>
      </c>
      <c r="S157" s="269">
        <f t="shared" si="101"/>
        <v>0</v>
      </c>
      <c r="T157" s="269">
        <f t="shared" si="101"/>
        <v>0</v>
      </c>
      <c r="U157" s="269">
        <f t="shared" si="101"/>
        <v>0</v>
      </c>
      <c r="V157" s="269">
        <f t="shared" si="101"/>
        <v>0</v>
      </c>
      <c r="W157" s="270">
        <f t="shared" si="101"/>
        <v>0</v>
      </c>
      <c r="X157" s="204">
        <f t="shared" si="103"/>
        <v>0</v>
      </c>
    </row>
    <row r="158" spans="3:24" hidden="1" outlineLevel="1" x14ac:dyDescent="0.25">
      <c r="C158" s="267" t="str">
        <f t="shared" si="102"/>
        <v/>
      </c>
      <c r="D158" s="268">
        <f t="shared" si="100"/>
        <v>0</v>
      </c>
      <c r="E158" s="269">
        <f t="shared" si="100"/>
        <v>0</v>
      </c>
      <c r="F158" s="269">
        <f t="shared" si="100"/>
        <v>0</v>
      </c>
      <c r="G158" s="269">
        <f t="shared" si="100"/>
        <v>0</v>
      </c>
      <c r="H158" s="269">
        <f t="shared" si="100"/>
        <v>0</v>
      </c>
      <c r="I158" s="269">
        <f t="shared" si="100"/>
        <v>0</v>
      </c>
      <c r="J158" s="269">
        <f t="shared" si="100"/>
        <v>0</v>
      </c>
      <c r="K158" s="269">
        <f t="shared" si="100"/>
        <v>0</v>
      </c>
      <c r="L158" s="269">
        <f t="shared" si="100"/>
        <v>0</v>
      </c>
      <c r="M158" s="769">
        <f t="shared" si="100"/>
        <v>0</v>
      </c>
      <c r="N158" s="269">
        <f t="shared" si="101"/>
        <v>0</v>
      </c>
      <c r="O158" s="269">
        <f t="shared" si="101"/>
        <v>0</v>
      </c>
      <c r="P158" s="269">
        <f t="shared" si="101"/>
        <v>0</v>
      </c>
      <c r="Q158" s="269">
        <f t="shared" si="101"/>
        <v>0</v>
      </c>
      <c r="R158" s="269">
        <f t="shared" si="101"/>
        <v>0</v>
      </c>
      <c r="S158" s="269">
        <f t="shared" si="101"/>
        <v>0</v>
      </c>
      <c r="T158" s="269">
        <f t="shared" si="101"/>
        <v>0</v>
      </c>
      <c r="U158" s="269">
        <f t="shared" si="101"/>
        <v>0</v>
      </c>
      <c r="V158" s="269">
        <f t="shared" si="101"/>
        <v>0</v>
      </c>
      <c r="W158" s="270">
        <f t="shared" si="101"/>
        <v>0</v>
      </c>
      <c r="X158" s="204">
        <f t="shared" si="103"/>
        <v>0</v>
      </c>
    </row>
    <row r="159" spans="3:24" hidden="1" outlineLevel="1" x14ac:dyDescent="0.25">
      <c r="C159" s="267" t="str">
        <f t="shared" si="102"/>
        <v/>
      </c>
      <c r="D159" s="268">
        <f t="shared" si="100"/>
        <v>0</v>
      </c>
      <c r="E159" s="269">
        <f t="shared" si="100"/>
        <v>0</v>
      </c>
      <c r="F159" s="269">
        <f t="shared" si="100"/>
        <v>0</v>
      </c>
      <c r="G159" s="269">
        <f t="shared" si="100"/>
        <v>0</v>
      </c>
      <c r="H159" s="269">
        <f t="shared" si="100"/>
        <v>0</v>
      </c>
      <c r="I159" s="269">
        <f t="shared" si="100"/>
        <v>0</v>
      </c>
      <c r="J159" s="269">
        <f t="shared" si="100"/>
        <v>0</v>
      </c>
      <c r="K159" s="269">
        <f t="shared" si="100"/>
        <v>0</v>
      </c>
      <c r="L159" s="269">
        <f t="shared" si="100"/>
        <v>0</v>
      </c>
      <c r="M159" s="769">
        <f t="shared" si="100"/>
        <v>0</v>
      </c>
      <c r="N159" s="269">
        <f t="shared" si="101"/>
        <v>0</v>
      </c>
      <c r="O159" s="269">
        <f t="shared" si="101"/>
        <v>0</v>
      </c>
      <c r="P159" s="269">
        <f t="shared" si="101"/>
        <v>0</v>
      </c>
      <c r="Q159" s="269">
        <f t="shared" si="101"/>
        <v>0</v>
      </c>
      <c r="R159" s="269">
        <f t="shared" si="101"/>
        <v>0</v>
      </c>
      <c r="S159" s="269">
        <f t="shared" si="101"/>
        <v>0</v>
      </c>
      <c r="T159" s="269">
        <f t="shared" si="101"/>
        <v>0</v>
      </c>
      <c r="U159" s="269">
        <f t="shared" si="101"/>
        <v>0</v>
      </c>
      <c r="V159" s="269">
        <f t="shared" si="101"/>
        <v>0</v>
      </c>
      <c r="W159" s="270">
        <f t="shared" si="101"/>
        <v>0</v>
      </c>
      <c r="X159" s="204">
        <f t="shared" si="103"/>
        <v>0</v>
      </c>
    </row>
    <row r="160" spans="3:24" hidden="1" outlineLevel="1" x14ac:dyDescent="0.25">
      <c r="C160" s="267" t="str">
        <f t="shared" si="102"/>
        <v/>
      </c>
      <c r="D160" s="268">
        <f t="shared" ref="D160:M169" si="104">IF(AND($C160&lt;&gt;"",D$5&lt;&gt;""),SUMIFS(col_ipi,col_abertura1,$C160,col_abertura2,D$5)+IF($E$3=$A$4,SUMIFS(col_fatdir_ipi_mn,col_abertura1,$C160,col_abertura2,D$5),0),0)</f>
        <v>0</v>
      </c>
      <c r="E160" s="269">
        <f t="shared" si="104"/>
        <v>0</v>
      </c>
      <c r="F160" s="269">
        <f t="shared" si="104"/>
        <v>0</v>
      </c>
      <c r="G160" s="269">
        <f t="shared" si="104"/>
        <v>0</v>
      </c>
      <c r="H160" s="269">
        <f t="shared" si="104"/>
        <v>0</v>
      </c>
      <c r="I160" s="269">
        <f t="shared" si="104"/>
        <v>0</v>
      </c>
      <c r="J160" s="269">
        <f t="shared" si="104"/>
        <v>0</v>
      </c>
      <c r="K160" s="269">
        <f t="shared" si="104"/>
        <v>0</v>
      </c>
      <c r="L160" s="269">
        <f t="shared" si="104"/>
        <v>0</v>
      </c>
      <c r="M160" s="769">
        <f t="shared" si="104"/>
        <v>0</v>
      </c>
      <c r="N160" s="269">
        <f t="shared" ref="N160:W169" si="105">IF(AND($C160&lt;&gt;"",N$5&lt;&gt;""),SUMIFS(col_ipi,col_abertura1,$C160,col_abertura2,N$5)+IF($E$3=$A$4,SUMIFS(col_fatdir_ipi_mn,col_abertura1,$C160,col_abertura2,N$5),0),0)</f>
        <v>0</v>
      </c>
      <c r="O160" s="269">
        <f t="shared" si="105"/>
        <v>0</v>
      </c>
      <c r="P160" s="269">
        <f t="shared" si="105"/>
        <v>0</v>
      </c>
      <c r="Q160" s="269">
        <f t="shared" si="105"/>
        <v>0</v>
      </c>
      <c r="R160" s="269">
        <f t="shared" si="105"/>
        <v>0</v>
      </c>
      <c r="S160" s="269">
        <f t="shared" si="105"/>
        <v>0</v>
      </c>
      <c r="T160" s="269">
        <f t="shared" si="105"/>
        <v>0</v>
      </c>
      <c r="U160" s="269">
        <f t="shared" si="105"/>
        <v>0</v>
      </c>
      <c r="V160" s="269">
        <f t="shared" si="105"/>
        <v>0</v>
      </c>
      <c r="W160" s="270">
        <f t="shared" si="105"/>
        <v>0</v>
      </c>
      <c r="X160" s="204">
        <f t="shared" si="103"/>
        <v>0</v>
      </c>
    </row>
    <row r="161" spans="3:24" hidden="1" outlineLevel="1" x14ac:dyDescent="0.25">
      <c r="C161" s="267" t="str">
        <f t="shared" si="102"/>
        <v/>
      </c>
      <c r="D161" s="268">
        <f t="shared" si="104"/>
        <v>0</v>
      </c>
      <c r="E161" s="269">
        <f t="shared" si="104"/>
        <v>0</v>
      </c>
      <c r="F161" s="269">
        <f t="shared" si="104"/>
        <v>0</v>
      </c>
      <c r="G161" s="269">
        <f t="shared" si="104"/>
        <v>0</v>
      </c>
      <c r="H161" s="269">
        <f t="shared" si="104"/>
        <v>0</v>
      </c>
      <c r="I161" s="269">
        <f t="shared" si="104"/>
        <v>0</v>
      </c>
      <c r="J161" s="269">
        <f t="shared" si="104"/>
        <v>0</v>
      </c>
      <c r="K161" s="269">
        <f t="shared" si="104"/>
        <v>0</v>
      </c>
      <c r="L161" s="269">
        <f t="shared" si="104"/>
        <v>0</v>
      </c>
      <c r="M161" s="769">
        <f t="shared" si="104"/>
        <v>0</v>
      </c>
      <c r="N161" s="269">
        <f t="shared" si="105"/>
        <v>0</v>
      </c>
      <c r="O161" s="269">
        <f t="shared" si="105"/>
        <v>0</v>
      </c>
      <c r="P161" s="269">
        <f t="shared" si="105"/>
        <v>0</v>
      </c>
      <c r="Q161" s="269">
        <f t="shared" si="105"/>
        <v>0</v>
      </c>
      <c r="R161" s="269">
        <f t="shared" si="105"/>
        <v>0</v>
      </c>
      <c r="S161" s="269">
        <f t="shared" si="105"/>
        <v>0</v>
      </c>
      <c r="T161" s="269">
        <f t="shared" si="105"/>
        <v>0</v>
      </c>
      <c r="U161" s="269">
        <f t="shared" si="105"/>
        <v>0</v>
      </c>
      <c r="V161" s="269">
        <f t="shared" si="105"/>
        <v>0</v>
      </c>
      <c r="W161" s="270">
        <f t="shared" si="105"/>
        <v>0</v>
      </c>
      <c r="X161" s="204">
        <f t="shared" si="103"/>
        <v>0</v>
      </c>
    </row>
    <row r="162" spans="3:24" hidden="1" outlineLevel="1" x14ac:dyDescent="0.25">
      <c r="C162" s="267" t="str">
        <f t="shared" si="102"/>
        <v/>
      </c>
      <c r="D162" s="268">
        <f t="shared" si="104"/>
        <v>0</v>
      </c>
      <c r="E162" s="269">
        <f t="shared" si="104"/>
        <v>0</v>
      </c>
      <c r="F162" s="269">
        <f t="shared" si="104"/>
        <v>0</v>
      </c>
      <c r="G162" s="269">
        <f t="shared" si="104"/>
        <v>0</v>
      </c>
      <c r="H162" s="269">
        <f t="shared" si="104"/>
        <v>0</v>
      </c>
      <c r="I162" s="269">
        <f t="shared" si="104"/>
        <v>0</v>
      </c>
      <c r="J162" s="269">
        <f t="shared" si="104"/>
        <v>0</v>
      </c>
      <c r="K162" s="269">
        <f t="shared" si="104"/>
        <v>0</v>
      </c>
      <c r="L162" s="269">
        <f t="shared" si="104"/>
        <v>0</v>
      </c>
      <c r="M162" s="769">
        <f t="shared" si="104"/>
        <v>0</v>
      </c>
      <c r="N162" s="269">
        <f t="shared" si="105"/>
        <v>0</v>
      </c>
      <c r="O162" s="269">
        <f t="shared" si="105"/>
        <v>0</v>
      </c>
      <c r="P162" s="269">
        <f t="shared" si="105"/>
        <v>0</v>
      </c>
      <c r="Q162" s="269">
        <f t="shared" si="105"/>
        <v>0</v>
      </c>
      <c r="R162" s="269">
        <f t="shared" si="105"/>
        <v>0</v>
      </c>
      <c r="S162" s="269">
        <f t="shared" si="105"/>
        <v>0</v>
      </c>
      <c r="T162" s="269">
        <f t="shared" si="105"/>
        <v>0</v>
      </c>
      <c r="U162" s="269">
        <f t="shared" si="105"/>
        <v>0</v>
      </c>
      <c r="V162" s="269">
        <f t="shared" si="105"/>
        <v>0</v>
      </c>
      <c r="W162" s="270">
        <f t="shared" si="105"/>
        <v>0</v>
      </c>
      <c r="X162" s="204">
        <f t="shared" si="103"/>
        <v>0</v>
      </c>
    </row>
    <row r="163" spans="3:24" hidden="1" outlineLevel="1" x14ac:dyDescent="0.25">
      <c r="C163" s="267" t="str">
        <f t="shared" si="102"/>
        <v/>
      </c>
      <c r="D163" s="268">
        <f t="shared" si="104"/>
        <v>0</v>
      </c>
      <c r="E163" s="269">
        <f t="shared" si="104"/>
        <v>0</v>
      </c>
      <c r="F163" s="269">
        <f t="shared" si="104"/>
        <v>0</v>
      </c>
      <c r="G163" s="269">
        <f t="shared" si="104"/>
        <v>0</v>
      </c>
      <c r="H163" s="269">
        <f t="shared" si="104"/>
        <v>0</v>
      </c>
      <c r="I163" s="269">
        <f t="shared" si="104"/>
        <v>0</v>
      </c>
      <c r="J163" s="269">
        <f t="shared" si="104"/>
        <v>0</v>
      </c>
      <c r="K163" s="269">
        <f t="shared" si="104"/>
        <v>0</v>
      </c>
      <c r="L163" s="269">
        <f t="shared" si="104"/>
        <v>0</v>
      </c>
      <c r="M163" s="769">
        <f t="shared" si="104"/>
        <v>0</v>
      </c>
      <c r="N163" s="269">
        <f t="shared" si="105"/>
        <v>0</v>
      </c>
      <c r="O163" s="269">
        <f t="shared" si="105"/>
        <v>0</v>
      </c>
      <c r="P163" s="269">
        <f t="shared" si="105"/>
        <v>0</v>
      </c>
      <c r="Q163" s="269">
        <f t="shared" si="105"/>
        <v>0</v>
      </c>
      <c r="R163" s="269">
        <f t="shared" si="105"/>
        <v>0</v>
      </c>
      <c r="S163" s="269">
        <f t="shared" si="105"/>
        <v>0</v>
      </c>
      <c r="T163" s="269">
        <f t="shared" si="105"/>
        <v>0</v>
      </c>
      <c r="U163" s="269">
        <f t="shared" si="105"/>
        <v>0</v>
      </c>
      <c r="V163" s="269">
        <f t="shared" si="105"/>
        <v>0</v>
      </c>
      <c r="W163" s="270">
        <f t="shared" si="105"/>
        <v>0</v>
      </c>
      <c r="X163" s="204">
        <f t="shared" si="103"/>
        <v>0</v>
      </c>
    </row>
    <row r="164" spans="3:24" hidden="1" outlineLevel="1" x14ac:dyDescent="0.25">
      <c r="C164" s="267" t="str">
        <f t="shared" si="102"/>
        <v/>
      </c>
      <c r="D164" s="268">
        <f t="shared" si="104"/>
        <v>0</v>
      </c>
      <c r="E164" s="269">
        <f t="shared" si="104"/>
        <v>0</v>
      </c>
      <c r="F164" s="269">
        <f t="shared" si="104"/>
        <v>0</v>
      </c>
      <c r="G164" s="269">
        <f t="shared" si="104"/>
        <v>0</v>
      </c>
      <c r="H164" s="269">
        <f t="shared" si="104"/>
        <v>0</v>
      </c>
      <c r="I164" s="269">
        <f t="shared" si="104"/>
        <v>0</v>
      </c>
      <c r="J164" s="269">
        <f t="shared" si="104"/>
        <v>0</v>
      </c>
      <c r="K164" s="269">
        <f t="shared" si="104"/>
        <v>0</v>
      </c>
      <c r="L164" s="269">
        <f t="shared" si="104"/>
        <v>0</v>
      </c>
      <c r="M164" s="769">
        <f t="shared" si="104"/>
        <v>0</v>
      </c>
      <c r="N164" s="269">
        <f t="shared" si="105"/>
        <v>0</v>
      </c>
      <c r="O164" s="269">
        <f t="shared" si="105"/>
        <v>0</v>
      </c>
      <c r="P164" s="269">
        <f t="shared" si="105"/>
        <v>0</v>
      </c>
      <c r="Q164" s="269">
        <f t="shared" si="105"/>
        <v>0</v>
      </c>
      <c r="R164" s="269">
        <f t="shared" si="105"/>
        <v>0</v>
      </c>
      <c r="S164" s="269">
        <f t="shared" si="105"/>
        <v>0</v>
      </c>
      <c r="T164" s="269">
        <f t="shared" si="105"/>
        <v>0</v>
      </c>
      <c r="U164" s="269">
        <f t="shared" si="105"/>
        <v>0</v>
      </c>
      <c r="V164" s="269">
        <f t="shared" si="105"/>
        <v>0</v>
      </c>
      <c r="W164" s="270">
        <f t="shared" si="105"/>
        <v>0</v>
      </c>
      <c r="X164" s="204">
        <f t="shared" si="103"/>
        <v>0</v>
      </c>
    </row>
    <row r="165" spans="3:24" hidden="1" outlineLevel="1" x14ac:dyDescent="0.25">
      <c r="C165" s="267" t="str">
        <f t="shared" si="102"/>
        <v/>
      </c>
      <c r="D165" s="268">
        <f t="shared" si="104"/>
        <v>0</v>
      </c>
      <c r="E165" s="269">
        <f t="shared" si="104"/>
        <v>0</v>
      </c>
      <c r="F165" s="269">
        <f t="shared" si="104"/>
        <v>0</v>
      </c>
      <c r="G165" s="269">
        <f t="shared" si="104"/>
        <v>0</v>
      </c>
      <c r="H165" s="269">
        <f t="shared" si="104"/>
        <v>0</v>
      </c>
      <c r="I165" s="269">
        <f t="shared" si="104"/>
        <v>0</v>
      </c>
      <c r="J165" s="269">
        <f t="shared" si="104"/>
        <v>0</v>
      </c>
      <c r="K165" s="269">
        <f t="shared" si="104"/>
        <v>0</v>
      </c>
      <c r="L165" s="269">
        <f t="shared" si="104"/>
        <v>0</v>
      </c>
      <c r="M165" s="769">
        <f t="shared" si="104"/>
        <v>0</v>
      </c>
      <c r="N165" s="269">
        <f t="shared" si="105"/>
        <v>0</v>
      </c>
      <c r="O165" s="269">
        <f t="shared" si="105"/>
        <v>0</v>
      </c>
      <c r="P165" s="269">
        <f t="shared" si="105"/>
        <v>0</v>
      </c>
      <c r="Q165" s="269">
        <f t="shared" si="105"/>
        <v>0</v>
      </c>
      <c r="R165" s="269">
        <f t="shared" si="105"/>
        <v>0</v>
      </c>
      <c r="S165" s="269">
        <f t="shared" si="105"/>
        <v>0</v>
      </c>
      <c r="T165" s="269">
        <f t="shared" si="105"/>
        <v>0</v>
      </c>
      <c r="U165" s="269">
        <f t="shared" si="105"/>
        <v>0</v>
      </c>
      <c r="V165" s="269">
        <f t="shared" si="105"/>
        <v>0</v>
      </c>
      <c r="W165" s="270">
        <f t="shared" si="105"/>
        <v>0</v>
      </c>
      <c r="X165" s="204">
        <f t="shared" si="103"/>
        <v>0</v>
      </c>
    </row>
    <row r="166" spans="3:24" hidden="1" outlineLevel="1" x14ac:dyDescent="0.25">
      <c r="C166" s="267" t="str">
        <f t="shared" si="102"/>
        <v/>
      </c>
      <c r="D166" s="268">
        <f t="shared" si="104"/>
        <v>0</v>
      </c>
      <c r="E166" s="269">
        <f t="shared" si="104"/>
        <v>0</v>
      </c>
      <c r="F166" s="269">
        <f t="shared" si="104"/>
        <v>0</v>
      </c>
      <c r="G166" s="269">
        <f t="shared" si="104"/>
        <v>0</v>
      </c>
      <c r="H166" s="269">
        <f t="shared" si="104"/>
        <v>0</v>
      </c>
      <c r="I166" s="269">
        <f t="shared" si="104"/>
        <v>0</v>
      </c>
      <c r="J166" s="269">
        <f t="shared" si="104"/>
        <v>0</v>
      </c>
      <c r="K166" s="269">
        <f t="shared" si="104"/>
        <v>0</v>
      </c>
      <c r="L166" s="269">
        <f t="shared" si="104"/>
        <v>0</v>
      </c>
      <c r="M166" s="769">
        <f t="shared" si="104"/>
        <v>0</v>
      </c>
      <c r="N166" s="269">
        <f t="shared" si="105"/>
        <v>0</v>
      </c>
      <c r="O166" s="269">
        <f t="shared" si="105"/>
        <v>0</v>
      </c>
      <c r="P166" s="269">
        <f t="shared" si="105"/>
        <v>0</v>
      </c>
      <c r="Q166" s="269">
        <f t="shared" si="105"/>
        <v>0</v>
      </c>
      <c r="R166" s="269">
        <f t="shared" si="105"/>
        <v>0</v>
      </c>
      <c r="S166" s="269">
        <f t="shared" si="105"/>
        <v>0</v>
      </c>
      <c r="T166" s="269">
        <f t="shared" si="105"/>
        <v>0</v>
      </c>
      <c r="U166" s="269">
        <f t="shared" si="105"/>
        <v>0</v>
      </c>
      <c r="V166" s="269">
        <f t="shared" si="105"/>
        <v>0</v>
      </c>
      <c r="W166" s="270">
        <f t="shared" si="105"/>
        <v>0</v>
      </c>
      <c r="X166" s="204">
        <f t="shared" si="103"/>
        <v>0</v>
      </c>
    </row>
    <row r="167" spans="3:24" hidden="1" outlineLevel="1" x14ac:dyDescent="0.25">
      <c r="C167" s="267" t="str">
        <f t="shared" si="102"/>
        <v/>
      </c>
      <c r="D167" s="268">
        <f t="shared" si="104"/>
        <v>0</v>
      </c>
      <c r="E167" s="269">
        <f t="shared" si="104"/>
        <v>0</v>
      </c>
      <c r="F167" s="269">
        <f t="shared" si="104"/>
        <v>0</v>
      </c>
      <c r="G167" s="269">
        <f t="shared" si="104"/>
        <v>0</v>
      </c>
      <c r="H167" s="269">
        <f t="shared" si="104"/>
        <v>0</v>
      </c>
      <c r="I167" s="269">
        <f t="shared" si="104"/>
        <v>0</v>
      </c>
      <c r="J167" s="269">
        <f t="shared" si="104"/>
        <v>0</v>
      </c>
      <c r="K167" s="269">
        <f t="shared" si="104"/>
        <v>0</v>
      </c>
      <c r="L167" s="269">
        <f t="shared" si="104"/>
        <v>0</v>
      </c>
      <c r="M167" s="769">
        <f t="shared" si="104"/>
        <v>0</v>
      </c>
      <c r="N167" s="269">
        <f t="shared" si="105"/>
        <v>0</v>
      </c>
      <c r="O167" s="269">
        <f t="shared" si="105"/>
        <v>0</v>
      </c>
      <c r="P167" s="269">
        <f t="shared" si="105"/>
        <v>0</v>
      </c>
      <c r="Q167" s="269">
        <f t="shared" si="105"/>
        <v>0</v>
      </c>
      <c r="R167" s="269">
        <f t="shared" si="105"/>
        <v>0</v>
      </c>
      <c r="S167" s="269">
        <f t="shared" si="105"/>
        <v>0</v>
      </c>
      <c r="T167" s="269">
        <f t="shared" si="105"/>
        <v>0</v>
      </c>
      <c r="U167" s="269">
        <f t="shared" si="105"/>
        <v>0</v>
      </c>
      <c r="V167" s="269">
        <f t="shared" si="105"/>
        <v>0</v>
      </c>
      <c r="W167" s="270">
        <f t="shared" si="105"/>
        <v>0</v>
      </c>
      <c r="X167" s="204">
        <f t="shared" si="103"/>
        <v>0</v>
      </c>
    </row>
    <row r="168" spans="3:24" hidden="1" outlineLevel="1" x14ac:dyDescent="0.25">
      <c r="C168" s="267" t="str">
        <f t="shared" si="102"/>
        <v/>
      </c>
      <c r="D168" s="268">
        <f t="shared" si="104"/>
        <v>0</v>
      </c>
      <c r="E168" s="269">
        <f t="shared" si="104"/>
        <v>0</v>
      </c>
      <c r="F168" s="269">
        <f t="shared" si="104"/>
        <v>0</v>
      </c>
      <c r="G168" s="269">
        <f t="shared" si="104"/>
        <v>0</v>
      </c>
      <c r="H168" s="269">
        <f t="shared" si="104"/>
        <v>0</v>
      </c>
      <c r="I168" s="269">
        <f t="shared" si="104"/>
        <v>0</v>
      </c>
      <c r="J168" s="269">
        <f t="shared" si="104"/>
        <v>0</v>
      </c>
      <c r="K168" s="269">
        <f t="shared" si="104"/>
        <v>0</v>
      </c>
      <c r="L168" s="269">
        <f t="shared" si="104"/>
        <v>0</v>
      </c>
      <c r="M168" s="769">
        <f t="shared" si="104"/>
        <v>0</v>
      </c>
      <c r="N168" s="269">
        <f t="shared" si="105"/>
        <v>0</v>
      </c>
      <c r="O168" s="269">
        <f t="shared" si="105"/>
        <v>0</v>
      </c>
      <c r="P168" s="269">
        <f t="shared" si="105"/>
        <v>0</v>
      </c>
      <c r="Q168" s="269">
        <f t="shared" si="105"/>
        <v>0</v>
      </c>
      <c r="R168" s="269">
        <f t="shared" si="105"/>
        <v>0</v>
      </c>
      <c r="S168" s="269">
        <f t="shared" si="105"/>
        <v>0</v>
      </c>
      <c r="T168" s="269">
        <f t="shared" si="105"/>
        <v>0</v>
      </c>
      <c r="U168" s="269">
        <f t="shared" si="105"/>
        <v>0</v>
      </c>
      <c r="V168" s="269">
        <f t="shared" si="105"/>
        <v>0</v>
      </c>
      <c r="W168" s="270">
        <f t="shared" si="105"/>
        <v>0</v>
      </c>
      <c r="X168" s="204">
        <f t="shared" si="103"/>
        <v>0</v>
      </c>
    </row>
    <row r="169" spans="3:24" hidden="1" outlineLevel="1" x14ac:dyDescent="0.25">
      <c r="C169" s="267" t="str">
        <f t="shared" si="102"/>
        <v/>
      </c>
      <c r="D169" s="268">
        <f t="shared" si="104"/>
        <v>0</v>
      </c>
      <c r="E169" s="269">
        <f t="shared" si="104"/>
        <v>0</v>
      </c>
      <c r="F169" s="269">
        <f t="shared" si="104"/>
        <v>0</v>
      </c>
      <c r="G169" s="269">
        <f t="shared" si="104"/>
        <v>0</v>
      </c>
      <c r="H169" s="269">
        <f t="shared" si="104"/>
        <v>0</v>
      </c>
      <c r="I169" s="269">
        <f t="shared" si="104"/>
        <v>0</v>
      </c>
      <c r="J169" s="269">
        <f t="shared" si="104"/>
        <v>0</v>
      </c>
      <c r="K169" s="269">
        <f t="shared" si="104"/>
        <v>0</v>
      </c>
      <c r="L169" s="269">
        <f t="shared" si="104"/>
        <v>0</v>
      </c>
      <c r="M169" s="769">
        <f t="shared" si="104"/>
        <v>0</v>
      </c>
      <c r="N169" s="269">
        <f t="shared" si="105"/>
        <v>0</v>
      </c>
      <c r="O169" s="269">
        <f t="shared" si="105"/>
        <v>0</v>
      </c>
      <c r="P169" s="269">
        <f t="shared" si="105"/>
        <v>0</v>
      </c>
      <c r="Q169" s="269">
        <f t="shared" si="105"/>
        <v>0</v>
      </c>
      <c r="R169" s="269">
        <f t="shared" si="105"/>
        <v>0</v>
      </c>
      <c r="S169" s="269">
        <f t="shared" si="105"/>
        <v>0</v>
      </c>
      <c r="T169" s="269">
        <f t="shared" si="105"/>
        <v>0</v>
      </c>
      <c r="U169" s="269">
        <f t="shared" si="105"/>
        <v>0</v>
      </c>
      <c r="V169" s="269">
        <f t="shared" si="105"/>
        <v>0</v>
      </c>
      <c r="W169" s="270">
        <f t="shared" si="105"/>
        <v>0</v>
      </c>
      <c r="X169" s="204">
        <f t="shared" si="103"/>
        <v>0</v>
      </c>
    </row>
    <row r="170" spans="3:24" hidden="1" outlineLevel="1" x14ac:dyDescent="0.25">
      <c r="C170" s="267" t="str">
        <f t="shared" si="102"/>
        <v/>
      </c>
      <c r="D170" s="268">
        <f t="shared" ref="D170:M179" si="106">IF(AND($C170&lt;&gt;"",D$5&lt;&gt;""),SUMIFS(col_ipi,col_abertura1,$C170,col_abertura2,D$5)+IF($E$3=$A$4,SUMIFS(col_fatdir_ipi_mn,col_abertura1,$C170,col_abertura2,D$5),0),0)</f>
        <v>0</v>
      </c>
      <c r="E170" s="269">
        <f t="shared" si="106"/>
        <v>0</v>
      </c>
      <c r="F170" s="269">
        <f t="shared" si="106"/>
        <v>0</v>
      </c>
      <c r="G170" s="269">
        <f t="shared" si="106"/>
        <v>0</v>
      </c>
      <c r="H170" s="269">
        <f t="shared" si="106"/>
        <v>0</v>
      </c>
      <c r="I170" s="269">
        <f t="shared" si="106"/>
        <v>0</v>
      </c>
      <c r="J170" s="269">
        <f t="shared" si="106"/>
        <v>0</v>
      </c>
      <c r="K170" s="269">
        <f t="shared" si="106"/>
        <v>0</v>
      </c>
      <c r="L170" s="269">
        <f t="shared" si="106"/>
        <v>0</v>
      </c>
      <c r="M170" s="769">
        <f t="shared" si="106"/>
        <v>0</v>
      </c>
      <c r="N170" s="269">
        <f t="shared" ref="N170:W179" si="107">IF(AND($C170&lt;&gt;"",N$5&lt;&gt;""),SUMIFS(col_ipi,col_abertura1,$C170,col_abertura2,N$5)+IF($E$3=$A$4,SUMIFS(col_fatdir_ipi_mn,col_abertura1,$C170,col_abertura2,N$5),0),0)</f>
        <v>0</v>
      </c>
      <c r="O170" s="269">
        <f t="shared" si="107"/>
        <v>0</v>
      </c>
      <c r="P170" s="269">
        <f t="shared" si="107"/>
        <v>0</v>
      </c>
      <c r="Q170" s="269">
        <f t="shared" si="107"/>
        <v>0</v>
      </c>
      <c r="R170" s="269">
        <f t="shared" si="107"/>
        <v>0</v>
      </c>
      <c r="S170" s="269">
        <f t="shared" si="107"/>
        <v>0</v>
      </c>
      <c r="T170" s="269">
        <f t="shared" si="107"/>
        <v>0</v>
      </c>
      <c r="U170" s="269">
        <f t="shared" si="107"/>
        <v>0</v>
      </c>
      <c r="V170" s="269">
        <f t="shared" si="107"/>
        <v>0</v>
      </c>
      <c r="W170" s="270">
        <f t="shared" si="107"/>
        <v>0</v>
      </c>
      <c r="X170" s="204">
        <f t="shared" si="103"/>
        <v>0</v>
      </c>
    </row>
    <row r="171" spans="3:24" hidden="1" outlineLevel="1" x14ac:dyDescent="0.25">
      <c r="C171" s="267" t="str">
        <f t="shared" si="102"/>
        <v/>
      </c>
      <c r="D171" s="268">
        <f t="shared" si="106"/>
        <v>0</v>
      </c>
      <c r="E171" s="269">
        <f t="shared" si="106"/>
        <v>0</v>
      </c>
      <c r="F171" s="269">
        <f t="shared" si="106"/>
        <v>0</v>
      </c>
      <c r="G171" s="269">
        <f t="shared" si="106"/>
        <v>0</v>
      </c>
      <c r="H171" s="269">
        <f t="shared" si="106"/>
        <v>0</v>
      </c>
      <c r="I171" s="269">
        <f t="shared" si="106"/>
        <v>0</v>
      </c>
      <c r="J171" s="269">
        <f t="shared" si="106"/>
        <v>0</v>
      </c>
      <c r="K171" s="269">
        <f t="shared" si="106"/>
        <v>0</v>
      </c>
      <c r="L171" s="269">
        <f t="shared" si="106"/>
        <v>0</v>
      </c>
      <c r="M171" s="769">
        <f t="shared" si="106"/>
        <v>0</v>
      </c>
      <c r="N171" s="269">
        <f t="shared" si="107"/>
        <v>0</v>
      </c>
      <c r="O171" s="269">
        <f t="shared" si="107"/>
        <v>0</v>
      </c>
      <c r="P171" s="269">
        <f t="shared" si="107"/>
        <v>0</v>
      </c>
      <c r="Q171" s="269">
        <f t="shared" si="107"/>
        <v>0</v>
      </c>
      <c r="R171" s="269">
        <f t="shared" si="107"/>
        <v>0</v>
      </c>
      <c r="S171" s="269">
        <f t="shared" si="107"/>
        <v>0</v>
      </c>
      <c r="T171" s="269">
        <f t="shared" si="107"/>
        <v>0</v>
      </c>
      <c r="U171" s="269">
        <f t="shared" si="107"/>
        <v>0</v>
      </c>
      <c r="V171" s="269">
        <f t="shared" si="107"/>
        <v>0</v>
      </c>
      <c r="W171" s="270">
        <f t="shared" si="107"/>
        <v>0</v>
      </c>
      <c r="X171" s="204">
        <f t="shared" si="103"/>
        <v>0</v>
      </c>
    </row>
    <row r="172" spans="3:24" hidden="1" outlineLevel="1" x14ac:dyDescent="0.25">
      <c r="C172" s="267" t="str">
        <f t="shared" si="102"/>
        <v/>
      </c>
      <c r="D172" s="268">
        <f t="shared" si="106"/>
        <v>0</v>
      </c>
      <c r="E172" s="269">
        <f t="shared" si="106"/>
        <v>0</v>
      </c>
      <c r="F172" s="269">
        <f t="shared" si="106"/>
        <v>0</v>
      </c>
      <c r="G172" s="269">
        <f t="shared" si="106"/>
        <v>0</v>
      </c>
      <c r="H172" s="269">
        <f t="shared" si="106"/>
        <v>0</v>
      </c>
      <c r="I172" s="269">
        <f t="shared" si="106"/>
        <v>0</v>
      </c>
      <c r="J172" s="269">
        <f t="shared" si="106"/>
        <v>0</v>
      </c>
      <c r="K172" s="269">
        <f t="shared" si="106"/>
        <v>0</v>
      </c>
      <c r="L172" s="269">
        <f t="shared" si="106"/>
        <v>0</v>
      </c>
      <c r="M172" s="769">
        <f t="shared" si="106"/>
        <v>0</v>
      </c>
      <c r="N172" s="269">
        <f t="shared" si="107"/>
        <v>0</v>
      </c>
      <c r="O172" s="269">
        <f t="shared" si="107"/>
        <v>0</v>
      </c>
      <c r="P172" s="269">
        <f t="shared" si="107"/>
        <v>0</v>
      </c>
      <c r="Q172" s="269">
        <f t="shared" si="107"/>
        <v>0</v>
      </c>
      <c r="R172" s="269">
        <f t="shared" si="107"/>
        <v>0</v>
      </c>
      <c r="S172" s="269">
        <f t="shared" si="107"/>
        <v>0</v>
      </c>
      <c r="T172" s="269">
        <f t="shared" si="107"/>
        <v>0</v>
      </c>
      <c r="U172" s="269">
        <f t="shared" si="107"/>
        <v>0</v>
      </c>
      <c r="V172" s="269">
        <f t="shared" si="107"/>
        <v>0</v>
      </c>
      <c r="W172" s="270">
        <f t="shared" si="107"/>
        <v>0</v>
      </c>
      <c r="X172" s="204">
        <f t="shared" si="103"/>
        <v>0</v>
      </c>
    </row>
    <row r="173" spans="3:24" hidden="1" outlineLevel="1" x14ac:dyDescent="0.25">
      <c r="C173" s="267" t="str">
        <f t="shared" si="102"/>
        <v/>
      </c>
      <c r="D173" s="268">
        <f t="shared" si="106"/>
        <v>0</v>
      </c>
      <c r="E173" s="269">
        <f t="shared" si="106"/>
        <v>0</v>
      </c>
      <c r="F173" s="269">
        <f t="shared" si="106"/>
        <v>0</v>
      </c>
      <c r="G173" s="269">
        <f t="shared" si="106"/>
        <v>0</v>
      </c>
      <c r="H173" s="269">
        <f t="shared" si="106"/>
        <v>0</v>
      </c>
      <c r="I173" s="269">
        <f t="shared" si="106"/>
        <v>0</v>
      </c>
      <c r="J173" s="269">
        <f t="shared" si="106"/>
        <v>0</v>
      </c>
      <c r="K173" s="269">
        <f t="shared" si="106"/>
        <v>0</v>
      </c>
      <c r="L173" s="269">
        <f t="shared" si="106"/>
        <v>0</v>
      </c>
      <c r="M173" s="769">
        <f t="shared" si="106"/>
        <v>0</v>
      </c>
      <c r="N173" s="269">
        <f t="shared" si="107"/>
        <v>0</v>
      </c>
      <c r="O173" s="269">
        <f t="shared" si="107"/>
        <v>0</v>
      </c>
      <c r="P173" s="269">
        <f t="shared" si="107"/>
        <v>0</v>
      </c>
      <c r="Q173" s="269">
        <f t="shared" si="107"/>
        <v>0</v>
      </c>
      <c r="R173" s="269">
        <f t="shared" si="107"/>
        <v>0</v>
      </c>
      <c r="S173" s="269">
        <f t="shared" si="107"/>
        <v>0</v>
      </c>
      <c r="T173" s="269">
        <f t="shared" si="107"/>
        <v>0</v>
      </c>
      <c r="U173" s="269">
        <f t="shared" si="107"/>
        <v>0</v>
      </c>
      <c r="V173" s="269">
        <f t="shared" si="107"/>
        <v>0</v>
      </c>
      <c r="W173" s="270">
        <f t="shared" si="107"/>
        <v>0</v>
      </c>
      <c r="X173" s="204">
        <f t="shared" si="103"/>
        <v>0</v>
      </c>
    </row>
    <row r="174" spans="3:24" hidden="1" outlineLevel="1" x14ac:dyDescent="0.25">
      <c r="C174" s="267" t="str">
        <f t="shared" si="102"/>
        <v/>
      </c>
      <c r="D174" s="268">
        <f t="shared" si="106"/>
        <v>0</v>
      </c>
      <c r="E174" s="269">
        <f t="shared" si="106"/>
        <v>0</v>
      </c>
      <c r="F174" s="269">
        <f t="shared" si="106"/>
        <v>0</v>
      </c>
      <c r="G174" s="269">
        <f t="shared" si="106"/>
        <v>0</v>
      </c>
      <c r="H174" s="269">
        <f t="shared" si="106"/>
        <v>0</v>
      </c>
      <c r="I174" s="269">
        <f t="shared" si="106"/>
        <v>0</v>
      </c>
      <c r="J174" s="269">
        <f t="shared" si="106"/>
        <v>0</v>
      </c>
      <c r="K174" s="269">
        <f t="shared" si="106"/>
        <v>0</v>
      </c>
      <c r="L174" s="269">
        <f t="shared" si="106"/>
        <v>0</v>
      </c>
      <c r="M174" s="769">
        <f t="shared" si="106"/>
        <v>0</v>
      </c>
      <c r="N174" s="269">
        <f t="shared" si="107"/>
        <v>0</v>
      </c>
      <c r="O174" s="269">
        <f t="shared" si="107"/>
        <v>0</v>
      </c>
      <c r="P174" s="269">
        <f t="shared" si="107"/>
        <v>0</v>
      </c>
      <c r="Q174" s="269">
        <f t="shared" si="107"/>
        <v>0</v>
      </c>
      <c r="R174" s="269">
        <f t="shared" si="107"/>
        <v>0</v>
      </c>
      <c r="S174" s="269">
        <f t="shared" si="107"/>
        <v>0</v>
      </c>
      <c r="T174" s="269">
        <f t="shared" si="107"/>
        <v>0</v>
      </c>
      <c r="U174" s="269">
        <f t="shared" si="107"/>
        <v>0</v>
      </c>
      <c r="V174" s="269">
        <f t="shared" si="107"/>
        <v>0</v>
      </c>
      <c r="W174" s="270">
        <f t="shared" si="107"/>
        <v>0</v>
      </c>
      <c r="X174" s="204">
        <f t="shared" si="103"/>
        <v>0</v>
      </c>
    </row>
    <row r="175" spans="3:24" hidden="1" outlineLevel="1" x14ac:dyDescent="0.25">
      <c r="C175" s="267" t="str">
        <f t="shared" si="102"/>
        <v/>
      </c>
      <c r="D175" s="268">
        <f t="shared" si="106"/>
        <v>0</v>
      </c>
      <c r="E175" s="269">
        <f t="shared" si="106"/>
        <v>0</v>
      </c>
      <c r="F175" s="269">
        <f t="shared" si="106"/>
        <v>0</v>
      </c>
      <c r="G175" s="269">
        <f t="shared" si="106"/>
        <v>0</v>
      </c>
      <c r="H175" s="269">
        <f t="shared" si="106"/>
        <v>0</v>
      </c>
      <c r="I175" s="269">
        <f t="shared" si="106"/>
        <v>0</v>
      </c>
      <c r="J175" s="269">
        <f t="shared" si="106"/>
        <v>0</v>
      </c>
      <c r="K175" s="269">
        <f t="shared" si="106"/>
        <v>0</v>
      </c>
      <c r="L175" s="269">
        <f t="shared" si="106"/>
        <v>0</v>
      </c>
      <c r="M175" s="769">
        <f t="shared" si="106"/>
        <v>0</v>
      </c>
      <c r="N175" s="269">
        <f t="shared" si="107"/>
        <v>0</v>
      </c>
      <c r="O175" s="269">
        <f t="shared" si="107"/>
        <v>0</v>
      </c>
      <c r="P175" s="269">
        <f t="shared" si="107"/>
        <v>0</v>
      </c>
      <c r="Q175" s="269">
        <f t="shared" si="107"/>
        <v>0</v>
      </c>
      <c r="R175" s="269">
        <f t="shared" si="107"/>
        <v>0</v>
      </c>
      <c r="S175" s="269">
        <f t="shared" si="107"/>
        <v>0</v>
      </c>
      <c r="T175" s="269">
        <f t="shared" si="107"/>
        <v>0</v>
      </c>
      <c r="U175" s="269">
        <f t="shared" si="107"/>
        <v>0</v>
      </c>
      <c r="V175" s="269">
        <f t="shared" si="107"/>
        <v>0</v>
      </c>
      <c r="W175" s="270">
        <f t="shared" si="107"/>
        <v>0</v>
      </c>
      <c r="X175" s="204">
        <f t="shared" si="103"/>
        <v>0</v>
      </c>
    </row>
    <row r="176" spans="3:24" hidden="1" outlineLevel="1" x14ac:dyDescent="0.25">
      <c r="C176" s="267" t="str">
        <f t="shared" si="102"/>
        <v/>
      </c>
      <c r="D176" s="268">
        <f t="shared" si="106"/>
        <v>0</v>
      </c>
      <c r="E176" s="269">
        <f t="shared" si="106"/>
        <v>0</v>
      </c>
      <c r="F176" s="269">
        <f t="shared" si="106"/>
        <v>0</v>
      </c>
      <c r="G176" s="269">
        <f t="shared" si="106"/>
        <v>0</v>
      </c>
      <c r="H176" s="269">
        <f t="shared" si="106"/>
        <v>0</v>
      </c>
      <c r="I176" s="269">
        <f t="shared" si="106"/>
        <v>0</v>
      </c>
      <c r="J176" s="269">
        <f t="shared" si="106"/>
        <v>0</v>
      </c>
      <c r="K176" s="269">
        <f t="shared" si="106"/>
        <v>0</v>
      </c>
      <c r="L176" s="269">
        <f t="shared" si="106"/>
        <v>0</v>
      </c>
      <c r="M176" s="769">
        <f t="shared" si="106"/>
        <v>0</v>
      </c>
      <c r="N176" s="269">
        <f t="shared" si="107"/>
        <v>0</v>
      </c>
      <c r="O176" s="269">
        <f t="shared" si="107"/>
        <v>0</v>
      </c>
      <c r="P176" s="269">
        <f t="shared" si="107"/>
        <v>0</v>
      </c>
      <c r="Q176" s="269">
        <f t="shared" si="107"/>
        <v>0</v>
      </c>
      <c r="R176" s="269">
        <f t="shared" si="107"/>
        <v>0</v>
      </c>
      <c r="S176" s="269">
        <f t="shared" si="107"/>
        <v>0</v>
      </c>
      <c r="T176" s="269">
        <f t="shared" si="107"/>
        <v>0</v>
      </c>
      <c r="U176" s="269">
        <f t="shared" si="107"/>
        <v>0</v>
      </c>
      <c r="V176" s="269">
        <f t="shared" si="107"/>
        <v>0</v>
      </c>
      <c r="W176" s="270">
        <f t="shared" si="107"/>
        <v>0</v>
      </c>
      <c r="X176" s="204">
        <f t="shared" si="103"/>
        <v>0</v>
      </c>
    </row>
    <row r="177" spans="3:26" hidden="1" outlineLevel="1" x14ac:dyDescent="0.25">
      <c r="C177" s="267" t="str">
        <f t="shared" si="102"/>
        <v/>
      </c>
      <c r="D177" s="268">
        <f t="shared" si="106"/>
        <v>0</v>
      </c>
      <c r="E177" s="269">
        <f t="shared" si="106"/>
        <v>0</v>
      </c>
      <c r="F177" s="269">
        <f t="shared" si="106"/>
        <v>0</v>
      </c>
      <c r="G177" s="269">
        <f t="shared" si="106"/>
        <v>0</v>
      </c>
      <c r="H177" s="269">
        <f t="shared" si="106"/>
        <v>0</v>
      </c>
      <c r="I177" s="269">
        <f t="shared" si="106"/>
        <v>0</v>
      </c>
      <c r="J177" s="269">
        <f t="shared" si="106"/>
        <v>0</v>
      </c>
      <c r="K177" s="269">
        <f t="shared" si="106"/>
        <v>0</v>
      </c>
      <c r="L177" s="269">
        <f t="shared" si="106"/>
        <v>0</v>
      </c>
      <c r="M177" s="769">
        <f t="shared" si="106"/>
        <v>0</v>
      </c>
      <c r="N177" s="269">
        <f t="shared" si="107"/>
        <v>0</v>
      </c>
      <c r="O177" s="269">
        <f t="shared" si="107"/>
        <v>0</v>
      </c>
      <c r="P177" s="269">
        <f t="shared" si="107"/>
        <v>0</v>
      </c>
      <c r="Q177" s="269">
        <f t="shared" si="107"/>
        <v>0</v>
      </c>
      <c r="R177" s="269">
        <f t="shared" si="107"/>
        <v>0</v>
      </c>
      <c r="S177" s="269">
        <f t="shared" si="107"/>
        <v>0</v>
      </c>
      <c r="T177" s="269">
        <f t="shared" si="107"/>
        <v>0</v>
      </c>
      <c r="U177" s="269">
        <f t="shared" si="107"/>
        <v>0</v>
      </c>
      <c r="V177" s="269">
        <f t="shared" si="107"/>
        <v>0</v>
      </c>
      <c r="W177" s="270">
        <f t="shared" si="107"/>
        <v>0</v>
      </c>
      <c r="X177" s="204">
        <f t="shared" si="103"/>
        <v>0</v>
      </c>
    </row>
    <row r="178" spans="3:26" hidden="1" outlineLevel="1" x14ac:dyDescent="0.25">
      <c r="C178" s="267" t="str">
        <f t="shared" si="102"/>
        <v/>
      </c>
      <c r="D178" s="268">
        <f t="shared" si="106"/>
        <v>0</v>
      </c>
      <c r="E178" s="269">
        <f t="shared" si="106"/>
        <v>0</v>
      </c>
      <c r="F178" s="269">
        <f t="shared" si="106"/>
        <v>0</v>
      </c>
      <c r="G178" s="269">
        <f t="shared" si="106"/>
        <v>0</v>
      </c>
      <c r="H178" s="269">
        <f t="shared" si="106"/>
        <v>0</v>
      </c>
      <c r="I178" s="269">
        <f t="shared" si="106"/>
        <v>0</v>
      </c>
      <c r="J178" s="269">
        <f t="shared" si="106"/>
        <v>0</v>
      </c>
      <c r="K178" s="269">
        <f t="shared" si="106"/>
        <v>0</v>
      </c>
      <c r="L178" s="269">
        <f t="shared" si="106"/>
        <v>0</v>
      </c>
      <c r="M178" s="769">
        <f t="shared" si="106"/>
        <v>0</v>
      </c>
      <c r="N178" s="269">
        <f t="shared" si="107"/>
        <v>0</v>
      </c>
      <c r="O178" s="269">
        <f t="shared" si="107"/>
        <v>0</v>
      </c>
      <c r="P178" s="269">
        <f t="shared" si="107"/>
        <v>0</v>
      </c>
      <c r="Q178" s="269">
        <f t="shared" si="107"/>
        <v>0</v>
      </c>
      <c r="R178" s="269">
        <f t="shared" si="107"/>
        <v>0</v>
      </c>
      <c r="S178" s="269">
        <f t="shared" si="107"/>
        <v>0</v>
      </c>
      <c r="T178" s="269">
        <f t="shared" si="107"/>
        <v>0</v>
      </c>
      <c r="U178" s="269">
        <f t="shared" si="107"/>
        <v>0</v>
      </c>
      <c r="V178" s="269">
        <f t="shared" si="107"/>
        <v>0</v>
      </c>
      <c r="W178" s="270">
        <f t="shared" si="107"/>
        <v>0</v>
      </c>
      <c r="X178" s="204">
        <f t="shared" si="103"/>
        <v>0</v>
      </c>
    </row>
    <row r="179" spans="3:26" hidden="1" outlineLevel="1" x14ac:dyDescent="0.25">
      <c r="C179" s="271" t="str">
        <f t="shared" si="102"/>
        <v>Padrões</v>
      </c>
      <c r="D179" s="272">
        <f t="shared" si="106"/>
        <v>0</v>
      </c>
      <c r="E179" s="273">
        <f t="shared" si="106"/>
        <v>0</v>
      </c>
      <c r="F179" s="273">
        <f t="shared" si="106"/>
        <v>0</v>
      </c>
      <c r="G179" s="273">
        <f t="shared" si="106"/>
        <v>0</v>
      </c>
      <c r="H179" s="273">
        <f t="shared" si="106"/>
        <v>0</v>
      </c>
      <c r="I179" s="273">
        <f t="shared" si="106"/>
        <v>0</v>
      </c>
      <c r="J179" s="273">
        <f t="shared" si="106"/>
        <v>0</v>
      </c>
      <c r="K179" s="273">
        <f t="shared" si="106"/>
        <v>0</v>
      </c>
      <c r="L179" s="273">
        <f t="shared" si="106"/>
        <v>0</v>
      </c>
      <c r="M179" s="770">
        <f t="shared" si="106"/>
        <v>0</v>
      </c>
      <c r="N179" s="273">
        <f t="shared" si="107"/>
        <v>0</v>
      </c>
      <c r="O179" s="273">
        <f t="shared" si="107"/>
        <v>0</v>
      </c>
      <c r="P179" s="273">
        <f t="shared" si="107"/>
        <v>0</v>
      </c>
      <c r="Q179" s="273">
        <f t="shared" si="107"/>
        <v>0</v>
      </c>
      <c r="R179" s="273">
        <f t="shared" si="107"/>
        <v>0</v>
      </c>
      <c r="S179" s="273">
        <f t="shared" si="107"/>
        <v>0</v>
      </c>
      <c r="T179" s="273">
        <f t="shared" si="107"/>
        <v>0</v>
      </c>
      <c r="U179" s="273">
        <f t="shared" si="107"/>
        <v>0</v>
      </c>
      <c r="V179" s="273">
        <f t="shared" si="107"/>
        <v>0</v>
      </c>
      <c r="W179" s="274">
        <f t="shared" si="107"/>
        <v>0</v>
      </c>
      <c r="X179" s="204">
        <f t="shared" si="103"/>
        <v>0</v>
      </c>
    </row>
    <row r="180" spans="3:26" hidden="1" outlineLevel="1" x14ac:dyDescent="0.25">
      <c r="C180" s="187"/>
      <c r="D180" s="281">
        <f>SUM(D150:D179)</f>
        <v>0</v>
      </c>
      <c r="E180" s="281">
        <f t="shared" ref="E180" si="108">SUM(E150:E179)</f>
        <v>0</v>
      </c>
      <c r="F180" s="281">
        <f t="shared" ref="F180" si="109">SUM(F150:F179)</f>
        <v>631.26606354624096</v>
      </c>
      <c r="G180" s="281">
        <f t="shared" ref="G180" si="110">SUM(G150:G179)</f>
        <v>0</v>
      </c>
      <c r="H180" s="281">
        <f t="shared" ref="H180" si="111">SUM(H150:H179)</f>
        <v>0</v>
      </c>
      <c r="I180" s="281">
        <f t="shared" ref="I180" si="112">SUM(I150:I179)</f>
        <v>0</v>
      </c>
      <c r="J180" s="281">
        <f t="shared" ref="J180" si="113">SUM(J150:J179)</f>
        <v>0</v>
      </c>
      <c r="K180" s="281">
        <f t="shared" ref="K180" si="114">SUM(K150:K179)</f>
        <v>0</v>
      </c>
      <c r="L180" s="281">
        <f t="shared" ref="L180" si="115">SUM(L150:L179)</f>
        <v>0</v>
      </c>
      <c r="M180" s="771">
        <f t="shared" ref="M180" si="116">SUM(M150:M179)</f>
        <v>0</v>
      </c>
      <c r="N180" s="281">
        <f t="shared" ref="N180" si="117">SUM(N150:N179)</f>
        <v>0</v>
      </c>
      <c r="O180" s="281">
        <f t="shared" ref="O180" si="118">SUM(O150:O179)</f>
        <v>0</v>
      </c>
      <c r="P180" s="281">
        <f t="shared" ref="P180" si="119">SUM(P150:P179)</f>
        <v>0</v>
      </c>
      <c r="Q180" s="281">
        <f t="shared" ref="Q180" si="120">SUM(Q150:Q179)</f>
        <v>0</v>
      </c>
      <c r="R180" s="281">
        <f t="shared" ref="R180" si="121">SUM(R150:R179)</f>
        <v>0</v>
      </c>
      <c r="S180" s="281">
        <f t="shared" ref="S180" si="122">SUM(S150:S179)</f>
        <v>0</v>
      </c>
      <c r="T180" s="281">
        <f t="shared" ref="T180" si="123">SUM(T150:T179)</f>
        <v>0</v>
      </c>
      <c r="U180" s="281">
        <f t="shared" ref="U180" si="124">SUM(U150:U179)</f>
        <v>0</v>
      </c>
      <c r="V180" s="281">
        <f t="shared" ref="V180" si="125">SUM(V150:V179)</f>
        <v>0</v>
      </c>
      <c r="W180" s="281">
        <f t="shared" ref="W180" si="126">SUM(W150:W179)</f>
        <v>0</v>
      </c>
      <c r="X180" s="280">
        <f>SUM(X150:X179)</f>
        <v>631.26606354624096</v>
      </c>
    </row>
    <row r="181" spans="3:26" hidden="1" outlineLevel="1" x14ac:dyDescent="0.25"/>
    <row r="182" spans="3:26" hidden="1" outlineLevel="1" x14ac:dyDescent="0.25">
      <c r="U182" s="282" t="s">
        <v>339</v>
      </c>
      <c r="V182" s="282" t="s">
        <v>340</v>
      </c>
    </row>
    <row r="183" spans="3:26" collapsed="1" x14ac:dyDescent="0.25">
      <c r="D183" s="114" t="s">
        <v>19</v>
      </c>
      <c r="U183" s="283">
        <f>SUM(D186:W215)</f>
        <v>0</v>
      </c>
      <c r="V183" s="283">
        <f>IF($E$3=$A$3,Dados!M100,Dados!M100+Escopo!DF273)</f>
        <v>0</v>
      </c>
      <c r="W183" s="522" t="b">
        <f>IF(ABS(U183-V183)&lt;0.01,TRUE,FALSE)</f>
        <v>1</v>
      </c>
    </row>
    <row r="184" spans="3:26" outlineLevel="1" x14ac:dyDescent="0.25"/>
    <row r="185" spans="3:26" outlineLevel="1" x14ac:dyDescent="0.25">
      <c r="D185" s="260" t="str">
        <f>IF(D149&lt;&gt;"",D149,"")</f>
        <v>SAGE</v>
      </c>
      <c r="E185" s="261" t="str">
        <f t="shared" ref="E185:W185" si="127">IF(E149&lt;&gt;"",E149,"")</f>
        <v>TELECOM</v>
      </c>
      <c r="F185" s="261" t="str">
        <f t="shared" si="127"/>
        <v>GERAL</v>
      </c>
      <c r="G185" s="261" t="str">
        <f t="shared" si="127"/>
        <v/>
      </c>
      <c r="H185" s="261" t="str">
        <f t="shared" si="127"/>
        <v/>
      </c>
      <c r="I185" s="261" t="str">
        <f t="shared" si="127"/>
        <v/>
      </c>
      <c r="J185" s="261" t="str">
        <f t="shared" si="127"/>
        <v/>
      </c>
      <c r="K185" s="261" t="str">
        <f t="shared" si="127"/>
        <v/>
      </c>
      <c r="L185" s="261" t="str">
        <f t="shared" si="127"/>
        <v/>
      </c>
      <c r="M185" s="261" t="str">
        <f t="shared" si="127"/>
        <v/>
      </c>
      <c r="N185" s="261" t="str">
        <f t="shared" si="127"/>
        <v/>
      </c>
      <c r="O185" s="261" t="str">
        <f t="shared" si="127"/>
        <v/>
      </c>
      <c r="P185" s="261" t="str">
        <f t="shared" si="127"/>
        <v/>
      </c>
      <c r="Q185" s="261" t="str">
        <f t="shared" si="127"/>
        <v/>
      </c>
      <c r="R185" s="261" t="str">
        <f t="shared" si="127"/>
        <v/>
      </c>
      <c r="S185" s="261" t="str">
        <f t="shared" si="127"/>
        <v/>
      </c>
      <c r="T185" s="261" t="str">
        <f t="shared" si="127"/>
        <v/>
      </c>
      <c r="U185" s="261" t="str">
        <f t="shared" si="127"/>
        <v/>
      </c>
      <c r="V185" s="261" t="str">
        <f t="shared" si="127"/>
        <v/>
      </c>
      <c r="W185" s="262" t="str">
        <f t="shared" si="127"/>
        <v/>
      </c>
    </row>
    <row r="186" spans="3:26" outlineLevel="1" x14ac:dyDescent="0.25">
      <c r="C186" s="263" t="str">
        <f>IF(C150&lt;&gt;"",C150,"")</f>
        <v>MAT</v>
      </c>
      <c r="D186" s="264">
        <f t="shared" ref="D186:M195" si="128">IF(AND($C186&lt;&gt;"",D$5&lt;&gt;""),SUMIFS(col_pis,col_abertura1,$C186,col_abertura2,D$5)+IF($E$3=$A$4,SUMIFS(col_fatdir_pis_mn,col_abertura1,$C186,col_abertura2,D$5),0),0)</f>
        <v>0</v>
      </c>
      <c r="E186" s="265">
        <f t="shared" si="128"/>
        <v>0</v>
      </c>
      <c r="F186" s="265">
        <f t="shared" si="128"/>
        <v>0</v>
      </c>
      <c r="G186" s="265">
        <f t="shared" si="128"/>
        <v>0</v>
      </c>
      <c r="H186" s="265">
        <f t="shared" si="128"/>
        <v>0</v>
      </c>
      <c r="I186" s="265">
        <f t="shared" si="128"/>
        <v>0</v>
      </c>
      <c r="J186" s="265">
        <f t="shared" si="128"/>
        <v>0</v>
      </c>
      <c r="K186" s="265">
        <f t="shared" si="128"/>
        <v>0</v>
      </c>
      <c r="L186" s="265">
        <f t="shared" si="128"/>
        <v>0</v>
      </c>
      <c r="M186" s="768">
        <f t="shared" si="128"/>
        <v>0</v>
      </c>
      <c r="N186" s="265">
        <f t="shared" ref="N186:W195" si="129">IF(AND($C186&lt;&gt;"",N$5&lt;&gt;""),SUMIFS(col_pis,col_abertura1,$C186,col_abertura2,N$5)+IF($E$3=$A$4,SUMIFS(col_fatdir_pis_mn,col_abertura1,$C186,col_abertura2,N$5),0),0)</f>
        <v>0</v>
      </c>
      <c r="O186" s="265">
        <f t="shared" si="129"/>
        <v>0</v>
      </c>
      <c r="P186" s="265">
        <f t="shared" si="129"/>
        <v>0</v>
      </c>
      <c r="Q186" s="265">
        <f t="shared" si="129"/>
        <v>0</v>
      </c>
      <c r="R186" s="265">
        <f t="shared" si="129"/>
        <v>0</v>
      </c>
      <c r="S186" s="265">
        <f t="shared" si="129"/>
        <v>0</v>
      </c>
      <c r="T186" s="265">
        <f t="shared" si="129"/>
        <v>0</v>
      </c>
      <c r="U186" s="265">
        <f t="shared" si="129"/>
        <v>0</v>
      </c>
      <c r="V186" s="265">
        <f t="shared" si="129"/>
        <v>0</v>
      </c>
      <c r="W186" s="266">
        <f t="shared" si="129"/>
        <v>0</v>
      </c>
      <c r="X186" s="204">
        <f>SUM(D186:W186)</f>
        <v>0</v>
      </c>
      <c r="Y186" s="776"/>
      <c r="Z186" s="204"/>
    </row>
    <row r="187" spans="3:26" outlineLevel="1" x14ac:dyDescent="0.25">
      <c r="C187" s="267" t="str">
        <f t="shared" ref="C187:C215" si="130">IF(C151&lt;&gt;"",C151,"")</f>
        <v>SRV</v>
      </c>
      <c r="D187" s="268">
        <f t="shared" si="128"/>
        <v>0</v>
      </c>
      <c r="E187" s="269">
        <f t="shared" si="128"/>
        <v>0</v>
      </c>
      <c r="F187" s="269">
        <f t="shared" si="128"/>
        <v>0</v>
      </c>
      <c r="G187" s="269">
        <f t="shared" si="128"/>
        <v>0</v>
      </c>
      <c r="H187" s="269">
        <f t="shared" si="128"/>
        <v>0</v>
      </c>
      <c r="I187" s="269">
        <f t="shared" si="128"/>
        <v>0</v>
      </c>
      <c r="J187" s="269">
        <f t="shared" si="128"/>
        <v>0</v>
      </c>
      <c r="K187" s="269">
        <f t="shared" si="128"/>
        <v>0</v>
      </c>
      <c r="L187" s="269">
        <f t="shared" si="128"/>
        <v>0</v>
      </c>
      <c r="M187" s="769">
        <f t="shared" si="128"/>
        <v>0</v>
      </c>
      <c r="N187" s="269">
        <f t="shared" si="129"/>
        <v>0</v>
      </c>
      <c r="O187" s="269">
        <f t="shared" si="129"/>
        <v>0</v>
      </c>
      <c r="P187" s="269">
        <f t="shared" si="129"/>
        <v>0</v>
      </c>
      <c r="Q187" s="269">
        <f t="shared" si="129"/>
        <v>0</v>
      </c>
      <c r="R187" s="269">
        <f t="shared" si="129"/>
        <v>0</v>
      </c>
      <c r="S187" s="269">
        <f t="shared" si="129"/>
        <v>0</v>
      </c>
      <c r="T187" s="269">
        <f t="shared" si="129"/>
        <v>0</v>
      </c>
      <c r="U187" s="269">
        <f t="shared" si="129"/>
        <v>0</v>
      </c>
      <c r="V187" s="269">
        <f t="shared" si="129"/>
        <v>0</v>
      </c>
      <c r="W187" s="270">
        <f t="shared" si="129"/>
        <v>0</v>
      </c>
      <c r="X187" s="204">
        <f t="shared" ref="X187:X215" si="131">SUM(D187:W187)</f>
        <v>0</v>
      </c>
      <c r="Y187" s="776"/>
      <c r="Z187" s="204"/>
    </row>
    <row r="188" spans="3:26" outlineLevel="1" x14ac:dyDescent="0.25">
      <c r="C188" s="267" t="str">
        <f t="shared" si="130"/>
        <v>MOBI</v>
      </c>
      <c r="D188" s="268">
        <f t="shared" si="128"/>
        <v>0</v>
      </c>
      <c r="E188" s="269">
        <f t="shared" si="128"/>
        <v>0</v>
      </c>
      <c r="F188" s="269">
        <f t="shared" si="128"/>
        <v>0</v>
      </c>
      <c r="G188" s="269">
        <f t="shared" si="128"/>
        <v>0</v>
      </c>
      <c r="H188" s="269">
        <f t="shared" si="128"/>
        <v>0</v>
      </c>
      <c r="I188" s="269">
        <f t="shared" si="128"/>
        <v>0</v>
      </c>
      <c r="J188" s="269">
        <f t="shared" si="128"/>
        <v>0</v>
      </c>
      <c r="K188" s="269">
        <f t="shared" si="128"/>
        <v>0</v>
      </c>
      <c r="L188" s="269">
        <f t="shared" si="128"/>
        <v>0</v>
      </c>
      <c r="M188" s="769">
        <f t="shared" si="128"/>
        <v>0</v>
      </c>
      <c r="N188" s="269">
        <f t="shared" si="129"/>
        <v>0</v>
      </c>
      <c r="O188" s="269">
        <f t="shared" si="129"/>
        <v>0</v>
      </c>
      <c r="P188" s="269">
        <f t="shared" si="129"/>
        <v>0</v>
      </c>
      <c r="Q188" s="269">
        <f t="shared" si="129"/>
        <v>0</v>
      </c>
      <c r="R188" s="269">
        <f t="shared" si="129"/>
        <v>0</v>
      </c>
      <c r="S188" s="269">
        <f t="shared" si="129"/>
        <v>0</v>
      </c>
      <c r="T188" s="269">
        <f t="shared" si="129"/>
        <v>0</v>
      </c>
      <c r="U188" s="269">
        <f t="shared" si="129"/>
        <v>0</v>
      </c>
      <c r="V188" s="269">
        <f t="shared" si="129"/>
        <v>0</v>
      </c>
      <c r="W188" s="270">
        <f t="shared" si="129"/>
        <v>0</v>
      </c>
      <c r="X188" s="204">
        <f t="shared" si="131"/>
        <v>0</v>
      </c>
    </row>
    <row r="189" spans="3:26" outlineLevel="1" x14ac:dyDescent="0.25">
      <c r="C189" s="267" t="str">
        <f t="shared" si="130"/>
        <v>TREIN</v>
      </c>
      <c r="D189" s="268">
        <f t="shared" si="128"/>
        <v>0</v>
      </c>
      <c r="E189" s="269">
        <f t="shared" si="128"/>
        <v>0</v>
      </c>
      <c r="F189" s="269">
        <f t="shared" si="128"/>
        <v>0</v>
      </c>
      <c r="G189" s="269">
        <f t="shared" si="128"/>
        <v>0</v>
      </c>
      <c r="H189" s="269">
        <f t="shared" si="128"/>
        <v>0</v>
      </c>
      <c r="I189" s="269">
        <f t="shared" si="128"/>
        <v>0</v>
      </c>
      <c r="J189" s="269">
        <f t="shared" si="128"/>
        <v>0</v>
      </c>
      <c r="K189" s="269">
        <f t="shared" si="128"/>
        <v>0</v>
      </c>
      <c r="L189" s="269">
        <f t="shared" si="128"/>
        <v>0</v>
      </c>
      <c r="M189" s="769">
        <f t="shared" si="128"/>
        <v>0</v>
      </c>
      <c r="N189" s="269">
        <f t="shared" si="129"/>
        <v>0</v>
      </c>
      <c r="O189" s="269">
        <f t="shared" si="129"/>
        <v>0</v>
      </c>
      <c r="P189" s="269">
        <f t="shared" si="129"/>
        <v>0</v>
      </c>
      <c r="Q189" s="269">
        <f t="shared" si="129"/>
        <v>0</v>
      </c>
      <c r="R189" s="269">
        <f t="shared" si="129"/>
        <v>0</v>
      </c>
      <c r="S189" s="269">
        <f t="shared" si="129"/>
        <v>0</v>
      </c>
      <c r="T189" s="269">
        <f t="shared" si="129"/>
        <v>0</v>
      </c>
      <c r="U189" s="269">
        <f t="shared" si="129"/>
        <v>0</v>
      </c>
      <c r="V189" s="269">
        <f t="shared" si="129"/>
        <v>0</v>
      </c>
      <c r="W189" s="270">
        <f t="shared" si="129"/>
        <v>0</v>
      </c>
      <c r="X189" s="204">
        <f t="shared" si="131"/>
        <v>0</v>
      </c>
    </row>
    <row r="190" spans="3:26" hidden="1" outlineLevel="1" x14ac:dyDescent="0.25">
      <c r="C190" s="267" t="str">
        <f t="shared" si="130"/>
        <v/>
      </c>
      <c r="D190" s="268">
        <f t="shared" si="128"/>
        <v>0</v>
      </c>
      <c r="E190" s="269">
        <f t="shared" si="128"/>
        <v>0</v>
      </c>
      <c r="F190" s="269">
        <f t="shared" si="128"/>
        <v>0</v>
      </c>
      <c r="G190" s="269">
        <f t="shared" si="128"/>
        <v>0</v>
      </c>
      <c r="H190" s="269">
        <f t="shared" si="128"/>
        <v>0</v>
      </c>
      <c r="I190" s="269">
        <f t="shared" si="128"/>
        <v>0</v>
      </c>
      <c r="J190" s="269">
        <f t="shared" si="128"/>
        <v>0</v>
      </c>
      <c r="K190" s="269">
        <f t="shared" si="128"/>
        <v>0</v>
      </c>
      <c r="L190" s="269">
        <f t="shared" si="128"/>
        <v>0</v>
      </c>
      <c r="M190" s="769">
        <f t="shared" si="128"/>
        <v>0</v>
      </c>
      <c r="N190" s="269">
        <f t="shared" si="129"/>
        <v>0</v>
      </c>
      <c r="O190" s="269">
        <f t="shared" si="129"/>
        <v>0</v>
      </c>
      <c r="P190" s="269">
        <f t="shared" si="129"/>
        <v>0</v>
      </c>
      <c r="Q190" s="269">
        <f t="shared" si="129"/>
        <v>0</v>
      </c>
      <c r="R190" s="269">
        <f t="shared" si="129"/>
        <v>0</v>
      </c>
      <c r="S190" s="269">
        <f t="shared" si="129"/>
        <v>0</v>
      </c>
      <c r="T190" s="269">
        <f t="shared" si="129"/>
        <v>0</v>
      </c>
      <c r="U190" s="269">
        <f t="shared" si="129"/>
        <v>0</v>
      </c>
      <c r="V190" s="269">
        <f t="shared" si="129"/>
        <v>0</v>
      </c>
      <c r="W190" s="270">
        <f t="shared" si="129"/>
        <v>0</v>
      </c>
      <c r="X190" s="204">
        <f t="shared" si="131"/>
        <v>0</v>
      </c>
    </row>
    <row r="191" spans="3:26" hidden="1" outlineLevel="1" x14ac:dyDescent="0.25">
      <c r="C191" s="267" t="str">
        <f t="shared" si="130"/>
        <v/>
      </c>
      <c r="D191" s="268">
        <f t="shared" si="128"/>
        <v>0</v>
      </c>
      <c r="E191" s="269">
        <f t="shared" si="128"/>
        <v>0</v>
      </c>
      <c r="F191" s="269">
        <f t="shared" si="128"/>
        <v>0</v>
      </c>
      <c r="G191" s="269">
        <f t="shared" si="128"/>
        <v>0</v>
      </c>
      <c r="H191" s="269">
        <f t="shared" si="128"/>
        <v>0</v>
      </c>
      <c r="I191" s="269">
        <f t="shared" si="128"/>
        <v>0</v>
      </c>
      <c r="J191" s="269">
        <f t="shared" si="128"/>
        <v>0</v>
      </c>
      <c r="K191" s="269">
        <f t="shared" si="128"/>
        <v>0</v>
      </c>
      <c r="L191" s="269">
        <f t="shared" si="128"/>
        <v>0</v>
      </c>
      <c r="M191" s="769">
        <f t="shared" si="128"/>
        <v>0</v>
      </c>
      <c r="N191" s="269">
        <f t="shared" si="129"/>
        <v>0</v>
      </c>
      <c r="O191" s="269">
        <f t="shared" si="129"/>
        <v>0</v>
      </c>
      <c r="P191" s="269">
        <f t="shared" si="129"/>
        <v>0</v>
      </c>
      <c r="Q191" s="269">
        <f t="shared" si="129"/>
        <v>0</v>
      </c>
      <c r="R191" s="269">
        <f t="shared" si="129"/>
        <v>0</v>
      </c>
      <c r="S191" s="269">
        <f t="shared" si="129"/>
        <v>0</v>
      </c>
      <c r="T191" s="269">
        <f t="shared" si="129"/>
        <v>0</v>
      </c>
      <c r="U191" s="269">
        <f t="shared" si="129"/>
        <v>0</v>
      </c>
      <c r="V191" s="269">
        <f t="shared" si="129"/>
        <v>0</v>
      </c>
      <c r="W191" s="270">
        <f t="shared" si="129"/>
        <v>0</v>
      </c>
      <c r="X191" s="204">
        <f t="shared" si="131"/>
        <v>0</v>
      </c>
    </row>
    <row r="192" spans="3:26" hidden="1" outlineLevel="1" x14ac:dyDescent="0.25">
      <c r="C192" s="267" t="str">
        <f t="shared" si="130"/>
        <v/>
      </c>
      <c r="D192" s="268">
        <f t="shared" si="128"/>
        <v>0</v>
      </c>
      <c r="E192" s="269">
        <f t="shared" si="128"/>
        <v>0</v>
      </c>
      <c r="F192" s="269">
        <f t="shared" si="128"/>
        <v>0</v>
      </c>
      <c r="G192" s="269">
        <f t="shared" si="128"/>
        <v>0</v>
      </c>
      <c r="H192" s="269">
        <f t="shared" si="128"/>
        <v>0</v>
      </c>
      <c r="I192" s="269">
        <f t="shared" si="128"/>
        <v>0</v>
      </c>
      <c r="J192" s="269">
        <f t="shared" si="128"/>
        <v>0</v>
      </c>
      <c r="K192" s="269">
        <f t="shared" si="128"/>
        <v>0</v>
      </c>
      <c r="L192" s="269">
        <f t="shared" si="128"/>
        <v>0</v>
      </c>
      <c r="M192" s="769">
        <f t="shared" si="128"/>
        <v>0</v>
      </c>
      <c r="N192" s="269">
        <f t="shared" si="129"/>
        <v>0</v>
      </c>
      <c r="O192" s="269">
        <f t="shared" si="129"/>
        <v>0</v>
      </c>
      <c r="P192" s="269">
        <f t="shared" si="129"/>
        <v>0</v>
      </c>
      <c r="Q192" s="269">
        <f t="shared" si="129"/>
        <v>0</v>
      </c>
      <c r="R192" s="269">
        <f t="shared" si="129"/>
        <v>0</v>
      </c>
      <c r="S192" s="269">
        <f t="shared" si="129"/>
        <v>0</v>
      </c>
      <c r="T192" s="269">
        <f t="shared" si="129"/>
        <v>0</v>
      </c>
      <c r="U192" s="269">
        <f t="shared" si="129"/>
        <v>0</v>
      </c>
      <c r="V192" s="269">
        <f t="shared" si="129"/>
        <v>0</v>
      </c>
      <c r="W192" s="270">
        <f t="shared" si="129"/>
        <v>0</v>
      </c>
      <c r="X192" s="204">
        <f t="shared" si="131"/>
        <v>0</v>
      </c>
    </row>
    <row r="193" spans="3:24" hidden="1" outlineLevel="1" x14ac:dyDescent="0.25">
      <c r="C193" s="267" t="str">
        <f t="shared" si="130"/>
        <v/>
      </c>
      <c r="D193" s="268">
        <f t="shared" si="128"/>
        <v>0</v>
      </c>
      <c r="E193" s="269">
        <f t="shared" si="128"/>
        <v>0</v>
      </c>
      <c r="F193" s="269">
        <f t="shared" si="128"/>
        <v>0</v>
      </c>
      <c r="G193" s="269">
        <f t="shared" si="128"/>
        <v>0</v>
      </c>
      <c r="H193" s="269">
        <f t="shared" si="128"/>
        <v>0</v>
      </c>
      <c r="I193" s="269">
        <f t="shared" si="128"/>
        <v>0</v>
      </c>
      <c r="J193" s="269">
        <f t="shared" si="128"/>
        <v>0</v>
      </c>
      <c r="K193" s="269">
        <f t="shared" si="128"/>
        <v>0</v>
      </c>
      <c r="L193" s="269">
        <f t="shared" si="128"/>
        <v>0</v>
      </c>
      <c r="M193" s="769">
        <f t="shared" si="128"/>
        <v>0</v>
      </c>
      <c r="N193" s="269">
        <f t="shared" si="129"/>
        <v>0</v>
      </c>
      <c r="O193" s="269">
        <f t="shared" si="129"/>
        <v>0</v>
      </c>
      <c r="P193" s="269">
        <f t="shared" si="129"/>
        <v>0</v>
      </c>
      <c r="Q193" s="269">
        <f t="shared" si="129"/>
        <v>0</v>
      </c>
      <c r="R193" s="269">
        <f t="shared" si="129"/>
        <v>0</v>
      </c>
      <c r="S193" s="269">
        <f t="shared" si="129"/>
        <v>0</v>
      </c>
      <c r="T193" s="269">
        <f t="shared" si="129"/>
        <v>0</v>
      </c>
      <c r="U193" s="269">
        <f t="shared" si="129"/>
        <v>0</v>
      </c>
      <c r="V193" s="269">
        <f t="shared" si="129"/>
        <v>0</v>
      </c>
      <c r="W193" s="270">
        <f t="shared" si="129"/>
        <v>0</v>
      </c>
      <c r="X193" s="204">
        <f t="shared" si="131"/>
        <v>0</v>
      </c>
    </row>
    <row r="194" spans="3:24" hidden="1" outlineLevel="1" x14ac:dyDescent="0.25">
      <c r="C194" s="267" t="str">
        <f t="shared" si="130"/>
        <v/>
      </c>
      <c r="D194" s="268">
        <f t="shared" si="128"/>
        <v>0</v>
      </c>
      <c r="E194" s="269">
        <f t="shared" si="128"/>
        <v>0</v>
      </c>
      <c r="F194" s="269">
        <f t="shared" si="128"/>
        <v>0</v>
      </c>
      <c r="G194" s="269">
        <f t="shared" si="128"/>
        <v>0</v>
      </c>
      <c r="H194" s="269">
        <f t="shared" si="128"/>
        <v>0</v>
      </c>
      <c r="I194" s="269">
        <f t="shared" si="128"/>
        <v>0</v>
      </c>
      <c r="J194" s="269">
        <f t="shared" si="128"/>
        <v>0</v>
      </c>
      <c r="K194" s="269">
        <f t="shared" si="128"/>
        <v>0</v>
      </c>
      <c r="L194" s="269">
        <f t="shared" si="128"/>
        <v>0</v>
      </c>
      <c r="M194" s="769">
        <f t="shared" si="128"/>
        <v>0</v>
      </c>
      <c r="N194" s="269">
        <f t="shared" si="129"/>
        <v>0</v>
      </c>
      <c r="O194" s="269">
        <f t="shared" si="129"/>
        <v>0</v>
      </c>
      <c r="P194" s="269">
        <f t="shared" si="129"/>
        <v>0</v>
      </c>
      <c r="Q194" s="269">
        <f t="shared" si="129"/>
        <v>0</v>
      </c>
      <c r="R194" s="269">
        <f t="shared" si="129"/>
        <v>0</v>
      </c>
      <c r="S194" s="269">
        <f t="shared" si="129"/>
        <v>0</v>
      </c>
      <c r="T194" s="269">
        <f t="shared" si="129"/>
        <v>0</v>
      </c>
      <c r="U194" s="269">
        <f t="shared" si="129"/>
        <v>0</v>
      </c>
      <c r="V194" s="269">
        <f t="shared" si="129"/>
        <v>0</v>
      </c>
      <c r="W194" s="270">
        <f t="shared" si="129"/>
        <v>0</v>
      </c>
      <c r="X194" s="204">
        <f t="shared" si="131"/>
        <v>0</v>
      </c>
    </row>
    <row r="195" spans="3:24" hidden="1" outlineLevel="1" x14ac:dyDescent="0.25">
      <c r="C195" s="267" t="str">
        <f t="shared" si="130"/>
        <v/>
      </c>
      <c r="D195" s="268">
        <f t="shared" si="128"/>
        <v>0</v>
      </c>
      <c r="E195" s="269">
        <f t="shared" si="128"/>
        <v>0</v>
      </c>
      <c r="F195" s="269">
        <f t="shared" si="128"/>
        <v>0</v>
      </c>
      <c r="G195" s="269">
        <f t="shared" si="128"/>
        <v>0</v>
      </c>
      <c r="H195" s="269">
        <f t="shared" si="128"/>
        <v>0</v>
      </c>
      <c r="I195" s="269">
        <f t="shared" si="128"/>
        <v>0</v>
      </c>
      <c r="J195" s="269">
        <f t="shared" si="128"/>
        <v>0</v>
      </c>
      <c r="K195" s="269">
        <f t="shared" si="128"/>
        <v>0</v>
      </c>
      <c r="L195" s="269">
        <f t="shared" si="128"/>
        <v>0</v>
      </c>
      <c r="M195" s="769">
        <f t="shared" si="128"/>
        <v>0</v>
      </c>
      <c r="N195" s="269">
        <f t="shared" si="129"/>
        <v>0</v>
      </c>
      <c r="O195" s="269">
        <f t="shared" si="129"/>
        <v>0</v>
      </c>
      <c r="P195" s="269">
        <f t="shared" si="129"/>
        <v>0</v>
      </c>
      <c r="Q195" s="269">
        <f t="shared" si="129"/>
        <v>0</v>
      </c>
      <c r="R195" s="269">
        <f t="shared" si="129"/>
        <v>0</v>
      </c>
      <c r="S195" s="269">
        <f t="shared" si="129"/>
        <v>0</v>
      </c>
      <c r="T195" s="269">
        <f t="shared" si="129"/>
        <v>0</v>
      </c>
      <c r="U195" s="269">
        <f t="shared" si="129"/>
        <v>0</v>
      </c>
      <c r="V195" s="269">
        <f t="shared" si="129"/>
        <v>0</v>
      </c>
      <c r="W195" s="270">
        <f t="shared" si="129"/>
        <v>0</v>
      </c>
      <c r="X195" s="204">
        <f t="shared" si="131"/>
        <v>0</v>
      </c>
    </row>
    <row r="196" spans="3:24" hidden="1" outlineLevel="1" x14ac:dyDescent="0.25">
      <c r="C196" s="267" t="str">
        <f t="shared" si="130"/>
        <v/>
      </c>
      <c r="D196" s="268">
        <f t="shared" ref="D196:M205" si="132">IF(AND($C196&lt;&gt;"",D$5&lt;&gt;""),SUMIFS(col_pis,col_abertura1,$C196,col_abertura2,D$5)+IF($E$3=$A$4,SUMIFS(col_fatdir_pis_mn,col_abertura1,$C196,col_abertura2,D$5),0),0)</f>
        <v>0</v>
      </c>
      <c r="E196" s="269">
        <f t="shared" si="132"/>
        <v>0</v>
      </c>
      <c r="F196" s="269">
        <f t="shared" si="132"/>
        <v>0</v>
      </c>
      <c r="G196" s="269">
        <f t="shared" si="132"/>
        <v>0</v>
      </c>
      <c r="H196" s="269">
        <f t="shared" si="132"/>
        <v>0</v>
      </c>
      <c r="I196" s="269">
        <f t="shared" si="132"/>
        <v>0</v>
      </c>
      <c r="J196" s="269">
        <f t="shared" si="132"/>
        <v>0</v>
      </c>
      <c r="K196" s="269">
        <f t="shared" si="132"/>
        <v>0</v>
      </c>
      <c r="L196" s="269">
        <f t="shared" si="132"/>
        <v>0</v>
      </c>
      <c r="M196" s="769">
        <f t="shared" si="132"/>
        <v>0</v>
      </c>
      <c r="N196" s="269">
        <f t="shared" ref="N196:W205" si="133">IF(AND($C196&lt;&gt;"",N$5&lt;&gt;""),SUMIFS(col_pis,col_abertura1,$C196,col_abertura2,N$5)+IF($E$3=$A$4,SUMIFS(col_fatdir_pis_mn,col_abertura1,$C196,col_abertura2,N$5),0),0)</f>
        <v>0</v>
      </c>
      <c r="O196" s="269">
        <f t="shared" si="133"/>
        <v>0</v>
      </c>
      <c r="P196" s="269">
        <f t="shared" si="133"/>
        <v>0</v>
      </c>
      <c r="Q196" s="269">
        <f t="shared" si="133"/>
        <v>0</v>
      </c>
      <c r="R196" s="269">
        <f t="shared" si="133"/>
        <v>0</v>
      </c>
      <c r="S196" s="269">
        <f t="shared" si="133"/>
        <v>0</v>
      </c>
      <c r="T196" s="269">
        <f t="shared" si="133"/>
        <v>0</v>
      </c>
      <c r="U196" s="269">
        <f t="shared" si="133"/>
        <v>0</v>
      </c>
      <c r="V196" s="269">
        <f t="shared" si="133"/>
        <v>0</v>
      </c>
      <c r="W196" s="270">
        <f t="shared" si="133"/>
        <v>0</v>
      </c>
      <c r="X196" s="204">
        <f t="shared" si="131"/>
        <v>0</v>
      </c>
    </row>
    <row r="197" spans="3:24" hidden="1" outlineLevel="1" x14ac:dyDescent="0.25">
      <c r="C197" s="267" t="str">
        <f t="shared" si="130"/>
        <v/>
      </c>
      <c r="D197" s="268">
        <f t="shared" si="132"/>
        <v>0</v>
      </c>
      <c r="E197" s="269">
        <f t="shared" si="132"/>
        <v>0</v>
      </c>
      <c r="F197" s="269">
        <f t="shared" si="132"/>
        <v>0</v>
      </c>
      <c r="G197" s="269">
        <f t="shared" si="132"/>
        <v>0</v>
      </c>
      <c r="H197" s="269">
        <f t="shared" si="132"/>
        <v>0</v>
      </c>
      <c r="I197" s="269">
        <f t="shared" si="132"/>
        <v>0</v>
      </c>
      <c r="J197" s="269">
        <f t="shared" si="132"/>
        <v>0</v>
      </c>
      <c r="K197" s="269">
        <f t="shared" si="132"/>
        <v>0</v>
      </c>
      <c r="L197" s="269">
        <f t="shared" si="132"/>
        <v>0</v>
      </c>
      <c r="M197" s="769">
        <f t="shared" si="132"/>
        <v>0</v>
      </c>
      <c r="N197" s="269">
        <f t="shared" si="133"/>
        <v>0</v>
      </c>
      <c r="O197" s="269">
        <f t="shared" si="133"/>
        <v>0</v>
      </c>
      <c r="P197" s="269">
        <f t="shared" si="133"/>
        <v>0</v>
      </c>
      <c r="Q197" s="269">
        <f t="shared" si="133"/>
        <v>0</v>
      </c>
      <c r="R197" s="269">
        <f t="shared" si="133"/>
        <v>0</v>
      </c>
      <c r="S197" s="269">
        <f t="shared" si="133"/>
        <v>0</v>
      </c>
      <c r="T197" s="269">
        <f t="shared" si="133"/>
        <v>0</v>
      </c>
      <c r="U197" s="269">
        <f t="shared" si="133"/>
        <v>0</v>
      </c>
      <c r="V197" s="269">
        <f t="shared" si="133"/>
        <v>0</v>
      </c>
      <c r="W197" s="270">
        <f t="shared" si="133"/>
        <v>0</v>
      </c>
      <c r="X197" s="204">
        <f t="shared" si="131"/>
        <v>0</v>
      </c>
    </row>
    <row r="198" spans="3:24" hidden="1" outlineLevel="1" x14ac:dyDescent="0.25">
      <c r="C198" s="267" t="str">
        <f t="shared" si="130"/>
        <v/>
      </c>
      <c r="D198" s="268">
        <f t="shared" si="132"/>
        <v>0</v>
      </c>
      <c r="E198" s="269">
        <f t="shared" si="132"/>
        <v>0</v>
      </c>
      <c r="F198" s="269">
        <f t="shared" si="132"/>
        <v>0</v>
      </c>
      <c r="G198" s="269">
        <f t="shared" si="132"/>
        <v>0</v>
      </c>
      <c r="H198" s="269">
        <f t="shared" si="132"/>
        <v>0</v>
      </c>
      <c r="I198" s="269">
        <f t="shared" si="132"/>
        <v>0</v>
      </c>
      <c r="J198" s="269">
        <f t="shared" si="132"/>
        <v>0</v>
      </c>
      <c r="K198" s="269">
        <f t="shared" si="132"/>
        <v>0</v>
      </c>
      <c r="L198" s="269">
        <f t="shared" si="132"/>
        <v>0</v>
      </c>
      <c r="M198" s="769">
        <f t="shared" si="132"/>
        <v>0</v>
      </c>
      <c r="N198" s="269">
        <f t="shared" si="133"/>
        <v>0</v>
      </c>
      <c r="O198" s="269">
        <f t="shared" si="133"/>
        <v>0</v>
      </c>
      <c r="P198" s="269">
        <f t="shared" si="133"/>
        <v>0</v>
      </c>
      <c r="Q198" s="269">
        <f t="shared" si="133"/>
        <v>0</v>
      </c>
      <c r="R198" s="269">
        <f t="shared" si="133"/>
        <v>0</v>
      </c>
      <c r="S198" s="269">
        <f t="shared" si="133"/>
        <v>0</v>
      </c>
      <c r="T198" s="269">
        <f t="shared" si="133"/>
        <v>0</v>
      </c>
      <c r="U198" s="269">
        <f t="shared" si="133"/>
        <v>0</v>
      </c>
      <c r="V198" s="269">
        <f t="shared" si="133"/>
        <v>0</v>
      </c>
      <c r="W198" s="270">
        <f t="shared" si="133"/>
        <v>0</v>
      </c>
      <c r="X198" s="204">
        <f t="shared" si="131"/>
        <v>0</v>
      </c>
    </row>
    <row r="199" spans="3:24" hidden="1" outlineLevel="1" x14ac:dyDescent="0.25">
      <c r="C199" s="267" t="str">
        <f t="shared" si="130"/>
        <v/>
      </c>
      <c r="D199" s="268">
        <f t="shared" si="132"/>
        <v>0</v>
      </c>
      <c r="E199" s="269">
        <f t="shared" si="132"/>
        <v>0</v>
      </c>
      <c r="F199" s="269">
        <f t="shared" si="132"/>
        <v>0</v>
      </c>
      <c r="G199" s="269">
        <f t="shared" si="132"/>
        <v>0</v>
      </c>
      <c r="H199" s="269">
        <f t="shared" si="132"/>
        <v>0</v>
      </c>
      <c r="I199" s="269">
        <f t="shared" si="132"/>
        <v>0</v>
      </c>
      <c r="J199" s="269">
        <f t="shared" si="132"/>
        <v>0</v>
      </c>
      <c r="K199" s="269">
        <f t="shared" si="132"/>
        <v>0</v>
      </c>
      <c r="L199" s="269">
        <f t="shared" si="132"/>
        <v>0</v>
      </c>
      <c r="M199" s="769">
        <f t="shared" si="132"/>
        <v>0</v>
      </c>
      <c r="N199" s="269">
        <f t="shared" si="133"/>
        <v>0</v>
      </c>
      <c r="O199" s="269">
        <f t="shared" si="133"/>
        <v>0</v>
      </c>
      <c r="P199" s="269">
        <f t="shared" si="133"/>
        <v>0</v>
      </c>
      <c r="Q199" s="269">
        <f t="shared" si="133"/>
        <v>0</v>
      </c>
      <c r="R199" s="269">
        <f t="shared" si="133"/>
        <v>0</v>
      </c>
      <c r="S199" s="269">
        <f t="shared" si="133"/>
        <v>0</v>
      </c>
      <c r="T199" s="269">
        <f t="shared" si="133"/>
        <v>0</v>
      </c>
      <c r="U199" s="269">
        <f t="shared" si="133"/>
        <v>0</v>
      </c>
      <c r="V199" s="269">
        <f t="shared" si="133"/>
        <v>0</v>
      </c>
      <c r="W199" s="270">
        <f t="shared" si="133"/>
        <v>0</v>
      </c>
      <c r="X199" s="204">
        <f t="shared" si="131"/>
        <v>0</v>
      </c>
    </row>
    <row r="200" spans="3:24" hidden="1" outlineLevel="1" x14ac:dyDescent="0.25">
      <c r="C200" s="267" t="str">
        <f t="shared" si="130"/>
        <v/>
      </c>
      <c r="D200" s="268">
        <f t="shared" si="132"/>
        <v>0</v>
      </c>
      <c r="E200" s="269">
        <f t="shared" si="132"/>
        <v>0</v>
      </c>
      <c r="F200" s="269">
        <f t="shared" si="132"/>
        <v>0</v>
      </c>
      <c r="G200" s="269">
        <f t="shared" si="132"/>
        <v>0</v>
      </c>
      <c r="H200" s="269">
        <f t="shared" si="132"/>
        <v>0</v>
      </c>
      <c r="I200" s="269">
        <f t="shared" si="132"/>
        <v>0</v>
      </c>
      <c r="J200" s="269">
        <f t="shared" si="132"/>
        <v>0</v>
      </c>
      <c r="K200" s="269">
        <f t="shared" si="132"/>
        <v>0</v>
      </c>
      <c r="L200" s="269">
        <f t="shared" si="132"/>
        <v>0</v>
      </c>
      <c r="M200" s="769">
        <f t="shared" si="132"/>
        <v>0</v>
      </c>
      <c r="N200" s="269">
        <f t="shared" si="133"/>
        <v>0</v>
      </c>
      <c r="O200" s="269">
        <f t="shared" si="133"/>
        <v>0</v>
      </c>
      <c r="P200" s="269">
        <f t="shared" si="133"/>
        <v>0</v>
      </c>
      <c r="Q200" s="269">
        <f t="shared" si="133"/>
        <v>0</v>
      </c>
      <c r="R200" s="269">
        <f t="shared" si="133"/>
        <v>0</v>
      </c>
      <c r="S200" s="269">
        <f t="shared" si="133"/>
        <v>0</v>
      </c>
      <c r="T200" s="269">
        <f t="shared" si="133"/>
        <v>0</v>
      </c>
      <c r="U200" s="269">
        <f t="shared" si="133"/>
        <v>0</v>
      </c>
      <c r="V200" s="269">
        <f t="shared" si="133"/>
        <v>0</v>
      </c>
      <c r="W200" s="270">
        <f t="shared" si="133"/>
        <v>0</v>
      </c>
      <c r="X200" s="204">
        <f t="shared" si="131"/>
        <v>0</v>
      </c>
    </row>
    <row r="201" spans="3:24" hidden="1" outlineLevel="1" x14ac:dyDescent="0.25">
      <c r="C201" s="267" t="str">
        <f t="shared" si="130"/>
        <v/>
      </c>
      <c r="D201" s="268">
        <f t="shared" si="132"/>
        <v>0</v>
      </c>
      <c r="E201" s="269">
        <f t="shared" si="132"/>
        <v>0</v>
      </c>
      <c r="F201" s="269">
        <f t="shared" si="132"/>
        <v>0</v>
      </c>
      <c r="G201" s="269">
        <f t="shared" si="132"/>
        <v>0</v>
      </c>
      <c r="H201" s="269">
        <f t="shared" si="132"/>
        <v>0</v>
      </c>
      <c r="I201" s="269">
        <f t="shared" si="132"/>
        <v>0</v>
      </c>
      <c r="J201" s="269">
        <f t="shared" si="132"/>
        <v>0</v>
      </c>
      <c r="K201" s="269">
        <f t="shared" si="132"/>
        <v>0</v>
      </c>
      <c r="L201" s="269">
        <f t="shared" si="132"/>
        <v>0</v>
      </c>
      <c r="M201" s="769">
        <f t="shared" si="132"/>
        <v>0</v>
      </c>
      <c r="N201" s="269">
        <f t="shared" si="133"/>
        <v>0</v>
      </c>
      <c r="O201" s="269">
        <f t="shared" si="133"/>
        <v>0</v>
      </c>
      <c r="P201" s="269">
        <f t="shared" si="133"/>
        <v>0</v>
      </c>
      <c r="Q201" s="269">
        <f t="shared" si="133"/>
        <v>0</v>
      </c>
      <c r="R201" s="269">
        <f t="shared" si="133"/>
        <v>0</v>
      </c>
      <c r="S201" s="269">
        <f t="shared" si="133"/>
        <v>0</v>
      </c>
      <c r="T201" s="269">
        <f t="shared" si="133"/>
        <v>0</v>
      </c>
      <c r="U201" s="269">
        <f t="shared" si="133"/>
        <v>0</v>
      </c>
      <c r="V201" s="269">
        <f t="shared" si="133"/>
        <v>0</v>
      </c>
      <c r="W201" s="270">
        <f t="shared" si="133"/>
        <v>0</v>
      </c>
      <c r="X201" s="204">
        <f t="shared" si="131"/>
        <v>0</v>
      </c>
    </row>
    <row r="202" spans="3:24" hidden="1" outlineLevel="1" x14ac:dyDescent="0.25">
      <c r="C202" s="267" t="str">
        <f t="shared" si="130"/>
        <v/>
      </c>
      <c r="D202" s="268">
        <f t="shared" si="132"/>
        <v>0</v>
      </c>
      <c r="E202" s="269">
        <f t="shared" si="132"/>
        <v>0</v>
      </c>
      <c r="F202" s="269">
        <f t="shared" si="132"/>
        <v>0</v>
      </c>
      <c r="G202" s="269">
        <f t="shared" si="132"/>
        <v>0</v>
      </c>
      <c r="H202" s="269">
        <f t="shared" si="132"/>
        <v>0</v>
      </c>
      <c r="I202" s="269">
        <f t="shared" si="132"/>
        <v>0</v>
      </c>
      <c r="J202" s="269">
        <f t="shared" si="132"/>
        <v>0</v>
      </c>
      <c r="K202" s="269">
        <f t="shared" si="132"/>
        <v>0</v>
      </c>
      <c r="L202" s="269">
        <f t="shared" si="132"/>
        <v>0</v>
      </c>
      <c r="M202" s="769">
        <f t="shared" si="132"/>
        <v>0</v>
      </c>
      <c r="N202" s="269">
        <f t="shared" si="133"/>
        <v>0</v>
      </c>
      <c r="O202" s="269">
        <f t="shared" si="133"/>
        <v>0</v>
      </c>
      <c r="P202" s="269">
        <f t="shared" si="133"/>
        <v>0</v>
      </c>
      <c r="Q202" s="269">
        <f t="shared" si="133"/>
        <v>0</v>
      </c>
      <c r="R202" s="269">
        <f t="shared" si="133"/>
        <v>0</v>
      </c>
      <c r="S202" s="269">
        <f t="shared" si="133"/>
        <v>0</v>
      </c>
      <c r="T202" s="269">
        <f t="shared" si="133"/>
        <v>0</v>
      </c>
      <c r="U202" s="269">
        <f t="shared" si="133"/>
        <v>0</v>
      </c>
      <c r="V202" s="269">
        <f t="shared" si="133"/>
        <v>0</v>
      </c>
      <c r="W202" s="270">
        <f t="shared" si="133"/>
        <v>0</v>
      </c>
      <c r="X202" s="204">
        <f t="shared" si="131"/>
        <v>0</v>
      </c>
    </row>
    <row r="203" spans="3:24" hidden="1" outlineLevel="1" x14ac:dyDescent="0.25">
      <c r="C203" s="267" t="str">
        <f t="shared" si="130"/>
        <v/>
      </c>
      <c r="D203" s="268">
        <f t="shared" si="132"/>
        <v>0</v>
      </c>
      <c r="E203" s="269">
        <f t="shared" si="132"/>
        <v>0</v>
      </c>
      <c r="F203" s="269">
        <f t="shared" si="132"/>
        <v>0</v>
      </c>
      <c r="G203" s="269">
        <f t="shared" si="132"/>
        <v>0</v>
      </c>
      <c r="H203" s="269">
        <f t="shared" si="132"/>
        <v>0</v>
      </c>
      <c r="I203" s="269">
        <f t="shared" si="132"/>
        <v>0</v>
      </c>
      <c r="J203" s="269">
        <f t="shared" si="132"/>
        <v>0</v>
      </c>
      <c r="K203" s="269">
        <f t="shared" si="132"/>
        <v>0</v>
      </c>
      <c r="L203" s="269">
        <f t="shared" si="132"/>
        <v>0</v>
      </c>
      <c r="M203" s="769">
        <f t="shared" si="132"/>
        <v>0</v>
      </c>
      <c r="N203" s="269">
        <f t="shared" si="133"/>
        <v>0</v>
      </c>
      <c r="O203" s="269">
        <f t="shared" si="133"/>
        <v>0</v>
      </c>
      <c r="P203" s="269">
        <f t="shared" si="133"/>
        <v>0</v>
      </c>
      <c r="Q203" s="269">
        <f t="shared" si="133"/>
        <v>0</v>
      </c>
      <c r="R203" s="269">
        <f t="shared" si="133"/>
        <v>0</v>
      </c>
      <c r="S203" s="269">
        <f t="shared" si="133"/>
        <v>0</v>
      </c>
      <c r="T203" s="269">
        <f t="shared" si="133"/>
        <v>0</v>
      </c>
      <c r="U203" s="269">
        <f t="shared" si="133"/>
        <v>0</v>
      </c>
      <c r="V203" s="269">
        <f t="shared" si="133"/>
        <v>0</v>
      </c>
      <c r="W203" s="270">
        <f t="shared" si="133"/>
        <v>0</v>
      </c>
      <c r="X203" s="204">
        <f t="shared" si="131"/>
        <v>0</v>
      </c>
    </row>
    <row r="204" spans="3:24" hidden="1" outlineLevel="1" x14ac:dyDescent="0.25">
      <c r="C204" s="267" t="str">
        <f t="shared" si="130"/>
        <v/>
      </c>
      <c r="D204" s="268">
        <f t="shared" si="132"/>
        <v>0</v>
      </c>
      <c r="E204" s="269">
        <f t="shared" si="132"/>
        <v>0</v>
      </c>
      <c r="F204" s="269">
        <f t="shared" si="132"/>
        <v>0</v>
      </c>
      <c r="G204" s="269">
        <f t="shared" si="132"/>
        <v>0</v>
      </c>
      <c r="H204" s="269">
        <f t="shared" si="132"/>
        <v>0</v>
      </c>
      <c r="I204" s="269">
        <f t="shared" si="132"/>
        <v>0</v>
      </c>
      <c r="J204" s="269">
        <f t="shared" si="132"/>
        <v>0</v>
      </c>
      <c r="K204" s="269">
        <f t="shared" si="132"/>
        <v>0</v>
      </c>
      <c r="L204" s="269">
        <f t="shared" si="132"/>
        <v>0</v>
      </c>
      <c r="M204" s="769">
        <f t="shared" si="132"/>
        <v>0</v>
      </c>
      <c r="N204" s="269">
        <f t="shared" si="133"/>
        <v>0</v>
      </c>
      <c r="O204" s="269">
        <f t="shared" si="133"/>
        <v>0</v>
      </c>
      <c r="P204" s="269">
        <f t="shared" si="133"/>
        <v>0</v>
      </c>
      <c r="Q204" s="269">
        <f t="shared" si="133"/>
        <v>0</v>
      </c>
      <c r="R204" s="269">
        <f t="shared" si="133"/>
        <v>0</v>
      </c>
      <c r="S204" s="269">
        <f t="shared" si="133"/>
        <v>0</v>
      </c>
      <c r="T204" s="269">
        <f t="shared" si="133"/>
        <v>0</v>
      </c>
      <c r="U204" s="269">
        <f t="shared" si="133"/>
        <v>0</v>
      </c>
      <c r="V204" s="269">
        <f t="shared" si="133"/>
        <v>0</v>
      </c>
      <c r="W204" s="270">
        <f t="shared" si="133"/>
        <v>0</v>
      </c>
      <c r="X204" s="204">
        <f t="shared" si="131"/>
        <v>0</v>
      </c>
    </row>
    <row r="205" spans="3:24" hidden="1" outlineLevel="1" x14ac:dyDescent="0.25">
      <c r="C205" s="267" t="str">
        <f t="shared" si="130"/>
        <v/>
      </c>
      <c r="D205" s="268">
        <f t="shared" si="132"/>
        <v>0</v>
      </c>
      <c r="E205" s="269">
        <f t="shared" si="132"/>
        <v>0</v>
      </c>
      <c r="F205" s="269">
        <f t="shared" si="132"/>
        <v>0</v>
      </c>
      <c r="G205" s="269">
        <f t="shared" si="132"/>
        <v>0</v>
      </c>
      <c r="H205" s="269">
        <f t="shared" si="132"/>
        <v>0</v>
      </c>
      <c r="I205" s="269">
        <f t="shared" si="132"/>
        <v>0</v>
      </c>
      <c r="J205" s="269">
        <f t="shared" si="132"/>
        <v>0</v>
      </c>
      <c r="K205" s="269">
        <f t="shared" si="132"/>
        <v>0</v>
      </c>
      <c r="L205" s="269">
        <f t="shared" si="132"/>
        <v>0</v>
      </c>
      <c r="M205" s="769">
        <f t="shared" si="132"/>
        <v>0</v>
      </c>
      <c r="N205" s="269">
        <f t="shared" si="133"/>
        <v>0</v>
      </c>
      <c r="O205" s="269">
        <f t="shared" si="133"/>
        <v>0</v>
      </c>
      <c r="P205" s="269">
        <f t="shared" si="133"/>
        <v>0</v>
      </c>
      <c r="Q205" s="269">
        <f t="shared" si="133"/>
        <v>0</v>
      </c>
      <c r="R205" s="269">
        <f t="shared" si="133"/>
        <v>0</v>
      </c>
      <c r="S205" s="269">
        <f t="shared" si="133"/>
        <v>0</v>
      </c>
      <c r="T205" s="269">
        <f t="shared" si="133"/>
        <v>0</v>
      </c>
      <c r="U205" s="269">
        <f t="shared" si="133"/>
        <v>0</v>
      </c>
      <c r="V205" s="269">
        <f t="shared" si="133"/>
        <v>0</v>
      </c>
      <c r="W205" s="270">
        <f t="shared" si="133"/>
        <v>0</v>
      </c>
      <c r="X205" s="204">
        <f t="shared" si="131"/>
        <v>0</v>
      </c>
    </row>
    <row r="206" spans="3:24" hidden="1" outlineLevel="1" x14ac:dyDescent="0.25">
      <c r="C206" s="267" t="str">
        <f t="shared" si="130"/>
        <v/>
      </c>
      <c r="D206" s="268">
        <f t="shared" ref="D206:M215" si="134">IF(AND($C206&lt;&gt;"",D$5&lt;&gt;""),SUMIFS(col_pis,col_abertura1,$C206,col_abertura2,D$5)+IF($E$3=$A$4,SUMIFS(col_fatdir_pis_mn,col_abertura1,$C206,col_abertura2,D$5),0),0)</f>
        <v>0</v>
      </c>
      <c r="E206" s="269">
        <f t="shared" si="134"/>
        <v>0</v>
      </c>
      <c r="F206" s="269">
        <f t="shared" si="134"/>
        <v>0</v>
      </c>
      <c r="G206" s="269">
        <f t="shared" si="134"/>
        <v>0</v>
      </c>
      <c r="H206" s="269">
        <f t="shared" si="134"/>
        <v>0</v>
      </c>
      <c r="I206" s="269">
        <f t="shared" si="134"/>
        <v>0</v>
      </c>
      <c r="J206" s="269">
        <f t="shared" si="134"/>
        <v>0</v>
      </c>
      <c r="K206" s="269">
        <f t="shared" si="134"/>
        <v>0</v>
      </c>
      <c r="L206" s="269">
        <f t="shared" si="134"/>
        <v>0</v>
      </c>
      <c r="M206" s="769">
        <f t="shared" si="134"/>
        <v>0</v>
      </c>
      <c r="N206" s="269">
        <f t="shared" ref="N206:W215" si="135">IF(AND($C206&lt;&gt;"",N$5&lt;&gt;""),SUMIFS(col_pis,col_abertura1,$C206,col_abertura2,N$5)+IF($E$3=$A$4,SUMIFS(col_fatdir_pis_mn,col_abertura1,$C206,col_abertura2,N$5),0),0)</f>
        <v>0</v>
      </c>
      <c r="O206" s="269">
        <f t="shared" si="135"/>
        <v>0</v>
      </c>
      <c r="P206" s="269">
        <f t="shared" si="135"/>
        <v>0</v>
      </c>
      <c r="Q206" s="269">
        <f t="shared" si="135"/>
        <v>0</v>
      </c>
      <c r="R206" s="269">
        <f t="shared" si="135"/>
        <v>0</v>
      </c>
      <c r="S206" s="269">
        <f t="shared" si="135"/>
        <v>0</v>
      </c>
      <c r="T206" s="269">
        <f t="shared" si="135"/>
        <v>0</v>
      </c>
      <c r="U206" s="269">
        <f t="shared" si="135"/>
        <v>0</v>
      </c>
      <c r="V206" s="269">
        <f t="shared" si="135"/>
        <v>0</v>
      </c>
      <c r="W206" s="270">
        <f t="shared" si="135"/>
        <v>0</v>
      </c>
      <c r="X206" s="204">
        <f t="shared" si="131"/>
        <v>0</v>
      </c>
    </row>
    <row r="207" spans="3:24" hidden="1" outlineLevel="1" x14ac:dyDescent="0.25">
      <c r="C207" s="267" t="str">
        <f t="shared" si="130"/>
        <v/>
      </c>
      <c r="D207" s="268">
        <f t="shared" si="134"/>
        <v>0</v>
      </c>
      <c r="E207" s="269">
        <f t="shared" si="134"/>
        <v>0</v>
      </c>
      <c r="F207" s="269">
        <f t="shared" si="134"/>
        <v>0</v>
      </c>
      <c r="G207" s="269">
        <f t="shared" si="134"/>
        <v>0</v>
      </c>
      <c r="H207" s="269">
        <f t="shared" si="134"/>
        <v>0</v>
      </c>
      <c r="I207" s="269">
        <f t="shared" si="134"/>
        <v>0</v>
      </c>
      <c r="J207" s="269">
        <f t="shared" si="134"/>
        <v>0</v>
      </c>
      <c r="K207" s="269">
        <f t="shared" si="134"/>
        <v>0</v>
      </c>
      <c r="L207" s="269">
        <f t="shared" si="134"/>
        <v>0</v>
      </c>
      <c r="M207" s="769">
        <f t="shared" si="134"/>
        <v>0</v>
      </c>
      <c r="N207" s="269">
        <f t="shared" si="135"/>
        <v>0</v>
      </c>
      <c r="O207" s="269">
        <f t="shared" si="135"/>
        <v>0</v>
      </c>
      <c r="P207" s="269">
        <f t="shared" si="135"/>
        <v>0</v>
      </c>
      <c r="Q207" s="269">
        <f t="shared" si="135"/>
        <v>0</v>
      </c>
      <c r="R207" s="269">
        <f t="shared" si="135"/>
        <v>0</v>
      </c>
      <c r="S207" s="269">
        <f t="shared" si="135"/>
        <v>0</v>
      </c>
      <c r="T207" s="269">
        <f t="shared" si="135"/>
        <v>0</v>
      </c>
      <c r="U207" s="269">
        <f t="shared" si="135"/>
        <v>0</v>
      </c>
      <c r="V207" s="269">
        <f t="shared" si="135"/>
        <v>0</v>
      </c>
      <c r="W207" s="270">
        <f t="shared" si="135"/>
        <v>0</v>
      </c>
      <c r="X207" s="204">
        <f t="shared" si="131"/>
        <v>0</v>
      </c>
    </row>
    <row r="208" spans="3:24" hidden="1" outlineLevel="1" x14ac:dyDescent="0.25">
      <c r="C208" s="267" t="str">
        <f t="shared" si="130"/>
        <v/>
      </c>
      <c r="D208" s="268">
        <f t="shared" si="134"/>
        <v>0</v>
      </c>
      <c r="E208" s="269">
        <f t="shared" si="134"/>
        <v>0</v>
      </c>
      <c r="F208" s="269">
        <f t="shared" si="134"/>
        <v>0</v>
      </c>
      <c r="G208" s="269">
        <f t="shared" si="134"/>
        <v>0</v>
      </c>
      <c r="H208" s="269">
        <f t="shared" si="134"/>
        <v>0</v>
      </c>
      <c r="I208" s="269">
        <f t="shared" si="134"/>
        <v>0</v>
      </c>
      <c r="J208" s="269">
        <f t="shared" si="134"/>
        <v>0</v>
      </c>
      <c r="K208" s="269">
        <f t="shared" si="134"/>
        <v>0</v>
      </c>
      <c r="L208" s="269">
        <f t="shared" si="134"/>
        <v>0</v>
      </c>
      <c r="M208" s="769">
        <f t="shared" si="134"/>
        <v>0</v>
      </c>
      <c r="N208" s="269">
        <f t="shared" si="135"/>
        <v>0</v>
      </c>
      <c r="O208" s="269">
        <f t="shared" si="135"/>
        <v>0</v>
      </c>
      <c r="P208" s="269">
        <f t="shared" si="135"/>
        <v>0</v>
      </c>
      <c r="Q208" s="269">
        <f t="shared" si="135"/>
        <v>0</v>
      </c>
      <c r="R208" s="269">
        <f t="shared" si="135"/>
        <v>0</v>
      </c>
      <c r="S208" s="269">
        <f t="shared" si="135"/>
        <v>0</v>
      </c>
      <c r="T208" s="269">
        <f t="shared" si="135"/>
        <v>0</v>
      </c>
      <c r="U208" s="269">
        <f t="shared" si="135"/>
        <v>0</v>
      </c>
      <c r="V208" s="269">
        <f t="shared" si="135"/>
        <v>0</v>
      </c>
      <c r="W208" s="270">
        <f t="shared" si="135"/>
        <v>0</v>
      </c>
      <c r="X208" s="204">
        <f t="shared" si="131"/>
        <v>0</v>
      </c>
    </row>
    <row r="209" spans="3:26" hidden="1" outlineLevel="1" x14ac:dyDescent="0.25">
      <c r="C209" s="267" t="str">
        <f t="shared" si="130"/>
        <v/>
      </c>
      <c r="D209" s="268">
        <f t="shared" si="134"/>
        <v>0</v>
      </c>
      <c r="E209" s="269">
        <f t="shared" si="134"/>
        <v>0</v>
      </c>
      <c r="F209" s="269">
        <f t="shared" si="134"/>
        <v>0</v>
      </c>
      <c r="G209" s="269">
        <f t="shared" si="134"/>
        <v>0</v>
      </c>
      <c r="H209" s="269">
        <f t="shared" si="134"/>
        <v>0</v>
      </c>
      <c r="I209" s="269">
        <f t="shared" si="134"/>
        <v>0</v>
      </c>
      <c r="J209" s="269">
        <f t="shared" si="134"/>
        <v>0</v>
      </c>
      <c r="K209" s="269">
        <f t="shared" si="134"/>
        <v>0</v>
      </c>
      <c r="L209" s="269">
        <f t="shared" si="134"/>
        <v>0</v>
      </c>
      <c r="M209" s="769">
        <f t="shared" si="134"/>
        <v>0</v>
      </c>
      <c r="N209" s="269">
        <f t="shared" si="135"/>
        <v>0</v>
      </c>
      <c r="O209" s="269">
        <f t="shared" si="135"/>
        <v>0</v>
      </c>
      <c r="P209" s="269">
        <f t="shared" si="135"/>
        <v>0</v>
      </c>
      <c r="Q209" s="269">
        <f t="shared" si="135"/>
        <v>0</v>
      </c>
      <c r="R209" s="269">
        <f t="shared" si="135"/>
        <v>0</v>
      </c>
      <c r="S209" s="269">
        <f t="shared" si="135"/>
        <v>0</v>
      </c>
      <c r="T209" s="269">
        <f t="shared" si="135"/>
        <v>0</v>
      </c>
      <c r="U209" s="269">
        <f t="shared" si="135"/>
        <v>0</v>
      </c>
      <c r="V209" s="269">
        <f t="shared" si="135"/>
        <v>0</v>
      </c>
      <c r="W209" s="270">
        <f t="shared" si="135"/>
        <v>0</v>
      </c>
      <c r="X209" s="204">
        <f t="shared" si="131"/>
        <v>0</v>
      </c>
    </row>
    <row r="210" spans="3:26" hidden="1" outlineLevel="1" x14ac:dyDescent="0.25">
      <c r="C210" s="267" t="str">
        <f t="shared" si="130"/>
        <v/>
      </c>
      <c r="D210" s="268">
        <f t="shared" si="134"/>
        <v>0</v>
      </c>
      <c r="E210" s="269">
        <f t="shared" si="134"/>
        <v>0</v>
      </c>
      <c r="F210" s="269">
        <f t="shared" si="134"/>
        <v>0</v>
      </c>
      <c r="G210" s="269">
        <f t="shared" si="134"/>
        <v>0</v>
      </c>
      <c r="H210" s="269">
        <f t="shared" si="134"/>
        <v>0</v>
      </c>
      <c r="I210" s="269">
        <f t="shared" si="134"/>
        <v>0</v>
      </c>
      <c r="J210" s="269">
        <f t="shared" si="134"/>
        <v>0</v>
      </c>
      <c r="K210" s="269">
        <f t="shared" si="134"/>
        <v>0</v>
      </c>
      <c r="L210" s="269">
        <f t="shared" si="134"/>
        <v>0</v>
      </c>
      <c r="M210" s="769">
        <f t="shared" si="134"/>
        <v>0</v>
      </c>
      <c r="N210" s="269">
        <f t="shared" si="135"/>
        <v>0</v>
      </c>
      <c r="O210" s="269">
        <f t="shared" si="135"/>
        <v>0</v>
      </c>
      <c r="P210" s="269">
        <f t="shared" si="135"/>
        <v>0</v>
      </c>
      <c r="Q210" s="269">
        <f t="shared" si="135"/>
        <v>0</v>
      </c>
      <c r="R210" s="269">
        <f t="shared" si="135"/>
        <v>0</v>
      </c>
      <c r="S210" s="269">
        <f t="shared" si="135"/>
        <v>0</v>
      </c>
      <c r="T210" s="269">
        <f t="shared" si="135"/>
        <v>0</v>
      </c>
      <c r="U210" s="269">
        <f t="shared" si="135"/>
        <v>0</v>
      </c>
      <c r="V210" s="269">
        <f t="shared" si="135"/>
        <v>0</v>
      </c>
      <c r="W210" s="270">
        <f t="shared" si="135"/>
        <v>0</v>
      </c>
      <c r="X210" s="204">
        <f t="shared" si="131"/>
        <v>0</v>
      </c>
    </row>
    <row r="211" spans="3:26" hidden="1" outlineLevel="1" x14ac:dyDescent="0.25">
      <c r="C211" s="267" t="str">
        <f t="shared" si="130"/>
        <v/>
      </c>
      <c r="D211" s="268">
        <f t="shared" si="134"/>
        <v>0</v>
      </c>
      <c r="E211" s="269">
        <f t="shared" si="134"/>
        <v>0</v>
      </c>
      <c r="F211" s="269">
        <f t="shared" si="134"/>
        <v>0</v>
      </c>
      <c r="G211" s="269">
        <f t="shared" si="134"/>
        <v>0</v>
      </c>
      <c r="H211" s="269">
        <f t="shared" si="134"/>
        <v>0</v>
      </c>
      <c r="I211" s="269">
        <f t="shared" si="134"/>
        <v>0</v>
      </c>
      <c r="J211" s="269">
        <f t="shared" si="134"/>
        <v>0</v>
      </c>
      <c r="K211" s="269">
        <f t="shared" si="134"/>
        <v>0</v>
      </c>
      <c r="L211" s="269">
        <f t="shared" si="134"/>
        <v>0</v>
      </c>
      <c r="M211" s="769">
        <f t="shared" si="134"/>
        <v>0</v>
      </c>
      <c r="N211" s="269">
        <f t="shared" si="135"/>
        <v>0</v>
      </c>
      <c r="O211" s="269">
        <f t="shared" si="135"/>
        <v>0</v>
      </c>
      <c r="P211" s="269">
        <f t="shared" si="135"/>
        <v>0</v>
      </c>
      <c r="Q211" s="269">
        <f t="shared" si="135"/>
        <v>0</v>
      </c>
      <c r="R211" s="269">
        <f t="shared" si="135"/>
        <v>0</v>
      </c>
      <c r="S211" s="269">
        <f t="shared" si="135"/>
        <v>0</v>
      </c>
      <c r="T211" s="269">
        <f t="shared" si="135"/>
        <v>0</v>
      </c>
      <c r="U211" s="269">
        <f t="shared" si="135"/>
        <v>0</v>
      </c>
      <c r="V211" s="269">
        <f t="shared" si="135"/>
        <v>0</v>
      </c>
      <c r="W211" s="270">
        <f t="shared" si="135"/>
        <v>0</v>
      </c>
      <c r="X211" s="204">
        <f t="shared" si="131"/>
        <v>0</v>
      </c>
    </row>
    <row r="212" spans="3:26" hidden="1" outlineLevel="1" x14ac:dyDescent="0.25">
      <c r="C212" s="267" t="str">
        <f t="shared" si="130"/>
        <v/>
      </c>
      <c r="D212" s="268">
        <f t="shared" si="134"/>
        <v>0</v>
      </c>
      <c r="E212" s="269">
        <f t="shared" si="134"/>
        <v>0</v>
      </c>
      <c r="F212" s="269">
        <f t="shared" si="134"/>
        <v>0</v>
      </c>
      <c r="G212" s="269">
        <f t="shared" si="134"/>
        <v>0</v>
      </c>
      <c r="H212" s="269">
        <f t="shared" si="134"/>
        <v>0</v>
      </c>
      <c r="I212" s="269">
        <f t="shared" si="134"/>
        <v>0</v>
      </c>
      <c r="J212" s="269">
        <f t="shared" si="134"/>
        <v>0</v>
      </c>
      <c r="K212" s="269">
        <f t="shared" si="134"/>
        <v>0</v>
      </c>
      <c r="L212" s="269">
        <f t="shared" si="134"/>
        <v>0</v>
      </c>
      <c r="M212" s="769">
        <f t="shared" si="134"/>
        <v>0</v>
      </c>
      <c r="N212" s="269">
        <f t="shared" si="135"/>
        <v>0</v>
      </c>
      <c r="O212" s="269">
        <f t="shared" si="135"/>
        <v>0</v>
      </c>
      <c r="P212" s="269">
        <f t="shared" si="135"/>
        <v>0</v>
      </c>
      <c r="Q212" s="269">
        <f t="shared" si="135"/>
        <v>0</v>
      </c>
      <c r="R212" s="269">
        <f t="shared" si="135"/>
        <v>0</v>
      </c>
      <c r="S212" s="269">
        <f t="shared" si="135"/>
        <v>0</v>
      </c>
      <c r="T212" s="269">
        <f t="shared" si="135"/>
        <v>0</v>
      </c>
      <c r="U212" s="269">
        <f t="shared" si="135"/>
        <v>0</v>
      </c>
      <c r="V212" s="269">
        <f t="shared" si="135"/>
        <v>0</v>
      </c>
      <c r="W212" s="270">
        <f t="shared" si="135"/>
        <v>0</v>
      </c>
      <c r="X212" s="204">
        <f t="shared" si="131"/>
        <v>0</v>
      </c>
    </row>
    <row r="213" spans="3:26" hidden="1" outlineLevel="1" x14ac:dyDescent="0.25">
      <c r="C213" s="267" t="str">
        <f t="shared" si="130"/>
        <v/>
      </c>
      <c r="D213" s="268">
        <f t="shared" si="134"/>
        <v>0</v>
      </c>
      <c r="E213" s="269">
        <f t="shared" si="134"/>
        <v>0</v>
      </c>
      <c r="F213" s="269">
        <f t="shared" si="134"/>
        <v>0</v>
      </c>
      <c r="G213" s="269">
        <f t="shared" si="134"/>
        <v>0</v>
      </c>
      <c r="H213" s="269">
        <f t="shared" si="134"/>
        <v>0</v>
      </c>
      <c r="I213" s="269">
        <f t="shared" si="134"/>
        <v>0</v>
      </c>
      <c r="J213" s="269">
        <f t="shared" si="134"/>
        <v>0</v>
      </c>
      <c r="K213" s="269">
        <f t="shared" si="134"/>
        <v>0</v>
      </c>
      <c r="L213" s="269">
        <f t="shared" si="134"/>
        <v>0</v>
      </c>
      <c r="M213" s="769">
        <f t="shared" si="134"/>
        <v>0</v>
      </c>
      <c r="N213" s="269">
        <f t="shared" si="135"/>
        <v>0</v>
      </c>
      <c r="O213" s="269">
        <f t="shared" si="135"/>
        <v>0</v>
      </c>
      <c r="P213" s="269">
        <f t="shared" si="135"/>
        <v>0</v>
      </c>
      <c r="Q213" s="269">
        <f t="shared" si="135"/>
        <v>0</v>
      </c>
      <c r="R213" s="269">
        <f t="shared" si="135"/>
        <v>0</v>
      </c>
      <c r="S213" s="269">
        <f t="shared" si="135"/>
        <v>0</v>
      </c>
      <c r="T213" s="269">
        <f t="shared" si="135"/>
        <v>0</v>
      </c>
      <c r="U213" s="269">
        <f t="shared" si="135"/>
        <v>0</v>
      </c>
      <c r="V213" s="269">
        <f t="shared" si="135"/>
        <v>0</v>
      </c>
      <c r="W213" s="270">
        <f t="shared" si="135"/>
        <v>0</v>
      </c>
      <c r="X213" s="204">
        <f t="shared" si="131"/>
        <v>0</v>
      </c>
    </row>
    <row r="214" spans="3:26" hidden="1" outlineLevel="1" x14ac:dyDescent="0.25">
      <c r="C214" s="267" t="str">
        <f t="shared" si="130"/>
        <v/>
      </c>
      <c r="D214" s="268">
        <f t="shared" si="134"/>
        <v>0</v>
      </c>
      <c r="E214" s="269">
        <f t="shared" si="134"/>
        <v>0</v>
      </c>
      <c r="F214" s="269">
        <f t="shared" si="134"/>
        <v>0</v>
      </c>
      <c r="G214" s="269">
        <f t="shared" si="134"/>
        <v>0</v>
      </c>
      <c r="H214" s="269">
        <f t="shared" si="134"/>
        <v>0</v>
      </c>
      <c r="I214" s="269">
        <f t="shared" si="134"/>
        <v>0</v>
      </c>
      <c r="J214" s="269">
        <f t="shared" si="134"/>
        <v>0</v>
      </c>
      <c r="K214" s="269">
        <f t="shared" si="134"/>
        <v>0</v>
      </c>
      <c r="L214" s="269">
        <f t="shared" si="134"/>
        <v>0</v>
      </c>
      <c r="M214" s="769">
        <f t="shared" si="134"/>
        <v>0</v>
      </c>
      <c r="N214" s="269">
        <f t="shared" si="135"/>
        <v>0</v>
      </c>
      <c r="O214" s="269">
        <f t="shared" si="135"/>
        <v>0</v>
      </c>
      <c r="P214" s="269">
        <f t="shared" si="135"/>
        <v>0</v>
      </c>
      <c r="Q214" s="269">
        <f t="shared" si="135"/>
        <v>0</v>
      </c>
      <c r="R214" s="269">
        <f t="shared" si="135"/>
        <v>0</v>
      </c>
      <c r="S214" s="269">
        <f t="shared" si="135"/>
        <v>0</v>
      </c>
      <c r="T214" s="269">
        <f t="shared" si="135"/>
        <v>0</v>
      </c>
      <c r="U214" s="269">
        <f t="shared" si="135"/>
        <v>0</v>
      </c>
      <c r="V214" s="269">
        <f t="shared" si="135"/>
        <v>0</v>
      </c>
      <c r="W214" s="270">
        <f t="shared" si="135"/>
        <v>0</v>
      </c>
      <c r="X214" s="204">
        <f t="shared" si="131"/>
        <v>0</v>
      </c>
    </row>
    <row r="215" spans="3:26" hidden="1" outlineLevel="1" x14ac:dyDescent="0.25">
      <c r="C215" s="271" t="str">
        <f t="shared" si="130"/>
        <v>Padrões</v>
      </c>
      <c r="D215" s="272">
        <f t="shared" si="134"/>
        <v>0</v>
      </c>
      <c r="E215" s="273">
        <f t="shared" si="134"/>
        <v>0</v>
      </c>
      <c r="F215" s="273">
        <f t="shared" si="134"/>
        <v>0</v>
      </c>
      <c r="G215" s="273">
        <f t="shared" si="134"/>
        <v>0</v>
      </c>
      <c r="H215" s="273">
        <f t="shared" si="134"/>
        <v>0</v>
      </c>
      <c r="I215" s="273">
        <f t="shared" si="134"/>
        <v>0</v>
      </c>
      <c r="J215" s="273">
        <f t="shared" si="134"/>
        <v>0</v>
      </c>
      <c r="K215" s="273">
        <f t="shared" si="134"/>
        <v>0</v>
      </c>
      <c r="L215" s="273">
        <f t="shared" si="134"/>
        <v>0</v>
      </c>
      <c r="M215" s="770">
        <f t="shared" si="134"/>
        <v>0</v>
      </c>
      <c r="N215" s="273">
        <f t="shared" si="135"/>
        <v>0</v>
      </c>
      <c r="O215" s="273">
        <f t="shared" si="135"/>
        <v>0</v>
      </c>
      <c r="P215" s="273">
        <f t="shared" si="135"/>
        <v>0</v>
      </c>
      <c r="Q215" s="273">
        <f t="shared" si="135"/>
        <v>0</v>
      </c>
      <c r="R215" s="273">
        <f t="shared" si="135"/>
        <v>0</v>
      </c>
      <c r="S215" s="273">
        <f t="shared" si="135"/>
        <v>0</v>
      </c>
      <c r="T215" s="273">
        <f t="shared" si="135"/>
        <v>0</v>
      </c>
      <c r="U215" s="273">
        <f t="shared" si="135"/>
        <v>0</v>
      </c>
      <c r="V215" s="273">
        <f t="shared" si="135"/>
        <v>0</v>
      </c>
      <c r="W215" s="274">
        <f t="shared" si="135"/>
        <v>0</v>
      </c>
      <c r="X215" s="204">
        <f t="shared" si="131"/>
        <v>0</v>
      </c>
    </row>
    <row r="216" spans="3:26" outlineLevel="1" x14ac:dyDescent="0.25">
      <c r="C216" s="187"/>
      <c r="D216" s="281">
        <f>SUM(D186:D215)</f>
        <v>0</v>
      </c>
      <c r="E216" s="281">
        <f t="shared" ref="E216" si="136">SUM(E186:E215)</f>
        <v>0</v>
      </c>
      <c r="F216" s="281">
        <f t="shared" ref="F216" si="137">SUM(F186:F215)</f>
        <v>0</v>
      </c>
      <c r="G216" s="281">
        <f t="shared" ref="G216" si="138">SUM(G186:G215)</f>
        <v>0</v>
      </c>
      <c r="H216" s="281">
        <f t="shared" ref="H216" si="139">SUM(H186:H215)</f>
        <v>0</v>
      </c>
      <c r="I216" s="281">
        <f t="shared" ref="I216" si="140">SUM(I186:I215)</f>
        <v>0</v>
      </c>
      <c r="J216" s="281">
        <f t="shared" ref="J216" si="141">SUM(J186:J215)</f>
        <v>0</v>
      </c>
      <c r="K216" s="281">
        <f t="shared" ref="K216" si="142">SUM(K186:K215)</f>
        <v>0</v>
      </c>
      <c r="L216" s="281">
        <f t="shared" ref="L216" si="143">SUM(L186:L215)</f>
        <v>0</v>
      </c>
      <c r="M216" s="771">
        <f t="shared" ref="M216" si="144">SUM(M186:M215)</f>
        <v>0</v>
      </c>
      <c r="N216" s="281">
        <f t="shared" ref="N216" si="145">SUM(N186:N215)</f>
        <v>0</v>
      </c>
      <c r="O216" s="281">
        <f t="shared" ref="O216" si="146">SUM(O186:O215)</f>
        <v>0</v>
      </c>
      <c r="P216" s="281">
        <f t="shared" ref="P216" si="147">SUM(P186:P215)</f>
        <v>0</v>
      </c>
      <c r="Q216" s="281">
        <f t="shared" ref="Q216" si="148">SUM(Q186:Q215)</f>
        <v>0</v>
      </c>
      <c r="R216" s="281">
        <f t="shared" ref="R216" si="149">SUM(R186:R215)</f>
        <v>0</v>
      </c>
      <c r="S216" s="281">
        <f t="shared" ref="S216" si="150">SUM(S186:S215)</f>
        <v>0</v>
      </c>
      <c r="T216" s="281">
        <f t="shared" ref="T216" si="151">SUM(T186:T215)</f>
        <v>0</v>
      </c>
      <c r="U216" s="281">
        <f t="shared" ref="U216" si="152">SUM(U186:U215)</f>
        <v>0</v>
      </c>
      <c r="V216" s="281">
        <f t="shared" ref="V216" si="153">SUM(V186:V215)</f>
        <v>0</v>
      </c>
      <c r="W216" s="281">
        <f t="shared" ref="W216" si="154">SUM(W186:W215)</f>
        <v>0</v>
      </c>
      <c r="X216" s="280">
        <f>SUM(X186:X215)</f>
        <v>0</v>
      </c>
    </row>
    <row r="217" spans="3:26" outlineLevel="1" x14ac:dyDescent="0.25"/>
    <row r="218" spans="3:26" outlineLevel="1" x14ac:dyDescent="0.25">
      <c r="U218" s="282" t="s">
        <v>339</v>
      </c>
      <c r="V218" s="282" t="s">
        <v>340</v>
      </c>
    </row>
    <row r="219" spans="3:26" x14ac:dyDescent="0.25">
      <c r="D219" s="114" t="s">
        <v>20</v>
      </c>
      <c r="U219" s="283">
        <f>SUM(D222:W251)</f>
        <v>0</v>
      </c>
      <c r="V219" s="283">
        <f>IF($E$3=$A$3,Dados!M101,Dados!M101+Escopo!DH273)</f>
        <v>0</v>
      </c>
      <c r="W219" s="522" t="b">
        <f>IF(ABS(U219-V219)&lt;0.01,TRUE,FALSE)</f>
        <v>1</v>
      </c>
    </row>
    <row r="220" spans="3:26" outlineLevel="1" x14ac:dyDescent="0.25"/>
    <row r="221" spans="3:26" outlineLevel="1" x14ac:dyDescent="0.25">
      <c r="D221" s="260" t="str">
        <f>IF(D185&lt;&gt;"",D185,"")</f>
        <v>SAGE</v>
      </c>
      <c r="E221" s="261" t="str">
        <f t="shared" ref="E221:W221" si="155">IF(E185&lt;&gt;"",E185,"")</f>
        <v>TELECOM</v>
      </c>
      <c r="F221" s="261" t="str">
        <f t="shared" si="155"/>
        <v>GERAL</v>
      </c>
      <c r="G221" s="261" t="str">
        <f t="shared" si="155"/>
        <v/>
      </c>
      <c r="H221" s="261" t="str">
        <f t="shared" si="155"/>
        <v/>
      </c>
      <c r="I221" s="261" t="str">
        <f t="shared" si="155"/>
        <v/>
      </c>
      <c r="J221" s="261" t="str">
        <f t="shared" si="155"/>
        <v/>
      </c>
      <c r="K221" s="261" t="str">
        <f t="shared" si="155"/>
        <v/>
      </c>
      <c r="L221" s="261" t="str">
        <f t="shared" si="155"/>
        <v/>
      </c>
      <c r="M221" s="261" t="str">
        <f t="shared" si="155"/>
        <v/>
      </c>
      <c r="N221" s="261" t="str">
        <f t="shared" si="155"/>
        <v/>
      </c>
      <c r="O221" s="261" t="str">
        <f t="shared" si="155"/>
        <v/>
      </c>
      <c r="P221" s="261" t="str">
        <f t="shared" si="155"/>
        <v/>
      </c>
      <c r="Q221" s="261" t="str">
        <f t="shared" si="155"/>
        <v/>
      </c>
      <c r="R221" s="261" t="str">
        <f t="shared" si="155"/>
        <v/>
      </c>
      <c r="S221" s="261" t="str">
        <f t="shared" si="155"/>
        <v/>
      </c>
      <c r="T221" s="261" t="str">
        <f t="shared" si="155"/>
        <v/>
      </c>
      <c r="U221" s="261" t="str">
        <f t="shared" si="155"/>
        <v/>
      </c>
      <c r="V221" s="261" t="str">
        <f t="shared" si="155"/>
        <v/>
      </c>
      <c r="W221" s="262" t="str">
        <f t="shared" si="155"/>
        <v/>
      </c>
    </row>
    <row r="222" spans="3:26" outlineLevel="1" x14ac:dyDescent="0.25">
      <c r="C222" s="263" t="str">
        <f>IF(C186&lt;&gt;"",C186,"")</f>
        <v>MAT</v>
      </c>
      <c r="D222" s="264">
        <f t="shared" ref="D222:M231" si="156">IF(AND($C222&lt;&gt;"",D$5&lt;&gt;""),SUMIFS(col_cofins,col_abertura1,$C222,col_abertura2,D$5)+IF($E$3=$A$4,SUMIFS(col_fatdir_cofins_mn,col_abertura1,$C222,col_abertura2,D$5),0),0)</f>
        <v>0</v>
      </c>
      <c r="E222" s="265">
        <f t="shared" si="156"/>
        <v>0</v>
      </c>
      <c r="F222" s="265">
        <f t="shared" si="156"/>
        <v>0</v>
      </c>
      <c r="G222" s="265">
        <f t="shared" si="156"/>
        <v>0</v>
      </c>
      <c r="H222" s="265">
        <f t="shared" si="156"/>
        <v>0</v>
      </c>
      <c r="I222" s="265">
        <f t="shared" si="156"/>
        <v>0</v>
      </c>
      <c r="J222" s="265">
        <f t="shared" si="156"/>
        <v>0</v>
      </c>
      <c r="K222" s="265">
        <f t="shared" si="156"/>
        <v>0</v>
      </c>
      <c r="L222" s="265">
        <f t="shared" si="156"/>
        <v>0</v>
      </c>
      <c r="M222" s="768">
        <f t="shared" si="156"/>
        <v>0</v>
      </c>
      <c r="N222" s="265">
        <f t="shared" ref="N222:W231" si="157">IF(AND($C222&lt;&gt;"",N$5&lt;&gt;""),SUMIFS(col_cofins,col_abertura1,$C222,col_abertura2,N$5)+IF($E$3=$A$4,SUMIFS(col_fatdir_cofins_mn,col_abertura1,$C222,col_abertura2,N$5),0),0)</f>
        <v>0</v>
      </c>
      <c r="O222" s="265">
        <f t="shared" si="157"/>
        <v>0</v>
      </c>
      <c r="P222" s="265">
        <f t="shared" si="157"/>
        <v>0</v>
      </c>
      <c r="Q222" s="265">
        <f t="shared" si="157"/>
        <v>0</v>
      </c>
      <c r="R222" s="265">
        <f t="shared" si="157"/>
        <v>0</v>
      </c>
      <c r="S222" s="265">
        <f t="shared" si="157"/>
        <v>0</v>
      </c>
      <c r="T222" s="265">
        <f t="shared" si="157"/>
        <v>0</v>
      </c>
      <c r="U222" s="265">
        <f t="shared" si="157"/>
        <v>0</v>
      </c>
      <c r="V222" s="265">
        <f t="shared" si="157"/>
        <v>0</v>
      </c>
      <c r="W222" s="266">
        <f t="shared" si="157"/>
        <v>0</v>
      </c>
      <c r="X222" s="204">
        <f>SUM(D222:W222)</f>
        <v>0</v>
      </c>
      <c r="Y222" s="776"/>
      <c r="Z222" s="204"/>
    </row>
    <row r="223" spans="3:26" outlineLevel="1" x14ac:dyDescent="0.25">
      <c r="C223" s="267" t="str">
        <f t="shared" ref="C223:C251" si="158">IF(C187&lt;&gt;"",C187,"")</f>
        <v>SRV</v>
      </c>
      <c r="D223" s="268">
        <f t="shared" si="156"/>
        <v>0</v>
      </c>
      <c r="E223" s="269">
        <f t="shared" si="156"/>
        <v>0</v>
      </c>
      <c r="F223" s="269">
        <f t="shared" si="156"/>
        <v>0</v>
      </c>
      <c r="G223" s="269">
        <f t="shared" si="156"/>
        <v>0</v>
      </c>
      <c r="H223" s="269">
        <f t="shared" si="156"/>
        <v>0</v>
      </c>
      <c r="I223" s="269">
        <f t="shared" si="156"/>
        <v>0</v>
      </c>
      <c r="J223" s="269">
        <f t="shared" si="156"/>
        <v>0</v>
      </c>
      <c r="K223" s="269">
        <f t="shared" si="156"/>
        <v>0</v>
      </c>
      <c r="L223" s="269">
        <f t="shared" si="156"/>
        <v>0</v>
      </c>
      <c r="M223" s="769">
        <f t="shared" si="156"/>
        <v>0</v>
      </c>
      <c r="N223" s="269">
        <f t="shared" si="157"/>
        <v>0</v>
      </c>
      <c r="O223" s="269">
        <f t="shared" si="157"/>
        <v>0</v>
      </c>
      <c r="P223" s="269">
        <f t="shared" si="157"/>
        <v>0</v>
      </c>
      <c r="Q223" s="269">
        <f t="shared" si="157"/>
        <v>0</v>
      </c>
      <c r="R223" s="269">
        <f t="shared" si="157"/>
        <v>0</v>
      </c>
      <c r="S223" s="269">
        <f t="shared" si="157"/>
        <v>0</v>
      </c>
      <c r="T223" s="269">
        <f t="shared" si="157"/>
        <v>0</v>
      </c>
      <c r="U223" s="269">
        <f t="shared" si="157"/>
        <v>0</v>
      </c>
      <c r="V223" s="269">
        <f t="shared" si="157"/>
        <v>0</v>
      </c>
      <c r="W223" s="270">
        <f t="shared" si="157"/>
        <v>0</v>
      </c>
      <c r="X223" s="204">
        <f t="shared" ref="X223:X251" si="159">SUM(D223:W223)</f>
        <v>0</v>
      </c>
      <c r="Y223" s="776"/>
      <c r="Z223" s="204"/>
    </row>
    <row r="224" spans="3:26" outlineLevel="1" x14ac:dyDescent="0.25">
      <c r="C224" s="267" t="str">
        <f t="shared" si="158"/>
        <v>MOBI</v>
      </c>
      <c r="D224" s="268">
        <f t="shared" si="156"/>
        <v>0</v>
      </c>
      <c r="E224" s="269">
        <f t="shared" si="156"/>
        <v>0</v>
      </c>
      <c r="F224" s="269">
        <f t="shared" si="156"/>
        <v>0</v>
      </c>
      <c r="G224" s="269">
        <f t="shared" si="156"/>
        <v>0</v>
      </c>
      <c r="H224" s="269">
        <f t="shared" si="156"/>
        <v>0</v>
      </c>
      <c r="I224" s="269">
        <f t="shared" si="156"/>
        <v>0</v>
      </c>
      <c r="J224" s="269">
        <f t="shared" si="156"/>
        <v>0</v>
      </c>
      <c r="K224" s="269">
        <f t="shared" si="156"/>
        <v>0</v>
      </c>
      <c r="L224" s="269">
        <f t="shared" si="156"/>
        <v>0</v>
      </c>
      <c r="M224" s="769">
        <f t="shared" si="156"/>
        <v>0</v>
      </c>
      <c r="N224" s="269">
        <f t="shared" si="157"/>
        <v>0</v>
      </c>
      <c r="O224" s="269">
        <f t="shared" si="157"/>
        <v>0</v>
      </c>
      <c r="P224" s="269">
        <f t="shared" si="157"/>
        <v>0</v>
      </c>
      <c r="Q224" s="269">
        <f t="shared" si="157"/>
        <v>0</v>
      </c>
      <c r="R224" s="269">
        <f t="shared" si="157"/>
        <v>0</v>
      </c>
      <c r="S224" s="269">
        <f t="shared" si="157"/>
        <v>0</v>
      </c>
      <c r="T224" s="269">
        <f t="shared" si="157"/>
        <v>0</v>
      </c>
      <c r="U224" s="269">
        <f t="shared" si="157"/>
        <v>0</v>
      </c>
      <c r="V224" s="269">
        <f t="shared" si="157"/>
        <v>0</v>
      </c>
      <c r="W224" s="270">
        <f t="shared" si="157"/>
        <v>0</v>
      </c>
      <c r="X224" s="204">
        <f t="shared" si="159"/>
        <v>0</v>
      </c>
    </row>
    <row r="225" spans="3:24" outlineLevel="1" x14ac:dyDescent="0.25">
      <c r="C225" s="267" t="str">
        <f t="shared" si="158"/>
        <v>TREIN</v>
      </c>
      <c r="D225" s="268">
        <f t="shared" si="156"/>
        <v>0</v>
      </c>
      <c r="E225" s="269">
        <f t="shared" si="156"/>
        <v>0</v>
      </c>
      <c r="F225" s="269">
        <f t="shared" si="156"/>
        <v>0</v>
      </c>
      <c r="G225" s="269">
        <f t="shared" si="156"/>
        <v>0</v>
      </c>
      <c r="H225" s="269">
        <f t="shared" si="156"/>
        <v>0</v>
      </c>
      <c r="I225" s="269">
        <f t="shared" si="156"/>
        <v>0</v>
      </c>
      <c r="J225" s="269">
        <f t="shared" si="156"/>
        <v>0</v>
      </c>
      <c r="K225" s="269">
        <f t="shared" si="156"/>
        <v>0</v>
      </c>
      <c r="L225" s="269">
        <f t="shared" si="156"/>
        <v>0</v>
      </c>
      <c r="M225" s="769">
        <f t="shared" si="156"/>
        <v>0</v>
      </c>
      <c r="N225" s="269">
        <f t="shared" si="157"/>
        <v>0</v>
      </c>
      <c r="O225" s="269">
        <f t="shared" si="157"/>
        <v>0</v>
      </c>
      <c r="P225" s="269">
        <f t="shared" si="157"/>
        <v>0</v>
      </c>
      <c r="Q225" s="269">
        <f t="shared" si="157"/>
        <v>0</v>
      </c>
      <c r="R225" s="269">
        <f t="shared" si="157"/>
        <v>0</v>
      </c>
      <c r="S225" s="269">
        <f t="shared" si="157"/>
        <v>0</v>
      </c>
      <c r="T225" s="269">
        <f t="shared" si="157"/>
        <v>0</v>
      </c>
      <c r="U225" s="269">
        <f t="shared" si="157"/>
        <v>0</v>
      </c>
      <c r="V225" s="269">
        <f t="shared" si="157"/>
        <v>0</v>
      </c>
      <c r="W225" s="270">
        <f t="shared" si="157"/>
        <v>0</v>
      </c>
      <c r="X225" s="204">
        <f t="shared" si="159"/>
        <v>0</v>
      </c>
    </row>
    <row r="226" spans="3:24" hidden="1" outlineLevel="1" x14ac:dyDescent="0.25">
      <c r="C226" s="267" t="str">
        <f t="shared" si="158"/>
        <v/>
      </c>
      <c r="D226" s="268">
        <f t="shared" si="156"/>
        <v>0</v>
      </c>
      <c r="E226" s="269">
        <f t="shared" si="156"/>
        <v>0</v>
      </c>
      <c r="F226" s="269">
        <f t="shared" si="156"/>
        <v>0</v>
      </c>
      <c r="G226" s="269">
        <f t="shared" si="156"/>
        <v>0</v>
      </c>
      <c r="H226" s="269">
        <f t="shared" si="156"/>
        <v>0</v>
      </c>
      <c r="I226" s="269">
        <f t="shared" si="156"/>
        <v>0</v>
      </c>
      <c r="J226" s="269">
        <f t="shared" si="156"/>
        <v>0</v>
      </c>
      <c r="K226" s="269">
        <f t="shared" si="156"/>
        <v>0</v>
      </c>
      <c r="L226" s="269">
        <f t="shared" si="156"/>
        <v>0</v>
      </c>
      <c r="M226" s="769">
        <f t="shared" si="156"/>
        <v>0</v>
      </c>
      <c r="N226" s="269">
        <f t="shared" si="157"/>
        <v>0</v>
      </c>
      <c r="O226" s="269">
        <f t="shared" si="157"/>
        <v>0</v>
      </c>
      <c r="P226" s="269">
        <f t="shared" si="157"/>
        <v>0</v>
      </c>
      <c r="Q226" s="269">
        <f t="shared" si="157"/>
        <v>0</v>
      </c>
      <c r="R226" s="269">
        <f t="shared" si="157"/>
        <v>0</v>
      </c>
      <c r="S226" s="269">
        <f t="shared" si="157"/>
        <v>0</v>
      </c>
      <c r="T226" s="269">
        <f t="shared" si="157"/>
        <v>0</v>
      </c>
      <c r="U226" s="269">
        <f t="shared" si="157"/>
        <v>0</v>
      </c>
      <c r="V226" s="269">
        <f t="shared" si="157"/>
        <v>0</v>
      </c>
      <c r="W226" s="270">
        <f t="shared" si="157"/>
        <v>0</v>
      </c>
      <c r="X226" s="204">
        <f t="shared" si="159"/>
        <v>0</v>
      </c>
    </row>
    <row r="227" spans="3:24" hidden="1" outlineLevel="1" x14ac:dyDescent="0.25">
      <c r="C227" s="267" t="str">
        <f t="shared" si="158"/>
        <v/>
      </c>
      <c r="D227" s="268">
        <f t="shared" si="156"/>
        <v>0</v>
      </c>
      <c r="E227" s="269">
        <f t="shared" si="156"/>
        <v>0</v>
      </c>
      <c r="F227" s="269">
        <f t="shared" si="156"/>
        <v>0</v>
      </c>
      <c r="G227" s="269">
        <f t="shared" si="156"/>
        <v>0</v>
      </c>
      <c r="H227" s="269">
        <f t="shared" si="156"/>
        <v>0</v>
      </c>
      <c r="I227" s="269">
        <f t="shared" si="156"/>
        <v>0</v>
      </c>
      <c r="J227" s="269">
        <f t="shared" si="156"/>
        <v>0</v>
      </c>
      <c r="K227" s="269">
        <f t="shared" si="156"/>
        <v>0</v>
      </c>
      <c r="L227" s="269">
        <f t="shared" si="156"/>
        <v>0</v>
      </c>
      <c r="M227" s="769">
        <f t="shared" si="156"/>
        <v>0</v>
      </c>
      <c r="N227" s="269">
        <f t="shared" si="157"/>
        <v>0</v>
      </c>
      <c r="O227" s="269">
        <f t="shared" si="157"/>
        <v>0</v>
      </c>
      <c r="P227" s="269">
        <f t="shared" si="157"/>
        <v>0</v>
      </c>
      <c r="Q227" s="269">
        <f t="shared" si="157"/>
        <v>0</v>
      </c>
      <c r="R227" s="269">
        <f t="shared" si="157"/>
        <v>0</v>
      </c>
      <c r="S227" s="269">
        <f t="shared" si="157"/>
        <v>0</v>
      </c>
      <c r="T227" s="269">
        <f t="shared" si="157"/>
        <v>0</v>
      </c>
      <c r="U227" s="269">
        <f t="shared" si="157"/>
        <v>0</v>
      </c>
      <c r="V227" s="269">
        <f t="shared" si="157"/>
        <v>0</v>
      </c>
      <c r="W227" s="270">
        <f t="shared" si="157"/>
        <v>0</v>
      </c>
      <c r="X227" s="204">
        <f t="shared" si="159"/>
        <v>0</v>
      </c>
    </row>
    <row r="228" spans="3:24" hidden="1" outlineLevel="1" x14ac:dyDescent="0.25">
      <c r="C228" s="267" t="str">
        <f t="shared" si="158"/>
        <v/>
      </c>
      <c r="D228" s="268">
        <f t="shared" si="156"/>
        <v>0</v>
      </c>
      <c r="E228" s="269">
        <f t="shared" si="156"/>
        <v>0</v>
      </c>
      <c r="F228" s="269">
        <f t="shared" si="156"/>
        <v>0</v>
      </c>
      <c r="G228" s="269">
        <f t="shared" si="156"/>
        <v>0</v>
      </c>
      <c r="H228" s="269">
        <f t="shared" si="156"/>
        <v>0</v>
      </c>
      <c r="I228" s="269">
        <f t="shared" si="156"/>
        <v>0</v>
      </c>
      <c r="J228" s="269">
        <f t="shared" si="156"/>
        <v>0</v>
      </c>
      <c r="K228" s="269">
        <f t="shared" si="156"/>
        <v>0</v>
      </c>
      <c r="L228" s="269">
        <f t="shared" si="156"/>
        <v>0</v>
      </c>
      <c r="M228" s="769">
        <f t="shared" si="156"/>
        <v>0</v>
      </c>
      <c r="N228" s="269">
        <f t="shared" si="157"/>
        <v>0</v>
      </c>
      <c r="O228" s="269">
        <f t="shared" si="157"/>
        <v>0</v>
      </c>
      <c r="P228" s="269">
        <f t="shared" si="157"/>
        <v>0</v>
      </c>
      <c r="Q228" s="269">
        <f t="shared" si="157"/>
        <v>0</v>
      </c>
      <c r="R228" s="269">
        <f t="shared" si="157"/>
        <v>0</v>
      </c>
      <c r="S228" s="269">
        <f t="shared" si="157"/>
        <v>0</v>
      </c>
      <c r="T228" s="269">
        <f t="shared" si="157"/>
        <v>0</v>
      </c>
      <c r="U228" s="269">
        <f t="shared" si="157"/>
        <v>0</v>
      </c>
      <c r="V228" s="269">
        <f t="shared" si="157"/>
        <v>0</v>
      </c>
      <c r="W228" s="270">
        <f t="shared" si="157"/>
        <v>0</v>
      </c>
      <c r="X228" s="204">
        <f t="shared" si="159"/>
        <v>0</v>
      </c>
    </row>
    <row r="229" spans="3:24" hidden="1" outlineLevel="1" x14ac:dyDescent="0.25">
      <c r="C229" s="267" t="str">
        <f t="shared" si="158"/>
        <v/>
      </c>
      <c r="D229" s="268">
        <f t="shared" si="156"/>
        <v>0</v>
      </c>
      <c r="E229" s="269">
        <f t="shared" si="156"/>
        <v>0</v>
      </c>
      <c r="F229" s="269">
        <f t="shared" si="156"/>
        <v>0</v>
      </c>
      <c r="G229" s="269">
        <f t="shared" si="156"/>
        <v>0</v>
      </c>
      <c r="H229" s="269">
        <f t="shared" si="156"/>
        <v>0</v>
      </c>
      <c r="I229" s="269">
        <f t="shared" si="156"/>
        <v>0</v>
      </c>
      <c r="J229" s="269">
        <f t="shared" si="156"/>
        <v>0</v>
      </c>
      <c r="K229" s="269">
        <f t="shared" si="156"/>
        <v>0</v>
      </c>
      <c r="L229" s="269">
        <f t="shared" si="156"/>
        <v>0</v>
      </c>
      <c r="M229" s="769">
        <f t="shared" si="156"/>
        <v>0</v>
      </c>
      <c r="N229" s="269">
        <f t="shared" si="157"/>
        <v>0</v>
      </c>
      <c r="O229" s="269">
        <f t="shared" si="157"/>
        <v>0</v>
      </c>
      <c r="P229" s="269">
        <f t="shared" si="157"/>
        <v>0</v>
      </c>
      <c r="Q229" s="269">
        <f t="shared" si="157"/>
        <v>0</v>
      </c>
      <c r="R229" s="269">
        <f t="shared" si="157"/>
        <v>0</v>
      </c>
      <c r="S229" s="269">
        <f t="shared" si="157"/>
        <v>0</v>
      </c>
      <c r="T229" s="269">
        <f t="shared" si="157"/>
        <v>0</v>
      </c>
      <c r="U229" s="269">
        <f t="shared" si="157"/>
        <v>0</v>
      </c>
      <c r="V229" s="269">
        <f t="shared" si="157"/>
        <v>0</v>
      </c>
      <c r="W229" s="270">
        <f t="shared" si="157"/>
        <v>0</v>
      </c>
      <c r="X229" s="204">
        <f t="shared" si="159"/>
        <v>0</v>
      </c>
    </row>
    <row r="230" spans="3:24" hidden="1" outlineLevel="1" x14ac:dyDescent="0.25">
      <c r="C230" s="267" t="str">
        <f t="shared" si="158"/>
        <v/>
      </c>
      <c r="D230" s="268">
        <f t="shared" si="156"/>
        <v>0</v>
      </c>
      <c r="E230" s="269">
        <f t="shared" si="156"/>
        <v>0</v>
      </c>
      <c r="F230" s="269">
        <f t="shared" si="156"/>
        <v>0</v>
      </c>
      <c r="G230" s="269">
        <f t="shared" si="156"/>
        <v>0</v>
      </c>
      <c r="H230" s="269">
        <f t="shared" si="156"/>
        <v>0</v>
      </c>
      <c r="I230" s="269">
        <f t="shared" si="156"/>
        <v>0</v>
      </c>
      <c r="J230" s="269">
        <f t="shared" si="156"/>
        <v>0</v>
      </c>
      <c r="K230" s="269">
        <f t="shared" si="156"/>
        <v>0</v>
      </c>
      <c r="L230" s="269">
        <f t="shared" si="156"/>
        <v>0</v>
      </c>
      <c r="M230" s="769">
        <f t="shared" si="156"/>
        <v>0</v>
      </c>
      <c r="N230" s="269">
        <f t="shared" si="157"/>
        <v>0</v>
      </c>
      <c r="O230" s="269">
        <f t="shared" si="157"/>
        <v>0</v>
      </c>
      <c r="P230" s="269">
        <f t="shared" si="157"/>
        <v>0</v>
      </c>
      <c r="Q230" s="269">
        <f t="shared" si="157"/>
        <v>0</v>
      </c>
      <c r="R230" s="269">
        <f t="shared" si="157"/>
        <v>0</v>
      </c>
      <c r="S230" s="269">
        <f t="shared" si="157"/>
        <v>0</v>
      </c>
      <c r="T230" s="269">
        <f t="shared" si="157"/>
        <v>0</v>
      </c>
      <c r="U230" s="269">
        <f t="shared" si="157"/>
        <v>0</v>
      </c>
      <c r="V230" s="269">
        <f t="shared" si="157"/>
        <v>0</v>
      </c>
      <c r="W230" s="270">
        <f t="shared" si="157"/>
        <v>0</v>
      </c>
      <c r="X230" s="204">
        <f t="shared" si="159"/>
        <v>0</v>
      </c>
    </row>
    <row r="231" spans="3:24" hidden="1" outlineLevel="1" x14ac:dyDescent="0.25">
      <c r="C231" s="267" t="str">
        <f t="shared" si="158"/>
        <v/>
      </c>
      <c r="D231" s="268">
        <f t="shared" si="156"/>
        <v>0</v>
      </c>
      <c r="E231" s="269">
        <f t="shared" si="156"/>
        <v>0</v>
      </c>
      <c r="F231" s="269">
        <f t="shared" si="156"/>
        <v>0</v>
      </c>
      <c r="G231" s="269">
        <f t="shared" si="156"/>
        <v>0</v>
      </c>
      <c r="H231" s="269">
        <f t="shared" si="156"/>
        <v>0</v>
      </c>
      <c r="I231" s="269">
        <f t="shared" si="156"/>
        <v>0</v>
      </c>
      <c r="J231" s="269">
        <f t="shared" si="156"/>
        <v>0</v>
      </c>
      <c r="K231" s="269">
        <f t="shared" si="156"/>
        <v>0</v>
      </c>
      <c r="L231" s="269">
        <f t="shared" si="156"/>
        <v>0</v>
      </c>
      <c r="M231" s="769">
        <f t="shared" si="156"/>
        <v>0</v>
      </c>
      <c r="N231" s="269">
        <f t="shared" si="157"/>
        <v>0</v>
      </c>
      <c r="O231" s="269">
        <f t="shared" si="157"/>
        <v>0</v>
      </c>
      <c r="P231" s="269">
        <f t="shared" si="157"/>
        <v>0</v>
      </c>
      <c r="Q231" s="269">
        <f t="shared" si="157"/>
        <v>0</v>
      </c>
      <c r="R231" s="269">
        <f t="shared" si="157"/>
        <v>0</v>
      </c>
      <c r="S231" s="269">
        <f t="shared" si="157"/>
        <v>0</v>
      </c>
      <c r="T231" s="269">
        <f t="shared" si="157"/>
        <v>0</v>
      </c>
      <c r="U231" s="269">
        <f t="shared" si="157"/>
        <v>0</v>
      </c>
      <c r="V231" s="269">
        <f t="shared" si="157"/>
        <v>0</v>
      </c>
      <c r="W231" s="270">
        <f t="shared" si="157"/>
        <v>0</v>
      </c>
      <c r="X231" s="204">
        <f t="shared" si="159"/>
        <v>0</v>
      </c>
    </row>
    <row r="232" spans="3:24" hidden="1" outlineLevel="1" x14ac:dyDescent="0.25">
      <c r="C232" s="267" t="str">
        <f t="shared" si="158"/>
        <v/>
      </c>
      <c r="D232" s="268">
        <f t="shared" ref="D232:M241" si="160">IF(AND($C232&lt;&gt;"",D$5&lt;&gt;""),SUMIFS(col_cofins,col_abertura1,$C232,col_abertura2,D$5)+IF($E$3=$A$4,SUMIFS(col_fatdir_cofins_mn,col_abertura1,$C232,col_abertura2,D$5),0),0)</f>
        <v>0</v>
      </c>
      <c r="E232" s="269">
        <f t="shared" si="160"/>
        <v>0</v>
      </c>
      <c r="F232" s="269">
        <f t="shared" si="160"/>
        <v>0</v>
      </c>
      <c r="G232" s="269">
        <f t="shared" si="160"/>
        <v>0</v>
      </c>
      <c r="H232" s="269">
        <f t="shared" si="160"/>
        <v>0</v>
      </c>
      <c r="I232" s="269">
        <f t="shared" si="160"/>
        <v>0</v>
      </c>
      <c r="J232" s="269">
        <f t="shared" si="160"/>
        <v>0</v>
      </c>
      <c r="K232" s="269">
        <f t="shared" si="160"/>
        <v>0</v>
      </c>
      <c r="L232" s="269">
        <f t="shared" si="160"/>
        <v>0</v>
      </c>
      <c r="M232" s="769">
        <f t="shared" si="160"/>
        <v>0</v>
      </c>
      <c r="N232" s="269">
        <f t="shared" ref="N232:W241" si="161">IF(AND($C232&lt;&gt;"",N$5&lt;&gt;""),SUMIFS(col_cofins,col_abertura1,$C232,col_abertura2,N$5)+IF($E$3=$A$4,SUMIFS(col_fatdir_cofins_mn,col_abertura1,$C232,col_abertura2,N$5),0),0)</f>
        <v>0</v>
      </c>
      <c r="O232" s="269">
        <f t="shared" si="161"/>
        <v>0</v>
      </c>
      <c r="P232" s="269">
        <f t="shared" si="161"/>
        <v>0</v>
      </c>
      <c r="Q232" s="269">
        <f t="shared" si="161"/>
        <v>0</v>
      </c>
      <c r="R232" s="269">
        <f t="shared" si="161"/>
        <v>0</v>
      </c>
      <c r="S232" s="269">
        <f t="shared" si="161"/>
        <v>0</v>
      </c>
      <c r="T232" s="269">
        <f t="shared" si="161"/>
        <v>0</v>
      </c>
      <c r="U232" s="269">
        <f t="shared" si="161"/>
        <v>0</v>
      </c>
      <c r="V232" s="269">
        <f t="shared" si="161"/>
        <v>0</v>
      </c>
      <c r="W232" s="270">
        <f t="shared" si="161"/>
        <v>0</v>
      </c>
      <c r="X232" s="204">
        <f t="shared" si="159"/>
        <v>0</v>
      </c>
    </row>
    <row r="233" spans="3:24" hidden="1" outlineLevel="1" x14ac:dyDescent="0.25">
      <c r="C233" s="267" t="str">
        <f t="shared" si="158"/>
        <v/>
      </c>
      <c r="D233" s="268">
        <f t="shared" si="160"/>
        <v>0</v>
      </c>
      <c r="E233" s="269">
        <f t="shared" si="160"/>
        <v>0</v>
      </c>
      <c r="F233" s="269">
        <f t="shared" si="160"/>
        <v>0</v>
      </c>
      <c r="G233" s="269">
        <f t="shared" si="160"/>
        <v>0</v>
      </c>
      <c r="H233" s="269">
        <f t="shared" si="160"/>
        <v>0</v>
      </c>
      <c r="I233" s="269">
        <f t="shared" si="160"/>
        <v>0</v>
      </c>
      <c r="J233" s="269">
        <f t="shared" si="160"/>
        <v>0</v>
      </c>
      <c r="K233" s="269">
        <f t="shared" si="160"/>
        <v>0</v>
      </c>
      <c r="L233" s="269">
        <f t="shared" si="160"/>
        <v>0</v>
      </c>
      <c r="M233" s="769">
        <f t="shared" si="160"/>
        <v>0</v>
      </c>
      <c r="N233" s="269">
        <f t="shared" si="161"/>
        <v>0</v>
      </c>
      <c r="O233" s="269">
        <f t="shared" si="161"/>
        <v>0</v>
      </c>
      <c r="P233" s="269">
        <f t="shared" si="161"/>
        <v>0</v>
      </c>
      <c r="Q233" s="269">
        <f t="shared" si="161"/>
        <v>0</v>
      </c>
      <c r="R233" s="269">
        <f t="shared" si="161"/>
        <v>0</v>
      </c>
      <c r="S233" s="269">
        <f t="shared" si="161"/>
        <v>0</v>
      </c>
      <c r="T233" s="269">
        <f t="shared" si="161"/>
        <v>0</v>
      </c>
      <c r="U233" s="269">
        <f t="shared" si="161"/>
        <v>0</v>
      </c>
      <c r="V233" s="269">
        <f t="shared" si="161"/>
        <v>0</v>
      </c>
      <c r="W233" s="270">
        <f t="shared" si="161"/>
        <v>0</v>
      </c>
      <c r="X233" s="204">
        <f t="shared" si="159"/>
        <v>0</v>
      </c>
    </row>
    <row r="234" spans="3:24" hidden="1" outlineLevel="1" x14ac:dyDescent="0.25">
      <c r="C234" s="267" t="str">
        <f t="shared" si="158"/>
        <v/>
      </c>
      <c r="D234" s="268">
        <f t="shared" si="160"/>
        <v>0</v>
      </c>
      <c r="E234" s="269">
        <f t="shared" si="160"/>
        <v>0</v>
      </c>
      <c r="F234" s="269">
        <f t="shared" si="160"/>
        <v>0</v>
      </c>
      <c r="G234" s="269">
        <f t="shared" si="160"/>
        <v>0</v>
      </c>
      <c r="H234" s="269">
        <f t="shared" si="160"/>
        <v>0</v>
      </c>
      <c r="I234" s="269">
        <f t="shared" si="160"/>
        <v>0</v>
      </c>
      <c r="J234" s="269">
        <f t="shared" si="160"/>
        <v>0</v>
      </c>
      <c r="K234" s="269">
        <f t="shared" si="160"/>
        <v>0</v>
      </c>
      <c r="L234" s="269">
        <f t="shared" si="160"/>
        <v>0</v>
      </c>
      <c r="M234" s="769">
        <f t="shared" si="160"/>
        <v>0</v>
      </c>
      <c r="N234" s="269">
        <f t="shared" si="161"/>
        <v>0</v>
      </c>
      <c r="O234" s="269">
        <f t="shared" si="161"/>
        <v>0</v>
      </c>
      <c r="P234" s="269">
        <f t="shared" si="161"/>
        <v>0</v>
      </c>
      <c r="Q234" s="269">
        <f t="shared" si="161"/>
        <v>0</v>
      </c>
      <c r="R234" s="269">
        <f t="shared" si="161"/>
        <v>0</v>
      </c>
      <c r="S234" s="269">
        <f t="shared" si="161"/>
        <v>0</v>
      </c>
      <c r="T234" s="269">
        <f t="shared" si="161"/>
        <v>0</v>
      </c>
      <c r="U234" s="269">
        <f t="shared" si="161"/>
        <v>0</v>
      </c>
      <c r="V234" s="269">
        <f t="shared" si="161"/>
        <v>0</v>
      </c>
      <c r="W234" s="270">
        <f t="shared" si="161"/>
        <v>0</v>
      </c>
      <c r="X234" s="204">
        <f t="shared" si="159"/>
        <v>0</v>
      </c>
    </row>
    <row r="235" spans="3:24" hidden="1" outlineLevel="1" x14ac:dyDescent="0.25">
      <c r="C235" s="267" t="str">
        <f t="shared" si="158"/>
        <v/>
      </c>
      <c r="D235" s="268">
        <f t="shared" si="160"/>
        <v>0</v>
      </c>
      <c r="E235" s="269">
        <f t="shared" si="160"/>
        <v>0</v>
      </c>
      <c r="F235" s="269">
        <f t="shared" si="160"/>
        <v>0</v>
      </c>
      <c r="G235" s="269">
        <f t="shared" si="160"/>
        <v>0</v>
      </c>
      <c r="H235" s="269">
        <f t="shared" si="160"/>
        <v>0</v>
      </c>
      <c r="I235" s="269">
        <f t="shared" si="160"/>
        <v>0</v>
      </c>
      <c r="J235" s="269">
        <f t="shared" si="160"/>
        <v>0</v>
      </c>
      <c r="K235" s="269">
        <f t="shared" si="160"/>
        <v>0</v>
      </c>
      <c r="L235" s="269">
        <f t="shared" si="160"/>
        <v>0</v>
      </c>
      <c r="M235" s="769">
        <f t="shared" si="160"/>
        <v>0</v>
      </c>
      <c r="N235" s="269">
        <f t="shared" si="161"/>
        <v>0</v>
      </c>
      <c r="O235" s="269">
        <f t="shared" si="161"/>
        <v>0</v>
      </c>
      <c r="P235" s="269">
        <f t="shared" si="161"/>
        <v>0</v>
      </c>
      <c r="Q235" s="269">
        <f t="shared" si="161"/>
        <v>0</v>
      </c>
      <c r="R235" s="269">
        <f t="shared" si="161"/>
        <v>0</v>
      </c>
      <c r="S235" s="269">
        <f t="shared" si="161"/>
        <v>0</v>
      </c>
      <c r="T235" s="269">
        <f t="shared" si="161"/>
        <v>0</v>
      </c>
      <c r="U235" s="269">
        <f t="shared" si="161"/>
        <v>0</v>
      </c>
      <c r="V235" s="269">
        <f t="shared" si="161"/>
        <v>0</v>
      </c>
      <c r="W235" s="270">
        <f t="shared" si="161"/>
        <v>0</v>
      </c>
      <c r="X235" s="204">
        <f t="shared" si="159"/>
        <v>0</v>
      </c>
    </row>
    <row r="236" spans="3:24" hidden="1" outlineLevel="1" x14ac:dyDescent="0.25">
      <c r="C236" s="267" t="str">
        <f t="shared" si="158"/>
        <v/>
      </c>
      <c r="D236" s="268">
        <f t="shared" si="160"/>
        <v>0</v>
      </c>
      <c r="E236" s="269">
        <f t="shared" si="160"/>
        <v>0</v>
      </c>
      <c r="F236" s="269">
        <f t="shared" si="160"/>
        <v>0</v>
      </c>
      <c r="G236" s="269">
        <f t="shared" si="160"/>
        <v>0</v>
      </c>
      <c r="H236" s="269">
        <f t="shared" si="160"/>
        <v>0</v>
      </c>
      <c r="I236" s="269">
        <f t="shared" si="160"/>
        <v>0</v>
      </c>
      <c r="J236" s="269">
        <f t="shared" si="160"/>
        <v>0</v>
      </c>
      <c r="K236" s="269">
        <f t="shared" si="160"/>
        <v>0</v>
      </c>
      <c r="L236" s="269">
        <f t="shared" si="160"/>
        <v>0</v>
      </c>
      <c r="M236" s="769">
        <f t="shared" si="160"/>
        <v>0</v>
      </c>
      <c r="N236" s="269">
        <f t="shared" si="161"/>
        <v>0</v>
      </c>
      <c r="O236" s="269">
        <f t="shared" si="161"/>
        <v>0</v>
      </c>
      <c r="P236" s="269">
        <f t="shared" si="161"/>
        <v>0</v>
      </c>
      <c r="Q236" s="269">
        <f t="shared" si="161"/>
        <v>0</v>
      </c>
      <c r="R236" s="269">
        <f t="shared" si="161"/>
        <v>0</v>
      </c>
      <c r="S236" s="269">
        <f t="shared" si="161"/>
        <v>0</v>
      </c>
      <c r="T236" s="269">
        <f t="shared" si="161"/>
        <v>0</v>
      </c>
      <c r="U236" s="269">
        <f t="shared" si="161"/>
        <v>0</v>
      </c>
      <c r="V236" s="269">
        <f t="shared" si="161"/>
        <v>0</v>
      </c>
      <c r="W236" s="270">
        <f t="shared" si="161"/>
        <v>0</v>
      </c>
      <c r="X236" s="204">
        <f t="shared" si="159"/>
        <v>0</v>
      </c>
    </row>
    <row r="237" spans="3:24" hidden="1" outlineLevel="1" x14ac:dyDescent="0.25">
      <c r="C237" s="267" t="str">
        <f t="shared" si="158"/>
        <v/>
      </c>
      <c r="D237" s="268">
        <f t="shared" si="160"/>
        <v>0</v>
      </c>
      <c r="E237" s="269">
        <f t="shared" si="160"/>
        <v>0</v>
      </c>
      <c r="F237" s="269">
        <f t="shared" si="160"/>
        <v>0</v>
      </c>
      <c r="G237" s="269">
        <f t="shared" si="160"/>
        <v>0</v>
      </c>
      <c r="H237" s="269">
        <f t="shared" si="160"/>
        <v>0</v>
      </c>
      <c r="I237" s="269">
        <f t="shared" si="160"/>
        <v>0</v>
      </c>
      <c r="J237" s="269">
        <f t="shared" si="160"/>
        <v>0</v>
      </c>
      <c r="K237" s="269">
        <f t="shared" si="160"/>
        <v>0</v>
      </c>
      <c r="L237" s="269">
        <f t="shared" si="160"/>
        <v>0</v>
      </c>
      <c r="M237" s="769">
        <f t="shared" si="160"/>
        <v>0</v>
      </c>
      <c r="N237" s="269">
        <f t="shared" si="161"/>
        <v>0</v>
      </c>
      <c r="O237" s="269">
        <f t="shared" si="161"/>
        <v>0</v>
      </c>
      <c r="P237" s="269">
        <f t="shared" si="161"/>
        <v>0</v>
      </c>
      <c r="Q237" s="269">
        <f t="shared" si="161"/>
        <v>0</v>
      </c>
      <c r="R237" s="269">
        <f t="shared" si="161"/>
        <v>0</v>
      </c>
      <c r="S237" s="269">
        <f t="shared" si="161"/>
        <v>0</v>
      </c>
      <c r="T237" s="269">
        <f t="shared" si="161"/>
        <v>0</v>
      </c>
      <c r="U237" s="269">
        <f t="shared" si="161"/>
        <v>0</v>
      </c>
      <c r="V237" s="269">
        <f t="shared" si="161"/>
        <v>0</v>
      </c>
      <c r="W237" s="270">
        <f t="shared" si="161"/>
        <v>0</v>
      </c>
      <c r="X237" s="204">
        <f t="shared" si="159"/>
        <v>0</v>
      </c>
    </row>
    <row r="238" spans="3:24" hidden="1" outlineLevel="1" x14ac:dyDescent="0.25">
      <c r="C238" s="267" t="str">
        <f t="shared" si="158"/>
        <v/>
      </c>
      <c r="D238" s="268">
        <f t="shared" si="160"/>
        <v>0</v>
      </c>
      <c r="E238" s="269">
        <f t="shared" si="160"/>
        <v>0</v>
      </c>
      <c r="F238" s="269">
        <f t="shared" si="160"/>
        <v>0</v>
      </c>
      <c r="G238" s="269">
        <f t="shared" si="160"/>
        <v>0</v>
      </c>
      <c r="H238" s="269">
        <f t="shared" si="160"/>
        <v>0</v>
      </c>
      <c r="I238" s="269">
        <f t="shared" si="160"/>
        <v>0</v>
      </c>
      <c r="J238" s="269">
        <f t="shared" si="160"/>
        <v>0</v>
      </c>
      <c r="K238" s="269">
        <f t="shared" si="160"/>
        <v>0</v>
      </c>
      <c r="L238" s="269">
        <f t="shared" si="160"/>
        <v>0</v>
      </c>
      <c r="M238" s="769">
        <f t="shared" si="160"/>
        <v>0</v>
      </c>
      <c r="N238" s="269">
        <f t="shared" si="161"/>
        <v>0</v>
      </c>
      <c r="O238" s="269">
        <f t="shared" si="161"/>
        <v>0</v>
      </c>
      <c r="P238" s="269">
        <f t="shared" si="161"/>
        <v>0</v>
      </c>
      <c r="Q238" s="269">
        <f t="shared" si="161"/>
        <v>0</v>
      </c>
      <c r="R238" s="269">
        <f t="shared" si="161"/>
        <v>0</v>
      </c>
      <c r="S238" s="269">
        <f t="shared" si="161"/>
        <v>0</v>
      </c>
      <c r="T238" s="269">
        <f t="shared" si="161"/>
        <v>0</v>
      </c>
      <c r="U238" s="269">
        <f t="shared" si="161"/>
        <v>0</v>
      </c>
      <c r="V238" s="269">
        <f t="shared" si="161"/>
        <v>0</v>
      </c>
      <c r="W238" s="270">
        <f t="shared" si="161"/>
        <v>0</v>
      </c>
      <c r="X238" s="204">
        <f t="shared" si="159"/>
        <v>0</v>
      </c>
    </row>
    <row r="239" spans="3:24" hidden="1" outlineLevel="1" x14ac:dyDescent="0.25">
      <c r="C239" s="267" t="str">
        <f t="shared" si="158"/>
        <v/>
      </c>
      <c r="D239" s="268">
        <f t="shared" si="160"/>
        <v>0</v>
      </c>
      <c r="E239" s="269">
        <f t="shared" si="160"/>
        <v>0</v>
      </c>
      <c r="F239" s="269">
        <f t="shared" si="160"/>
        <v>0</v>
      </c>
      <c r="G239" s="269">
        <f t="shared" si="160"/>
        <v>0</v>
      </c>
      <c r="H239" s="269">
        <f t="shared" si="160"/>
        <v>0</v>
      </c>
      <c r="I239" s="269">
        <f t="shared" si="160"/>
        <v>0</v>
      </c>
      <c r="J239" s="269">
        <f t="shared" si="160"/>
        <v>0</v>
      </c>
      <c r="K239" s="269">
        <f t="shared" si="160"/>
        <v>0</v>
      </c>
      <c r="L239" s="269">
        <f t="shared" si="160"/>
        <v>0</v>
      </c>
      <c r="M239" s="769">
        <f t="shared" si="160"/>
        <v>0</v>
      </c>
      <c r="N239" s="269">
        <f t="shared" si="161"/>
        <v>0</v>
      </c>
      <c r="O239" s="269">
        <f t="shared" si="161"/>
        <v>0</v>
      </c>
      <c r="P239" s="269">
        <f t="shared" si="161"/>
        <v>0</v>
      </c>
      <c r="Q239" s="269">
        <f t="shared" si="161"/>
        <v>0</v>
      </c>
      <c r="R239" s="269">
        <f t="shared" si="161"/>
        <v>0</v>
      </c>
      <c r="S239" s="269">
        <f t="shared" si="161"/>
        <v>0</v>
      </c>
      <c r="T239" s="269">
        <f t="shared" si="161"/>
        <v>0</v>
      </c>
      <c r="U239" s="269">
        <f t="shared" si="161"/>
        <v>0</v>
      </c>
      <c r="V239" s="269">
        <f t="shared" si="161"/>
        <v>0</v>
      </c>
      <c r="W239" s="270">
        <f t="shared" si="161"/>
        <v>0</v>
      </c>
      <c r="X239" s="204">
        <f t="shared" si="159"/>
        <v>0</v>
      </c>
    </row>
    <row r="240" spans="3:24" hidden="1" outlineLevel="1" x14ac:dyDescent="0.25">
      <c r="C240" s="267" t="str">
        <f t="shared" si="158"/>
        <v/>
      </c>
      <c r="D240" s="268">
        <f t="shared" si="160"/>
        <v>0</v>
      </c>
      <c r="E240" s="269">
        <f t="shared" si="160"/>
        <v>0</v>
      </c>
      <c r="F240" s="269">
        <f t="shared" si="160"/>
        <v>0</v>
      </c>
      <c r="G240" s="269">
        <f t="shared" si="160"/>
        <v>0</v>
      </c>
      <c r="H240" s="269">
        <f t="shared" si="160"/>
        <v>0</v>
      </c>
      <c r="I240" s="269">
        <f t="shared" si="160"/>
        <v>0</v>
      </c>
      <c r="J240" s="269">
        <f t="shared" si="160"/>
        <v>0</v>
      </c>
      <c r="K240" s="269">
        <f t="shared" si="160"/>
        <v>0</v>
      </c>
      <c r="L240" s="269">
        <f t="shared" si="160"/>
        <v>0</v>
      </c>
      <c r="M240" s="769">
        <f t="shared" si="160"/>
        <v>0</v>
      </c>
      <c r="N240" s="269">
        <f t="shared" si="161"/>
        <v>0</v>
      </c>
      <c r="O240" s="269">
        <f t="shared" si="161"/>
        <v>0</v>
      </c>
      <c r="P240" s="269">
        <f t="shared" si="161"/>
        <v>0</v>
      </c>
      <c r="Q240" s="269">
        <f t="shared" si="161"/>
        <v>0</v>
      </c>
      <c r="R240" s="269">
        <f t="shared" si="161"/>
        <v>0</v>
      </c>
      <c r="S240" s="269">
        <f t="shared" si="161"/>
        <v>0</v>
      </c>
      <c r="T240" s="269">
        <f t="shared" si="161"/>
        <v>0</v>
      </c>
      <c r="U240" s="269">
        <f t="shared" si="161"/>
        <v>0</v>
      </c>
      <c r="V240" s="269">
        <f t="shared" si="161"/>
        <v>0</v>
      </c>
      <c r="W240" s="270">
        <f t="shared" si="161"/>
        <v>0</v>
      </c>
      <c r="X240" s="204">
        <f t="shared" si="159"/>
        <v>0</v>
      </c>
    </row>
    <row r="241" spans="3:24" hidden="1" outlineLevel="1" x14ac:dyDescent="0.25">
      <c r="C241" s="267" t="str">
        <f t="shared" si="158"/>
        <v/>
      </c>
      <c r="D241" s="268">
        <f t="shared" si="160"/>
        <v>0</v>
      </c>
      <c r="E241" s="269">
        <f t="shared" si="160"/>
        <v>0</v>
      </c>
      <c r="F241" s="269">
        <f t="shared" si="160"/>
        <v>0</v>
      </c>
      <c r="G241" s="269">
        <f t="shared" si="160"/>
        <v>0</v>
      </c>
      <c r="H241" s="269">
        <f t="shared" si="160"/>
        <v>0</v>
      </c>
      <c r="I241" s="269">
        <f t="shared" si="160"/>
        <v>0</v>
      </c>
      <c r="J241" s="269">
        <f t="shared" si="160"/>
        <v>0</v>
      </c>
      <c r="K241" s="269">
        <f t="shared" si="160"/>
        <v>0</v>
      </c>
      <c r="L241" s="269">
        <f t="shared" si="160"/>
        <v>0</v>
      </c>
      <c r="M241" s="769">
        <f t="shared" si="160"/>
        <v>0</v>
      </c>
      <c r="N241" s="269">
        <f t="shared" si="161"/>
        <v>0</v>
      </c>
      <c r="O241" s="269">
        <f t="shared" si="161"/>
        <v>0</v>
      </c>
      <c r="P241" s="269">
        <f t="shared" si="161"/>
        <v>0</v>
      </c>
      <c r="Q241" s="269">
        <f t="shared" si="161"/>
        <v>0</v>
      </c>
      <c r="R241" s="269">
        <f t="shared" si="161"/>
        <v>0</v>
      </c>
      <c r="S241" s="269">
        <f t="shared" si="161"/>
        <v>0</v>
      </c>
      <c r="T241" s="269">
        <f t="shared" si="161"/>
        <v>0</v>
      </c>
      <c r="U241" s="269">
        <f t="shared" si="161"/>
        <v>0</v>
      </c>
      <c r="V241" s="269">
        <f t="shared" si="161"/>
        <v>0</v>
      </c>
      <c r="W241" s="270">
        <f t="shared" si="161"/>
        <v>0</v>
      </c>
      <c r="X241" s="204">
        <f t="shared" si="159"/>
        <v>0</v>
      </c>
    </row>
    <row r="242" spans="3:24" hidden="1" outlineLevel="1" x14ac:dyDescent="0.25">
      <c r="C242" s="267" t="str">
        <f t="shared" si="158"/>
        <v/>
      </c>
      <c r="D242" s="268">
        <f t="shared" ref="D242:M251" si="162">IF(AND($C242&lt;&gt;"",D$5&lt;&gt;""),SUMIFS(col_cofins,col_abertura1,$C242,col_abertura2,D$5)+IF($E$3=$A$4,SUMIFS(col_fatdir_cofins_mn,col_abertura1,$C242,col_abertura2,D$5),0),0)</f>
        <v>0</v>
      </c>
      <c r="E242" s="269">
        <f t="shared" si="162"/>
        <v>0</v>
      </c>
      <c r="F242" s="269">
        <f t="shared" si="162"/>
        <v>0</v>
      </c>
      <c r="G242" s="269">
        <f t="shared" si="162"/>
        <v>0</v>
      </c>
      <c r="H242" s="269">
        <f t="shared" si="162"/>
        <v>0</v>
      </c>
      <c r="I242" s="269">
        <f t="shared" si="162"/>
        <v>0</v>
      </c>
      <c r="J242" s="269">
        <f t="shared" si="162"/>
        <v>0</v>
      </c>
      <c r="K242" s="269">
        <f t="shared" si="162"/>
        <v>0</v>
      </c>
      <c r="L242" s="269">
        <f t="shared" si="162"/>
        <v>0</v>
      </c>
      <c r="M242" s="769">
        <f t="shared" si="162"/>
        <v>0</v>
      </c>
      <c r="N242" s="269">
        <f t="shared" ref="N242:W251" si="163">IF(AND($C242&lt;&gt;"",N$5&lt;&gt;""),SUMIFS(col_cofins,col_abertura1,$C242,col_abertura2,N$5)+IF($E$3=$A$4,SUMIFS(col_fatdir_cofins_mn,col_abertura1,$C242,col_abertura2,N$5),0),0)</f>
        <v>0</v>
      </c>
      <c r="O242" s="269">
        <f t="shared" si="163"/>
        <v>0</v>
      </c>
      <c r="P242" s="269">
        <f t="shared" si="163"/>
        <v>0</v>
      </c>
      <c r="Q242" s="269">
        <f t="shared" si="163"/>
        <v>0</v>
      </c>
      <c r="R242" s="269">
        <f t="shared" si="163"/>
        <v>0</v>
      </c>
      <c r="S242" s="269">
        <f t="shared" si="163"/>
        <v>0</v>
      </c>
      <c r="T242" s="269">
        <f t="shared" si="163"/>
        <v>0</v>
      </c>
      <c r="U242" s="269">
        <f t="shared" si="163"/>
        <v>0</v>
      </c>
      <c r="V242" s="269">
        <f t="shared" si="163"/>
        <v>0</v>
      </c>
      <c r="W242" s="270">
        <f t="shared" si="163"/>
        <v>0</v>
      </c>
      <c r="X242" s="204">
        <f t="shared" si="159"/>
        <v>0</v>
      </c>
    </row>
    <row r="243" spans="3:24" hidden="1" outlineLevel="1" x14ac:dyDescent="0.25">
      <c r="C243" s="267" t="str">
        <f t="shared" si="158"/>
        <v/>
      </c>
      <c r="D243" s="268">
        <f t="shared" si="162"/>
        <v>0</v>
      </c>
      <c r="E243" s="269">
        <f t="shared" si="162"/>
        <v>0</v>
      </c>
      <c r="F243" s="269">
        <f t="shared" si="162"/>
        <v>0</v>
      </c>
      <c r="G243" s="269">
        <f t="shared" si="162"/>
        <v>0</v>
      </c>
      <c r="H243" s="269">
        <f t="shared" si="162"/>
        <v>0</v>
      </c>
      <c r="I243" s="269">
        <f t="shared" si="162"/>
        <v>0</v>
      </c>
      <c r="J243" s="269">
        <f t="shared" si="162"/>
        <v>0</v>
      </c>
      <c r="K243" s="269">
        <f t="shared" si="162"/>
        <v>0</v>
      </c>
      <c r="L243" s="269">
        <f t="shared" si="162"/>
        <v>0</v>
      </c>
      <c r="M243" s="769">
        <f t="shared" si="162"/>
        <v>0</v>
      </c>
      <c r="N243" s="269">
        <f t="shared" si="163"/>
        <v>0</v>
      </c>
      <c r="O243" s="269">
        <f t="shared" si="163"/>
        <v>0</v>
      </c>
      <c r="P243" s="269">
        <f t="shared" si="163"/>
        <v>0</v>
      </c>
      <c r="Q243" s="269">
        <f t="shared" si="163"/>
        <v>0</v>
      </c>
      <c r="R243" s="269">
        <f t="shared" si="163"/>
        <v>0</v>
      </c>
      <c r="S243" s="269">
        <f t="shared" si="163"/>
        <v>0</v>
      </c>
      <c r="T243" s="269">
        <f t="shared" si="163"/>
        <v>0</v>
      </c>
      <c r="U243" s="269">
        <f t="shared" si="163"/>
        <v>0</v>
      </c>
      <c r="V243" s="269">
        <f t="shared" si="163"/>
        <v>0</v>
      </c>
      <c r="W243" s="270">
        <f t="shared" si="163"/>
        <v>0</v>
      </c>
      <c r="X243" s="204">
        <f t="shared" si="159"/>
        <v>0</v>
      </c>
    </row>
    <row r="244" spans="3:24" hidden="1" outlineLevel="1" x14ac:dyDescent="0.25">
      <c r="C244" s="267" t="str">
        <f t="shared" si="158"/>
        <v/>
      </c>
      <c r="D244" s="268">
        <f t="shared" si="162"/>
        <v>0</v>
      </c>
      <c r="E244" s="269">
        <f t="shared" si="162"/>
        <v>0</v>
      </c>
      <c r="F244" s="269">
        <f t="shared" si="162"/>
        <v>0</v>
      </c>
      <c r="G244" s="269">
        <f t="shared" si="162"/>
        <v>0</v>
      </c>
      <c r="H244" s="269">
        <f t="shared" si="162"/>
        <v>0</v>
      </c>
      <c r="I244" s="269">
        <f t="shared" si="162"/>
        <v>0</v>
      </c>
      <c r="J244" s="269">
        <f t="shared" si="162"/>
        <v>0</v>
      </c>
      <c r="K244" s="269">
        <f t="shared" si="162"/>
        <v>0</v>
      </c>
      <c r="L244" s="269">
        <f t="shared" si="162"/>
        <v>0</v>
      </c>
      <c r="M244" s="769">
        <f t="shared" si="162"/>
        <v>0</v>
      </c>
      <c r="N244" s="269">
        <f t="shared" si="163"/>
        <v>0</v>
      </c>
      <c r="O244" s="269">
        <f t="shared" si="163"/>
        <v>0</v>
      </c>
      <c r="P244" s="269">
        <f t="shared" si="163"/>
        <v>0</v>
      </c>
      <c r="Q244" s="269">
        <f t="shared" si="163"/>
        <v>0</v>
      </c>
      <c r="R244" s="269">
        <f t="shared" si="163"/>
        <v>0</v>
      </c>
      <c r="S244" s="269">
        <f t="shared" si="163"/>
        <v>0</v>
      </c>
      <c r="T244" s="269">
        <f t="shared" si="163"/>
        <v>0</v>
      </c>
      <c r="U244" s="269">
        <f t="shared" si="163"/>
        <v>0</v>
      </c>
      <c r="V244" s="269">
        <f t="shared" si="163"/>
        <v>0</v>
      </c>
      <c r="W244" s="270">
        <f t="shared" si="163"/>
        <v>0</v>
      </c>
      <c r="X244" s="204">
        <f t="shared" si="159"/>
        <v>0</v>
      </c>
    </row>
    <row r="245" spans="3:24" hidden="1" outlineLevel="1" x14ac:dyDescent="0.25">
      <c r="C245" s="267" t="str">
        <f t="shared" si="158"/>
        <v/>
      </c>
      <c r="D245" s="268">
        <f t="shared" si="162"/>
        <v>0</v>
      </c>
      <c r="E245" s="269">
        <f t="shared" si="162"/>
        <v>0</v>
      </c>
      <c r="F245" s="269">
        <f t="shared" si="162"/>
        <v>0</v>
      </c>
      <c r="G245" s="269">
        <f t="shared" si="162"/>
        <v>0</v>
      </c>
      <c r="H245" s="269">
        <f t="shared" si="162"/>
        <v>0</v>
      </c>
      <c r="I245" s="269">
        <f t="shared" si="162"/>
        <v>0</v>
      </c>
      <c r="J245" s="269">
        <f t="shared" si="162"/>
        <v>0</v>
      </c>
      <c r="K245" s="269">
        <f t="shared" si="162"/>
        <v>0</v>
      </c>
      <c r="L245" s="269">
        <f t="shared" si="162"/>
        <v>0</v>
      </c>
      <c r="M245" s="769">
        <f t="shared" si="162"/>
        <v>0</v>
      </c>
      <c r="N245" s="269">
        <f t="shared" si="163"/>
        <v>0</v>
      </c>
      <c r="O245" s="269">
        <f t="shared" si="163"/>
        <v>0</v>
      </c>
      <c r="P245" s="269">
        <f t="shared" si="163"/>
        <v>0</v>
      </c>
      <c r="Q245" s="269">
        <f t="shared" si="163"/>
        <v>0</v>
      </c>
      <c r="R245" s="269">
        <f t="shared" si="163"/>
        <v>0</v>
      </c>
      <c r="S245" s="269">
        <f t="shared" si="163"/>
        <v>0</v>
      </c>
      <c r="T245" s="269">
        <f t="shared" si="163"/>
        <v>0</v>
      </c>
      <c r="U245" s="269">
        <f t="shared" si="163"/>
        <v>0</v>
      </c>
      <c r="V245" s="269">
        <f t="shared" si="163"/>
        <v>0</v>
      </c>
      <c r="W245" s="270">
        <f t="shared" si="163"/>
        <v>0</v>
      </c>
      <c r="X245" s="204">
        <f t="shared" si="159"/>
        <v>0</v>
      </c>
    </row>
    <row r="246" spans="3:24" hidden="1" outlineLevel="1" x14ac:dyDescent="0.25">
      <c r="C246" s="267" t="str">
        <f t="shared" si="158"/>
        <v/>
      </c>
      <c r="D246" s="268">
        <f t="shared" si="162"/>
        <v>0</v>
      </c>
      <c r="E246" s="269">
        <f t="shared" si="162"/>
        <v>0</v>
      </c>
      <c r="F246" s="269">
        <f t="shared" si="162"/>
        <v>0</v>
      </c>
      <c r="G246" s="269">
        <f t="shared" si="162"/>
        <v>0</v>
      </c>
      <c r="H246" s="269">
        <f t="shared" si="162"/>
        <v>0</v>
      </c>
      <c r="I246" s="269">
        <f t="shared" si="162"/>
        <v>0</v>
      </c>
      <c r="J246" s="269">
        <f t="shared" si="162"/>
        <v>0</v>
      </c>
      <c r="K246" s="269">
        <f t="shared" si="162"/>
        <v>0</v>
      </c>
      <c r="L246" s="269">
        <f t="shared" si="162"/>
        <v>0</v>
      </c>
      <c r="M246" s="769">
        <f t="shared" si="162"/>
        <v>0</v>
      </c>
      <c r="N246" s="269">
        <f t="shared" si="163"/>
        <v>0</v>
      </c>
      <c r="O246" s="269">
        <f t="shared" si="163"/>
        <v>0</v>
      </c>
      <c r="P246" s="269">
        <f t="shared" si="163"/>
        <v>0</v>
      </c>
      <c r="Q246" s="269">
        <f t="shared" si="163"/>
        <v>0</v>
      </c>
      <c r="R246" s="269">
        <f t="shared" si="163"/>
        <v>0</v>
      </c>
      <c r="S246" s="269">
        <f t="shared" si="163"/>
        <v>0</v>
      </c>
      <c r="T246" s="269">
        <f t="shared" si="163"/>
        <v>0</v>
      </c>
      <c r="U246" s="269">
        <f t="shared" si="163"/>
        <v>0</v>
      </c>
      <c r="V246" s="269">
        <f t="shared" si="163"/>
        <v>0</v>
      </c>
      <c r="W246" s="270">
        <f t="shared" si="163"/>
        <v>0</v>
      </c>
      <c r="X246" s="204">
        <f t="shared" si="159"/>
        <v>0</v>
      </c>
    </row>
    <row r="247" spans="3:24" hidden="1" outlineLevel="1" x14ac:dyDescent="0.25">
      <c r="C247" s="267" t="str">
        <f t="shared" si="158"/>
        <v/>
      </c>
      <c r="D247" s="268">
        <f t="shared" si="162"/>
        <v>0</v>
      </c>
      <c r="E247" s="269">
        <f t="shared" si="162"/>
        <v>0</v>
      </c>
      <c r="F247" s="269">
        <f t="shared" si="162"/>
        <v>0</v>
      </c>
      <c r="G247" s="269">
        <f t="shared" si="162"/>
        <v>0</v>
      </c>
      <c r="H247" s="269">
        <f t="shared" si="162"/>
        <v>0</v>
      </c>
      <c r="I247" s="269">
        <f t="shared" si="162"/>
        <v>0</v>
      </c>
      <c r="J247" s="269">
        <f t="shared" si="162"/>
        <v>0</v>
      </c>
      <c r="K247" s="269">
        <f t="shared" si="162"/>
        <v>0</v>
      </c>
      <c r="L247" s="269">
        <f t="shared" si="162"/>
        <v>0</v>
      </c>
      <c r="M247" s="769">
        <f t="shared" si="162"/>
        <v>0</v>
      </c>
      <c r="N247" s="269">
        <f t="shared" si="163"/>
        <v>0</v>
      </c>
      <c r="O247" s="269">
        <f t="shared" si="163"/>
        <v>0</v>
      </c>
      <c r="P247" s="269">
        <f t="shared" si="163"/>
        <v>0</v>
      </c>
      <c r="Q247" s="269">
        <f t="shared" si="163"/>
        <v>0</v>
      </c>
      <c r="R247" s="269">
        <f t="shared" si="163"/>
        <v>0</v>
      </c>
      <c r="S247" s="269">
        <f t="shared" si="163"/>
        <v>0</v>
      </c>
      <c r="T247" s="269">
        <f t="shared" si="163"/>
        <v>0</v>
      </c>
      <c r="U247" s="269">
        <f t="shared" si="163"/>
        <v>0</v>
      </c>
      <c r="V247" s="269">
        <f t="shared" si="163"/>
        <v>0</v>
      </c>
      <c r="W247" s="270">
        <f t="shared" si="163"/>
        <v>0</v>
      </c>
      <c r="X247" s="204">
        <f t="shared" si="159"/>
        <v>0</v>
      </c>
    </row>
    <row r="248" spans="3:24" hidden="1" outlineLevel="1" x14ac:dyDescent="0.25">
      <c r="C248" s="267" t="str">
        <f t="shared" si="158"/>
        <v/>
      </c>
      <c r="D248" s="268">
        <f t="shared" si="162"/>
        <v>0</v>
      </c>
      <c r="E248" s="269">
        <f t="shared" si="162"/>
        <v>0</v>
      </c>
      <c r="F248" s="269">
        <f t="shared" si="162"/>
        <v>0</v>
      </c>
      <c r="G248" s="269">
        <f t="shared" si="162"/>
        <v>0</v>
      </c>
      <c r="H248" s="269">
        <f t="shared" si="162"/>
        <v>0</v>
      </c>
      <c r="I248" s="269">
        <f t="shared" si="162"/>
        <v>0</v>
      </c>
      <c r="J248" s="269">
        <f t="shared" si="162"/>
        <v>0</v>
      </c>
      <c r="K248" s="269">
        <f t="shared" si="162"/>
        <v>0</v>
      </c>
      <c r="L248" s="269">
        <f t="shared" si="162"/>
        <v>0</v>
      </c>
      <c r="M248" s="769">
        <f t="shared" si="162"/>
        <v>0</v>
      </c>
      <c r="N248" s="269">
        <f t="shared" si="163"/>
        <v>0</v>
      </c>
      <c r="O248" s="269">
        <f t="shared" si="163"/>
        <v>0</v>
      </c>
      <c r="P248" s="269">
        <f t="shared" si="163"/>
        <v>0</v>
      </c>
      <c r="Q248" s="269">
        <f t="shared" si="163"/>
        <v>0</v>
      </c>
      <c r="R248" s="269">
        <f t="shared" si="163"/>
        <v>0</v>
      </c>
      <c r="S248" s="269">
        <f t="shared" si="163"/>
        <v>0</v>
      </c>
      <c r="T248" s="269">
        <f t="shared" si="163"/>
        <v>0</v>
      </c>
      <c r="U248" s="269">
        <f t="shared" si="163"/>
        <v>0</v>
      </c>
      <c r="V248" s="269">
        <f t="shared" si="163"/>
        <v>0</v>
      </c>
      <c r="W248" s="270">
        <f t="shared" si="163"/>
        <v>0</v>
      </c>
      <c r="X248" s="204">
        <f t="shared" si="159"/>
        <v>0</v>
      </c>
    </row>
    <row r="249" spans="3:24" hidden="1" outlineLevel="1" x14ac:dyDescent="0.25">
      <c r="C249" s="267" t="str">
        <f t="shared" si="158"/>
        <v/>
      </c>
      <c r="D249" s="268">
        <f t="shared" si="162"/>
        <v>0</v>
      </c>
      <c r="E249" s="269">
        <f t="shared" si="162"/>
        <v>0</v>
      </c>
      <c r="F249" s="269">
        <f t="shared" si="162"/>
        <v>0</v>
      </c>
      <c r="G249" s="269">
        <f t="shared" si="162"/>
        <v>0</v>
      </c>
      <c r="H249" s="269">
        <f t="shared" si="162"/>
        <v>0</v>
      </c>
      <c r="I249" s="269">
        <f t="shared" si="162"/>
        <v>0</v>
      </c>
      <c r="J249" s="269">
        <f t="shared" si="162"/>
        <v>0</v>
      </c>
      <c r="K249" s="269">
        <f t="shared" si="162"/>
        <v>0</v>
      </c>
      <c r="L249" s="269">
        <f t="shared" si="162"/>
        <v>0</v>
      </c>
      <c r="M249" s="769">
        <f t="shared" si="162"/>
        <v>0</v>
      </c>
      <c r="N249" s="269">
        <f t="shared" si="163"/>
        <v>0</v>
      </c>
      <c r="O249" s="269">
        <f t="shared" si="163"/>
        <v>0</v>
      </c>
      <c r="P249" s="269">
        <f t="shared" si="163"/>
        <v>0</v>
      </c>
      <c r="Q249" s="269">
        <f t="shared" si="163"/>
        <v>0</v>
      </c>
      <c r="R249" s="269">
        <f t="shared" si="163"/>
        <v>0</v>
      </c>
      <c r="S249" s="269">
        <f t="shared" si="163"/>
        <v>0</v>
      </c>
      <c r="T249" s="269">
        <f t="shared" si="163"/>
        <v>0</v>
      </c>
      <c r="U249" s="269">
        <f t="shared" si="163"/>
        <v>0</v>
      </c>
      <c r="V249" s="269">
        <f t="shared" si="163"/>
        <v>0</v>
      </c>
      <c r="W249" s="270">
        <f t="shared" si="163"/>
        <v>0</v>
      </c>
      <c r="X249" s="204">
        <f t="shared" si="159"/>
        <v>0</v>
      </c>
    </row>
    <row r="250" spans="3:24" hidden="1" outlineLevel="1" x14ac:dyDescent="0.25">
      <c r="C250" s="267" t="str">
        <f t="shared" si="158"/>
        <v/>
      </c>
      <c r="D250" s="268">
        <f t="shared" si="162"/>
        <v>0</v>
      </c>
      <c r="E250" s="269">
        <f t="shared" si="162"/>
        <v>0</v>
      </c>
      <c r="F250" s="269">
        <f t="shared" si="162"/>
        <v>0</v>
      </c>
      <c r="G250" s="269">
        <f t="shared" si="162"/>
        <v>0</v>
      </c>
      <c r="H250" s="269">
        <f t="shared" si="162"/>
        <v>0</v>
      </c>
      <c r="I250" s="269">
        <f t="shared" si="162"/>
        <v>0</v>
      </c>
      <c r="J250" s="269">
        <f t="shared" si="162"/>
        <v>0</v>
      </c>
      <c r="K250" s="269">
        <f t="shared" si="162"/>
        <v>0</v>
      </c>
      <c r="L250" s="269">
        <f t="shared" si="162"/>
        <v>0</v>
      </c>
      <c r="M250" s="769">
        <f t="shared" si="162"/>
        <v>0</v>
      </c>
      <c r="N250" s="269">
        <f t="shared" si="163"/>
        <v>0</v>
      </c>
      <c r="O250" s="269">
        <f t="shared" si="163"/>
        <v>0</v>
      </c>
      <c r="P250" s="269">
        <f t="shared" si="163"/>
        <v>0</v>
      </c>
      <c r="Q250" s="269">
        <f t="shared" si="163"/>
        <v>0</v>
      </c>
      <c r="R250" s="269">
        <f t="shared" si="163"/>
        <v>0</v>
      </c>
      <c r="S250" s="269">
        <f t="shared" si="163"/>
        <v>0</v>
      </c>
      <c r="T250" s="269">
        <f t="shared" si="163"/>
        <v>0</v>
      </c>
      <c r="U250" s="269">
        <f t="shared" si="163"/>
        <v>0</v>
      </c>
      <c r="V250" s="269">
        <f t="shared" si="163"/>
        <v>0</v>
      </c>
      <c r="W250" s="270">
        <f t="shared" si="163"/>
        <v>0</v>
      </c>
      <c r="X250" s="204">
        <f t="shared" si="159"/>
        <v>0</v>
      </c>
    </row>
    <row r="251" spans="3:24" hidden="1" outlineLevel="1" x14ac:dyDescent="0.25">
      <c r="C251" s="271" t="str">
        <f t="shared" si="158"/>
        <v>Padrões</v>
      </c>
      <c r="D251" s="272">
        <f t="shared" si="162"/>
        <v>0</v>
      </c>
      <c r="E251" s="273">
        <f t="shared" si="162"/>
        <v>0</v>
      </c>
      <c r="F251" s="273">
        <f t="shared" si="162"/>
        <v>0</v>
      </c>
      <c r="G251" s="273">
        <f t="shared" si="162"/>
        <v>0</v>
      </c>
      <c r="H251" s="273">
        <f t="shared" si="162"/>
        <v>0</v>
      </c>
      <c r="I251" s="273">
        <f t="shared" si="162"/>
        <v>0</v>
      </c>
      <c r="J251" s="273">
        <f t="shared" si="162"/>
        <v>0</v>
      </c>
      <c r="K251" s="273">
        <f t="shared" si="162"/>
        <v>0</v>
      </c>
      <c r="L251" s="273">
        <f t="shared" si="162"/>
        <v>0</v>
      </c>
      <c r="M251" s="770">
        <f t="shared" si="162"/>
        <v>0</v>
      </c>
      <c r="N251" s="273">
        <f t="shared" si="163"/>
        <v>0</v>
      </c>
      <c r="O251" s="273">
        <f t="shared" si="163"/>
        <v>0</v>
      </c>
      <c r="P251" s="273">
        <f t="shared" si="163"/>
        <v>0</v>
      </c>
      <c r="Q251" s="273">
        <f t="shared" si="163"/>
        <v>0</v>
      </c>
      <c r="R251" s="273">
        <f t="shared" si="163"/>
        <v>0</v>
      </c>
      <c r="S251" s="273">
        <f t="shared" si="163"/>
        <v>0</v>
      </c>
      <c r="T251" s="273">
        <f t="shared" si="163"/>
        <v>0</v>
      </c>
      <c r="U251" s="273">
        <f t="shared" si="163"/>
        <v>0</v>
      </c>
      <c r="V251" s="273">
        <f t="shared" si="163"/>
        <v>0</v>
      </c>
      <c r="W251" s="274">
        <f t="shared" si="163"/>
        <v>0</v>
      </c>
      <c r="X251" s="204">
        <f t="shared" si="159"/>
        <v>0</v>
      </c>
    </row>
    <row r="252" spans="3:24" outlineLevel="1" x14ac:dyDescent="0.25">
      <c r="C252" s="187"/>
      <c r="D252" s="281">
        <f>SUM(D222:D251)</f>
        <v>0</v>
      </c>
      <c r="E252" s="281">
        <f t="shared" ref="E252" si="164">SUM(E222:E251)</f>
        <v>0</v>
      </c>
      <c r="F252" s="281">
        <f t="shared" ref="F252" si="165">SUM(F222:F251)</f>
        <v>0</v>
      </c>
      <c r="G252" s="281">
        <f t="shared" ref="G252" si="166">SUM(G222:G251)</f>
        <v>0</v>
      </c>
      <c r="H252" s="281">
        <f t="shared" ref="H252" si="167">SUM(H222:H251)</f>
        <v>0</v>
      </c>
      <c r="I252" s="281">
        <f t="shared" ref="I252" si="168">SUM(I222:I251)</f>
        <v>0</v>
      </c>
      <c r="J252" s="281">
        <f t="shared" ref="J252" si="169">SUM(J222:J251)</f>
        <v>0</v>
      </c>
      <c r="K252" s="281">
        <f t="shared" ref="K252" si="170">SUM(K222:K251)</f>
        <v>0</v>
      </c>
      <c r="L252" s="281">
        <f t="shared" ref="L252" si="171">SUM(L222:L251)</f>
        <v>0</v>
      </c>
      <c r="M252" s="771">
        <f t="shared" ref="M252" si="172">SUM(M222:M251)</f>
        <v>0</v>
      </c>
      <c r="N252" s="281">
        <f t="shared" ref="N252" si="173">SUM(N222:N251)</f>
        <v>0</v>
      </c>
      <c r="O252" s="281">
        <f t="shared" ref="O252" si="174">SUM(O222:O251)</f>
        <v>0</v>
      </c>
      <c r="P252" s="281">
        <f t="shared" ref="P252" si="175">SUM(P222:P251)</f>
        <v>0</v>
      </c>
      <c r="Q252" s="281">
        <f t="shared" ref="Q252" si="176">SUM(Q222:Q251)</f>
        <v>0</v>
      </c>
      <c r="R252" s="281">
        <f t="shared" ref="R252" si="177">SUM(R222:R251)</f>
        <v>0</v>
      </c>
      <c r="S252" s="281">
        <f t="shared" ref="S252" si="178">SUM(S222:S251)</f>
        <v>0</v>
      </c>
      <c r="T252" s="281">
        <f t="shared" ref="T252" si="179">SUM(T222:T251)</f>
        <v>0</v>
      </c>
      <c r="U252" s="281">
        <f t="shared" ref="U252" si="180">SUM(U222:U251)</f>
        <v>0</v>
      </c>
      <c r="V252" s="281">
        <f t="shared" ref="V252" si="181">SUM(V222:V251)</f>
        <v>0</v>
      </c>
      <c r="W252" s="281">
        <f t="shared" ref="W252" si="182">SUM(W222:W251)</f>
        <v>0</v>
      </c>
      <c r="X252" s="280">
        <f>SUM(X222:X251)</f>
        <v>0</v>
      </c>
    </row>
    <row r="253" spans="3:24" outlineLevel="1" x14ac:dyDescent="0.25">
      <c r="D253" s="204"/>
      <c r="E253" s="204"/>
      <c r="F253" s="204"/>
      <c r="G253" s="204"/>
      <c r="H253" s="204"/>
      <c r="I253" s="204"/>
      <c r="J253" s="204"/>
      <c r="K253" s="204"/>
      <c r="L253" s="204"/>
      <c r="M253" s="772"/>
      <c r="N253" s="204"/>
      <c r="O253" s="204"/>
      <c r="P253" s="204"/>
      <c r="Q253" s="204"/>
      <c r="R253" s="204"/>
      <c r="S253" s="204"/>
      <c r="T253" s="204"/>
      <c r="U253" s="204"/>
      <c r="V253" s="204"/>
      <c r="W253" s="204"/>
      <c r="X253" s="280"/>
    </row>
    <row r="254" spans="3:24" outlineLevel="1" x14ac:dyDescent="0.25">
      <c r="U254" s="282" t="s">
        <v>339</v>
      </c>
      <c r="V254" s="282" t="s">
        <v>340</v>
      </c>
    </row>
    <row r="255" spans="3:24" x14ac:dyDescent="0.25">
      <c r="D255" s="114" t="s">
        <v>18</v>
      </c>
      <c r="U255" s="283">
        <f>SUM(D258:W287)</f>
        <v>11459.243156179127</v>
      </c>
      <c r="V255" s="283">
        <f>IF($E$3=$A$3,Dados!M99,Dados!M99+Escopo!DB273)</f>
        <v>11459.243156179127</v>
      </c>
      <c r="W255" s="522" t="b">
        <f>IF(ABS(U255-V255)&lt;0.01,TRUE,FALSE)</f>
        <v>1</v>
      </c>
    </row>
    <row r="256" spans="3:24" hidden="1" outlineLevel="1" x14ac:dyDescent="0.25"/>
    <row r="257" spans="3:24" hidden="1" outlineLevel="1" x14ac:dyDescent="0.25">
      <c r="D257" s="260" t="str">
        <f>IF(D185&lt;&gt;"",D185,"")</f>
        <v>SAGE</v>
      </c>
      <c r="E257" s="261" t="str">
        <f t="shared" ref="E257:W257" si="183">IF(E185&lt;&gt;"",E185,"")</f>
        <v>TELECOM</v>
      </c>
      <c r="F257" s="261" t="str">
        <f t="shared" si="183"/>
        <v>GERAL</v>
      </c>
      <c r="G257" s="261" t="str">
        <f t="shared" si="183"/>
        <v/>
      </c>
      <c r="H257" s="261" t="str">
        <f t="shared" si="183"/>
        <v/>
      </c>
      <c r="I257" s="261" t="str">
        <f t="shared" si="183"/>
        <v/>
      </c>
      <c r="J257" s="261" t="str">
        <f t="shared" si="183"/>
        <v/>
      </c>
      <c r="K257" s="261" t="str">
        <f t="shared" si="183"/>
        <v/>
      </c>
      <c r="L257" s="261" t="str">
        <f t="shared" si="183"/>
        <v/>
      </c>
      <c r="M257" s="261" t="str">
        <f t="shared" si="183"/>
        <v/>
      </c>
      <c r="N257" s="261" t="str">
        <f t="shared" si="183"/>
        <v/>
      </c>
      <c r="O257" s="261" t="str">
        <f t="shared" si="183"/>
        <v/>
      </c>
      <c r="P257" s="261" t="str">
        <f t="shared" si="183"/>
        <v/>
      </c>
      <c r="Q257" s="261" t="str">
        <f t="shared" si="183"/>
        <v/>
      </c>
      <c r="R257" s="261" t="str">
        <f t="shared" si="183"/>
        <v/>
      </c>
      <c r="S257" s="261" t="str">
        <f t="shared" si="183"/>
        <v/>
      </c>
      <c r="T257" s="261" t="str">
        <f t="shared" si="183"/>
        <v/>
      </c>
      <c r="U257" s="261" t="str">
        <f t="shared" si="183"/>
        <v/>
      </c>
      <c r="V257" s="261" t="str">
        <f t="shared" si="183"/>
        <v/>
      </c>
      <c r="W257" s="262" t="str">
        <f t="shared" si="183"/>
        <v/>
      </c>
    </row>
    <row r="258" spans="3:24" hidden="1" outlineLevel="1" x14ac:dyDescent="0.25">
      <c r="C258" s="263" t="str">
        <f t="shared" ref="C258:C287" si="184">IF(C186&lt;&gt;"",C186,"")</f>
        <v>MAT</v>
      </c>
      <c r="D258" s="264">
        <f t="shared" ref="D258:W258" si="185">IF(AND($C258&lt;&gt;"",D$5&lt;&gt;""),SUMIFS(col_iss,col_abertura1,$C258,col_abertura2,D$5)+IF($E$3=$A$4,SUMIFS(col_fatdir_iss_mn,col_abertura1,$C222,col_abertura2,D$5),0),0)</f>
        <v>0</v>
      </c>
      <c r="E258" s="265">
        <f t="shared" si="185"/>
        <v>0</v>
      </c>
      <c r="F258" s="265">
        <f t="shared" si="185"/>
        <v>239.48932611320922</v>
      </c>
      <c r="G258" s="265">
        <f t="shared" si="185"/>
        <v>0</v>
      </c>
      <c r="H258" s="265">
        <f t="shared" si="185"/>
        <v>0</v>
      </c>
      <c r="I258" s="265">
        <f t="shared" si="185"/>
        <v>0</v>
      </c>
      <c r="J258" s="265">
        <f t="shared" si="185"/>
        <v>0</v>
      </c>
      <c r="K258" s="265">
        <f t="shared" si="185"/>
        <v>0</v>
      </c>
      <c r="L258" s="265">
        <f t="shared" si="185"/>
        <v>0</v>
      </c>
      <c r="M258" s="768">
        <f t="shared" si="185"/>
        <v>0</v>
      </c>
      <c r="N258" s="265">
        <f t="shared" si="185"/>
        <v>0</v>
      </c>
      <c r="O258" s="265">
        <f t="shared" si="185"/>
        <v>0</v>
      </c>
      <c r="P258" s="265">
        <f t="shared" si="185"/>
        <v>0</v>
      </c>
      <c r="Q258" s="265">
        <f t="shared" si="185"/>
        <v>0</v>
      </c>
      <c r="R258" s="265">
        <f t="shared" si="185"/>
        <v>0</v>
      </c>
      <c r="S258" s="265">
        <f t="shared" si="185"/>
        <v>0</v>
      </c>
      <c r="T258" s="265">
        <f t="shared" si="185"/>
        <v>0</v>
      </c>
      <c r="U258" s="265">
        <f t="shared" si="185"/>
        <v>0</v>
      </c>
      <c r="V258" s="265">
        <f t="shared" si="185"/>
        <v>0</v>
      </c>
      <c r="W258" s="266">
        <f t="shared" si="185"/>
        <v>0</v>
      </c>
      <c r="X258" s="204">
        <f>SUM(D258:W258)</f>
        <v>239.48932611320922</v>
      </c>
    </row>
    <row r="259" spans="3:24" hidden="1" outlineLevel="1" x14ac:dyDescent="0.25">
      <c r="C259" s="267" t="str">
        <f t="shared" si="184"/>
        <v>SRV</v>
      </c>
      <c r="D259" s="268">
        <f t="shared" ref="D259:W259" si="186">IF(AND($C259&lt;&gt;"",D$5&lt;&gt;""),SUMIFS(col_iss,col_abertura1,$C259,col_abertura2,D$5)+IF($E$3=$A$4,SUMIFS(col_fatdir_iss_mn,col_abertura1,$C223,col_abertura2,D$5),0),0)</f>
        <v>9015.2355242170779</v>
      </c>
      <c r="E259" s="269">
        <f t="shared" si="186"/>
        <v>0</v>
      </c>
      <c r="F259" s="269">
        <f t="shared" si="186"/>
        <v>1828.3886270648868</v>
      </c>
      <c r="G259" s="269">
        <f t="shared" si="186"/>
        <v>0</v>
      </c>
      <c r="H259" s="269">
        <f t="shared" si="186"/>
        <v>0</v>
      </c>
      <c r="I259" s="269">
        <f t="shared" si="186"/>
        <v>0</v>
      </c>
      <c r="J259" s="269">
        <f t="shared" si="186"/>
        <v>0</v>
      </c>
      <c r="K259" s="269">
        <f t="shared" si="186"/>
        <v>0</v>
      </c>
      <c r="L259" s="269">
        <f t="shared" si="186"/>
        <v>0</v>
      </c>
      <c r="M259" s="769">
        <f t="shared" si="186"/>
        <v>0</v>
      </c>
      <c r="N259" s="269">
        <f t="shared" si="186"/>
        <v>0</v>
      </c>
      <c r="O259" s="269">
        <f t="shared" si="186"/>
        <v>0</v>
      </c>
      <c r="P259" s="269">
        <f t="shared" si="186"/>
        <v>0</v>
      </c>
      <c r="Q259" s="269">
        <f t="shared" si="186"/>
        <v>0</v>
      </c>
      <c r="R259" s="269">
        <f t="shared" si="186"/>
        <v>0</v>
      </c>
      <c r="S259" s="269">
        <f t="shared" si="186"/>
        <v>0</v>
      </c>
      <c r="T259" s="269">
        <f t="shared" si="186"/>
        <v>0</v>
      </c>
      <c r="U259" s="269">
        <f t="shared" si="186"/>
        <v>0</v>
      </c>
      <c r="V259" s="269">
        <f t="shared" si="186"/>
        <v>0</v>
      </c>
      <c r="W259" s="270">
        <f t="shared" si="186"/>
        <v>0</v>
      </c>
      <c r="X259" s="204">
        <f t="shared" ref="X259:X287" si="187">SUM(D259:W259)</f>
        <v>10843.624151281965</v>
      </c>
    </row>
    <row r="260" spans="3:24" hidden="1" outlineLevel="1" x14ac:dyDescent="0.25">
      <c r="C260" s="267" t="str">
        <f t="shared" si="184"/>
        <v>MOBI</v>
      </c>
      <c r="D260" s="268">
        <f t="shared" ref="D260:W260" si="188">IF(AND($C260&lt;&gt;"",D$5&lt;&gt;""),SUMIFS(col_iss,col_abertura1,$C260,col_abertura2,D$5)+IF($E$3=$A$4,SUMIFS(col_fatdir_iss_mn,col_abertura1,$C224,col_abertura2,D$5),0),0)</f>
        <v>0</v>
      </c>
      <c r="E260" s="269">
        <f t="shared" si="188"/>
        <v>0</v>
      </c>
      <c r="F260" s="269">
        <f t="shared" si="188"/>
        <v>0</v>
      </c>
      <c r="G260" s="269">
        <f t="shared" si="188"/>
        <v>0</v>
      </c>
      <c r="H260" s="269">
        <f t="shared" si="188"/>
        <v>0</v>
      </c>
      <c r="I260" s="269">
        <f t="shared" si="188"/>
        <v>0</v>
      </c>
      <c r="J260" s="269">
        <f t="shared" si="188"/>
        <v>0</v>
      </c>
      <c r="K260" s="269">
        <f t="shared" si="188"/>
        <v>0</v>
      </c>
      <c r="L260" s="269">
        <f t="shared" si="188"/>
        <v>0</v>
      </c>
      <c r="M260" s="769">
        <f t="shared" si="188"/>
        <v>0</v>
      </c>
      <c r="N260" s="269">
        <f t="shared" si="188"/>
        <v>0</v>
      </c>
      <c r="O260" s="269">
        <f t="shared" si="188"/>
        <v>0</v>
      </c>
      <c r="P260" s="269">
        <f t="shared" si="188"/>
        <v>0</v>
      </c>
      <c r="Q260" s="269">
        <f t="shared" si="188"/>
        <v>0</v>
      </c>
      <c r="R260" s="269">
        <f t="shared" si="188"/>
        <v>0</v>
      </c>
      <c r="S260" s="269">
        <f t="shared" si="188"/>
        <v>0</v>
      </c>
      <c r="T260" s="269">
        <f t="shared" si="188"/>
        <v>0</v>
      </c>
      <c r="U260" s="269">
        <f t="shared" si="188"/>
        <v>0</v>
      </c>
      <c r="V260" s="269">
        <f t="shared" si="188"/>
        <v>0</v>
      </c>
      <c r="W260" s="270">
        <f t="shared" si="188"/>
        <v>0</v>
      </c>
      <c r="X260" s="204">
        <f t="shared" si="187"/>
        <v>0</v>
      </c>
    </row>
    <row r="261" spans="3:24" hidden="1" outlineLevel="1" x14ac:dyDescent="0.25">
      <c r="C261" s="267" t="str">
        <f t="shared" si="184"/>
        <v>TREIN</v>
      </c>
      <c r="D261" s="268">
        <f t="shared" ref="D261:W261" si="189">IF(AND($C261&lt;&gt;"",D$5&lt;&gt;""),SUMIFS(col_iss,col_abertura1,$C261,col_abertura2,D$5)+IF($E$3=$A$4,SUMIFS(col_fatdir_iss_mn,col_abertura1,$C225,col_abertura2,D$5),0),0)</f>
        <v>0</v>
      </c>
      <c r="E261" s="269">
        <f t="shared" si="189"/>
        <v>0</v>
      </c>
      <c r="F261" s="269">
        <f t="shared" si="189"/>
        <v>376.12967878395222</v>
      </c>
      <c r="G261" s="269">
        <f t="shared" si="189"/>
        <v>0</v>
      </c>
      <c r="H261" s="269">
        <f t="shared" si="189"/>
        <v>0</v>
      </c>
      <c r="I261" s="269">
        <f t="shared" si="189"/>
        <v>0</v>
      </c>
      <c r="J261" s="269">
        <f t="shared" si="189"/>
        <v>0</v>
      </c>
      <c r="K261" s="269">
        <f t="shared" si="189"/>
        <v>0</v>
      </c>
      <c r="L261" s="269">
        <f t="shared" si="189"/>
        <v>0</v>
      </c>
      <c r="M261" s="769">
        <f t="shared" si="189"/>
        <v>0</v>
      </c>
      <c r="N261" s="269">
        <f t="shared" si="189"/>
        <v>0</v>
      </c>
      <c r="O261" s="269">
        <f t="shared" si="189"/>
        <v>0</v>
      </c>
      <c r="P261" s="269">
        <f t="shared" si="189"/>
        <v>0</v>
      </c>
      <c r="Q261" s="269">
        <f t="shared" si="189"/>
        <v>0</v>
      </c>
      <c r="R261" s="269">
        <f t="shared" si="189"/>
        <v>0</v>
      </c>
      <c r="S261" s="269">
        <f t="shared" si="189"/>
        <v>0</v>
      </c>
      <c r="T261" s="269">
        <f t="shared" si="189"/>
        <v>0</v>
      </c>
      <c r="U261" s="269">
        <f t="shared" si="189"/>
        <v>0</v>
      </c>
      <c r="V261" s="269">
        <f t="shared" si="189"/>
        <v>0</v>
      </c>
      <c r="W261" s="270">
        <f t="shared" si="189"/>
        <v>0</v>
      </c>
      <c r="X261" s="204">
        <f t="shared" si="187"/>
        <v>376.12967878395222</v>
      </c>
    </row>
    <row r="262" spans="3:24" hidden="1" outlineLevel="1" x14ac:dyDescent="0.25">
      <c r="C262" s="267" t="str">
        <f t="shared" si="184"/>
        <v/>
      </c>
      <c r="D262" s="268">
        <f t="shared" ref="D262:W262" si="190">IF(AND($C262&lt;&gt;"",D$5&lt;&gt;""),SUMIFS(col_iss,col_abertura1,$C262,col_abertura2,D$5)+IF($E$3=$A$4,SUMIFS(col_fatdir_iss_mn,col_abertura1,$C226,col_abertura2,D$5),0),0)</f>
        <v>0</v>
      </c>
      <c r="E262" s="269">
        <f t="shared" si="190"/>
        <v>0</v>
      </c>
      <c r="F262" s="269">
        <f t="shared" si="190"/>
        <v>0</v>
      </c>
      <c r="G262" s="269">
        <f t="shared" si="190"/>
        <v>0</v>
      </c>
      <c r="H262" s="269">
        <f t="shared" si="190"/>
        <v>0</v>
      </c>
      <c r="I262" s="269">
        <f t="shared" si="190"/>
        <v>0</v>
      </c>
      <c r="J262" s="269">
        <f t="shared" si="190"/>
        <v>0</v>
      </c>
      <c r="K262" s="269">
        <f t="shared" si="190"/>
        <v>0</v>
      </c>
      <c r="L262" s="269">
        <f t="shared" si="190"/>
        <v>0</v>
      </c>
      <c r="M262" s="769">
        <f t="shared" si="190"/>
        <v>0</v>
      </c>
      <c r="N262" s="269">
        <f t="shared" si="190"/>
        <v>0</v>
      </c>
      <c r="O262" s="269">
        <f t="shared" si="190"/>
        <v>0</v>
      </c>
      <c r="P262" s="269">
        <f t="shared" si="190"/>
        <v>0</v>
      </c>
      <c r="Q262" s="269">
        <f t="shared" si="190"/>
        <v>0</v>
      </c>
      <c r="R262" s="269">
        <f t="shared" si="190"/>
        <v>0</v>
      </c>
      <c r="S262" s="269">
        <f t="shared" si="190"/>
        <v>0</v>
      </c>
      <c r="T262" s="269">
        <f t="shared" si="190"/>
        <v>0</v>
      </c>
      <c r="U262" s="269">
        <f t="shared" si="190"/>
        <v>0</v>
      </c>
      <c r="V262" s="269">
        <f t="shared" si="190"/>
        <v>0</v>
      </c>
      <c r="W262" s="270">
        <f t="shared" si="190"/>
        <v>0</v>
      </c>
      <c r="X262" s="204">
        <f t="shared" si="187"/>
        <v>0</v>
      </c>
    </row>
    <row r="263" spans="3:24" hidden="1" outlineLevel="1" x14ac:dyDescent="0.25">
      <c r="C263" s="267" t="str">
        <f t="shared" si="184"/>
        <v/>
      </c>
      <c r="D263" s="268">
        <f t="shared" ref="D263:W263" si="191">IF(AND($C263&lt;&gt;"",D$5&lt;&gt;""),SUMIFS(col_iss,col_abertura1,$C263,col_abertura2,D$5)+IF($E$3=$A$4,SUMIFS(col_fatdir_iss_mn,col_abertura1,$C227,col_abertura2,D$5),0),0)</f>
        <v>0</v>
      </c>
      <c r="E263" s="269">
        <f t="shared" si="191"/>
        <v>0</v>
      </c>
      <c r="F263" s="269">
        <f t="shared" si="191"/>
        <v>0</v>
      </c>
      <c r="G263" s="269">
        <f t="shared" si="191"/>
        <v>0</v>
      </c>
      <c r="H263" s="269">
        <f t="shared" si="191"/>
        <v>0</v>
      </c>
      <c r="I263" s="269">
        <f t="shared" si="191"/>
        <v>0</v>
      </c>
      <c r="J263" s="269">
        <f t="shared" si="191"/>
        <v>0</v>
      </c>
      <c r="K263" s="269">
        <f t="shared" si="191"/>
        <v>0</v>
      </c>
      <c r="L263" s="269">
        <f t="shared" si="191"/>
        <v>0</v>
      </c>
      <c r="M263" s="769">
        <f t="shared" si="191"/>
        <v>0</v>
      </c>
      <c r="N263" s="269">
        <f t="shared" si="191"/>
        <v>0</v>
      </c>
      <c r="O263" s="269">
        <f t="shared" si="191"/>
        <v>0</v>
      </c>
      <c r="P263" s="269">
        <f t="shared" si="191"/>
        <v>0</v>
      </c>
      <c r="Q263" s="269">
        <f t="shared" si="191"/>
        <v>0</v>
      </c>
      <c r="R263" s="269">
        <f t="shared" si="191"/>
        <v>0</v>
      </c>
      <c r="S263" s="269">
        <f t="shared" si="191"/>
        <v>0</v>
      </c>
      <c r="T263" s="269">
        <f t="shared" si="191"/>
        <v>0</v>
      </c>
      <c r="U263" s="269">
        <f t="shared" si="191"/>
        <v>0</v>
      </c>
      <c r="V263" s="269">
        <f t="shared" si="191"/>
        <v>0</v>
      </c>
      <c r="W263" s="270">
        <f t="shared" si="191"/>
        <v>0</v>
      </c>
      <c r="X263" s="204">
        <f t="shared" si="187"/>
        <v>0</v>
      </c>
    </row>
    <row r="264" spans="3:24" hidden="1" outlineLevel="1" x14ac:dyDescent="0.25">
      <c r="C264" s="267" t="str">
        <f t="shared" si="184"/>
        <v/>
      </c>
      <c r="D264" s="268">
        <f t="shared" ref="D264:W264" si="192">IF(AND($C264&lt;&gt;"",D$5&lt;&gt;""),SUMIFS(col_iss,col_abertura1,$C264,col_abertura2,D$5)+IF($E$3=$A$4,SUMIFS(col_fatdir_iss_mn,col_abertura1,$C228,col_abertura2,D$5),0),0)</f>
        <v>0</v>
      </c>
      <c r="E264" s="269">
        <f t="shared" si="192"/>
        <v>0</v>
      </c>
      <c r="F264" s="269">
        <f t="shared" si="192"/>
        <v>0</v>
      </c>
      <c r="G264" s="269">
        <f t="shared" si="192"/>
        <v>0</v>
      </c>
      <c r="H264" s="269">
        <f t="shared" si="192"/>
        <v>0</v>
      </c>
      <c r="I264" s="269">
        <f t="shared" si="192"/>
        <v>0</v>
      </c>
      <c r="J264" s="269">
        <f t="shared" si="192"/>
        <v>0</v>
      </c>
      <c r="K264" s="269">
        <f t="shared" si="192"/>
        <v>0</v>
      </c>
      <c r="L264" s="269">
        <f t="shared" si="192"/>
        <v>0</v>
      </c>
      <c r="M264" s="769">
        <f t="shared" si="192"/>
        <v>0</v>
      </c>
      <c r="N264" s="269">
        <f t="shared" si="192"/>
        <v>0</v>
      </c>
      <c r="O264" s="269">
        <f t="shared" si="192"/>
        <v>0</v>
      </c>
      <c r="P264" s="269">
        <f t="shared" si="192"/>
        <v>0</v>
      </c>
      <c r="Q264" s="269">
        <f t="shared" si="192"/>
        <v>0</v>
      </c>
      <c r="R264" s="269">
        <f t="shared" si="192"/>
        <v>0</v>
      </c>
      <c r="S264" s="269">
        <f t="shared" si="192"/>
        <v>0</v>
      </c>
      <c r="T264" s="269">
        <f t="shared" si="192"/>
        <v>0</v>
      </c>
      <c r="U264" s="269">
        <f t="shared" si="192"/>
        <v>0</v>
      </c>
      <c r="V264" s="269">
        <f t="shared" si="192"/>
        <v>0</v>
      </c>
      <c r="W264" s="270">
        <f t="shared" si="192"/>
        <v>0</v>
      </c>
      <c r="X264" s="204">
        <f t="shared" si="187"/>
        <v>0</v>
      </c>
    </row>
    <row r="265" spans="3:24" hidden="1" outlineLevel="1" x14ac:dyDescent="0.25">
      <c r="C265" s="267" t="str">
        <f t="shared" si="184"/>
        <v/>
      </c>
      <c r="D265" s="268">
        <f t="shared" ref="D265:W265" si="193">IF(AND($C265&lt;&gt;"",D$5&lt;&gt;""),SUMIFS(col_iss,col_abertura1,$C265,col_abertura2,D$5)+IF($E$3=$A$4,SUMIFS(col_fatdir_iss_mn,col_abertura1,$C229,col_abertura2,D$5),0),0)</f>
        <v>0</v>
      </c>
      <c r="E265" s="269">
        <f t="shared" si="193"/>
        <v>0</v>
      </c>
      <c r="F265" s="269">
        <f t="shared" si="193"/>
        <v>0</v>
      </c>
      <c r="G265" s="269">
        <f t="shared" si="193"/>
        <v>0</v>
      </c>
      <c r="H265" s="269">
        <f t="shared" si="193"/>
        <v>0</v>
      </c>
      <c r="I265" s="269">
        <f t="shared" si="193"/>
        <v>0</v>
      </c>
      <c r="J265" s="269">
        <f t="shared" si="193"/>
        <v>0</v>
      </c>
      <c r="K265" s="269">
        <f t="shared" si="193"/>
        <v>0</v>
      </c>
      <c r="L265" s="269">
        <f t="shared" si="193"/>
        <v>0</v>
      </c>
      <c r="M265" s="769">
        <f t="shared" si="193"/>
        <v>0</v>
      </c>
      <c r="N265" s="269">
        <f t="shared" si="193"/>
        <v>0</v>
      </c>
      <c r="O265" s="269">
        <f t="shared" si="193"/>
        <v>0</v>
      </c>
      <c r="P265" s="269">
        <f t="shared" si="193"/>
        <v>0</v>
      </c>
      <c r="Q265" s="269">
        <f t="shared" si="193"/>
        <v>0</v>
      </c>
      <c r="R265" s="269">
        <f t="shared" si="193"/>
        <v>0</v>
      </c>
      <c r="S265" s="269">
        <f t="shared" si="193"/>
        <v>0</v>
      </c>
      <c r="T265" s="269">
        <f t="shared" si="193"/>
        <v>0</v>
      </c>
      <c r="U265" s="269">
        <f t="shared" si="193"/>
        <v>0</v>
      </c>
      <c r="V265" s="269">
        <f t="shared" si="193"/>
        <v>0</v>
      </c>
      <c r="W265" s="270">
        <f t="shared" si="193"/>
        <v>0</v>
      </c>
      <c r="X265" s="204">
        <f t="shared" si="187"/>
        <v>0</v>
      </c>
    </row>
    <row r="266" spans="3:24" hidden="1" outlineLevel="1" x14ac:dyDescent="0.25">
      <c r="C266" s="267" t="str">
        <f t="shared" si="184"/>
        <v/>
      </c>
      <c r="D266" s="268">
        <f t="shared" ref="D266:W266" si="194">IF(AND($C266&lt;&gt;"",D$5&lt;&gt;""),SUMIFS(col_iss,col_abertura1,$C266,col_abertura2,D$5)+IF($E$3=$A$4,SUMIFS(col_fatdir_iss_mn,col_abertura1,$C230,col_abertura2,D$5),0),0)</f>
        <v>0</v>
      </c>
      <c r="E266" s="269">
        <f t="shared" si="194"/>
        <v>0</v>
      </c>
      <c r="F266" s="269">
        <f t="shared" si="194"/>
        <v>0</v>
      </c>
      <c r="G266" s="269">
        <f t="shared" si="194"/>
        <v>0</v>
      </c>
      <c r="H266" s="269">
        <f t="shared" si="194"/>
        <v>0</v>
      </c>
      <c r="I266" s="269">
        <f t="shared" si="194"/>
        <v>0</v>
      </c>
      <c r="J266" s="269">
        <f t="shared" si="194"/>
        <v>0</v>
      </c>
      <c r="K266" s="269">
        <f t="shared" si="194"/>
        <v>0</v>
      </c>
      <c r="L266" s="269">
        <f t="shared" si="194"/>
        <v>0</v>
      </c>
      <c r="M266" s="769">
        <f t="shared" si="194"/>
        <v>0</v>
      </c>
      <c r="N266" s="269">
        <f t="shared" si="194"/>
        <v>0</v>
      </c>
      <c r="O266" s="269">
        <f t="shared" si="194"/>
        <v>0</v>
      </c>
      <c r="P266" s="269">
        <f t="shared" si="194"/>
        <v>0</v>
      </c>
      <c r="Q266" s="269">
        <f t="shared" si="194"/>
        <v>0</v>
      </c>
      <c r="R266" s="269">
        <f t="shared" si="194"/>
        <v>0</v>
      </c>
      <c r="S266" s="269">
        <f t="shared" si="194"/>
        <v>0</v>
      </c>
      <c r="T266" s="269">
        <f t="shared" si="194"/>
        <v>0</v>
      </c>
      <c r="U266" s="269">
        <f t="shared" si="194"/>
        <v>0</v>
      </c>
      <c r="V266" s="269">
        <f t="shared" si="194"/>
        <v>0</v>
      </c>
      <c r="W266" s="270">
        <f t="shared" si="194"/>
        <v>0</v>
      </c>
      <c r="X266" s="204">
        <f t="shared" si="187"/>
        <v>0</v>
      </c>
    </row>
    <row r="267" spans="3:24" hidden="1" outlineLevel="1" x14ac:dyDescent="0.25">
      <c r="C267" s="267" t="str">
        <f t="shared" si="184"/>
        <v/>
      </c>
      <c r="D267" s="268">
        <f t="shared" ref="D267:W267" si="195">IF(AND($C267&lt;&gt;"",D$5&lt;&gt;""),SUMIFS(col_iss,col_abertura1,$C267,col_abertura2,D$5)+IF($E$3=$A$4,SUMIFS(col_fatdir_iss_mn,col_abertura1,$C231,col_abertura2,D$5),0),0)</f>
        <v>0</v>
      </c>
      <c r="E267" s="269">
        <f t="shared" si="195"/>
        <v>0</v>
      </c>
      <c r="F267" s="269">
        <f t="shared" si="195"/>
        <v>0</v>
      </c>
      <c r="G267" s="269">
        <f t="shared" si="195"/>
        <v>0</v>
      </c>
      <c r="H267" s="269">
        <f t="shared" si="195"/>
        <v>0</v>
      </c>
      <c r="I267" s="269">
        <f t="shared" si="195"/>
        <v>0</v>
      </c>
      <c r="J267" s="269">
        <f t="shared" si="195"/>
        <v>0</v>
      </c>
      <c r="K267" s="269">
        <f t="shared" si="195"/>
        <v>0</v>
      </c>
      <c r="L267" s="269">
        <f t="shared" si="195"/>
        <v>0</v>
      </c>
      <c r="M267" s="769">
        <f t="shared" si="195"/>
        <v>0</v>
      </c>
      <c r="N267" s="269">
        <f t="shared" si="195"/>
        <v>0</v>
      </c>
      <c r="O267" s="269">
        <f t="shared" si="195"/>
        <v>0</v>
      </c>
      <c r="P267" s="269">
        <f t="shared" si="195"/>
        <v>0</v>
      </c>
      <c r="Q267" s="269">
        <f t="shared" si="195"/>
        <v>0</v>
      </c>
      <c r="R267" s="269">
        <f t="shared" si="195"/>
        <v>0</v>
      </c>
      <c r="S267" s="269">
        <f t="shared" si="195"/>
        <v>0</v>
      </c>
      <c r="T267" s="269">
        <f t="shared" si="195"/>
        <v>0</v>
      </c>
      <c r="U267" s="269">
        <f t="shared" si="195"/>
        <v>0</v>
      </c>
      <c r="V267" s="269">
        <f t="shared" si="195"/>
        <v>0</v>
      </c>
      <c r="W267" s="270">
        <f t="shared" si="195"/>
        <v>0</v>
      </c>
      <c r="X267" s="204">
        <f t="shared" si="187"/>
        <v>0</v>
      </c>
    </row>
    <row r="268" spans="3:24" hidden="1" outlineLevel="1" x14ac:dyDescent="0.25">
      <c r="C268" s="267" t="str">
        <f t="shared" si="184"/>
        <v/>
      </c>
      <c r="D268" s="268">
        <f t="shared" ref="D268:W268" si="196">IF(AND($C268&lt;&gt;"",D$5&lt;&gt;""),SUMIFS(col_iss,col_abertura1,$C268,col_abertura2,D$5)+IF($E$3=$A$4,SUMIFS(col_fatdir_iss_mn,col_abertura1,$C232,col_abertura2,D$5),0),0)</f>
        <v>0</v>
      </c>
      <c r="E268" s="269">
        <f t="shared" si="196"/>
        <v>0</v>
      </c>
      <c r="F268" s="269">
        <f t="shared" si="196"/>
        <v>0</v>
      </c>
      <c r="G268" s="269">
        <f t="shared" si="196"/>
        <v>0</v>
      </c>
      <c r="H268" s="269">
        <f t="shared" si="196"/>
        <v>0</v>
      </c>
      <c r="I268" s="269">
        <f t="shared" si="196"/>
        <v>0</v>
      </c>
      <c r="J268" s="269">
        <f t="shared" si="196"/>
        <v>0</v>
      </c>
      <c r="K268" s="269">
        <f t="shared" si="196"/>
        <v>0</v>
      </c>
      <c r="L268" s="269">
        <f t="shared" si="196"/>
        <v>0</v>
      </c>
      <c r="M268" s="769">
        <f t="shared" si="196"/>
        <v>0</v>
      </c>
      <c r="N268" s="269">
        <f t="shared" si="196"/>
        <v>0</v>
      </c>
      <c r="O268" s="269">
        <f t="shared" si="196"/>
        <v>0</v>
      </c>
      <c r="P268" s="269">
        <f t="shared" si="196"/>
        <v>0</v>
      </c>
      <c r="Q268" s="269">
        <f t="shared" si="196"/>
        <v>0</v>
      </c>
      <c r="R268" s="269">
        <f t="shared" si="196"/>
        <v>0</v>
      </c>
      <c r="S268" s="269">
        <f t="shared" si="196"/>
        <v>0</v>
      </c>
      <c r="T268" s="269">
        <f t="shared" si="196"/>
        <v>0</v>
      </c>
      <c r="U268" s="269">
        <f t="shared" si="196"/>
        <v>0</v>
      </c>
      <c r="V268" s="269">
        <f t="shared" si="196"/>
        <v>0</v>
      </c>
      <c r="W268" s="270">
        <f t="shared" si="196"/>
        <v>0</v>
      </c>
      <c r="X268" s="204">
        <f t="shared" si="187"/>
        <v>0</v>
      </c>
    </row>
    <row r="269" spans="3:24" hidden="1" outlineLevel="1" x14ac:dyDescent="0.25">
      <c r="C269" s="267" t="str">
        <f t="shared" si="184"/>
        <v/>
      </c>
      <c r="D269" s="268">
        <f t="shared" ref="D269:W269" si="197">IF(AND($C269&lt;&gt;"",D$5&lt;&gt;""),SUMIFS(col_iss,col_abertura1,$C269,col_abertura2,D$5)+IF($E$3=$A$4,SUMIFS(col_fatdir_iss_mn,col_abertura1,$C233,col_abertura2,D$5),0),0)</f>
        <v>0</v>
      </c>
      <c r="E269" s="269">
        <f t="shared" si="197"/>
        <v>0</v>
      </c>
      <c r="F269" s="269">
        <f t="shared" si="197"/>
        <v>0</v>
      </c>
      <c r="G269" s="269">
        <f t="shared" si="197"/>
        <v>0</v>
      </c>
      <c r="H269" s="269">
        <f t="shared" si="197"/>
        <v>0</v>
      </c>
      <c r="I269" s="269">
        <f t="shared" si="197"/>
        <v>0</v>
      </c>
      <c r="J269" s="269">
        <f t="shared" si="197"/>
        <v>0</v>
      </c>
      <c r="K269" s="269">
        <f t="shared" si="197"/>
        <v>0</v>
      </c>
      <c r="L269" s="269">
        <f t="shared" si="197"/>
        <v>0</v>
      </c>
      <c r="M269" s="769">
        <f t="shared" si="197"/>
        <v>0</v>
      </c>
      <c r="N269" s="269">
        <f t="shared" si="197"/>
        <v>0</v>
      </c>
      <c r="O269" s="269">
        <f t="shared" si="197"/>
        <v>0</v>
      </c>
      <c r="P269" s="269">
        <f t="shared" si="197"/>
        <v>0</v>
      </c>
      <c r="Q269" s="269">
        <f t="shared" si="197"/>
        <v>0</v>
      </c>
      <c r="R269" s="269">
        <f t="shared" si="197"/>
        <v>0</v>
      </c>
      <c r="S269" s="269">
        <f t="shared" si="197"/>
        <v>0</v>
      </c>
      <c r="T269" s="269">
        <f t="shared" si="197"/>
        <v>0</v>
      </c>
      <c r="U269" s="269">
        <f t="shared" si="197"/>
        <v>0</v>
      </c>
      <c r="V269" s="269">
        <f t="shared" si="197"/>
        <v>0</v>
      </c>
      <c r="W269" s="270">
        <f t="shared" si="197"/>
        <v>0</v>
      </c>
      <c r="X269" s="204">
        <f t="shared" si="187"/>
        <v>0</v>
      </c>
    </row>
    <row r="270" spans="3:24" hidden="1" outlineLevel="1" x14ac:dyDescent="0.25">
      <c r="C270" s="267" t="str">
        <f t="shared" si="184"/>
        <v/>
      </c>
      <c r="D270" s="268">
        <f t="shared" ref="D270:W270" si="198">IF(AND($C270&lt;&gt;"",D$5&lt;&gt;""),SUMIFS(col_iss,col_abertura1,$C270,col_abertura2,D$5)+IF($E$3=$A$4,SUMIFS(col_fatdir_iss_mn,col_abertura1,$C234,col_abertura2,D$5),0),0)</f>
        <v>0</v>
      </c>
      <c r="E270" s="269">
        <f t="shared" si="198"/>
        <v>0</v>
      </c>
      <c r="F270" s="269">
        <f t="shared" si="198"/>
        <v>0</v>
      </c>
      <c r="G270" s="269">
        <f t="shared" si="198"/>
        <v>0</v>
      </c>
      <c r="H270" s="269">
        <f t="shared" si="198"/>
        <v>0</v>
      </c>
      <c r="I270" s="269">
        <f t="shared" si="198"/>
        <v>0</v>
      </c>
      <c r="J270" s="269">
        <f t="shared" si="198"/>
        <v>0</v>
      </c>
      <c r="K270" s="269">
        <f t="shared" si="198"/>
        <v>0</v>
      </c>
      <c r="L270" s="269">
        <f t="shared" si="198"/>
        <v>0</v>
      </c>
      <c r="M270" s="769">
        <f t="shared" si="198"/>
        <v>0</v>
      </c>
      <c r="N270" s="269">
        <f t="shared" si="198"/>
        <v>0</v>
      </c>
      <c r="O270" s="269">
        <f t="shared" si="198"/>
        <v>0</v>
      </c>
      <c r="P270" s="269">
        <f t="shared" si="198"/>
        <v>0</v>
      </c>
      <c r="Q270" s="269">
        <f t="shared" si="198"/>
        <v>0</v>
      </c>
      <c r="R270" s="269">
        <f t="shared" si="198"/>
        <v>0</v>
      </c>
      <c r="S270" s="269">
        <f t="shared" si="198"/>
        <v>0</v>
      </c>
      <c r="T270" s="269">
        <f t="shared" si="198"/>
        <v>0</v>
      </c>
      <c r="U270" s="269">
        <f t="shared" si="198"/>
        <v>0</v>
      </c>
      <c r="V270" s="269">
        <f t="shared" si="198"/>
        <v>0</v>
      </c>
      <c r="W270" s="270">
        <f t="shared" si="198"/>
        <v>0</v>
      </c>
      <c r="X270" s="204">
        <f t="shared" si="187"/>
        <v>0</v>
      </c>
    </row>
    <row r="271" spans="3:24" hidden="1" outlineLevel="1" x14ac:dyDescent="0.25">
      <c r="C271" s="267" t="str">
        <f t="shared" si="184"/>
        <v/>
      </c>
      <c r="D271" s="268">
        <f t="shared" ref="D271:W271" si="199">IF(AND($C271&lt;&gt;"",D$5&lt;&gt;""),SUMIFS(col_iss,col_abertura1,$C271,col_abertura2,D$5)+IF($E$3=$A$4,SUMIFS(col_fatdir_iss_mn,col_abertura1,$C235,col_abertura2,D$5),0),0)</f>
        <v>0</v>
      </c>
      <c r="E271" s="269">
        <f t="shared" si="199"/>
        <v>0</v>
      </c>
      <c r="F271" s="269">
        <f t="shared" si="199"/>
        <v>0</v>
      </c>
      <c r="G271" s="269">
        <f t="shared" si="199"/>
        <v>0</v>
      </c>
      <c r="H271" s="269">
        <f t="shared" si="199"/>
        <v>0</v>
      </c>
      <c r="I271" s="269">
        <f t="shared" si="199"/>
        <v>0</v>
      </c>
      <c r="J271" s="269">
        <f t="shared" si="199"/>
        <v>0</v>
      </c>
      <c r="K271" s="269">
        <f t="shared" si="199"/>
        <v>0</v>
      </c>
      <c r="L271" s="269">
        <f t="shared" si="199"/>
        <v>0</v>
      </c>
      <c r="M271" s="769">
        <f t="shared" si="199"/>
        <v>0</v>
      </c>
      <c r="N271" s="269">
        <f t="shared" si="199"/>
        <v>0</v>
      </c>
      <c r="O271" s="269">
        <f t="shared" si="199"/>
        <v>0</v>
      </c>
      <c r="P271" s="269">
        <f t="shared" si="199"/>
        <v>0</v>
      </c>
      <c r="Q271" s="269">
        <f t="shared" si="199"/>
        <v>0</v>
      </c>
      <c r="R271" s="269">
        <f t="shared" si="199"/>
        <v>0</v>
      </c>
      <c r="S271" s="269">
        <f t="shared" si="199"/>
        <v>0</v>
      </c>
      <c r="T271" s="269">
        <f t="shared" si="199"/>
        <v>0</v>
      </c>
      <c r="U271" s="269">
        <f t="shared" si="199"/>
        <v>0</v>
      </c>
      <c r="V271" s="269">
        <f t="shared" si="199"/>
        <v>0</v>
      </c>
      <c r="W271" s="270">
        <f t="shared" si="199"/>
        <v>0</v>
      </c>
      <c r="X271" s="204">
        <f t="shared" si="187"/>
        <v>0</v>
      </c>
    </row>
    <row r="272" spans="3:24" hidden="1" outlineLevel="1" x14ac:dyDescent="0.25">
      <c r="C272" s="267" t="str">
        <f t="shared" si="184"/>
        <v/>
      </c>
      <c r="D272" s="268">
        <f t="shared" ref="D272:W272" si="200">IF(AND($C272&lt;&gt;"",D$5&lt;&gt;""),SUMIFS(col_iss,col_abertura1,$C272,col_abertura2,D$5)+IF($E$3=$A$4,SUMIFS(col_fatdir_iss_mn,col_abertura1,$C236,col_abertura2,D$5),0),0)</f>
        <v>0</v>
      </c>
      <c r="E272" s="269">
        <f t="shared" si="200"/>
        <v>0</v>
      </c>
      <c r="F272" s="269">
        <f t="shared" si="200"/>
        <v>0</v>
      </c>
      <c r="G272" s="269">
        <f t="shared" si="200"/>
        <v>0</v>
      </c>
      <c r="H272" s="269">
        <f t="shared" si="200"/>
        <v>0</v>
      </c>
      <c r="I272" s="269">
        <f t="shared" si="200"/>
        <v>0</v>
      </c>
      <c r="J272" s="269">
        <f t="shared" si="200"/>
        <v>0</v>
      </c>
      <c r="K272" s="269">
        <f t="shared" si="200"/>
        <v>0</v>
      </c>
      <c r="L272" s="269">
        <f t="shared" si="200"/>
        <v>0</v>
      </c>
      <c r="M272" s="769">
        <f t="shared" si="200"/>
        <v>0</v>
      </c>
      <c r="N272" s="269">
        <f t="shared" si="200"/>
        <v>0</v>
      </c>
      <c r="O272" s="269">
        <f t="shared" si="200"/>
        <v>0</v>
      </c>
      <c r="P272" s="269">
        <f t="shared" si="200"/>
        <v>0</v>
      </c>
      <c r="Q272" s="269">
        <f t="shared" si="200"/>
        <v>0</v>
      </c>
      <c r="R272" s="269">
        <f t="shared" si="200"/>
        <v>0</v>
      </c>
      <c r="S272" s="269">
        <f t="shared" si="200"/>
        <v>0</v>
      </c>
      <c r="T272" s="269">
        <f t="shared" si="200"/>
        <v>0</v>
      </c>
      <c r="U272" s="269">
        <f t="shared" si="200"/>
        <v>0</v>
      </c>
      <c r="V272" s="269">
        <f t="shared" si="200"/>
        <v>0</v>
      </c>
      <c r="W272" s="270">
        <f t="shared" si="200"/>
        <v>0</v>
      </c>
      <c r="X272" s="204">
        <f t="shared" si="187"/>
        <v>0</v>
      </c>
    </row>
    <row r="273" spans="3:24" hidden="1" outlineLevel="1" x14ac:dyDescent="0.25">
      <c r="C273" s="267" t="str">
        <f t="shared" si="184"/>
        <v/>
      </c>
      <c r="D273" s="268">
        <f t="shared" ref="D273:W273" si="201">IF(AND($C273&lt;&gt;"",D$5&lt;&gt;""),SUMIFS(col_iss,col_abertura1,$C273,col_abertura2,D$5)+IF($E$3=$A$4,SUMIFS(col_fatdir_iss_mn,col_abertura1,$C237,col_abertura2,D$5),0),0)</f>
        <v>0</v>
      </c>
      <c r="E273" s="269">
        <f t="shared" si="201"/>
        <v>0</v>
      </c>
      <c r="F273" s="269">
        <f t="shared" si="201"/>
        <v>0</v>
      </c>
      <c r="G273" s="269">
        <f t="shared" si="201"/>
        <v>0</v>
      </c>
      <c r="H273" s="269">
        <f t="shared" si="201"/>
        <v>0</v>
      </c>
      <c r="I273" s="269">
        <f t="shared" si="201"/>
        <v>0</v>
      </c>
      <c r="J273" s="269">
        <f t="shared" si="201"/>
        <v>0</v>
      </c>
      <c r="K273" s="269">
        <f t="shared" si="201"/>
        <v>0</v>
      </c>
      <c r="L273" s="269">
        <f t="shared" si="201"/>
        <v>0</v>
      </c>
      <c r="M273" s="769">
        <f t="shared" si="201"/>
        <v>0</v>
      </c>
      <c r="N273" s="269">
        <f t="shared" si="201"/>
        <v>0</v>
      </c>
      <c r="O273" s="269">
        <f t="shared" si="201"/>
        <v>0</v>
      </c>
      <c r="P273" s="269">
        <f t="shared" si="201"/>
        <v>0</v>
      </c>
      <c r="Q273" s="269">
        <f t="shared" si="201"/>
        <v>0</v>
      </c>
      <c r="R273" s="269">
        <f t="shared" si="201"/>
        <v>0</v>
      </c>
      <c r="S273" s="269">
        <f t="shared" si="201"/>
        <v>0</v>
      </c>
      <c r="T273" s="269">
        <f t="shared" si="201"/>
        <v>0</v>
      </c>
      <c r="U273" s="269">
        <f t="shared" si="201"/>
        <v>0</v>
      </c>
      <c r="V273" s="269">
        <f t="shared" si="201"/>
        <v>0</v>
      </c>
      <c r="W273" s="270">
        <f t="shared" si="201"/>
        <v>0</v>
      </c>
      <c r="X273" s="204">
        <f t="shared" si="187"/>
        <v>0</v>
      </c>
    </row>
    <row r="274" spans="3:24" hidden="1" outlineLevel="1" x14ac:dyDescent="0.25">
      <c r="C274" s="267" t="str">
        <f t="shared" si="184"/>
        <v/>
      </c>
      <c r="D274" s="268">
        <f t="shared" ref="D274:W274" si="202">IF(AND($C274&lt;&gt;"",D$5&lt;&gt;""),SUMIFS(col_iss,col_abertura1,$C274,col_abertura2,D$5)+IF($E$3=$A$4,SUMIFS(col_fatdir_iss_mn,col_abertura1,$C238,col_abertura2,D$5),0),0)</f>
        <v>0</v>
      </c>
      <c r="E274" s="269">
        <f t="shared" si="202"/>
        <v>0</v>
      </c>
      <c r="F274" s="269">
        <f t="shared" si="202"/>
        <v>0</v>
      </c>
      <c r="G274" s="269">
        <f t="shared" si="202"/>
        <v>0</v>
      </c>
      <c r="H274" s="269">
        <f t="shared" si="202"/>
        <v>0</v>
      </c>
      <c r="I274" s="269">
        <f t="shared" si="202"/>
        <v>0</v>
      </c>
      <c r="J274" s="269">
        <f t="shared" si="202"/>
        <v>0</v>
      </c>
      <c r="K274" s="269">
        <f t="shared" si="202"/>
        <v>0</v>
      </c>
      <c r="L274" s="269">
        <f t="shared" si="202"/>
        <v>0</v>
      </c>
      <c r="M274" s="769">
        <f t="shared" si="202"/>
        <v>0</v>
      </c>
      <c r="N274" s="269">
        <f t="shared" si="202"/>
        <v>0</v>
      </c>
      <c r="O274" s="269">
        <f t="shared" si="202"/>
        <v>0</v>
      </c>
      <c r="P274" s="269">
        <f t="shared" si="202"/>
        <v>0</v>
      </c>
      <c r="Q274" s="269">
        <f t="shared" si="202"/>
        <v>0</v>
      </c>
      <c r="R274" s="269">
        <f t="shared" si="202"/>
        <v>0</v>
      </c>
      <c r="S274" s="269">
        <f t="shared" si="202"/>
        <v>0</v>
      </c>
      <c r="T274" s="269">
        <f t="shared" si="202"/>
        <v>0</v>
      </c>
      <c r="U274" s="269">
        <f t="shared" si="202"/>
        <v>0</v>
      </c>
      <c r="V274" s="269">
        <f t="shared" si="202"/>
        <v>0</v>
      </c>
      <c r="W274" s="270">
        <f t="shared" si="202"/>
        <v>0</v>
      </c>
      <c r="X274" s="204">
        <f t="shared" si="187"/>
        <v>0</v>
      </c>
    </row>
    <row r="275" spans="3:24" hidden="1" outlineLevel="1" x14ac:dyDescent="0.25">
      <c r="C275" s="267" t="str">
        <f t="shared" si="184"/>
        <v/>
      </c>
      <c r="D275" s="268">
        <f t="shared" ref="D275:W275" si="203">IF(AND($C275&lt;&gt;"",D$5&lt;&gt;""),SUMIFS(col_iss,col_abertura1,$C275,col_abertura2,D$5)+IF($E$3=$A$4,SUMIFS(col_fatdir_iss_mn,col_abertura1,$C239,col_abertura2,D$5),0),0)</f>
        <v>0</v>
      </c>
      <c r="E275" s="269">
        <f t="shared" si="203"/>
        <v>0</v>
      </c>
      <c r="F275" s="269">
        <f t="shared" si="203"/>
        <v>0</v>
      </c>
      <c r="G275" s="269">
        <f t="shared" si="203"/>
        <v>0</v>
      </c>
      <c r="H275" s="269">
        <f t="shared" si="203"/>
        <v>0</v>
      </c>
      <c r="I275" s="269">
        <f t="shared" si="203"/>
        <v>0</v>
      </c>
      <c r="J275" s="269">
        <f t="shared" si="203"/>
        <v>0</v>
      </c>
      <c r="K275" s="269">
        <f t="shared" si="203"/>
        <v>0</v>
      </c>
      <c r="L275" s="269">
        <f t="shared" si="203"/>
        <v>0</v>
      </c>
      <c r="M275" s="769">
        <f t="shared" si="203"/>
        <v>0</v>
      </c>
      <c r="N275" s="269">
        <f t="shared" si="203"/>
        <v>0</v>
      </c>
      <c r="O275" s="269">
        <f t="shared" si="203"/>
        <v>0</v>
      </c>
      <c r="P275" s="269">
        <f t="shared" si="203"/>
        <v>0</v>
      </c>
      <c r="Q275" s="269">
        <f t="shared" si="203"/>
        <v>0</v>
      </c>
      <c r="R275" s="269">
        <f t="shared" si="203"/>
        <v>0</v>
      </c>
      <c r="S275" s="269">
        <f t="shared" si="203"/>
        <v>0</v>
      </c>
      <c r="T275" s="269">
        <f t="shared" si="203"/>
        <v>0</v>
      </c>
      <c r="U275" s="269">
        <f t="shared" si="203"/>
        <v>0</v>
      </c>
      <c r="V275" s="269">
        <f t="shared" si="203"/>
        <v>0</v>
      </c>
      <c r="W275" s="270">
        <f t="shared" si="203"/>
        <v>0</v>
      </c>
      <c r="X275" s="204">
        <f t="shared" si="187"/>
        <v>0</v>
      </c>
    </row>
    <row r="276" spans="3:24" hidden="1" outlineLevel="1" x14ac:dyDescent="0.25">
      <c r="C276" s="267" t="str">
        <f t="shared" si="184"/>
        <v/>
      </c>
      <c r="D276" s="268">
        <f t="shared" ref="D276:W276" si="204">IF(AND($C276&lt;&gt;"",D$5&lt;&gt;""),SUMIFS(col_iss,col_abertura1,$C276,col_abertura2,D$5)+IF($E$3=$A$4,SUMIFS(col_fatdir_iss_mn,col_abertura1,$C240,col_abertura2,D$5),0),0)</f>
        <v>0</v>
      </c>
      <c r="E276" s="269">
        <f t="shared" si="204"/>
        <v>0</v>
      </c>
      <c r="F276" s="269">
        <f t="shared" si="204"/>
        <v>0</v>
      </c>
      <c r="G276" s="269">
        <f t="shared" si="204"/>
        <v>0</v>
      </c>
      <c r="H276" s="269">
        <f t="shared" si="204"/>
        <v>0</v>
      </c>
      <c r="I276" s="269">
        <f t="shared" si="204"/>
        <v>0</v>
      </c>
      <c r="J276" s="269">
        <f t="shared" si="204"/>
        <v>0</v>
      </c>
      <c r="K276" s="269">
        <f t="shared" si="204"/>
        <v>0</v>
      </c>
      <c r="L276" s="269">
        <f t="shared" si="204"/>
        <v>0</v>
      </c>
      <c r="M276" s="769">
        <f t="shared" si="204"/>
        <v>0</v>
      </c>
      <c r="N276" s="269">
        <f t="shared" si="204"/>
        <v>0</v>
      </c>
      <c r="O276" s="269">
        <f t="shared" si="204"/>
        <v>0</v>
      </c>
      <c r="P276" s="269">
        <f t="shared" si="204"/>
        <v>0</v>
      </c>
      <c r="Q276" s="269">
        <f t="shared" si="204"/>
        <v>0</v>
      </c>
      <c r="R276" s="269">
        <f t="shared" si="204"/>
        <v>0</v>
      </c>
      <c r="S276" s="269">
        <f t="shared" si="204"/>
        <v>0</v>
      </c>
      <c r="T276" s="269">
        <f t="shared" si="204"/>
        <v>0</v>
      </c>
      <c r="U276" s="269">
        <f t="shared" si="204"/>
        <v>0</v>
      </c>
      <c r="V276" s="269">
        <f t="shared" si="204"/>
        <v>0</v>
      </c>
      <c r="W276" s="270">
        <f t="shared" si="204"/>
        <v>0</v>
      </c>
      <c r="X276" s="204">
        <f t="shared" si="187"/>
        <v>0</v>
      </c>
    </row>
    <row r="277" spans="3:24" hidden="1" outlineLevel="1" x14ac:dyDescent="0.25">
      <c r="C277" s="267" t="str">
        <f t="shared" si="184"/>
        <v/>
      </c>
      <c r="D277" s="268">
        <f t="shared" ref="D277:W277" si="205">IF(AND($C277&lt;&gt;"",D$5&lt;&gt;""),SUMIFS(col_iss,col_abertura1,$C277,col_abertura2,D$5)+IF($E$3=$A$4,SUMIFS(col_fatdir_iss_mn,col_abertura1,$C241,col_abertura2,D$5),0),0)</f>
        <v>0</v>
      </c>
      <c r="E277" s="269">
        <f t="shared" si="205"/>
        <v>0</v>
      </c>
      <c r="F277" s="269">
        <f t="shared" si="205"/>
        <v>0</v>
      </c>
      <c r="G277" s="269">
        <f t="shared" si="205"/>
        <v>0</v>
      </c>
      <c r="H277" s="269">
        <f t="shared" si="205"/>
        <v>0</v>
      </c>
      <c r="I277" s="269">
        <f t="shared" si="205"/>
        <v>0</v>
      </c>
      <c r="J277" s="269">
        <f t="shared" si="205"/>
        <v>0</v>
      </c>
      <c r="K277" s="269">
        <f t="shared" si="205"/>
        <v>0</v>
      </c>
      <c r="L277" s="269">
        <f t="shared" si="205"/>
        <v>0</v>
      </c>
      <c r="M277" s="769">
        <f t="shared" si="205"/>
        <v>0</v>
      </c>
      <c r="N277" s="269">
        <f t="shared" si="205"/>
        <v>0</v>
      </c>
      <c r="O277" s="269">
        <f t="shared" si="205"/>
        <v>0</v>
      </c>
      <c r="P277" s="269">
        <f t="shared" si="205"/>
        <v>0</v>
      </c>
      <c r="Q277" s="269">
        <f t="shared" si="205"/>
        <v>0</v>
      </c>
      <c r="R277" s="269">
        <f t="shared" si="205"/>
        <v>0</v>
      </c>
      <c r="S277" s="269">
        <f t="shared" si="205"/>
        <v>0</v>
      </c>
      <c r="T277" s="269">
        <f t="shared" si="205"/>
        <v>0</v>
      </c>
      <c r="U277" s="269">
        <f t="shared" si="205"/>
        <v>0</v>
      </c>
      <c r="V277" s="269">
        <f t="shared" si="205"/>
        <v>0</v>
      </c>
      <c r="W277" s="270">
        <f t="shared" si="205"/>
        <v>0</v>
      </c>
      <c r="X277" s="204">
        <f t="shared" si="187"/>
        <v>0</v>
      </c>
    </row>
    <row r="278" spans="3:24" hidden="1" outlineLevel="1" x14ac:dyDescent="0.25">
      <c r="C278" s="267" t="str">
        <f t="shared" si="184"/>
        <v/>
      </c>
      <c r="D278" s="268">
        <f t="shared" ref="D278:W278" si="206">IF(AND($C278&lt;&gt;"",D$5&lt;&gt;""),SUMIFS(col_iss,col_abertura1,$C278,col_abertura2,D$5)+IF($E$3=$A$4,SUMIFS(col_fatdir_iss_mn,col_abertura1,$C242,col_abertura2,D$5),0),0)</f>
        <v>0</v>
      </c>
      <c r="E278" s="269">
        <f t="shared" si="206"/>
        <v>0</v>
      </c>
      <c r="F278" s="269">
        <f t="shared" si="206"/>
        <v>0</v>
      </c>
      <c r="G278" s="269">
        <f t="shared" si="206"/>
        <v>0</v>
      </c>
      <c r="H278" s="269">
        <f t="shared" si="206"/>
        <v>0</v>
      </c>
      <c r="I278" s="269">
        <f t="shared" si="206"/>
        <v>0</v>
      </c>
      <c r="J278" s="269">
        <f t="shared" si="206"/>
        <v>0</v>
      </c>
      <c r="K278" s="269">
        <f t="shared" si="206"/>
        <v>0</v>
      </c>
      <c r="L278" s="269">
        <f t="shared" si="206"/>
        <v>0</v>
      </c>
      <c r="M278" s="769">
        <f t="shared" si="206"/>
        <v>0</v>
      </c>
      <c r="N278" s="269">
        <f t="shared" si="206"/>
        <v>0</v>
      </c>
      <c r="O278" s="269">
        <f t="shared" si="206"/>
        <v>0</v>
      </c>
      <c r="P278" s="269">
        <f t="shared" si="206"/>
        <v>0</v>
      </c>
      <c r="Q278" s="269">
        <f t="shared" si="206"/>
        <v>0</v>
      </c>
      <c r="R278" s="269">
        <f t="shared" si="206"/>
        <v>0</v>
      </c>
      <c r="S278" s="269">
        <f t="shared" si="206"/>
        <v>0</v>
      </c>
      <c r="T278" s="269">
        <f t="shared" si="206"/>
        <v>0</v>
      </c>
      <c r="U278" s="269">
        <f t="shared" si="206"/>
        <v>0</v>
      </c>
      <c r="V278" s="269">
        <f t="shared" si="206"/>
        <v>0</v>
      </c>
      <c r="W278" s="270">
        <f t="shared" si="206"/>
        <v>0</v>
      </c>
      <c r="X278" s="204">
        <f t="shared" si="187"/>
        <v>0</v>
      </c>
    </row>
    <row r="279" spans="3:24" hidden="1" outlineLevel="1" x14ac:dyDescent="0.25">
      <c r="C279" s="267" t="str">
        <f t="shared" si="184"/>
        <v/>
      </c>
      <c r="D279" s="268">
        <f t="shared" ref="D279:W279" si="207">IF(AND($C279&lt;&gt;"",D$5&lt;&gt;""),SUMIFS(col_iss,col_abertura1,$C279,col_abertura2,D$5)+IF($E$3=$A$4,SUMIFS(col_fatdir_iss_mn,col_abertura1,$C243,col_abertura2,D$5),0),0)</f>
        <v>0</v>
      </c>
      <c r="E279" s="269">
        <f t="shared" si="207"/>
        <v>0</v>
      </c>
      <c r="F279" s="269">
        <f t="shared" si="207"/>
        <v>0</v>
      </c>
      <c r="G279" s="269">
        <f t="shared" si="207"/>
        <v>0</v>
      </c>
      <c r="H279" s="269">
        <f t="shared" si="207"/>
        <v>0</v>
      </c>
      <c r="I279" s="269">
        <f t="shared" si="207"/>
        <v>0</v>
      </c>
      <c r="J279" s="269">
        <f t="shared" si="207"/>
        <v>0</v>
      </c>
      <c r="K279" s="269">
        <f t="shared" si="207"/>
        <v>0</v>
      </c>
      <c r="L279" s="269">
        <f t="shared" si="207"/>
        <v>0</v>
      </c>
      <c r="M279" s="769">
        <f t="shared" si="207"/>
        <v>0</v>
      </c>
      <c r="N279" s="269">
        <f t="shared" si="207"/>
        <v>0</v>
      </c>
      <c r="O279" s="269">
        <f t="shared" si="207"/>
        <v>0</v>
      </c>
      <c r="P279" s="269">
        <f t="shared" si="207"/>
        <v>0</v>
      </c>
      <c r="Q279" s="269">
        <f t="shared" si="207"/>
        <v>0</v>
      </c>
      <c r="R279" s="269">
        <f t="shared" si="207"/>
        <v>0</v>
      </c>
      <c r="S279" s="269">
        <f t="shared" si="207"/>
        <v>0</v>
      </c>
      <c r="T279" s="269">
        <f t="shared" si="207"/>
        <v>0</v>
      </c>
      <c r="U279" s="269">
        <f t="shared" si="207"/>
        <v>0</v>
      </c>
      <c r="V279" s="269">
        <f t="shared" si="207"/>
        <v>0</v>
      </c>
      <c r="W279" s="270">
        <f t="shared" si="207"/>
        <v>0</v>
      </c>
      <c r="X279" s="204">
        <f t="shared" si="187"/>
        <v>0</v>
      </c>
    </row>
    <row r="280" spans="3:24" hidden="1" outlineLevel="1" x14ac:dyDescent="0.25">
      <c r="C280" s="267" t="str">
        <f t="shared" si="184"/>
        <v/>
      </c>
      <c r="D280" s="268">
        <f t="shared" ref="D280:W280" si="208">IF(AND($C280&lt;&gt;"",D$5&lt;&gt;""),SUMIFS(col_iss,col_abertura1,$C280,col_abertura2,D$5)+IF($E$3=$A$4,SUMIFS(col_fatdir_iss_mn,col_abertura1,$C244,col_abertura2,D$5),0),0)</f>
        <v>0</v>
      </c>
      <c r="E280" s="269">
        <f t="shared" si="208"/>
        <v>0</v>
      </c>
      <c r="F280" s="269">
        <f t="shared" si="208"/>
        <v>0</v>
      </c>
      <c r="G280" s="269">
        <f t="shared" si="208"/>
        <v>0</v>
      </c>
      <c r="H280" s="269">
        <f t="shared" si="208"/>
        <v>0</v>
      </c>
      <c r="I280" s="269">
        <f t="shared" si="208"/>
        <v>0</v>
      </c>
      <c r="J280" s="269">
        <f t="shared" si="208"/>
        <v>0</v>
      </c>
      <c r="K280" s="269">
        <f t="shared" si="208"/>
        <v>0</v>
      </c>
      <c r="L280" s="269">
        <f t="shared" si="208"/>
        <v>0</v>
      </c>
      <c r="M280" s="769">
        <f t="shared" si="208"/>
        <v>0</v>
      </c>
      <c r="N280" s="269">
        <f t="shared" si="208"/>
        <v>0</v>
      </c>
      <c r="O280" s="269">
        <f t="shared" si="208"/>
        <v>0</v>
      </c>
      <c r="P280" s="269">
        <f t="shared" si="208"/>
        <v>0</v>
      </c>
      <c r="Q280" s="269">
        <f t="shared" si="208"/>
        <v>0</v>
      </c>
      <c r="R280" s="269">
        <f t="shared" si="208"/>
        <v>0</v>
      </c>
      <c r="S280" s="269">
        <f t="shared" si="208"/>
        <v>0</v>
      </c>
      <c r="T280" s="269">
        <f t="shared" si="208"/>
        <v>0</v>
      </c>
      <c r="U280" s="269">
        <f t="shared" si="208"/>
        <v>0</v>
      </c>
      <c r="V280" s="269">
        <f t="shared" si="208"/>
        <v>0</v>
      </c>
      <c r="W280" s="270">
        <f t="shared" si="208"/>
        <v>0</v>
      </c>
      <c r="X280" s="204">
        <f t="shared" si="187"/>
        <v>0</v>
      </c>
    </row>
    <row r="281" spans="3:24" hidden="1" outlineLevel="1" x14ac:dyDescent="0.25">
      <c r="C281" s="267" t="str">
        <f t="shared" si="184"/>
        <v/>
      </c>
      <c r="D281" s="268">
        <f t="shared" ref="D281:W281" si="209">IF(AND($C281&lt;&gt;"",D$5&lt;&gt;""),SUMIFS(col_iss,col_abertura1,$C281,col_abertura2,D$5)+IF($E$3=$A$4,SUMIFS(col_fatdir_iss_mn,col_abertura1,$C245,col_abertura2,D$5),0),0)</f>
        <v>0</v>
      </c>
      <c r="E281" s="269">
        <f t="shared" si="209"/>
        <v>0</v>
      </c>
      <c r="F281" s="269">
        <f t="shared" si="209"/>
        <v>0</v>
      </c>
      <c r="G281" s="269">
        <f t="shared" si="209"/>
        <v>0</v>
      </c>
      <c r="H281" s="269">
        <f t="shared" si="209"/>
        <v>0</v>
      </c>
      <c r="I281" s="269">
        <f t="shared" si="209"/>
        <v>0</v>
      </c>
      <c r="J281" s="269">
        <f t="shared" si="209"/>
        <v>0</v>
      </c>
      <c r="K281" s="269">
        <f t="shared" si="209"/>
        <v>0</v>
      </c>
      <c r="L281" s="269">
        <f t="shared" si="209"/>
        <v>0</v>
      </c>
      <c r="M281" s="769">
        <f t="shared" si="209"/>
        <v>0</v>
      </c>
      <c r="N281" s="269">
        <f t="shared" si="209"/>
        <v>0</v>
      </c>
      <c r="O281" s="269">
        <f t="shared" si="209"/>
        <v>0</v>
      </c>
      <c r="P281" s="269">
        <f t="shared" si="209"/>
        <v>0</v>
      </c>
      <c r="Q281" s="269">
        <f t="shared" si="209"/>
        <v>0</v>
      </c>
      <c r="R281" s="269">
        <f t="shared" si="209"/>
        <v>0</v>
      </c>
      <c r="S281" s="269">
        <f t="shared" si="209"/>
        <v>0</v>
      </c>
      <c r="T281" s="269">
        <f t="shared" si="209"/>
        <v>0</v>
      </c>
      <c r="U281" s="269">
        <f t="shared" si="209"/>
        <v>0</v>
      </c>
      <c r="V281" s="269">
        <f t="shared" si="209"/>
        <v>0</v>
      </c>
      <c r="W281" s="270">
        <f t="shared" si="209"/>
        <v>0</v>
      </c>
      <c r="X281" s="204">
        <f t="shared" si="187"/>
        <v>0</v>
      </c>
    </row>
    <row r="282" spans="3:24" hidden="1" outlineLevel="1" x14ac:dyDescent="0.25">
      <c r="C282" s="267" t="str">
        <f t="shared" si="184"/>
        <v/>
      </c>
      <c r="D282" s="268">
        <f t="shared" ref="D282:W282" si="210">IF(AND($C282&lt;&gt;"",D$5&lt;&gt;""),SUMIFS(col_iss,col_abertura1,$C282,col_abertura2,D$5)+IF($E$3=$A$4,SUMIFS(col_fatdir_iss_mn,col_abertura1,$C246,col_abertura2,D$5),0),0)</f>
        <v>0</v>
      </c>
      <c r="E282" s="269">
        <f t="shared" si="210"/>
        <v>0</v>
      </c>
      <c r="F282" s="269">
        <f t="shared" si="210"/>
        <v>0</v>
      </c>
      <c r="G282" s="269">
        <f t="shared" si="210"/>
        <v>0</v>
      </c>
      <c r="H282" s="269">
        <f t="shared" si="210"/>
        <v>0</v>
      </c>
      <c r="I282" s="269">
        <f t="shared" si="210"/>
        <v>0</v>
      </c>
      <c r="J282" s="269">
        <f t="shared" si="210"/>
        <v>0</v>
      </c>
      <c r="K282" s="269">
        <f t="shared" si="210"/>
        <v>0</v>
      </c>
      <c r="L282" s="269">
        <f t="shared" si="210"/>
        <v>0</v>
      </c>
      <c r="M282" s="769">
        <f t="shared" si="210"/>
        <v>0</v>
      </c>
      <c r="N282" s="269">
        <f t="shared" si="210"/>
        <v>0</v>
      </c>
      <c r="O282" s="269">
        <f t="shared" si="210"/>
        <v>0</v>
      </c>
      <c r="P282" s="269">
        <f t="shared" si="210"/>
        <v>0</v>
      </c>
      <c r="Q282" s="269">
        <f t="shared" si="210"/>
        <v>0</v>
      </c>
      <c r="R282" s="269">
        <f t="shared" si="210"/>
        <v>0</v>
      </c>
      <c r="S282" s="269">
        <f t="shared" si="210"/>
        <v>0</v>
      </c>
      <c r="T282" s="269">
        <f t="shared" si="210"/>
        <v>0</v>
      </c>
      <c r="U282" s="269">
        <f t="shared" si="210"/>
        <v>0</v>
      </c>
      <c r="V282" s="269">
        <f t="shared" si="210"/>
        <v>0</v>
      </c>
      <c r="W282" s="270">
        <f t="shared" si="210"/>
        <v>0</v>
      </c>
      <c r="X282" s="204">
        <f t="shared" si="187"/>
        <v>0</v>
      </c>
    </row>
    <row r="283" spans="3:24" hidden="1" outlineLevel="1" x14ac:dyDescent="0.25">
      <c r="C283" s="267" t="str">
        <f t="shared" si="184"/>
        <v/>
      </c>
      <c r="D283" s="268">
        <f t="shared" ref="D283:W283" si="211">IF(AND($C283&lt;&gt;"",D$5&lt;&gt;""),SUMIFS(col_iss,col_abertura1,$C283,col_abertura2,D$5)+IF($E$3=$A$4,SUMIFS(col_fatdir_iss_mn,col_abertura1,$C247,col_abertura2,D$5),0),0)</f>
        <v>0</v>
      </c>
      <c r="E283" s="269">
        <f t="shared" si="211"/>
        <v>0</v>
      </c>
      <c r="F283" s="269">
        <f t="shared" si="211"/>
        <v>0</v>
      </c>
      <c r="G283" s="269">
        <f t="shared" si="211"/>
        <v>0</v>
      </c>
      <c r="H283" s="269">
        <f t="shared" si="211"/>
        <v>0</v>
      </c>
      <c r="I283" s="269">
        <f t="shared" si="211"/>
        <v>0</v>
      </c>
      <c r="J283" s="269">
        <f t="shared" si="211"/>
        <v>0</v>
      </c>
      <c r="K283" s="269">
        <f t="shared" si="211"/>
        <v>0</v>
      </c>
      <c r="L283" s="269">
        <f t="shared" si="211"/>
        <v>0</v>
      </c>
      <c r="M283" s="769">
        <f t="shared" si="211"/>
        <v>0</v>
      </c>
      <c r="N283" s="269">
        <f t="shared" si="211"/>
        <v>0</v>
      </c>
      <c r="O283" s="269">
        <f t="shared" si="211"/>
        <v>0</v>
      </c>
      <c r="P283" s="269">
        <f t="shared" si="211"/>
        <v>0</v>
      </c>
      <c r="Q283" s="269">
        <f t="shared" si="211"/>
        <v>0</v>
      </c>
      <c r="R283" s="269">
        <f t="shared" si="211"/>
        <v>0</v>
      </c>
      <c r="S283" s="269">
        <f t="shared" si="211"/>
        <v>0</v>
      </c>
      <c r="T283" s="269">
        <f t="shared" si="211"/>
        <v>0</v>
      </c>
      <c r="U283" s="269">
        <f t="shared" si="211"/>
        <v>0</v>
      </c>
      <c r="V283" s="269">
        <f t="shared" si="211"/>
        <v>0</v>
      </c>
      <c r="W283" s="270">
        <f t="shared" si="211"/>
        <v>0</v>
      </c>
      <c r="X283" s="204">
        <f t="shared" si="187"/>
        <v>0</v>
      </c>
    </row>
    <row r="284" spans="3:24" hidden="1" outlineLevel="1" x14ac:dyDescent="0.25">
      <c r="C284" s="267" t="str">
        <f t="shared" si="184"/>
        <v/>
      </c>
      <c r="D284" s="268">
        <f t="shared" ref="D284:W284" si="212">IF(AND($C284&lt;&gt;"",D$5&lt;&gt;""),SUMIFS(col_iss,col_abertura1,$C284,col_abertura2,D$5)+IF($E$3=$A$4,SUMIFS(col_fatdir_iss_mn,col_abertura1,$C248,col_abertura2,D$5),0),0)</f>
        <v>0</v>
      </c>
      <c r="E284" s="269">
        <f t="shared" si="212"/>
        <v>0</v>
      </c>
      <c r="F284" s="269">
        <f t="shared" si="212"/>
        <v>0</v>
      </c>
      <c r="G284" s="269">
        <f t="shared" si="212"/>
        <v>0</v>
      </c>
      <c r="H284" s="269">
        <f t="shared" si="212"/>
        <v>0</v>
      </c>
      <c r="I284" s="269">
        <f t="shared" si="212"/>
        <v>0</v>
      </c>
      <c r="J284" s="269">
        <f t="shared" si="212"/>
        <v>0</v>
      </c>
      <c r="K284" s="269">
        <f t="shared" si="212"/>
        <v>0</v>
      </c>
      <c r="L284" s="269">
        <f t="shared" si="212"/>
        <v>0</v>
      </c>
      <c r="M284" s="769">
        <f t="shared" si="212"/>
        <v>0</v>
      </c>
      <c r="N284" s="269">
        <f t="shared" si="212"/>
        <v>0</v>
      </c>
      <c r="O284" s="269">
        <f t="shared" si="212"/>
        <v>0</v>
      </c>
      <c r="P284" s="269">
        <f t="shared" si="212"/>
        <v>0</v>
      </c>
      <c r="Q284" s="269">
        <f t="shared" si="212"/>
        <v>0</v>
      </c>
      <c r="R284" s="269">
        <f t="shared" si="212"/>
        <v>0</v>
      </c>
      <c r="S284" s="269">
        <f t="shared" si="212"/>
        <v>0</v>
      </c>
      <c r="T284" s="269">
        <f t="shared" si="212"/>
        <v>0</v>
      </c>
      <c r="U284" s="269">
        <f t="shared" si="212"/>
        <v>0</v>
      </c>
      <c r="V284" s="269">
        <f t="shared" si="212"/>
        <v>0</v>
      </c>
      <c r="W284" s="270">
        <f t="shared" si="212"/>
        <v>0</v>
      </c>
      <c r="X284" s="204">
        <f t="shared" si="187"/>
        <v>0</v>
      </c>
    </row>
    <row r="285" spans="3:24" hidden="1" outlineLevel="1" x14ac:dyDescent="0.25">
      <c r="C285" s="267" t="str">
        <f t="shared" si="184"/>
        <v/>
      </c>
      <c r="D285" s="268">
        <f t="shared" ref="D285:W285" si="213">IF(AND($C285&lt;&gt;"",D$5&lt;&gt;""),SUMIFS(col_iss,col_abertura1,$C285,col_abertura2,D$5)+IF($E$3=$A$4,SUMIFS(col_fatdir_iss_mn,col_abertura1,$C249,col_abertura2,D$5),0),0)</f>
        <v>0</v>
      </c>
      <c r="E285" s="269">
        <f t="shared" si="213"/>
        <v>0</v>
      </c>
      <c r="F285" s="269">
        <f t="shared" si="213"/>
        <v>0</v>
      </c>
      <c r="G285" s="269">
        <f t="shared" si="213"/>
        <v>0</v>
      </c>
      <c r="H285" s="269">
        <f t="shared" si="213"/>
        <v>0</v>
      </c>
      <c r="I285" s="269">
        <f t="shared" si="213"/>
        <v>0</v>
      </c>
      <c r="J285" s="269">
        <f t="shared" si="213"/>
        <v>0</v>
      </c>
      <c r="K285" s="269">
        <f t="shared" si="213"/>
        <v>0</v>
      </c>
      <c r="L285" s="269">
        <f t="shared" si="213"/>
        <v>0</v>
      </c>
      <c r="M285" s="769">
        <f t="shared" si="213"/>
        <v>0</v>
      </c>
      <c r="N285" s="269">
        <f t="shared" si="213"/>
        <v>0</v>
      </c>
      <c r="O285" s="269">
        <f t="shared" si="213"/>
        <v>0</v>
      </c>
      <c r="P285" s="269">
        <f t="shared" si="213"/>
        <v>0</v>
      </c>
      <c r="Q285" s="269">
        <f t="shared" si="213"/>
        <v>0</v>
      </c>
      <c r="R285" s="269">
        <f t="shared" si="213"/>
        <v>0</v>
      </c>
      <c r="S285" s="269">
        <f t="shared" si="213"/>
        <v>0</v>
      </c>
      <c r="T285" s="269">
        <f t="shared" si="213"/>
        <v>0</v>
      </c>
      <c r="U285" s="269">
        <f t="shared" si="213"/>
        <v>0</v>
      </c>
      <c r="V285" s="269">
        <f t="shared" si="213"/>
        <v>0</v>
      </c>
      <c r="W285" s="270">
        <f t="shared" si="213"/>
        <v>0</v>
      </c>
      <c r="X285" s="204">
        <f t="shared" si="187"/>
        <v>0</v>
      </c>
    </row>
    <row r="286" spans="3:24" hidden="1" outlineLevel="1" x14ac:dyDescent="0.25">
      <c r="C286" s="267" t="str">
        <f t="shared" si="184"/>
        <v/>
      </c>
      <c r="D286" s="268">
        <f t="shared" ref="D286:W286" si="214">IF(AND($C286&lt;&gt;"",D$5&lt;&gt;""),SUMIFS(col_iss,col_abertura1,$C286,col_abertura2,D$5)+IF($E$3=$A$4,SUMIFS(col_fatdir_iss_mn,col_abertura1,$C250,col_abertura2,D$5),0),0)</f>
        <v>0</v>
      </c>
      <c r="E286" s="269">
        <f t="shared" si="214"/>
        <v>0</v>
      </c>
      <c r="F286" s="269">
        <f t="shared" si="214"/>
        <v>0</v>
      </c>
      <c r="G286" s="269">
        <f t="shared" si="214"/>
        <v>0</v>
      </c>
      <c r="H286" s="269">
        <f t="shared" si="214"/>
        <v>0</v>
      </c>
      <c r="I286" s="269">
        <f t="shared" si="214"/>
        <v>0</v>
      </c>
      <c r="J286" s="269">
        <f t="shared" si="214"/>
        <v>0</v>
      </c>
      <c r="K286" s="269">
        <f t="shared" si="214"/>
        <v>0</v>
      </c>
      <c r="L286" s="269">
        <f t="shared" si="214"/>
        <v>0</v>
      </c>
      <c r="M286" s="769">
        <f t="shared" si="214"/>
        <v>0</v>
      </c>
      <c r="N286" s="269">
        <f t="shared" si="214"/>
        <v>0</v>
      </c>
      <c r="O286" s="269">
        <f t="shared" si="214"/>
        <v>0</v>
      </c>
      <c r="P286" s="269">
        <f t="shared" si="214"/>
        <v>0</v>
      </c>
      <c r="Q286" s="269">
        <f t="shared" si="214"/>
        <v>0</v>
      </c>
      <c r="R286" s="269">
        <f t="shared" si="214"/>
        <v>0</v>
      </c>
      <c r="S286" s="269">
        <f t="shared" si="214"/>
        <v>0</v>
      </c>
      <c r="T286" s="269">
        <f t="shared" si="214"/>
        <v>0</v>
      </c>
      <c r="U286" s="269">
        <f t="shared" si="214"/>
        <v>0</v>
      </c>
      <c r="V286" s="269">
        <f t="shared" si="214"/>
        <v>0</v>
      </c>
      <c r="W286" s="270">
        <f t="shared" si="214"/>
        <v>0</v>
      </c>
      <c r="X286" s="204">
        <f t="shared" si="187"/>
        <v>0</v>
      </c>
    </row>
    <row r="287" spans="3:24" hidden="1" outlineLevel="1" x14ac:dyDescent="0.25">
      <c r="C287" s="271" t="str">
        <f t="shared" si="184"/>
        <v>Padrões</v>
      </c>
      <c r="D287" s="272">
        <f t="shared" ref="D287:W287" si="215">IF(AND($C287&lt;&gt;"",D$5&lt;&gt;""),SUMIFS(col_iss,col_abertura1,$C287,col_abertura2,D$5)+IF($E$3=$A$4,SUMIFS(col_fatdir_iss_mn,col_abertura1,$C251,col_abertura2,D$5),0),0)</f>
        <v>0</v>
      </c>
      <c r="E287" s="273">
        <f t="shared" si="215"/>
        <v>0</v>
      </c>
      <c r="F287" s="273">
        <f t="shared" si="215"/>
        <v>0</v>
      </c>
      <c r="G287" s="273">
        <f t="shared" si="215"/>
        <v>0</v>
      </c>
      <c r="H287" s="273">
        <f t="shared" si="215"/>
        <v>0</v>
      </c>
      <c r="I287" s="273">
        <f t="shared" si="215"/>
        <v>0</v>
      </c>
      <c r="J287" s="273">
        <f t="shared" si="215"/>
        <v>0</v>
      </c>
      <c r="K287" s="273">
        <f t="shared" si="215"/>
        <v>0</v>
      </c>
      <c r="L287" s="273">
        <f t="shared" si="215"/>
        <v>0</v>
      </c>
      <c r="M287" s="770">
        <f t="shared" si="215"/>
        <v>0</v>
      </c>
      <c r="N287" s="273">
        <f t="shared" si="215"/>
        <v>0</v>
      </c>
      <c r="O287" s="273">
        <f t="shared" si="215"/>
        <v>0</v>
      </c>
      <c r="P287" s="273">
        <f t="shared" si="215"/>
        <v>0</v>
      </c>
      <c r="Q287" s="273">
        <f t="shared" si="215"/>
        <v>0</v>
      </c>
      <c r="R287" s="273">
        <f t="shared" si="215"/>
        <v>0</v>
      </c>
      <c r="S287" s="273">
        <f t="shared" si="215"/>
        <v>0</v>
      </c>
      <c r="T287" s="273">
        <f t="shared" si="215"/>
        <v>0</v>
      </c>
      <c r="U287" s="273">
        <f t="shared" si="215"/>
        <v>0</v>
      </c>
      <c r="V287" s="273">
        <f t="shared" si="215"/>
        <v>0</v>
      </c>
      <c r="W287" s="274">
        <f t="shared" si="215"/>
        <v>0</v>
      </c>
      <c r="X287" s="204">
        <f t="shared" si="187"/>
        <v>0</v>
      </c>
    </row>
    <row r="288" spans="3:24" hidden="1" outlineLevel="1" x14ac:dyDescent="0.25">
      <c r="C288" s="187"/>
      <c r="D288" s="281">
        <f>SUM(D258:D287)</f>
        <v>9015.2355242170779</v>
      </c>
      <c r="E288" s="281">
        <f t="shared" ref="E288" si="216">SUM(E258:E287)</f>
        <v>0</v>
      </c>
      <c r="F288" s="281">
        <f t="shared" ref="F288" si="217">SUM(F258:F287)</f>
        <v>2444.0076319620484</v>
      </c>
      <c r="G288" s="281">
        <f t="shared" ref="G288" si="218">SUM(G258:G287)</f>
        <v>0</v>
      </c>
      <c r="H288" s="281">
        <f t="shared" ref="H288" si="219">SUM(H258:H287)</f>
        <v>0</v>
      </c>
      <c r="I288" s="281">
        <f t="shared" ref="I288" si="220">SUM(I258:I287)</f>
        <v>0</v>
      </c>
      <c r="J288" s="281">
        <f t="shared" ref="J288" si="221">SUM(J258:J287)</f>
        <v>0</v>
      </c>
      <c r="K288" s="281">
        <f t="shared" ref="K288" si="222">SUM(K258:K287)</f>
        <v>0</v>
      </c>
      <c r="L288" s="281">
        <f t="shared" ref="L288" si="223">SUM(L258:L287)</f>
        <v>0</v>
      </c>
      <c r="M288" s="771">
        <f t="shared" ref="M288" si="224">SUM(M258:M287)</f>
        <v>0</v>
      </c>
      <c r="N288" s="281">
        <f t="shared" ref="N288" si="225">SUM(N258:N287)</f>
        <v>0</v>
      </c>
      <c r="O288" s="281">
        <f t="shared" ref="O288" si="226">SUM(O258:O287)</f>
        <v>0</v>
      </c>
      <c r="P288" s="281">
        <f t="shared" ref="P288" si="227">SUM(P258:P287)</f>
        <v>0</v>
      </c>
      <c r="Q288" s="281">
        <f t="shared" ref="Q288" si="228">SUM(Q258:Q287)</f>
        <v>0</v>
      </c>
      <c r="R288" s="281">
        <f t="shared" ref="R288" si="229">SUM(R258:R287)</f>
        <v>0</v>
      </c>
      <c r="S288" s="281">
        <f t="shared" ref="S288" si="230">SUM(S258:S287)</f>
        <v>0</v>
      </c>
      <c r="T288" s="281">
        <f t="shared" ref="T288" si="231">SUM(T258:T287)</f>
        <v>0</v>
      </c>
      <c r="U288" s="281">
        <f t="shared" ref="U288" si="232">SUM(U258:U287)</f>
        <v>0</v>
      </c>
      <c r="V288" s="281">
        <f t="shared" ref="V288" si="233">SUM(V258:V287)</f>
        <v>0</v>
      </c>
      <c r="W288" s="281">
        <f t="shared" ref="W288" si="234">SUM(W258:W287)</f>
        <v>0</v>
      </c>
      <c r="X288" s="280">
        <f>SUM(X258:X287)</f>
        <v>11459.243156179127</v>
      </c>
    </row>
    <row r="289" spans="3:24" hidden="1" outlineLevel="1" x14ac:dyDescent="0.25">
      <c r="C289" s="120"/>
    </row>
    <row r="290" spans="3:24" hidden="1" outlineLevel="1" x14ac:dyDescent="0.25">
      <c r="U290" s="282" t="s">
        <v>339</v>
      </c>
      <c r="V290" s="282" t="s">
        <v>340</v>
      </c>
    </row>
    <row r="291" spans="3:24" collapsed="1" x14ac:dyDescent="0.25">
      <c r="D291" s="114" t="s">
        <v>680</v>
      </c>
      <c r="U291" s="283">
        <f>SUM(D294:W323)</f>
        <v>0</v>
      </c>
      <c r="V291" s="283">
        <f>Dados!M111</f>
        <v>0</v>
      </c>
      <c r="W291" s="522" t="b">
        <f>IF(ABS(U291-V291)&lt;0.01,TRUE,FALSE)</f>
        <v>1</v>
      </c>
    </row>
    <row r="292" spans="3:24" hidden="1" outlineLevel="1" x14ac:dyDescent="0.25"/>
    <row r="293" spans="3:24" hidden="1" outlineLevel="1" x14ac:dyDescent="0.25">
      <c r="D293" s="260" t="str">
        <f>IF(D221&lt;&gt;"",D221,"")</f>
        <v>SAGE</v>
      </c>
      <c r="E293" s="261" t="str">
        <f t="shared" ref="E293:W293" si="235">IF(E221&lt;&gt;"",E221,"")</f>
        <v>TELECOM</v>
      </c>
      <c r="F293" s="261" t="str">
        <f t="shared" si="235"/>
        <v>GERAL</v>
      </c>
      <c r="G293" s="261" t="str">
        <f t="shared" si="235"/>
        <v/>
      </c>
      <c r="H293" s="261" t="str">
        <f t="shared" si="235"/>
        <v/>
      </c>
      <c r="I293" s="261" t="str">
        <f t="shared" si="235"/>
        <v/>
      </c>
      <c r="J293" s="261" t="str">
        <f t="shared" si="235"/>
        <v/>
      </c>
      <c r="K293" s="261" t="str">
        <f t="shared" si="235"/>
        <v/>
      </c>
      <c r="L293" s="261" t="str">
        <f t="shared" si="235"/>
        <v/>
      </c>
      <c r="M293" s="261" t="str">
        <f t="shared" si="235"/>
        <v/>
      </c>
      <c r="N293" s="261" t="str">
        <f t="shared" si="235"/>
        <v/>
      </c>
      <c r="O293" s="261" t="str">
        <f t="shared" si="235"/>
        <v/>
      </c>
      <c r="P293" s="261" t="str">
        <f t="shared" si="235"/>
        <v/>
      </c>
      <c r="Q293" s="261" t="str">
        <f t="shared" si="235"/>
        <v/>
      </c>
      <c r="R293" s="261" t="str">
        <f t="shared" si="235"/>
        <v/>
      </c>
      <c r="S293" s="261" t="str">
        <f t="shared" si="235"/>
        <v/>
      </c>
      <c r="T293" s="261" t="str">
        <f t="shared" si="235"/>
        <v/>
      </c>
      <c r="U293" s="261" t="str">
        <f t="shared" si="235"/>
        <v/>
      </c>
      <c r="V293" s="261" t="str">
        <f t="shared" si="235"/>
        <v/>
      </c>
      <c r="W293" s="262" t="str">
        <f t="shared" si="235"/>
        <v/>
      </c>
    </row>
    <row r="294" spans="3:24" hidden="1" outlineLevel="1" x14ac:dyDescent="0.25">
      <c r="C294" s="263" t="str">
        <f t="shared" ref="C294:C323" si="236">IF(C222&lt;&gt;"",C222,"")</f>
        <v>MAT</v>
      </c>
      <c r="D294" s="264">
        <f t="shared" ref="D294:M303" si="237">SUMIFS(col_fatdir_bruto_com_mn,col_abertura1,$C294,col_abertura2,D$293,col_fatdir,"Sim")</f>
        <v>0</v>
      </c>
      <c r="E294" s="265">
        <f t="shared" si="237"/>
        <v>0</v>
      </c>
      <c r="F294" s="265">
        <f t="shared" si="237"/>
        <v>0</v>
      </c>
      <c r="G294" s="265">
        <f t="shared" si="237"/>
        <v>0</v>
      </c>
      <c r="H294" s="265">
        <f t="shared" si="237"/>
        <v>0</v>
      </c>
      <c r="I294" s="265">
        <f t="shared" si="237"/>
        <v>0</v>
      </c>
      <c r="J294" s="265">
        <f t="shared" si="237"/>
        <v>0</v>
      </c>
      <c r="K294" s="265">
        <f t="shared" si="237"/>
        <v>0</v>
      </c>
      <c r="L294" s="265">
        <f t="shared" si="237"/>
        <v>0</v>
      </c>
      <c r="M294" s="768">
        <f t="shared" si="237"/>
        <v>0</v>
      </c>
      <c r="N294" s="265">
        <f t="shared" ref="N294:W303" si="238">SUMIFS(col_fatdir_bruto_com_mn,col_abertura1,$C294,col_abertura2,N$293,col_fatdir,"Sim")</f>
        <v>0</v>
      </c>
      <c r="O294" s="265">
        <f t="shared" si="238"/>
        <v>0</v>
      </c>
      <c r="P294" s="265">
        <f t="shared" si="238"/>
        <v>0</v>
      </c>
      <c r="Q294" s="265">
        <f t="shared" si="238"/>
        <v>0</v>
      </c>
      <c r="R294" s="265">
        <f t="shared" si="238"/>
        <v>0</v>
      </c>
      <c r="S294" s="265">
        <f t="shared" si="238"/>
        <v>0</v>
      </c>
      <c r="T294" s="265">
        <f t="shared" si="238"/>
        <v>0</v>
      </c>
      <c r="U294" s="265">
        <f t="shared" si="238"/>
        <v>0</v>
      </c>
      <c r="V294" s="265">
        <f t="shared" si="238"/>
        <v>0</v>
      </c>
      <c r="W294" s="266">
        <f t="shared" si="238"/>
        <v>0</v>
      </c>
      <c r="X294" s="204">
        <f>SUM(D294:W294)</f>
        <v>0</v>
      </c>
    </row>
    <row r="295" spans="3:24" hidden="1" outlineLevel="1" x14ac:dyDescent="0.25">
      <c r="C295" s="267" t="str">
        <f t="shared" si="236"/>
        <v>SRV</v>
      </c>
      <c r="D295" s="268">
        <f t="shared" si="237"/>
        <v>0</v>
      </c>
      <c r="E295" s="269">
        <f t="shared" si="237"/>
        <v>0</v>
      </c>
      <c r="F295" s="269">
        <f t="shared" si="237"/>
        <v>0</v>
      </c>
      <c r="G295" s="269">
        <f t="shared" si="237"/>
        <v>0</v>
      </c>
      <c r="H295" s="269">
        <f t="shared" si="237"/>
        <v>0</v>
      </c>
      <c r="I295" s="269">
        <f t="shared" si="237"/>
        <v>0</v>
      </c>
      <c r="J295" s="269">
        <f t="shared" si="237"/>
        <v>0</v>
      </c>
      <c r="K295" s="269">
        <f t="shared" si="237"/>
        <v>0</v>
      </c>
      <c r="L295" s="269">
        <f t="shared" si="237"/>
        <v>0</v>
      </c>
      <c r="M295" s="769">
        <f t="shared" si="237"/>
        <v>0</v>
      </c>
      <c r="N295" s="269">
        <f t="shared" si="238"/>
        <v>0</v>
      </c>
      <c r="O295" s="269">
        <f t="shared" si="238"/>
        <v>0</v>
      </c>
      <c r="P295" s="269">
        <f t="shared" si="238"/>
        <v>0</v>
      </c>
      <c r="Q295" s="269">
        <f t="shared" si="238"/>
        <v>0</v>
      </c>
      <c r="R295" s="269">
        <f t="shared" si="238"/>
        <v>0</v>
      </c>
      <c r="S295" s="269">
        <f t="shared" si="238"/>
        <v>0</v>
      </c>
      <c r="T295" s="269">
        <f t="shared" si="238"/>
        <v>0</v>
      </c>
      <c r="U295" s="269">
        <f t="shared" si="238"/>
        <v>0</v>
      </c>
      <c r="V295" s="269">
        <f t="shared" si="238"/>
        <v>0</v>
      </c>
      <c r="W295" s="270">
        <f t="shared" si="238"/>
        <v>0</v>
      </c>
      <c r="X295" s="204">
        <f t="shared" ref="X295:X323" si="239">SUM(D295:W295)</f>
        <v>0</v>
      </c>
    </row>
    <row r="296" spans="3:24" hidden="1" outlineLevel="1" x14ac:dyDescent="0.25">
      <c r="C296" s="267" t="str">
        <f t="shared" si="236"/>
        <v>MOBI</v>
      </c>
      <c r="D296" s="268">
        <f t="shared" si="237"/>
        <v>0</v>
      </c>
      <c r="E296" s="269">
        <f t="shared" si="237"/>
        <v>0</v>
      </c>
      <c r="F296" s="269">
        <f t="shared" si="237"/>
        <v>0</v>
      </c>
      <c r="G296" s="269">
        <f t="shared" si="237"/>
        <v>0</v>
      </c>
      <c r="H296" s="269">
        <f t="shared" si="237"/>
        <v>0</v>
      </c>
      <c r="I296" s="269">
        <f t="shared" si="237"/>
        <v>0</v>
      </c>
      <c r="J296" s="269">
        <f t="shared" si="237"/>
        <v>0</v>
      </c>
      <c r="K296" s="269">
        <f t="shared" si="237"/>
        <v>0</v>
      </c>
      <c r="L296" s="269">
        <f t="shared" si="237"/>
        <v>0</v>
      </c>
      <c r="M296" s="769">
        <f t="shared" si="237"/>
        <v>0</v>
      </c>
      <c r="N296" s="269">
        <f t="shared" si="238"/>
        <v>0</v>
      </c>
      <c r="O296" s="269">
        <f t="shared" si="238"/>
        <v>0</v>
      </c>
      <c r="P296" s="269">
        <f t="shared" si="238"/>
        <v>0</v>
      </c>
      <c r="Q296" s="269">
        <f t="shared" si="238"/>
        <v>0</v>
      </c>
      <c r="R296" s="269">
        <f t="shared" si="238"/>
        <v>0</v>
      </c>
      <c r="S296" s="269">
        <f t="shared" si="238"/>
        <v>0</v>
      </c>
      <c r="T296" s="269">
        <f t="shared" si="238"/>
        <v>0</v>
      </c>
      <c r="U296" s="269">
        <f t="shared" si="238"/>
        <v>0</v>
      </c>
      <c r="V296" s="269">
        <f t="shared" si="238"/>
        <v>0</v>
      </c>
      <c r="W296" s="270">
        <f t="shared" si="238"/>
        <v>0</v>
      </c>
      <c r="X296" s="204">
        <f t="shared" si="239"/>
        <v>0</v>
      </c>
    </row>
    <row r="297" spans="3:24" hidden="1" outlineLevel="1" x14ac:dyDescent="0.25">
      <c r="C297" s="267" t="str">
        <f t="shared" si="236"/>
        <v>TREIN</v>
      </c>
      <c r="D297" s="268">
        <f t="shared" si="237"/>
        <v>0</v>
      </c>
      <c r="E297" s="269">
        <f t="shared" si="237"/>
        <v>0</v>
      </c>
      <c r="F297" s="269">
        <f t="shared" si="237"/>
        <v>0</v>
      </c>
      <c r="G297" s="269">
        <f t="shared" si="237"/>
        <v>0</v>
      </c>
      <c r="H297" s="269">
        <f t="shared" si="237"/>
        <v>0</v>
      </c>
      <c r="I297" s="269">
        <f t="shared" si="237"/>
        <v>0</v>
      </c>
      <c r="J297" s="269">
        <f t="shared" si="237"/>
        <v>0</v>
      </c>
      <c r="K297" s="269">
        <f t="shared" si="237"/>
        <v>0</v>
      </c>
      <c r="L297" s="269">
        <f t="shared" si="237"/>
        <v>0</v>
      </c>
      <c r="M297" s="769">
        <f t="shared" si="237"/>
        <v>0</v>
      </c>
      <c r="N297" s="269">
        <f t="shared" si="238"/>
        <v>0</v>
      </c>
      <c r="O297" s="269">
        <f t="shared" si="238"/>
        <v>0</v>
      </c>
      <c r="P297" s="269">
        <f t="shared" si="238"/>
        <v>0</v>
      </c>
      <c r="Q297" s="269">
        <f t="shared" si="238"/>
        <v>0</v>
      </c>
      <c r="R297" s="269">
        <f t="shared" si="238"/>
        <v>0</v>
      </c>
      <c r="S297" s="269">
        <f t="shared" si="238"/>
        <v>0</v>
      </c>
      <c r="T297" s="269">
        <f t="shared" si="238"/>
        <v>0</v>
      </c>
      <c r="U297" s="269">
        <f t="shared" si="238"/>
        <v>0</v>
      </c>
      <c r="V297" s="269">
        <f t="shared" si="238"/>
        <v>0</v>
      </c>
      <c r="W297" s="270">
        <f t="shared" si="238"/>
        <v>0</v>
      </c>
      <c r="X297" s="204">
        <f t="shared" si="239"/>
        <v>0</v>
      </c>
    </row>
    <row r="298" spans="3:24" hidden="1" outlineLevel="1" x14ac:dyDescent="0.25">
      <c r="C298" s="267" t="str">
        <f t="shared" si="236"/>
        <v/>
      </c>
      <c r="D298" s="268">
        <f t="shared" si="237"/>
        <v>0</v>
      </c>
      <c r="E298" s="269">
        <f t="shared" si="237"/>
        <v>0</v>
      </c>
      <c r="F298" s="269">
        <f t="shared" si="237"/>
        <v>0</v>
      </c>
      <c r="G298" s="269">
        <f t="shared" si="237"/>
        <v>0</v>
      </c>
      <c r="H298" s="269">
        <f t="shared" si="237"/>
        <v>0</v>
      </c>
      <c r="I298" s="269">
        <f t="shared" si="237"/>
        <v>0</v>
      </c>
      <c r="J298" s="269">
        <f t="shared" si="237"/>
        <v>0</v>
      </c>
      <c r="K298" s="269">
        <f t="shared" si="237"/>
        <v>0</v>
      </c>
      <c r="L298" s="269">
        <f t="shared" si="237"/>
        <v>0</v>
      </c>
      <c r="M298" s="769">
        <f t="shared" si="237"/>
        <v>0</v>
      </c>
      <c r="N298" s="269">
        <f t="shared" si="238"/>
        <v>0</v>
      </c>
      <c r="O298" s="269">
        <f t="shared" si="238"/>
        <v>0</v>
      </c>
      <c r="P298" s="269">
        <f t="shared" si="238"/>
        <v>0</v>
      </c>
      <c r="Q298" s="269">
        <f t="shared" si="238"/>
        <v>0</v>
      </c>
      <c r="R298" s="269">
        <f t="shared" si="238"/>
        <v>0</v>
      </c>
      <c r="S298" s="269">
        <f t="shared" si="238"/>
        <v>0</v>
      </c>
      <c r="T298" s="269">
        <f t="shared" si="238"/>
        <v>0</v>
      </c>
      <c r="U298" s="269">
        <f t="shared" si="238"/>
        <v>0</v>
      </c>
      <c r="V298" s="269">
        <f t="shared" si="238"/>
        <v>0</v>
      </c>
      <c r="W298" s="270">
        <f t="shared" si="238"/>
        <v>0</v>
      </c>
      <c r="X298" s="204">
        <f t="shared" si="239"/>
        <v>0</v>
      </c>
    </row>
    <row r="299" spans="3:24" hidden="1" outlineLevel="1" x14ac:dyDescent="0.25">
      <c r="C299" s="267" t="str">
        <f t="shared" si="236"/>
        <v/>
      </c>
      <c r="D299" s="268">
        <f t="shared" si="237"/>
        <v>0</v>
      </c>
      <c r="E299" s="269">
        <f t="shared" si="237"/>
        <v>0</v>
      </c>
      <c r="F299" s="269">
        <f t="shared" si="237"/>
        <v>0</v>
      </c>
      <c r="G299" s="269">
        <f t="shared" si="237"/>
        <v>0</v>
      </c>
      <c r="H299" s="269">
        <f t="shared" si="237"/>
        <v>0</v>
      </c>
      <c r="I299" s="269">
        <f t="shared" si="237"/>
        <v>0</v>
      </c>
      <c r="J299" s="269">
        <f t="shared" si="237"/>
        <v>0</v>
      </c>
      <c r="K299" s="269">
        <f t="shared" si="237"/>
        <v>0</v>
      </c>
      <c r="L299" s="269">
        <f t="shared" si="237"/>
        <v>0</v>
      </c>
      <c r="M299" s="769">
        <f t="shared" si="237"/>
        <v>0</v>
      </c>
      <c r="N299" s="269">
        <f t="shared" si="238"/>
        <v>0</v>
      </c>
      <c r="O299" s="269">
        <f t="shared" si="238"/>
        <v>0</v>
      </c>
      <c r="P299" s="269">
        <f t="shared" si="238"/>
        <v>0</v>
      </c>
      <c r="Q299" s="269">
        <f t="shared" si="238"/>
        <v>0</v>
      </c>
      <c r="R299" s="269">
        <f t="shared" si="238"/>
        <v>0</v>
      </c>
      <c r="S299" s="269">
        <f t="shared" si="238"/>
        <v>0</v>
      </c>
      <c r="T299" s="269">
        <f t="shared" si="238"/>
        <v>0</v>
      </c>
      <c r="U299" s="269">
        <f t="shared" si="238"/>
        <v>0</v>
      </c>
      <c r="V299" s="269">
        <f t="shared" si="238"/>
        <v>0</v>
      </c>
      <c r="W299" s="270">
        <f t="shared" si="238"/>
        <v>0</v>
      </c>
      <c r="X299" s="204">
        <f t="shared" si="239"/>
        <v>0</v>
      </c>
    </row>
    <row r="300" spans="3:24" hidden="1" outlineLevel="1" x14ac:dyDescent="0.25">
      <c r="C300" s="267" t="str">
        <f t="shared" si="236"/>
        <v/>
      </c>
      <c r="D300" s="268">
        <f t="shared" si="237"/>
        <v>0</v>
      </c>
      <c r="E300" s="269">
        <f t="shared" si="237"/>
        <v>0</v>
      </c>
      <c r="F300" s="269">
        <f t="shared" si="237"/>
        <v>0</v>
      </c>
      <c r="G300" s="269">
        <f t="shared" si="237"/>
        <v>0</v>
      </c>
      <c r="H300" s="269">
        <f t="shared" si="237"/>
        <v>0</v>
      </c>
      <c r="I300" s="269">
        <f t="shared" si="237"/>
        <v>0</v>
      </c>
      <c r="J300" s="269">
        <f t="shared" si="237"/>
        <v>0</v>
      </c>
      <c r="K300" s="269">
        <f t="shared" si="237"/>
        <v>0</v>
      </c>
      <c r="L300" s="269">
        <f t="shared" si="237"/>
        <v>0</v>
      </c>
      <c r="M300" s="769">
        <f t="shared" si="237"/>
        <v>0</v>
      </c>
      <c r="N300" s="269">
        <f t="shared" si="238"/>
        <v>0</v>
      </c>
      <c r="O300" s="269">
        <f t="shared" si="238"/>
        <v>0</v>
      </c>
      <c r="P300" s="269">
        <f t="shared" si="238"/>
        <v>0</v>
      </c>
      <c r="Q300" s="269">
        <f t="shared" si="238"/>
        <v>0</v>
      </c>
      <c r="R300" s="269">
        <f t="shared" si="238"/>
        <v>0</v>
      </c>
      <c r="S300" s="269">
        <f t="shared" si="238"/>
        <v>0</v>
      </c>
      <c r="T300" s="269">
        <f t="shared" si="238"/>
        <v>0</v>
      </c>
      <c r="U300" s="269">
        <f t="shared" si="238"/>
        <v>0</v>
      </c>
      <c r="V300" s="269">
        <f t="shared" si="238"/>
        <v>0</v>
      </c>
      <c r="W300" s="270">
        <f t="shared" si="238"/>
        <v>0</v>
      </c>
      <c r="X300" s="204">
        <f t="shared" si="239"/>
        <v>0</v>
      </c>
    </row>
    <row r="301" spans="3:24" hidden="1" outlineLevel="1" x14ac:dyDescent="0.25">
      <c r="C301" s="267" t="str">
        <f t="shared" si="236"/>
        <v/>
      </c>
      <c r="D301" s="268">
        <f t="shared" si="237"/>
        <v>0</v>
      </c>
      <c r="E301" s="269">
        <f t="shared" si="237"/>
        <v>0</v>
      </c>
      <c r="F301" s="269">
        <f t="shared" si="237"/>
        <v>0</v>
      </c>
      <c r="G301" s="269">
        <f t="shared" si="237"/>
        <v>0</v>
      </c>
      <c r="H301" s="269">
        <f t="shared" si="237"/>
        <v>0</v>
      </c>
      <c r="I301" s="269">
        <f t="shared" si="237"/>
        <v>0</v>
      </c>
      <c r="J301" s="269">
        <f t="shared" si="237"/>
        <v>0</v>
      </c>
      <c r="K301" s="269">
        <f t="shared" si="237"/>
        <v>0</v>
      </c>
      <c r="L301" s="269">
        <f t="shared" si="237"/>
        <v>0</v>
      </c>
      <c r="M301" s="769">
        <f t="shared" si="237"/>
        <v>0</v>
      </c>
      <c r="N301" s="269">
        <f t="shared" si="238"/>
        <v>0</v>
      </c>
      <c r="O301" s="269">
        <f t="shared" si="238"/>
        <v>0</v>
      </c>
      <c r="P301" s="269">
        <f t="shared" si="238"/>
        <v>0</v>
      </c>
      <c r="Q301" s="269">
        <f t="shared" si="238"/>
        <v>0</v>
      </c>
      <c r="R301" s="269">
        <f t="shared" si="238"/>
        <v>0</v>
      </c>
      <c r="S301" s="269">
        <f t="shared" si="238"/>
        <v>0</v>
      </c>
      <c r="T301" s="269">
        <f t="shared" si="238"/>
        <v>0</v>
      </c>
      <c r="U301" s="269">
        <f t="shared" si="238"/>
        <v>0</v>
      </c>
      <c r="V301" s="269">
        <f t="shared" si="238"/>
        <v>0</v>
      </c>
      <c r="W301" s="270">
        <f t="shared" si="238"/>
        <v>0</v>
      </c>
      <c r="X301" s="204">
        <f t="shared" si="239"/>
        <v>0</v>
      </c>
    </row>
    <row r="302" spans="3:24" hidden="1" outlineLevel="1" x14ac:dyDescent="0.25">
      <c r="C302" s="267" t="str">
        <f t="shared" si="236"/>
        <v/>
      </c>
      <c r="D302" s="268">
        <f t="shared" si="237"/>
        <v>0</v>
      </c>
      <c r="E302" s="269">
        <f t="shared" si="237"/>
        <v>0</v>
      </c>
      <c r="F302" s="269">
        <f t="shared" si="237"/>
        <v>0</v>
      </c>
      <c r="G302" s="269">
        <f t="shared" si="237"/>
        <v>0</v>
      </c>
      <c r="H302" s="269">
        <f t="shared" si="237"/>
        <v>0</v>
      </c>
      <c r="I302" s="269">
        <f t="shared" si="237"/>
        <v>0</v>
      </c>
      <c r="J302" s="269">
        <f t="shared" si="237"/>
        <v>0</v>
      </c>
      <c r="K302" s="269">
        <f t="shared" si="237"/>
        <v>0</v>
      </c>
      <c r="L302" s="269">
        <f t="shared" si="237"/>
        <v>0</v>
      </c>
      <c r="M302" s="769">
        <f t="shared" si="237"/>
        <v>0</v>
      </c>
      <c r="N302" s="269">
        <f t="shared" si="238"/>
        <v>0</v>
      </c>
      <c r="O302" s="269">
        <f t="shared" si="238"/>
        <v>0</v>
      </c>
      <c r="P302" s="269">
        <f t="shared" si="238"/>
        <v>0</v>
      </c>
      <c r="Q302" s="269">
        <f t="shared" si="238"/>
        <v>0</v>
      </c>
      <c r="R302" s="269">
        <f t="shared" si="238"/>
        <v>0</v>
      </c>
      <c r="S302" s="269">
        <f t="shared" si="238"/>
        <v>0</v>
      </c>
      <c r="T302" s="269">
        <f t="shared" si="238"/>
        <v>0</v>
      </c>
      <c r="U302" s="269">
        <f t="shared" si="238"/>
        <v>0</v>
      </c>
      <c r="V302" s="269">
        <f t="shared" si="238"/>
        <v>0</v>
      </c>
      <c r="W302" s="270">
        <f t="shared" si="238"/>
        <v>0</v>
      </c>
      <c r="X302" s="204">
        <f t="shared" si="239"/>
        <v>0</v>
      </c>
    </row>
    <row r="303" spans="3:24" hidden="1" outlineLevel="1" x14ac:dyDescent="0.25">
      <c r="C303" s="267" t="str">
        <f t="shared" si="236"/>
        <v/>
      </c>
      <c r="D303" s="268">
        <f t="shared" si="237"/>
        <v>0</v>
      </c>
      <c r="E303" s="269">
        <f t="shared" si="237"/>
        <v>0</v>
      </c>
      <c r="F303" s="269">
        <f t="shared" si="237"/>
        <v>0</v>
      </c>
      <c r="G303" s="269">
        <f t="shared" si="237"/>
        <v>0</v>
      </c>
      <c r="H303" s="269">
        <f t="shared" si="237"/>
        <v>0</v>
      </c>
      <c r="I303" s="269">
        <f t="shared" si="237"/>
        <v>0</v>
      </c>
      <c r="J303" s="269">
        <f t="shared" si="237"/>
        <v>0</v>
      </c>
      <c r="K303" s="269">
        <f t="shared" si="237"/>
        <v>0</v>
      </c>
      <c r="L303" s="269">
        <f t="shared" si="237"/>
        <v>0</v>
      </c>
      <c r="M303" s="769">
        <f t="shared" si="237"/>
        <v>0</v>
      </c>
      <c r="N303" s="269">
        <f t="shared" si="238"/>
        <v>0</v>
      </c>
      <c r="O303" s="269">
        <f t="shared" si="238"/>
        <v>0</v>
      </c>
      <c r="P303" s="269">
        <f t="shared" si="238"/>
        <v>0</v>
      </c>
      <c r="Q303" s="269">
        <f t="shared" si="238"/>
        <v>0</v>
      </c>
      <c r="R303" s="269">
        <f t="shared" si="238"/>
        <v>0</v>
      </c>
      <c r="S303" s="269">
        <f t="shared" si="238"/>
        <v>0</v>
      </c>
      <c r="T303" s="269">
        <f t="shared" si="238"/>
        <v>0</v>
      </c>
      <c r="U303" s="269">
        <f t="shared" si="238"/>
        <v>0</v>
      </c>
      <c r="V303" s="269">
        <f t="shared" si="238"/>
        <v>0</v>
      </c>
      <c r="W303" s="270">
        <f t="shared" si="238"/>
        <v>0</v>
      </c>
      <c r="X303" s="204">
        <f t="shared" si="239"/>
        <v>0</v>
      </c>
    </row>
    <row r="304" spans="3:24" hidden="1" outlineLevel="1" x14ac:dyDescent="0.25">
      <c r="C304" s="267" t="str">
        <f t="shared" si="236"/>
        <v/>
      </c>
      <c r="D304" s="268">
        <f t="shared" ref="D304:M313" si="240">SUMIFS(col_fatdir_bruto_com_mn,col_abertura1,$C304,col_abertura2,D$293,col_fatdir,"Sim")</f>
        <v>0</v>
      </c>
      <c r="E304" s="269">
        <f t="shared" si="240"/>
        <v>0</v>
      </c>
      <c r="F304" s="269">
        <f t="shared" si="240"/>
        <v>0</v>
      </c>
      <c r="G304" s="269">
        <f t="shared" si="240"/>
        <v>0</v>
      </c>
      <c r="H304" s="269">
        <f t="shared" si="240"/>
        <v>0</v>
      </c>
      <c r="I304" s="269">
        <f t="shared" si="240"/>
        <v>0</v>
      </c>
      <c r="J304" s="269">
        <f t="shared" si="240"/>
        <v>0</v>
      </c>
      <c r="K304" s="269">
        <f t="shared" si="240"/>
        <v>0</v>
      </c>
      <c r="L304" s="269">
        <f t="shared" si="240"/>
        <v>0</v>
      </c>
      <c r="M304" s="769">
        <f t="shared" si="240"/>
        <v>0</v>
      </c>
      <c r="N304" s="269">
        <f t="shared" ref="N304:W313" si="241">SUMIFS(col_fatdir_bruto_com_mn,col_abertura1,$C304,col_abertura2,N$293,col_fatdir,"Sim")</f>
        <v>0</v>
      </c>
      <c r="O304" s="269">
        <f t="shared" si="241"/>
        <v>0</v>
      </c>
      <c r="P304" s="269">
        <f t="shared" si="241"/>
        <v>0</v>
      </c>
      <c r="Q304" s="269">
        <f t="shared" si="241"/>
        <v>0</v>
      </c>
      <c r="R304" s="269">
        <f t="shared" si="241"/>
        <v>0</v>
      </c>
      <c r="S304" s="269">
        <f t="shared" si="241"/>
        <v>0</v>
      </c>
      <c r="T304" s="269">
        <f t="shared" si="241"/>
        <v>0</v>
      </c>
      <c r="U304" s="269">
        <f t="shared" si="241"/>
        <v>0</v>
      </c>
      <c r="V304" s="269">
        <f t="shared" si="241"/>
        <v>0</v>
      </c>
      <c r="W304" s="270">
        <f t="shared" si="241"/>
        <v>0</v>
      </c>
      <c r="X304" s="204">
        <f t="shared" si="239"/>
        <v>0</v>
      </c>
    </row>
    <row r="305" spans="3:24" hidden="1" outlineLevel="1" x14ac:dyDescent="0.25">
      <c r="C305" s="267" t="str">
        <f t="shared" si="236"/>
        <v/>
      </c>
      <c r="D305" s="268">
        <f t="shared" si="240"/>
        <v>0</v>
      </c>
      <c r="E305" s="269">
        <f t="shared" si="240"/>
        <v>0</v>
      </c>
      <c r="F305" s="269">
        <f t="shared" si="240"/>
        <v>0</v>
      </c>
      <c r="G305" s="269">
        <f t="shared" si="240"/>
        <v>0</v>
      </c>
      <c r="H305" s="269">
        <f t="shared" si="240"/>
        <v>0</v>
      </c>
      <c r="I305" s="269">
        <f t="shared" si="240"/>
        <v>0</v>
      </c>
      <c r="J305" s="269">
        <f t="shared" si="240"/>
        <v>0</v>
      </c>
      <c r="K305" s="269">
        <f t="shared" si="240"/>
        <v>0</v>
      </c>
      <c r="L305" s="269">
        <f t="shared" si="240"/>
        <v>0</v>
      </c>
      <c r="M305" s="769">
        <f t="shared" si="240"/>
        <v>0</v>
      </c>
      <c r="N305" s="269">
        <f t="shared" si="241"/>
        <v>0</v>
      </c>
      <c r="O305" s="269">
        <f t="shared" si="241"/>
        <v>0</v>
      </c>
      <c r="P305" s="269">
        <f t="shared" si="241"/>
        <v>0</v>
      </c>
      <c r="Q305" s="269">
        <f t="shared" si="241"/>
        <v>0</v>
      </c>
      <c r="R305" s="269">
        <f t="shared" si="241"/>
        <v>0</v>
      </c>
      <c r="S305" s="269">
        <f t="shared" si="241"/>
        <v>0</v>
      </c>
      <c r="T305" s="269">
        <f t="shared" si="241"/>
        <v>0</v>
      </c>
      <c r="U305" s="269">
        <f t="shared" si="241"/>
        <v>0</v>
      </c>
      <c r="V305" s="269">
        <f t="shared" si="241"/>
        <v>0</v>
      </c>
      <c r="W305" s="270">
        <f t="shared" si="241"/>
        <v>0</v>
      </c>
      <c r="X305" s="204">
        <f t="shared" si="239"/>
        <v>0</v>
      </c>
    </row>
    <row r="306" spans="3:24" hidden="1" outlineLevel="1" x14ac:dyDescent="0.25">
      <c r="C306" s="267" t="str">
        <f t="shared" si="236"/>
        <v/>
      </c>
      <c r="D306" s="268">
        <f t="shared" si="240"/>
        <v>0</v>
      </c>
      <c r="E306" s="269">
        <f t="shared" si="240"/>
        <v>0</v>
      </c>
      <c r="F306" s="269">
        <f t="shared" si="240"/>
        <v>0</v>
      </c>
      <c r="G306" s="269">
        <f t="shared" si="240"/>
        <v>0</v>
      </c>
      <c r="H306" s="269">
        <f t="shared" si="240"/>
        <v>0</v>
      </c>
      <c r="I306" s="269">
        <f t="shared" si="240"/>
        <v>0</v>
      </c>
      <c r="J306" s="269">
        <f t="shared" si="240"/>
        <v>0</v>
      </c>
      <c r="K306" s="269">
        <f t="shared" si="240"/>
        <v>0</v>
      </c>
      <c r="L306" s="269">
        <f t="shared" si="240"/>
        <v>0</v>
      </c>
      <c r="M306" s="769">
        <f t="shared" si="240"/>
        <v>0</v>
      </c>
      <c r="N306" s="269">
        <f t="shared" si="241"/>
        <v>0</v>
      </c>
      <c r="O306" s="269">
        <f t="shared" si="241"/>
        <v>0</v>
      </c>
      <c r="P306" s="269">
        <f t="shared" si="241"/>
        <v>0</v>
      </c>
      <c r="Q306" s="269">
        <f t="shared" si="241"/>
        <v>0</v>
      </c>
      <c r="R306" s="269">
        <f t="shared" si="241"/>
        <v>0</v>
      </c>
      <c r="S306" s="269">
        <f t="shared" si="241"/>
        <v>0</v>
      </c>
      <c r="T306" s="269">
        <f t="shared" si="241"/>
        <v>0</v>
      </c>
      <c r="U306" s="269">
        <f t="shared" si="241"/>
        <v>0</v>
      </c>
      <c r="V306" s="269">
        <f t="shared" si="241"/>
        <v>0</v>
      </c>
      <c r="W306" s="270">
        <f t="shared" si="241"/>
        <v>0</v>
      </c>
      <c r="X306" s="204">
        <f t="shared" si="239"/>
        <v>0</v>
      </c>
    </row>
    <row r="307" spans="3:24" hidden="1" outlineLevel="1" x14ac:dyDescent="0.25">
      <c r="C307" s="267" t="str">
        <f t="shared" si="236"/>
        <v/>
      </c>
      <c r="D307" s="268">
        <f t="shared" si="240"/>
        <v>0</v>
      </c>
      <c r="E307" s="269">
        <f t="shared" si="240"/>
        <v>0</v>
      </c>
      <c r="F307" s="269">
        <f t="shared" si="240"/>
        <v>0</v>
      </c>
      <c r="G307" s="269">
        <f t="shared" si="240"/>
        <v>0</v>
      </c>
      <c r="H307" s="269">
        <f t="shared" si="240"/>
        <v>0</v>
      </c>
      <c r="I307" s="269">
        <f t="shared" si="240"/>
        <v>0</v>
      </c>
      <c r="J307" s="269">
        <f t="shared" si="240"/>
        <v>0</v>
      </c>
      <c r="K307" s="269">
        <f t="shared" si="240"/>
        <v>0</v>
      </c>
      <c r="L307" s="269">
        <f t="shared" si="240"/>
        <v>0</v>
      </c>
      <c r="M307" s="769">
        <f t="shared" si="240"/>
        <v>0</v>
      </c>
      <c r="N307" s="269">
        <f t="shared" si="241"/>
        <v>0</v>
      </c>
      <c r="O307" s="269">
        <f t="shared" si="241"/>
        <v>0</v>
      </c>
      <c r="P307" s="269">
        <f t="shared" si="241"/>
        <v>0</v>
      </c>
      <c r="Q307" s="269">
        <f t="shared" si="241"/>
        <v>0</v>
      </c>
      <c r="R307" s="269">
        <f t="shared" si="241"/>
        <v>0</v>
      </c>
      <c r="S307" s="269">
        <f t="shared" si="241"/>
        <v>0</v>
      </c>
      <c r="T307" s="269">
        <f t="shared" si="241"/>
        <v>0</v>
      </c>
      <c r="U307" s="269">
        <f t="shared" si="241"/>
        <v>0</v>
      </c>
      <c r="V307" s="269">
        <f t="shared" si="241"/>
        <v>0</v>
      </c>
      <c r="W307" s="270">
        <f t="shared" si="241"/>
        <v>0</v>
      </c>
      <c r="X307" s="204">
        <f t="shared" si="239"/>
        <v>0</v>
      </c>
    </row>
    <row r="308" spans="3:24" hidden="1" outlineLevel="1" x14ac:dyDescent="0.25">
      <c r="C308" s="267" t="str">
        <f t="shared" si="236"/>
        <v/>
      </c>
      <c r="D308" s="268">
        <f t="shared" si="240"/>
        <v>0</v>
      </c>
      <c r="E308" s="269">
        <f t="shared" si="240"/>
        <v>0</v>
      </c>
      <c r="F308" s="269">
        <f t="shared" si="240"/>
        <v>0</v>
      </c>
      <c r="G308" s="269">
        <f t="shared" si="240"/>
        <v>0</v>
      </c>
      <c r="H308" s="269">
        <f t="shared" si="240"/>
        <v>0</v>
      </c>
      <c r="I308" s="269">
        <f t="shared" si="240"/>
        <v>0</v>
      </c>
      <c r="J308" s="269">
        <f t="shared" si="240"/>
        <v>0</v>
      </c>
      <c r="K308" s="269">
        <f t="shared" si="240"/>
        <v>0</v>
      </c>
      <c r="L308" s="269">
        <f t="shared" si="240"/>
        <v>0</v>
      </c>
      <c r="M308" s="769">
        <f t="shared" si="240"/>
        <v>0</v>
      </c>
      <c r="N308" s="269">
        <f t="shared" si="241"/>
        <v>0</v>
      </c>
      <c r="O308" s="269">
        <f t="shared" si="241"/>
        <v>0</v>
      </c>
      <c r="P308" s="269">
        <f t="shared" si="241"/>
        <v>0</v>
      </c>
      <c r="Q308" s="269">
        <f t="shared" si="241"/>
        <v>0</v>
      </c>
      <c r="R308" s="269">
        <f t="shared" si="241"/>
        <v>0</v>
      </c>
      <c r="S308" s="269">
        <f t="shared" si="241"/>
        <v>0</v>
      </c>
      <c r="T308" s="269">
        <f t="shared" si="241"/>
        <v>0</v>
      </c>
      <c r="U308" s="269">
        <f t="shared" si="241"/>
        <v>0</v>
      </c>
      <c r="V308" s="269">
        <f t="shared" si="241"/>
        <v>0</v>
      </c>
      <c r="W308" s="270">
        <f t="shared" si="241"/>
        <v>0</v>
      </c>
      <c r="X308" s="204">
        <f t="shared" si="239"/>
        <v>0</v>
      </c>
    </row>
    <row r="309" spans="3:24" hidden="1" outlineLevel="1" x14ac:dyDescent="0.25">
      <c r="C309" s="267" t="str">
        <f t="shared" si="236"/>
        <v/>
      </c>
      <c r="D309" s="268">
        <f t="shared" si="240"/>
        <v>0</v>
      </c>
      <c r="E309" s="269">
        <f t="shared" si="240"/>
        <v>0</v>
      </c>
      <c r="F309" s="269">
        <f t="shared" si="240"/>
        <v>0</v>
      </c>
      <c r="G309" s="269">
        <f t="shared" si="240"/>
        <v>0</v>
      </c>
      <c r="H309" s="269">
        <f t="shared" si="240"/>
        <v>0</v>
      </c>
      <c r="I309" s="269">
        <f t="shared" si="240"/>
        <v>0</v>
      </c>
      <c r="J309" s="269">
        <f t="shared" si="240"/>
        <v>0</v>
      </c>
      <c r="K309" s="269">
        <f t="shared" si="240"/>
        <v>0</v>
      </c>
      <c r="L309" s="269">
        <f t="shared" si="240"/>
        <v>0</v>
      </c>
      <c r="M309" s="769">
        <f t="shared" si="240"/>
        <v>0</v>
      </c>
      <c r="N309" s="269">
        <f t="shared" si="241"/>
        <v>0</v>
      </c>
      <c r="O309" s="269">
        <f t="shared" si="241"/>
        <v>0</v>
      </c>
      <c r="P309" s="269">
        <f t="shared" si="241"/>
        <v>0</v>
      </c>
      <c r="Q309" s="269">
        <f t="shared" si="241"/>
        <v>0</v>
      </c>
      <c r="R309" s="269">
        <f t="shared" si="241"/>
        <v>0</v>
      </c>
      <c r="S309" s="269">
        <f t="shared" si="241"/>
        <v>0</v>
      </c>
      <c r="T309" s="269">
        <f t="shared" si="241"/>
        <v>0</v>
      </c>
      <c r="U309" s="269">
        <f t="shared" si="241"/>
        <v>0</v>
      </c>
      <c r="V309" s="269">
        <f t="shared" si="241"/>
        <v>0</v>
      </c>
      <c r="W309" s="270">
        <f t="shared" si="241"/>
        <v>0</v>
      </c>
      <c r="X309" s="204">
        <f t="shared" si="239"/>
        <v>0</v>
      </c>
    </row>
    <row r="310" spans="3:24" hidden="1" outlineLevel="1" x14ac:dyDescent="0.25">
      <c r="C310" s="267" t="str">
        <f t="shared" si="236"/>
        <v/>
      </c>
      <c r="D310" s="268">
        <f t="shared" si="240"/>
        <v>0</v>
      </c>
      <c r="E310" s="269">
        <f t="shared" si="240"/>
        <v>0</v>
      </c>
      <c r="F310" s="269">
        <f t="shared" si="240"/>
        <v>0</v>
      </c>
      <c r="G310" s="269">
        <f t="shared" si="240"/>
        <v>0</v>
      </c>
      <c r="H310" s="269">
        <f t="shared" si="240"/>
        <v>0</v>
      </c>
      <c r="I310" s="269">
        <f t="shared" si="240"/>
        <v>0</v>
      </c>
      <c r="J310" s="269">
        <f t="shared" si="240"/>
        <v>0</v>
      </c>
      <c r="K310" s="269">
        <f t="shared" si="240"/>
        <v>0</v>
      </c>
      <c r="L310" s="269">
        <f t="shared" si="240"/>
        <v>0</v>
      </c>
      <c r="M310" s="769">
        <f t="shared" si="240"/>
        <v>0</v>
      </c>
      <c r="N310" s="269">
        <f t="shared" si="241"/>
        <v>0</v>
      </c>
      <c r="O310" s="269">
        <f t="shared" si="241"/>
        <v>0</v>
      </c>
      <c r="P310" s="269">
        <f t="shared" si="241"/>
        <v>0</v>
      </c>
      <c r="Q310" s="269">
        <f t="shared" si="241"/>
        <v>0</v>
      </c>
      <c r="R310" s="269">
        <f t="shared" si="241"/>
        <v>0</v>
      </c>
      <c r="S310" s="269">
        <f t="shared" si="241"/>
        <v>0</v>
      </c>
      <c r="T310" s="269">
        <f t="shared" si="241"/>
        <v>0</v>
      </c>
      <c r="U310" s="269">
        <f t="shared" si="241"/>
        <v>0</v>
      </c>
      <c r="V310" s="269">
        <f t="shared" si="241"/>
        <v>0</v>
      </c>
      <c r="W310" s="270">
        <f t="shared" si="241"/>
        <v>0</v>
      </c>
      <c r="X310" s="204">
        <f t="shared" si="239"/>
        <v>0</v>
      </c>
    </row>
    <row r="311" spans="3:24" hidden="1" outlineLevel="1" x14ac:dyDescent="0.25">
      <c r="C311" s="267" t="str">
        <f t="shared" si="236"/>
        <v/>
      </c>
      <c r="D311" s="268">
        <f t="shared" si="240"/>
        <v>0</v>
      </c>
      <c r="E311" s="269">
        <f t="shared" si="240"/>
        <v>0</v>
      </c>
      <c r="F311" s="269">
        <f t="shared" si="240"/>
        <v>0</v>
      </c>
      <c r="G311" s="269">
        <f t="shared" si="240"/>
        <v>0</v>
      </c>
      <c r="H311" s="269">
        <f t="shared" si="240"/>
        <v>0</v>
      </c>
      <c r="I311" s="269">
        <f t="shared" si="240"/>
        <v>0</v>
      </c>
      <c r="J311" s="269">
        <f t="shared" si="240"/>
        <v>0</v>
      </c>
      <c r="K311" s="269">
        <f t="shared" si="240"/>
        <v>0</v>
      </c>
      <c r="L311" s="269">
        <f t="shared" si="240"/>
        <v>0</v>
      </c>
      <c r="M311" s="769">
        <f t="shared" si="240"/>
        <v>0</v>
      </c>
      <c r="N311" s="269">
        <f t="shared" si="241"/>
        <v>0</v>
      </c>
      <c r="O311" s="269">
        <f t="shared" si="241"/>
        <v>0</v>
      </c>
      <c r="P311" s="269">
        <f t="shared" si="241"/>
        <v>0</v>
      </c>
      <c r="Q311" s="269">
        <f t="shared" si="241"/>
        <v>0</v>
      </c>
      <c r="R311" s="269">
        <f t="shared" si="241"/>
        <v>0</v>
      </c>
      <c r="S311" s="269">
        <f t="shared" si="241"/>
        <v>0</v>
      </c>
      <c r="T311" s="269">
        <f t="shared" si="241"/>
        <v>0</v>
      </c>
      <c r="U311" s="269">
        <f t="shared" si="241"/>
        <v>0</v>
      </c>
      <c r="V311" s="269">
        <f t="shared" si="241"/>
        <v>0</v>
      </c>
      <c r="W311" s="270">
        <f t="shared" si="241"/>
        <v>0</v>
      </c>
      <c r="X311" s="204">
        <f t="shared" si="239"/>
        <v>0</v>
      </c>
    </row>
    <row r="312" spans="3:24" hidden="1" outlineLevel="1" x14ac:dyDescent="0.25">
      <c r="C312" s="267" t="str">
        <f t="shared" si="236"/>
        <v/>
      </c>
      <c r="D312" s="268">
        <f t="shared" si="240"/>
        <v>0</v>
      </c>
      <c r="E312" s="269">
        <f t="shared" si="240"/>
        <v>0</v>
      </c>
      <c r="F312" s="269">
        <f t="shared" si="240"/>
        <v>0</v>
      </c>
      <c r="G312" s="269">
        <f t="shared" si="240"/>
        <v>0</v>
      </c>
      <c r="H312" s="269">
        <f t="shared" si="240"/>
        <v>0</v>
      </c>
      <c r="I312" s="269">
        <f t="shared" si="240"/>
        <v>0</v>
      </c>
      <c r="J312" s="269">
        <f t="shared" si="240"/>
        <v>0</v>
      </c>
      <c r="K312" s="269">
        <f t="shared" si="240"/>
        <v>0</v>
      </c>
      <c r="L312" s="269">
        <f t="shared" si="240"/>
        <v>0</v>
      </c>
      <c r="M312" s="769">
        <f t="shared" si="240"/>
        <v>0</v>
      </c>
      <c r="N312" s="269">
        <f t="shared" si="241"/>
        <v>0</v>
      </c>
      <c r="O312" s="269">
        <f t="shared" si="241"/>
        <v>0</v>
      </c>
      <c r="P312" s="269">
        <f t="shared" si="241"/>
        <v>0</v>
      </c>
      <c r="Q312" s="269">
        <f t="shared" si="241"/>
        <v>0</v>
      </c>
      <c r="R312" s="269">
        <f t="shared" si="241"/>
        <v>0</v>
      </c>
      <c r="S312" s="269">
        <f t="shared" si="241"/>
        <v>0</v>
      </c>
      <c r="T312" s="269">
        <f t="shared" si="241"/>
        <v>0</v>
      </c>
      <c r="U312" s="269">
        <f t="shared" si="241"/>
        <v>0</v>
      </c>
      <c r="V312" s="269">
        <f t="shared" si="241"/>
        <v>0</v>
      </c>
      <c r="W312" s="270">
        <f t="shared" si="241"/>
        <v>0</v>
      </c>
      <c r="X312" s="204">
        <f t="shared" si="239"/>
        <v>0</v>
      </c>
    </row>
    <row r="313" spans="3:24" hidden="1" outlineLevel="1" x14ac:dyDescent="0.25">
      <c r="C313" s="267" t="str">
        <f t="shared" si="236"/>
        <v/>
      </c>
      <c r="D313" s="268">
        <f t="shared" si="240"/>
        <v>0</v>
      </c>
      <c r="E313" s="269">
        <f t="shared" si="240"/>
        <v>0</v>
      </c>
      <c r="F313" s="269">
        <f t="shared" si="240"/>
        <v>0</v>
      </c>
      <c r="G313" s="269">
        <f t="shared" si="240"/>
        <v>0</v>
      </c>
      <c r="H313" s="269">
        <f t="shared" si="240"/>
        <v>0</v>
      </c>
      <c r="I313" s="269">
        <f t="shared" si="240"/>
        <v>0</v>
      </c>
      <c r="J313" s="269">
        <f t="shared" si="240"/>
        <v>0</v>
      </c>
      <c r="K313" s="269">
        <f t="shared" si="240"/>
        <v>0</v>
      </c>
      <c r="L313" s="269">
        <f t="shared" si="240"/>
        <v>0</v>
      </c>
      <c r="M313" s="769">
        <f t="shared" si="240"/>
        <v>0</v>
      </c>
      <c r="N313" s="269">
        <f t="shared" si="241"/>
        <v>0</v>
      </c>
      <c r="O313" s="269">
        <f t="shared" si="241"/>
        <v>0</v>
      </c>
      <c r="P313" s="269">
        <f t="shared" si="241"/>
        <v>0</v>
      </c>
      <c r="Q313" s="269">
        <f t="shared" si="241"/>
        <v>0</v>
      </c>
      <c r="R313" s="269">
        <f t="shared" si="241"/>
        <v>0</v>
      </c>
      <c r="S313" s="269">
        <f t="shared" si="241"/>
        <v>0</v>
      </c>
      <c r="T313" s="269">
        <f t="shared" si="241"/>
        <v>0</v>
      </c>
      <c r="U313" s="269">
        <f t="shared" si="241"/>
        <v>0</v>
      </c>
      <c r="V313" s="269">
        <f t="shared" si="241"/>
        <v>0</v>
      </c>
      <c r="W313" s="270">
        <f t="shared" si="241"/>
        <v>0</v>
      </c>
      <c r="X313" s="204">
        <f t="shared" si="239"/>
        <v>0</v>
      </c>
    </row>
    <row r="314" spans="3:24" hidden="1" outlineLevel="1" x14ac:dyDescent="0.25">
      <c r="C314" s="267" t="str">
        <f t="shared" si="236"/>
        <v/>
      </c>
      <c r="D314" s="268">
        <f t="shared" ref="D314:M323" si="242">SUMIFS(col_fatdir_bruto_com_mn,col_abertura1,$C314,col_abertura2,D$293,col_fatdir,"Sim")</f>
        <v>0</v>
      </c>
      <c r="E314" s="269">
        <f t="shared" si="242"/>
        <v>0</v>
      </c>
      <c r="F314" s="269">
        <f t="shared" si="242"/>
        <v>0</v>
      </c>
      <c r="G314" s="269">
        <f t="shared" si="242"/>
        <v>0</v>
      </c>
      <c r="H314" s="269">
        <f t="shared" si="242"/>
        <v>0</v>
      </c>
      <c r="I314" s="269">
        <f t="shared" si="242"/>
        <v>0</v>
      </c>
      <c r="J314" s="269">
        <f t="shared" si="242"/>
        <v>0</v>
      </c>
      <c r="K314" s="269">
        <f t="shared" si="242"/>
        <v>0</v>
      </c>
      <c r="L314" s="269">
        <f t="shared" si="242"/>
        <v>0</v>
      </c>
      <c r="M314" s="769">
        <f t="shared" si="242"/>
        <v>0</v>
      </c>
      <c r="N314" s="269">
        <f t="shared" ref="N314:W323" si="243">SUMIFS(col_fatdir_bruto_com_mn,col_abertura1,$C314,col_abertura2,N$293,col_fatdir,"Sim")</f>
        <v>0</v>
      </c>
      <c r="O314" s="269">
        <f t="shared" si="243"/>
        <v>0</v>
      </c>
      <c r="P314" s="269">
        <f t="shared" si="243"/>
        <v>0</v>
      </c>
      <c r="Q314" s="269">
        <f t="shared" si="243"/>
        <v>0</v>
      </c>
      <c r="R314" s="269">
        <f t="shared" si="243"/>
        <v>0</v>
      </c>
      <c r="S314" s="269">
        <f t="shared" si="243"/>
        <v>0</v>
      </c>
      <c r="T314" s="269">
        <f t="shared" si="243"/>
        <v>0</v>
      </c>
      <c r="U314" s="269">
        <f t="shared" si="243"/>
        <v>0</v>
      </c>
      <c r="V314" s="269">
        <f t="shared" si="243"/>
        <v>0</v>
      </c>
      <c r="W314" s="270">
        <f t="shared" si="243"/>
        <v>0</v>
      </c>
      <c r="X314" s="204">
        <f t="shared" si="239"/>
        <v>0</v>
      </c>
    </row>
    <row r="315" spans="3:24" hidden="1" outlineLevel="1" x14ac:dyDescent="0.25">
      <c r="C315" s="267" t="str">
        <f t="shared" si="236"/>
        <v/>
      </c>
      <c r="D315" s="268">
        <f t="shared" si="242"/>
        <v>0</v>
      </c>
      <c r="E315" s="269">
        <f t="shared" si="242"/>
        <v>0</v>
      </c>
      <c r="F315" s="269">
        <f t="shared" si="242"/>
        <v>0</v>
      </c>
      <c r="G315" s="269">
        <f t="shared" si="242"/>
        <v>0</v>
      </c>
      <c r="H315" s="269">
        <f t="shared" si="242"/>
        <v>0</v>
      </c>
      <c r="I315" s="269">
        <f t="shared" si="242"/>
        <v>0</v>
      </c>
      <c r="J315" s="269">
        <f t="shared" si="242"/>
        <v>0</v>
      </c>
      <c r="K315" s="269">
        <f t="shared" si="242"/>
        <v>0</v>
      </c>
      <c r="L315" s="269">
        <f t="shared" si="242"/>
        <v>0</v>
      </c>
      <c r="M315" s="769">
        <f t="shared" si="242"/>
        <v>0</v>
      </c>
      <c r="N315" s="269">
        <f t="shared" si="243"/>
        <v>0</v>
      </c>
      <c r="O315" s="269">
        <f t="shared" si="243"/>
        <v>0</v>
      </c>
      <c r="P315" s="269">
        <f t="shared" si="243"/>
        <v>0</v>
      </c>
      <c r="Q315" s="269">
        <f t="shared" si="243"/>
        <v>0</v>
      </c>
      <c r="R315" s="269">
        <f t="shared" si="243"/>
        <v>0</v>
      </c>
      <c r="S315" s="269">
        <f t="shared" si="243"/>
        <v>0</v>
      </c>
      <c r="T315" s="269">
        <f t="shared" si="243"/>
        <v>0</v>
      </c>
      <c r="U315" s="269">
        <f t="shared" si="243"/>
        <v>0</v>
      </c>
      <c r="V315" s="269">
        <f t="shared" si="243"/>
        <v>0</v>
      </c>
      <c r="W315" s="270">
        <f t="shared" si="243"/>
        <v>0</v>
      </c>
      <c r="X315" s="204">
        <f t="shared" si="239"/>
        <v>0</v>
      </c>
    </row>
    <row r="316" spans="3:24" hidden="1" outlineLevel="1" x14ac:dyDescent="0.25">
      <c r="C316" s="267" t="str">
        <f t="shared" si="236"/>
        <v/>
      </c>
      <c r="D316" s="268">
        <f t="shared" si="242"/>
        <v>0</v>
      </c>
      <c r="E316" s="269">
        <f t="shared" si="242"/>
        <v>0</v>
      </c>
      <c r="F316" s="269">
        <f t="shared" si="242"/>
        <v>0</v>
      </c>
      <c r="G316" s="269">
        <f t="shared" si="242"/>
        <v>0</v>
      </c>
      <c r="H316" s="269">
        <f t="shared" si="242"/>
        <v>0</v>
      </c>
      <c r="I316" s="269">
        <f t="shared" si="242"/>
        <v>0</v>
      </c>
      <c r="J316" s="269">
        <f t="shared" si="242"/>
        <v>0</v>
      </c>
      <c r="K316" s="269">
        <f t="shared" si="242"/>
        <v>0</v>
      </c>
      <c r="L316" s="269">
        <f t="shared" si="242"/>
        <v>0</v>
      </c>
      <c r="M316" s="769">
        <f t="shared" si="242"/>
        <v>0</v>
      </c>
      <c r="N316" s="269">
        <f t="shared" si="243"/>
        <v>0</v>
      </c>
      <c r="O316" s="269">
        <f t="shared" si="243"/>
        <v>0</v>
      </c>
      <c r="P316" s="269">
        <f t="shared" si="243"/>
        <v>0</v>
      </c>
      <c r="Q316" s="269">
        <f t="shared" si="243"/>
        <v>0</v>
      </c>
      <c r="R316" s="269">
        <f t="shared" si="243"/>
        <v>0</v>
      </c>
      <c r="S316" s="269">
        <f t="shared" si="243"/>
        <v>0</v>
      </c>
      <c r="T316" s="269">
        <f t="shared" si="243"/>
        <v>0</v>
      </c>
      <c r="U316" s="269">
        <f t="shared" si="243"/>
        <v>0</v>
      </c>
      <c r="V316" s="269">
        <f t="shared" si="243"/>
        <v>0</v>
      </c>
      <c r="W316" s="270">
        <f t="shared" si="243"/>
        <v>0</v>
      </c>
      <c r="X316" s="204">
        <f t="shared" si="239"/>
        <v>0</v>
      </c>
    </row>
    <row r="317" spans="3:24" hidden="1" outlineLevel="1" x14ac:dyDescent="0.25">
      <c r="C317" s="267" t="str">
        <f t="shared" si="236"/>
        <v/>
      </c>
      <c r="D317" s="268">
        <f t="shared" si="242"/>
        <v>0</v>
      </c>
      <c r="E317" s="269">
        <f t="shared" si="242"/>
        <v>0</v>
      </c>
      <c r="F317" s="269">
        <f t="shared" si="242"/>
        <v>0</v>
      </c>
      <c r="G317" s="269">
        <f t="shared" si="242"/>
        <v>0</v>
      </c>
      <c r="H317" s="269">
        <f t="shared" si="242"/>
        <v>0</v>
      </c>
      <c r="I317" s="269">
        <f t="shared" si="242"/>
        <v>0</v>
      </c>
      <c r="J317" s="269">
        <f t="shared" si="242"/>
        <v>0</v>
      </c>
      <c r="K317" s="269">
        <f t="shared" si="242"/>
        <v>0</v>
      </c>
      <c r="L317" s="269">
        <f t="shared" si="242"/>
        <v>0</v>
      </c>
      <c r="M317" s="769">
        <f t="shared" si="242"/>
        <v>0</v>
      </c>
      <c r="N317" s="269">
        <f t="shared" si="243"/>
        <v>0</v>
      </c>
      <c r="O317" s="269">
        <f t="shared" si="243"/>
        <v>0</v>
      </c>
      <c r="P317" s="269">
        <f t="shared" si="243"/>
        <v>0</v>
      </c>
      <c r="Q317" s="269">
        <f t="shared" si="243"/>
        <v>0</v>
      </c>
      <c r="R317" s="269">
        <f t="shared" si="243"/>
        <v>0</v>
      </c>
      <c r="S317" s="269">
        <f t="shared" si="243"/>
        <v>0</v>
      </c>
      <c r="T317" s="269">
        <f t="shared" si="243"/>
        <v>0</v>
      </c>
      <c r="U317" s="269">
        <f t="shared" si="243"/>
        <v>0</v>
      </c>
      <c r="V317" s="269">
        <f t="shared" si="243"/>
        <v>0</v>
      </c>
      <c r="W317" s="270">
        <f t="shared" si="243"/>
        <v>0</v>
      </c>
      <c r="X317" s="204">
        <f t="shared" si="239"/>
        <v>0</v>
      </c>
    </row>
    <row r="318" spans="3:24" hidden="1" outlineLevel="1" x14ac:dyDescent="0.25">
      <c r="C318" s="267" t="str">
        <f t="shared" si="236"/>
        <v/>
      </c>
      <c r="D318" s="268">
        <f t="shared" si="242"/>
        <v>0</v>
      </c>
      <c r="E318" s="269">
        <f t="shared" si="242"/>
        <v>0</v>
      </c>
      <c r="F318" s="269">
        <f t="shared" si="242"/>
        <v>0</v>
      </c>
      <c r="G318" s="269">
        <f t="shared" si="242"/>
        <v>0</v>
      </c>
      <c r="H318" s="269">
        <f t="shared" si="242"/>
        <v>0</v>
      </c>
      <c r="I318" s="269">
        <f t="shared" si="242"/>
        <v>0</v>
      </c>
      <c r="J318" s="269">
        <f t="shared" si="242"/>
        <v>0</v>
      </c>
      <c r="K318" s="269">
        <f t="shared" si="242"/>
        <v>0</v>
      </c>
      <c r="L318" s="269">
        <f t="shared" si="242"/>
        <v>0</v>
      </c>
      <c r="M318" s="769">
        <f t="shared" si="242"/>
        <v>0</v>
      </c>
      <c r="N318" s="269">
        <f t="shared" si="243"/>
        <v>0</v>
      </c>
      <c r="O318" s="269">
        <f t="shared" si="243"/>
        <v>0</v>
      </c>
      <c r="P318" s="269">
        <f t="shared" si="243"/>
        <v>0</v>
      </c>
      <c r="Q318" s="269">
        <f t="shared" si="243"/>
        <v>0</v>
      </c>
      <c r="R318" s="269">
        <f t="shared" si="243"/>
        <v>0</v>
      </c>
      <c r="S318" s="269">
        <f t="shared" si="243"/>
        <v>0</v>
      </c>
      <c r="T318" s="269">
        <f t="shared" si="243"/>
        <v>0</v>
      </c>
      <c r="U318" s="269">
        <f t="shared" si="243"/>
        <v>0</v>
      </c>
      <c r="V318" s="269">
        <f t="shared" si="243"/>
        <v>0</v>
      </c>
      <c r="W318" s="270">
        <f t="shared" si="243"/>
        <v>0</v>
      </c>
      <c r="X318" s="204">
        <f t="shared" si="239"/>
        <v>0</v>
      </c>
    </row>
    <row r="319" spans="3:24" hidden="1" outlineLevel="1" x14ac:dyDescent="0.25">
      <c r="C319" s="267" t="str">
        <f t="shared" si="236"/>
        <v/>
      </c>
      <c r="D319" s="268">
        <f t="shared" si="242"/>
        <v>0</v>
      </c>
      <c r="E319" s="269">
        <f t="shared" si="242"/>
        <v>0</v>
      </c>
      <c r="F319" s="269">
        <f t="shared" si="242"/>
        <v>0</v>
      </c>
      <c r="G319" s="269">
        <f t="shared" si="242"/>
        <v>0</v>
      </c>
      <c r="H319" s="269">
        <f t="shared" si="242"/>
        <v>0</v>
      </c>
      <c r="I319" s="269">
        <f t="shared" si="242"/>
        <v>0</v>
      </c>
      <c r="J319" s="269">
        <f t="shared" si="242"/>
        <v>0</v>
      </c>
      <c r="K319" s="269">
        <f t="shared" si="242"/>
        <v>0</v>
      </c>
      <c r="L319" s="269">
        <f t="shared" si="242"/>
        <v>0</v>
      </c>
      <c r="M319" s="769">
        <f t="shared" si="242"/>
        <v>0</v>
      </c>
      <c r="N319" s="269">
        <f t="shared" si="243"/>
        <v>0</v>
      </c>
      <c r="O319" s="269">
        <f t="shared" si="243"/>
        <v>0</v>
      </c>
      <c r="P319" s="269">
        <f t="shared" si="243"/>
        <v>0</v>
      </c>
      <c r="Q319" s="269">
        <f t="shared" si="243"/>
        <v>0</v>
      </c>
      <c r="R319" s="269">
        <f t="shared" si="243"/>
        <v>0</v>
      </c>
      <c r="S319" s="269">
        <f t="shared" si="243"/>
        <v>0</v>
      </c>
      <c r="T319" s="269">
        <f t="shared" si="243"/>
        <v>0</v>
      </c>
      <c r="U319" s="269">
        <f t="shared" si="243"/>
        <v>0</v>
      </c>
      <c r="V319" s="269">
        <f t="shared" si="243"/>
        <v>0</v>
      </c>
      <c r="W319" s="270">
        <f t="shared" si="243"/>
        <v>0</v>
      </c>
      <c r="X319" s="204">
        <f t="shared" si="239"/>
        <v>0</v>
      </c>
    </row>
    <row r="320" spans="3:24" hidden="1" outlineLevel="1" x14ac:dyDescent="0.25">
      <c r="C320" s="267" t="str">
        <f t="shared" si="236"/>
        <v/>
      </c>
      <c r="D320" s="268">
        <f t="shared" si="242"/>
        <v>0</v>
      </c>
      <c r="E320" s="269">
        <f t="shared" si="242"/>
        <v>0</v>
      </c>
      <c r="F320" s="269">
        <f t="shared" si="242"/>
        <v>0</v>
      </c>
      <c r="G320" s="269">
        <f t="shared" si="242"/>
        <v>0</v>
      </c>
      <c r="H320" s="269">
        <f t="shared" si="242"/>
        <v>0</v>
      </c>
      <c r="I320" s="269">
        <f t="shared" si="242"/>
        <v>0</v>
      </c>
      <c r="J320" s="269">
        <f t="shared" si="242"/>
        <v>0</v>
      </c>
      <c r="K320" s="269">
        <f t="shared" si="242"/>
        <v>0</v>
      </c>
      <c r="L320" s="269">
        <f t="shared" si="242"/>
        <v>0</v>
      </c>
      <c r="M320" s="769">
        <f t="shared" si="242"/>
        <v>0</v>
      </c>
      <c r="N320" s="269">
        <f t="shared" si="243"/>
        <v>0</v>
      </c>
      <c r="O320" s="269">
        <f t="shared" si="243"/>
        <v>0</v>
      </c>
      <c r="P320" s="269">
        <f t="shared" si="243"/>
        <v>0</v>
      </c>
      <c r="Q320" s="269">
        <f t="shared" si="243"/>
        <v>0</v>
      </c>
      <c r="R320" s="269">
        <f t="shared" si="243"/>
        <v>0</v>
      </c>
      <c r="S320" s="269">
        <f t="shared" si="243"/>
        <v>0</v>
      </c>
      <c r="T320" s="269">
        <f t="shared" si="243"/>
        <v>0</v>
      </c>
      <c r="U320" s="269">
        <f t="shared" si="243"/>
        <v>0</v>
      </c>
      <c r="V320" s="269">
        <f t="shared" si="243"/>
        <v>0</v>
      </c>
      <c r="W320" s="270">
        <f t="shared" si="243"/>
        <v>0</v>
      </c>
      <c r="X320" s="204">
        <f t="shared" si="239"/>
        <v>0</v>
      </c>
    </row>
    <row r="321" spans="3:24" hidden="1" outlineLevel="1" x14ac:dyDescent="0.25">
      <c r="C321" s="267" t="str">
        <f t="shared" si="236"/>
        <v/>
      </c>
      <c r="D321" s="268">
        <f t="shared" si="242"/>
        <v>0</v>
      </c>
      <c r="E321" s="269">
        <f t="shared" si="242"/>
        <v>0</v>
      </c>
      <c r="F321" s="269">
        <f t="shared" si="242"/>
        <v>0</v>
      </c>
      <c r="G321" s="269">
        <f t="shared" si="242"/>
        <v>0</v>
      </c>
      <c r="H321" s="269">
        <f t="shared" si="242"/>
        <v>0</v>
      </c>
      <c r="I321" s="269">
        <f t="shared" si="242"/>
        <v>0</v>
      </c>
      <c r="J321" s="269">
        <f t="shared" si="242"/>
        <v>0</v>
      </c>
      <c r="K321" s="269">
        <f t="shared" si="242"/>
        <v>0</v>
      </c>
      <c r="L321" s="269">
        <f t="shared" si="242"/>
        <v>0</v>
      </c>
      <c r="M321" s="769">
        <f t="shared" si="242"/>
        <v>0</v>
      </c>
      <c r="N321" s="269">
        <f t="shared" si="243"/>
        <v>0</v>
      </c>
      <c r="O321" s="269">
        <f t="shared" si="243"/>
        <v>0</v>
      </c>
      <c r="P321" s="269">
        <f t="shared" si="243"/>
        <v>0</v>
      </c>
      <c r="Q321" s="269">
        <f t="shared" si="243"/>
        <v>0</v>
      </c>
      <c r="R321" s="269">
        <f t="shared" si="243"/>
        <v>0</v>
      </c>
      <c r="S321" s="269">
        <f t="shared" si="243"/>
        <v>0</v>
      </c>
      <c r="T321" s="269">
        <f t="shared" si="243"/>
        <v>0</v>
      </c>
      <c r="U321" s="269">
        <f t="shared" si="243"/>
        <v>0</v>
      </c>
      <c r="V321" s="269">
        <f t="shared" si="243"/>
        <v>0</v>
      </c>
      <c r="W321" s="270">
        <f t="shared" si="243"/>
        <v>0</v>
      </c>
      <c r="X321" s="204">
        <f t="shared" si="239"/>
        <v>0</v>
      </c>
    </row>
    <row r="322" spans="3:24" hidden="1" outlineLevel="1" x14ac:dyDescent="0.25">
      <c r="C322" s="267" t="str">
        <f t="shared" si="236"/>
        <v/>
      </c>
      <c r="D322" s="268">
        <f t="shared" si="242"/>
        <v>0</v>
      </c>
      <c r="E322" s="269">
        <f t="shared" si="242"/>
        <v>0</v>
      </c>
      <c r="F322" s="269">
        <f t="shared" si="242"/>
        <v>0</v>
      </c>
      <c r="G322" s="269">
        <f t="shared" si="242"/>
        <v>0</v>
      </c>
      <c r="H322" s="269">
        <f t="shared" si="242"/>
        <v>0</v>
      </c>
      <c r="I322" s="269">
        <f t="shared" si="242"/>
        <v>0</v>
      </c>
      <c r="J322" s="269">
        <f t="shared" si="242"/>
        <v>0</v>
      </c>
      <c r="K322" s="269">
        <f t="shared" si="242"/>
        <v>0</v>
      </c>
      <c r="L322" s="269">
        <f t="shared" si="242"/>
        <v>0</v>
      </c>
      <c r="M322" s="769">
        <f t="shared" si="242"/>
        <v>0</v>
      </c>
      <c r="N322" s="269">
        <f t="shared" si="243"/>
        <v>0</v>
      </c>
      <c r="O322" s="269">
        <f t="shared" si="243"/>
        <v>0</v>
      </c>
      <c r="P322" s="269">
        <f t="shared" si="243"/>
        <v>0</v>
      </c>
      <c r="Q322" s="269">
        <f t="shared" si="243"/>
        <v>0</v>
      </c>
      <c r="R322" s="269">
        <f t="shared" si="243"/>
        <v>0</v>
      </c>
      <c r="S322" s="269">
        <f t="shared" si="243"/>
        <v>0</v>
      </c>
      <c r="T322" s="269">
        <f t="shared" si="243"/>
        <v>0</v>
      </c>
      <c r="U322" s="269">
        <f t="shared" si="243"/>
        <v>0</v>
      </c>
      <c r="V322" s="269">
        <f t="shared" si="243"/>
        <v>0</v>
      </c>
      <c r="W322" s="270">
        <f t="shared" si="243"/>
        <v>0</v>
      </c>
      <c r="X322" s="204">
        <f t="shared" si="239"/>
        <v>0</v>
      </c>
    </row>
    <row r="323" spans="3:24" hidden="1" outlineLevel="1" x14ac:dyDescent="0.25">
      <c r="C323" s="271" t="str">
        <f t="shared" si="236"/>
        <v>Padrões</v>
      </c>
      <c r="D323" s="272">
        <f t="shared" si="242"/>
        <v>0</v>
      </c>
      <c r="E323" s="273">
        <f t="shared" si="242"/>
        <v>0</v>
      </c>
      <c r="F323" s="273">
        <f t="shared" si="242"/>
        <v>0</v>
      </c>
      <c r="G323" s="273">
        <f t="shared" si="242"/>
        <v>0</v>
      </c>
      <c r="H323" s="273">
        <f t="shared" si="242"/>
        <v>0</v>
      </c>
      <c r="I323" s="273">
        <f t="shared" si="242"/>
        <v>0</v>
      </c>
      <c r="J323" s="273">
        <f t="shared" si="242"/>
        <v>0</v>
      </c>
      <c r="K323" s="273">
        <f t="shared" si="242"/>
        <v>0</v>
      </c>
      <c r="L323" s="273">
        <f t="shared" si="242"/>
        <v>0</v>
      </c>
      <c r="M323" s="770">
        <f t="shared" si="242"/>
        <v>0</v>
      </c>
      <c r="N323" s="273">
        <f t="shared" si="243"/>
        <v>0</v>
      </c>
      <c r="O323" s="273">
        <f t="shared" si="243"/>
        <v>0</v>
      </c>
      <c r="P323" s="273">
        <f t="shared" si="243"/>
        <v>0</v>
      </c>
      <c r="Q323" s="273">
        <f t="shared" si="243"/>
        <v>0</v>
      </c>
      <c r="R323" s="273">
        <f t="shared" si="243"/>
        <v>0</v>
      </c>
      <c r="S323" s="273">
        <f t="shared" si="243"/>
        <v>0</v>
      </c>
      <c r="T323" s="273">
        <f t="shared" si="243"/>
        <v>0</v>
      </c>
      <c r="U323" s="273">
        <f t="shared" si="243"/>
        <v>0</v>
      </c>
      <c r="V323" s="273">
        <f t="shared" si="243"/>
        <v>0</v>
      </c>
      <c r="W323" s="274">
        <f t="shared" si="243"/>
        <v>0</v>
      </c>
      <c r="X323" s="204">
        <f t="shared" si="239"/>
        <v>0</v>
      </c>
    </row>
    <row r="324" spans="3:24" hidden="1" outlineLevel="1" x14ac:dyDescent="0.25">
      <c r="C324" s="187"/>
      <c r="D324" s="281">
        <f>SUM(D294:D323)</f>
        <v>0</v>
      </c>
      <c r="E324" s="281">
        <f t="shared" ref="E324:W324" si="244">SUM(E294:E323)</f>
        <v>0</v>
      </c>
      <c r="F324" s="281">
        <f t="shared" si="244"/>
        <v>0</v>
      </c>
      <c r="G324" s="281">
        <f t="shared" si="244"/>
        <v>0</v>
      </c>
      <c r="H324" s="281">
        <f t="shared" si="244"/>
        <v>0</v>
      </c>
      <c r="I324" s="281">
        <f t="shared" si="244"/>
        <v>0</v>
      </c>
      <c r="J324" s="281">
        <f t="shared" si="244"/>
        <v>0</v>
      </c>
      <c r="K324" s="281">
        <f t="shared" si="244"/>
        <v>0</v>
      </c>
      <c r="L324" s="281">
        <f t="shared" si="244"/>
        <v>0</v>
      </c>
      <c r="M324" s="771">
        <f t="shared" si="244"/>
        <v>0</v>
      </c>
      <c r="N324" s="281">
        <f t="shared" si="244"/>
        <v>0</v>
      </c>
      <c r="O324" s="281">
        <f t="shared" si="244"/>
        <v>0</v>
      </c>
      <c r="P324" s="281">
        <f t="shared" si="244"/>
        <v>0</v>
      </c>
      <c r="Q324" s="281">
        <f t="shared" si="244"/>
        <v>0</v>
      </c>
      <c r="R324" s="281">
        <f t="shared" si="244"/>
        <v>0</v>
      </c>
      <c r="S324" s="281">
        <f t="shared" si="244"/>
        <v>0</v>
      </c>
      <c r="T324" s="281">
        <f t="shared" si="244"/>
        <v>0</v>
      </c>
      <c r="U324" s="281">
        <f t="shared" si="244"/>
        <v>0</v>
      </c>
      <c r="V324" s="281">
        <f t="shared" si="244"/>
        <v>0</v>
      </c>
      <c r="W324" s="281">
        <f t="shared" si="244"/>
        <v>0</v>
      </c>
      <c r="X324" s="280">
        <f>SUM(X294:X323)</f>
        <v>0</v>
      </c>
    </row>
    <row r="325" spans="3:24" hidden="1" outlineLevel="1" x14ac:dyDescent="0.25">
      <c r="D325" s="204"/>
      <c r="E325" s="204"/>
      <c r="F325" s="204"/>
      <c r="G325" s="204"/>
      <c r="H325" s="204"/>
      <c r="I325" s="204"/>
      <c r="J325" s="204"/>
      <c r="K325" s="204"/>
      <c r="L325" s="204"/>
      <c r="M325" s="772"/>
      <c r="N325" s="204"/>
      <c r="O325" s="204"/>
      <c r="P325" s="204"/>
      <c r="Q325" s="204"/>
      <c r="R325" s="204"/>
      <c r="S325" s="204"/>
      <c r="T325" s="204"/>
      <c r="U325" s="204"/>
      <c r="V325" s="204"/>
      <c r="W325" s="204"/>
      <c r="X325" s="280"/>
    </row>
    <row r="326" spans="3:24" collapsed="1" x14ac:dyDescent="0.25">
      <c r="D326" s="204"/>
      <c r="E326" s="204"/>
      <c r="F326" s="204"/>
      <c r="G326" s="204"/>
      <c r="H326" s="204"/>
      <c r="I326" s="204"/>
      <c r="J326" s="204"/>
      <c r="K326" s="204"/>
      <c r="L326" s="204"/>
      <c r="M326" s="772"/>
      <c r="N326" s="204"/>
      <c r="O326" s="204"/>
      <c r="P326" s="204"/>
      <c r="Q326" s="204"/>
      <c r="R326" s="204"/>
      <c r="S326" s="204"/>
      <c r="T326" s="204"/>
      <c r="U326" s="204"/>
      <c r="V326" s="204"/>
      <c r="W326" s="204"/>
      <c r="X326" s="280"/>
    </row>
    <row r="327" spans="3:24" x14ac:dyDescent="0.25">
      <c r="D327" s="280" t="s">
        <v>777</v>
      </c>
      <c r="E327" s="204"/>
      <c r="F327" s="204"/>
      <c r="G327" s="204"/>
      <c r="H327" s="204"/>
      <c r="I327" s="204"/>
      <c r="J327" s="204"/>
      <c r="K327" s="204"/>
      <c r="L327" s="204"/>
      <c r="M327" s="772"/>
      <c r="N327" s="204"/>
      <c r="O327" s="204"/>
      <c r="P327" s="204"/>
      <c r="Q327" s="204"/>
      <c r="R327" s="204"/>
      <c r="S327" s="204"/>
      <c r="T327" s="204"/>
      <c r="U327" s="204"/>
      <c r="V327" s="204"/>
      <c r="W327" s="204"/>
      <c r="X327" s="280"/>
    </row>
    <row r="328" spans="3:24" x14ac:dyDescent="0.25">
      <c r="H328" s="847" t="s">
        <v>772</v>
      </c>
      <c r="I328" s="847"/>
      <c r="J328" s="847" t="s">
        <v>27</v>
      </c>
      <c r="K328" s="847"/>
      <c r="L328" s="847" t="s">
        <v>776</v>
      </c>
      <c r="M328" s="847"/>
    </row>
    <row r="329" spans="3:24" x14ac:dyDescent="0.25">
      <c r="D329" s="115" t="s">
        <v>772</v>
      </c>
      <c r="E329" s="115" t="s">
        <v>56</v>
      </c>
      <c r="F329" s="115" t="s">
        <v>776</v>
      </c>
      <c r="H329" s="652" t="s">
        <v>773</v>
      </c>
      <c r="I329" s="652" t="s">
        <v>774</v>
      </c>
      <c r="J329" s="652" t="s">
        <v>773</v>
      </c>
      <c r="K329" s="652" t="s">
        <v>774</v>
      </c>
      <c r="L329" s="652" t="s">
        <v>773</v>
      </c>
      <c r="M329" s="652" t="s">
        <v>774</v>
      </c>
    </row>
    <row r="330" spans="3:24" x14ac:dyDescent="0.25">
      <c r="C330" s="353" t="s">
        <v>16</v>
      </c>
      <c r="D330" s="174" t="str">
        <f>IF(OR(H330="NA",I330="NA"),"não aplicável",IF(H330=I330,TEXT(H330,"0%"),TEXT(H330,"0%")&amp;" a "&amp;TEXT(I330,"0%")))</f>
        <v>12%</v>
      </c>
      <c r="E330" s="174" t="str">
        <f>IF(OR(J330="NA",K330="NA"),"não aplicável",IF(J330=K330,TEXT(J330,"0%"),TEXT(J330,"0%")&amp;" a "&amp;TEXT(K330,"0%")))</f>
        <v>não aplicável</v>
      </c>
      <c r="F330" s="174" t="str">
        <f>IF(OR(L330="NA",M330="NA"),"não aplicável",IF(L330=M330,TEXT(L330,"0%"),TEXT(L330,"0%")&amp;" a "&amp;TEXT(M330,"0%")))</f>
        <v>12%</v>
      </c>
      <c r="H330" s="653">
        <f>Escopo!DK273</f>
        <v>0.12</v>
      </c>
      <c r="I330" s="653">
        <f>Escopo!DK274</f>
        <v>0.12</v>
      </c>
      <c r="J330" s="654" t="str">
        <f>Escopo!DQ273</f>
        <v>NA</v>
      </c>
      <c r="K330" s="654" t="str">
        <f>Escopo!DQ274</f>
        <v>NA</v>
      </c>
      <c r="L330" s="653">
        <f>MIN(H330,J330)</f>
        <v>0.12</v>
      </c>
      <c r="M330" s="773">
        <f>MAX(I330,K330)</f>
        <v>0.12</v>
      </c>
    </row>
    <row r="331" spans="3:24" x14ac:dyDescent="0.25">
      <c r="C331" s="353" t="s">
        <v>18</v>
      </c>
      <c r="D331" s="174" t="str">
        <f>IF(OR(H331="NA",I331="NA"),"não aplicável",IF(H331=I331,TEXT(H331,"0%"),TEXT(H331,"0%")&amp;" a "&amp;TEXT(I331,"0%")))</f>
        <v>3%</v>
      </c>
      <c r="E331" s="174" t="str">
        <f>IF(OR(J331="NA",K331="NA"),"não aplicável",IF(J331=K331,TEXT(J331,"0%"),TEXT(J331,"0%")&amp;" a "&amp;TEXT(K331,"0%")))</f>
        <v>não aplicável</v>
      </c>
      <c r="F331" s="174" t="str">
        <f>IF(OR(L331="NA",M331="NA"),"não aplicável",IF(L331=M331,TEXT(L331,"0%"),TEXT(L331,"0%")&amp;" a "&amp;TEXT(M331,"0%")))</f>
        <v>3%</v>
      </c>
      <c r="H331" s="653">
        <f>Escopo!DL273</f>
        <v>0.03</v>
      </c>
      <c r="I331" s="653">
        <f>Escopo!DL274</f>
        <v>0.03</v>
      </c>
      <c r="J331" s="654" t="str">
        <f>Escopo!DR273</f>
        <v>NA</v>
      </c>
      <c r="K331" s="654" t="str">
        <f>Escopo!DR274</f>
        <v>NA</v>
      </c>
      <c r="L331" s="653">
        <f t="shared" ref="L331:L334" si="245">MIN(H331,J331)</f>
        <v>0.03</v>
      </c>
      <c r="M331" s="773">
        <f t="shared" ref="M331:M334" si="246">MAX(I331,K331)</f>
        <v>0.03</v>
      </c>
    </row>
    <row r="332" spans="3:24" x14ac:dyDescent="0.25">
      <c r="C332" s="353" t="s">
        <v>17</v>
      </c>
      <c r="D332" s="174" t="str">
        <f>IF(OR(H332="NA",I332="NA"),"não aplicável",IF(H332=I332,TEXT(H332,"0%"),TEXT(H332,"0%")&amp;" a "&amp;TEXT(I332,"0%")))</f>
        <v>0% a 3%</v>
      </c>
      <c r="E332" s="174" t="str">
        <f>IF(OR(J332="NA",K332="NA"),"não aplicável",IF(J332=K332,TEXT(J332,"0%"),TEXT(J332,"0%")&amp;" a "&amp;TEXT(K332,"0%")))</f>
        <v>não aplicável</v>
      </c>
      <c r="F332" s="174" t="str">
        <f>IF(OR(L332="NA",M332="NA"),"não aplicável",IF(L332=M332,TEXT(L332,"0%"),TEXT(L332,"0%")&amp;" a "&amp;TEXT(M332,"0%")))</f>
        <v>0% a 3%</v>
      </c>
      <c r="H332" s="653">
        <f>Escopo!DM273</f>
        <v>0</v>
      </c>
      <c r="I332" s="653">
        <f>Escopo!DM274</f>
        <v>3.2500000000000001E-2</v>
      </c>
      <c r="J332" s="654" t="str">
        <f>Escopo!DS273</f>
        <v>NA</v>
      </c>
      <c r="K332" s="654" t="str">
        <f>Escopo!DS274</f>
        <v>NA</v>
      </c>
      <c r="L332" s="653">
        <f t="shared" si="245"/>
        <v>0</v>
      </c>
      <c r="M332" s="773">
        <f t="shared" si="246"/>
        <v>3.2500000000000001E-2</v>
      </c>
    </row>
    <row r="333" spans="3:24" x14ac:dyDescent="0.25">
      <c r="C333" s="353" t="s">
        <v>19</v>
      </c>
      <c r="D333" s="174" t="str">
        <f>IF(OR(H333="NA",I333="NA"),"não aplicável",IF(H333=I333,TEXT(H333,"0,00%"),TEXT(H333,"0,00%")&amp;" a "&amp;TEXT(I333,"0,00%")))</f>
        <v>não aplicável</v>
      </c>
      <c r="E333" s="174" t="str">
        <f>IF(OR(J333="NA",K333="NA"),"não aplicável",IF(J333=K333,TEXT(J333,"0,00%"),TEXT(J333,"0,00%")&amp;" a "&amp;TEXT(K333,"0,00%")))</f>
        <v>não aplicável</v>
      </c>
      <c r="F333" s="174" t="str">
        <f>IF(OR(L333="NA",M333="NA"),"não aplicável",IF(L333=M333,TEXT(L333,"0,00%"),TEXT(L333,"0,00%")&amp;" a "&amp;TEXT(M333,"0,00%")))</f>
        <v>0,00%</v>
      </c>
      <c r="H333" s="655" t="str">
        <f>Escopo!DN273</f>
        <v>NA</v>
      </c>
      <c r="I333" s="655" t="str">
        <f>Escopo!DN274</f>
        <v>NA</v>
      </c>
      <c r="J333" s="654" t="str">
        <f>Escopo!DT273</f>
        <v>NA</v>
      </c>
      <c r="K333" s="654" t="str">
        <f>Escopo!DT274</f>
        <v>NA</v>
      </c>
      <c r="L333" s="655">
        <f t="shared" si="245"/>
        <v>0</v>
      </c>
      <c r="M333" s="774">
        <f t="shared" si="246"/>
        <v>0</v>
      </c>
    </row>
    <row r="334" spans="3:24" x14ac:dyDescent="0.25">
      <c r="C334" s="353" t="s">
        <v>20</v>
      </c>
      <c r="D334" s="174" t="str">
        <f>IF(OR(H334="NA",I334="NA"),"não aplicável",IF(H334=I334,TEXT(H334,"0,0%"),TEXT(H334,"0,0%")&amp;" a "&amp;TEXT(I334,"0,0%")))</f>
        <v>não aplicável</v>
      </c>
      <c r="E334" s="174" t="str">
        <f>IF(OR(J334="NA",K334="NA"),"não aplicável",IF(J334=K334,TEXT(J334,"0,0%"),TEXT(J334,"0,0%")&amp;" a "&amp;TEXT(K334,"0,0%")))</f>
        <v>não aplicável</v>
      </c>
      <c r="F334" s="174" t="str">
        <f>IF(OR(L334="NA",M334="NA"),"não aplicável",IF(L334=M334,TEXT(L334,"0,0%"),TEXT(L334,"0,0%")&amp;" a "&amp;TEXT(M334,"0,0%")))</f>
        <v>0,0%</v>
      </c>
      <c r="H334" s="656" t="str">
        <f>Escopo!DO273</f>
        <v>NA</v>
      </c>
      <c r="I334" s="656" t="str">
        <f>Escopo!DO274</f>
        <v>NA</v>
      </c>
      <c r="J334" s="654" t="str">
        <f>Escopo!DU273</f>
        <v>NA</v>
      </c>
      <c r="K334" s="654" t="str">
        <f>Escopo!DU274</f>
        <v>NA</v>
      </c>
      <c r="L334" s="656">
        <f t="shared" si="245"/>
        <v>0</v>
      </c>
      <c r="M334" s="775">
        <f t="shared" si="246"/>
        <v>0</v>
      </c>
    </row>
    <row r="337" spans="3:21" x14ac:dyDescent="0.25">
      <c r="M337" s="113"/>
      <c r="N337" s="115"/>
    </row>
    <row r="338" spans="3:21" x14ac:dyDescent="0.25">
      <c r="I338" s="182">
        <f>SUM(I340:I341)/SUM($I$340:$J$341)</f>
        <v>0.87620806763632619</v>
      </c>
      <c r="J338" s="182">
        <f>SUM(J340:J341)/SUM($I$340:$J$341)</f>
        <v>0.12379193236367383</v>
      </c>
      <c r="K338" s="115"/>
      <c r="M338" s="113"/>
    </row>
    <row r="339" spans="3:21" ht="20.100000000000001" customHeight="1" x14ac:dyDescent="0.25">
      <c r="C339" s="820" t="s">
        <v>1124</v>
      </c>
      <c r="D339" s="726" t="s">
        <v>695</v>
      </c>
      <c r="E339" s="726" t="s">
        <v>2793</v>
      </c>
      <c r="F339" s="1"/>
      <c r="I339" s="115" t="str">
        <f>D5</f>
        <v>SAGE</v>
      </c>
      <c r="J339" s="115" t="str">
        <f t="shared" ref="J339:K339" si="247">E5</f>
        <v>TELECOM</v>
      </c>
      <c r="K339" s="115" t="str">
        <f t="shared" si="247"/>
        <v>GERAL</v>
      </c>
      <c r="L339" s="115"/>
      <c r="M339" s="841" t="s">
        <v>1124</v>
      </c>
      <c r="N339" s="282" t="s">
        <v>695</v>
      </c>
      <c r="O339" s="282" t="s">
        <v>2793</v>
      </c>
      <c r="P339" s="282"/>
      <c r="Q339" s="115"/>
      <c r="R339" s="115"/>
      <c r="S339" s="115"/>
      <c r="T339" s="115"/>
      <c r="U339" s="115"/>
    </row>
    <row r="340" spans="3:21" ht="20.100000000000001" customHeight="1" x14ac:dyDescent="0.25">
      <c r="C340" s="725" t="s">
        <v>145</v>
      </c>
      <c r="D340" s="821">
        <f>I340+$K340*I$338</f>
        <v>411839.43618318101</v>
      </c>
      <c r="E340" s="821">
        <f>J340+$K340*J$338</f>
        <v>118747.40235749698</v>
      </c>
      <c r="F340" s="833">
        <f>SUM(D340:E340)</f>
        <v>530586.83854067803</v>
      </c>
      <c r="G340" s="503">
        <f>F340/SUM($F$340:$F$341)</f>
        <v>0.52008312696187353</v>
      </c>
      <c r="I340" s="834">
        <f>D6</f>
        <v>404844.68686140829</v>
      </c>
      <c r="J340" s="834">
        <f t="shared" ref="J340:K340" si="248">E6</f>
        <v>117759.17414216271</v>
      </c>
      <c r="K340" s="834">
        <f t="shared" si="248"/>
        <v>7982.9775371069736</v>
      </c>
      <c r="L340" s="204"/>
      <c r="M340" s="842" t="s">
        <v>145</v>
      </c>
      <c r="N340" s="843">
        <v>516885.21478640003</v>
      </c>
      <c r="O340" s="843">
        <v>148569.84960907756</v>
      </c>
      <c r="P340" s="843">
        <v>665455.06439547753</v>
      </c>
      <c r="Q340" s="503">
        <f>F340/P340-1</f>
        <v>-0.20267067315404452</v>
      </c>
      <c r="R340" s="204"/>
      <c r="S340" s="204"/>
      <c r="T340" s="204"/>
      <c r="U340" s="204"/>
    </row>
    <row r="341" spans="3:21" ht="20.100000000000001" customHeight="1" x14ac:dyDescent="0.25">
      <c r="C341" s="725" t="s">
        <v>146</v>
      </c>
      <c r="D341" s="821">
        <f>I341+$K341*I$338</f>
        <v>482064.71953667235</v>
      </c>
      <c r="E341" s="821">
        <f>J341+$K341*J$338</f>
        <v>7544.6587085375641</v>
      </c>
      <c r="F341" s="833">
        <f t="shared" ref="F341:F342" si="249">SUM(D341:E341)</f>
        <v>489609.37824520993</v>
      </c>
      <c r="G341" s="503">
        <f>F341/SUM($F$340:$F$341)</f>
        <v>0.47991687303812647</v>
      </c>
      <c r="I341" s="834">
        <f t="shared" ref="I341" si="250">D7</f>
        <v>428663.09067638032</v>
      </c>
      <c r="J341" s="834">
        <f t="shared" ref="J341" si="251">E7</f>
        <v>0</v>
      </c>
      <c r="K341" s="834">
        <f t="shared" ref="K341" si="252">F7</f>
        <v>60946.287568829561</v>
      </c>
      <c r="L341" s="204"/>
      <c r="M341" s="842" t="s">
        <v>146</v>
      </c>
      <c r="N341" s="843">
        <v>569328.41256880143</v>
      </c>
      <c r="O341" s="843">
        <v>12136.501997964677</v>
      </c>
      <c r="P341" s="843">
        <v>581464.91456676612</v>
      </c>
      <c r="Q341" s="503">
        <f>F341/P341-1</f>
        <v>-0.15797262056644512</v>
      </c>
      <c r="R341" s="204"/>
      <c r="S341" s="204"/>
      <c r="T341" s="204"/>
      <c r="U341" s="204"/>
    </row>
    <row r="342" spans="3:21" ht="20.100000000000001" customHeight="1" x14ac:dyDescent="0.25">
      <c r="C342" s="1"/>
      <c r="D342" s="822">
        <f>SUM(D340:D341)</f>
        <v>893904.15571985336</v>
      </c>
      <c r="E342" s="822">
        <f>SUM(E340:E341)</f>
        <v>126292.06106603454</v>
      </c>
      <c r="F342" s="835">
        <f t="shared" si="249"/>
        <v>1020196.216785888</v>
      </c>
      <c r="G342" s="503"/>
      <c r="L342" s="204"/>
      <c r="M342" s="842"/>
      <c r="N342" s="843">
        <v>1086213.6273552014</v>
      </c>
      <c r="O342" s="843">
        <v>160706.35160704225</v>
      </c>
      <c r="P342" s="843">
        <v>1246919.9789622435</v>
      </c>
      <c r="Q342" s="846">
        <f t="shared" ref="Q342" si="253">F342/P342-1</f>
        <v>-0.18182703461456107</v>
      </c>
      <c r="R342" s="204"/>
      <c r="S342" s="204"/>
      <c r="T342" s="204"/>
      <c r="U342" s="204"/>
    </row>
    <row r="343" spans="3:21" ht="5.0999999999999996" customHeight="1" x14ac:dyDescent="0.25">
      <c r="C343" s="1"/>
      <c r="D343" s="1"/>
      <c r="E343" s="1"/>
      <c r="F343" s="1"/>
      <c r="G343" s="503"/>
      <c r="L343" s="204"/>
      <c r="M343" s="842"/>
      <c r="N343" s="843"/>
      <c r="O343" s="843"/>
      <c r="P343" s="843"/>
      <c r="Q343" s="503"/>
      <c r="R343" s="204"/>
      <c r="S343" s="204"/>
      <c r="T343" s="204"/>
      <c r="U343" s="204"/>
    </row>
    <row r="344" spans="3:21" ht="20.100000000000001" customHeight="1" x14ac:dyDescent="0.25">
      <c r="C344" s="725" t="s">
        <v>3045</v>
      </c>
      <c r="D344" s="821">
        <f>K344</f>
        <v>20054.837249584423</v>
      </c>
      <c r="E344" s="1"/>
      <c r="F344" s="1"/>
      <c r="I344" s="115"/>
      <c r="J344" s="115"/>
      <c r="K344" s="834">
        <f>F8</f>
        <v>20054.837249584423</v>
      </c>
      <c r="L344" s="204"/>
      <c r="M344" s="842" t="s">
        <v>3045</v>
      </c>
      <c r="N344" s="843">
        <v>22549.135217127568</v>
      </c>
      <c r="O344" s="843"/>
      <c r="P344" s="843"/>
      <c r="Q344" s="503">
        <f>D344/N344-1</f>
        <v>-0.11061612534251686</v>
      </c>
      <c r="R344" s="204"/>
      <c r="S344" s="204"/>
      <c r="T344" s="204"/>
      <c r="U344" s="204"/>
    </row>
    <row r="345" spans="3:21" ht="20.100000000000001" customHeight="1" x14ac:dyDescent="0.25">
      <c r="C345" s="725" t="s">
        <v>3046</v>
      </c>
      <c r="D345" s="821">
        <f>K345</f>
        <v>12537.655959465073</v>
      </c>
      <c r="E345" s="1"/>
      <c r="F345" s="1"/>
      <c r="I345" s="115"/>
      <c r="J345" s="115"/>
      <c r="K345" s="834">
        <f>F9</f>
        <v>12537.655959465073</v>
      </c>
      <c r="L345" s="204"/>
      <c r="M345" s="842" t="s">
        <v>3046</v>
      </c>
      <c r="N345" s="843">
        <v>14080.157446392855</v>
      </c>
      <c r="O345" s="843"/>
      <c r="P345" s="843"/>
      <c r="Q345" s="503">
        <f t="shared" ref="Q345:Q346" si="254">D345/N345-1</f>
        <v>-0.10955143738985318</v>
      </c>
      <c r="R345" s="204"/>
      <c r="S345" s="204"/>
      <c r="T345" s="204"/>
      <c r="U345" s="204"/>
    </row>
    <row r="346" spans="3:21" ht="20.100000000000001" customHeight="1" x14ac:dyDescent="0.25">
      <c r="C346" s="1"/>
      <c r="D346" s="822">
        <f>SUM(D344:D345)</f>
        <v>32592.493209049499</v>
      </c>
      <c r="E346" s="1"/>
      <c r="F346" s="1"/>
      <c r="G346" s="204">
        <f>F342+D346</f>
        <v>1052788.7099949375</v>
      </c>
      <c r="I346" s="115"/>
      <c r="J346" s="115"/>
      <c r="K346" s="115"/>
      <c r="M346" s="841"/>
      <c r="N346" s="843">
        <v>36629.29266352042</v>
      </c>
      <c r="O346" s="843"/>
      <c r="P346" s="843"/>
      <c r="Q346" s="503">
        <f t="shared" si="254"/>
        <v>-0.11020686343996</v>
      </c>
    </row>
    <row r="347" spans="3:21" ht="15" customHeight="1" x14ac:dyDescent="0.25">
      <c r="C347" s="1"/>
      <c r="D347" s="829"/>
      <c r="E347" s="829"/>
      <c r="F347" s="1"/>
      <c r="G347" s="113" t="b">
        <f>IF(ABS(G346-V3)&lt;0.01,TRUE,FALSE)</f>
        <v>1</v>
      </c>
      <c r="I347" s="115"/>
      <c r="J347" s="115"/>
      <c r="K347" s="115"/>
      <c r="L347" s="115"/>
      <c r="M347" s="841"/>
      <c r="N347" s="840"/>
      <c r="O347" s="840"/>
      <c r="P347" s="840"/>
    </row>
    <row r="348" spans="3:21" ht="15" customHeight="1" x14ac:dyDescent="0.25">
      <c r="C348" s="836"/>
      <c r="D348" s="837"/>
      <c r="E348" s="837"/>
      <c r="F348" s="836"/>
      <c r="I348" s="115"/>
      <c r="J348" s="115"/>
      <c r="K348" s="115"/>
      <c r="L348" s="115"/>
      <c r="M348" s="841"/>
      <c r="N348" s="840"/>
      <c r="O348" s="840"/>
      <c r="P348" s="840"/>
    </row>
    <row r="349" spans="3:21" ht="20.100000000000001" customHeight="1" x14ac:dyDescent="0.25">
      <c r="C349" s="820" t="s">
        <v>1125</v>
      </c>
      <c r="D349" s="726" t="str">
        <f>D339</f>
        <v>SAGE</v>
      </c>
      <c r="E349" s="726" t="str">
        <f>E339</f>
        <v>TELECOM</v>
      </c>
      <c r="F349" s="1"/>
      <c r="I349" s="115" t="str">
        <f>D5</f>
        <v>SAGE</v>
      </c>
      <c r="J349" s="115" t="str">
        <f t="shared" ref="J349:K349" si="255">E5</f>
        <v>TELECOM</v>
      </c>
      <c r="K349" s="115" t="str">
        <f t="shared" si="255"/>
        <v>GERAL</v>
      </c>
      <c r="M349" s="841" t="s">
        <v>1125</v>
      </c>
      <c r="N349" s="282" t="s">
        <v>695</v>
      </c>
      <c r="O349" s="282" t="s">
        <v>2793</v>
      </c>
      <c r="P349" s="840"/>
    </row>
    <row r="350" spans="3:21" ht="20.100000000000001" customHeight="1" x14ac:dyDescent="0.25">
      <c r="C350" s="725" t="str">
        <f>C340</f>
        <v>MATERIAIS</v>
      </c>
      <c r="D350" s="821">
        <f>I350+$K350*I$338</f>
        <v>411839.43618318101</v>
      </c>
      <c r="E350" s="821">
        <f>J350+$K350*J$338</f>
        <v>118747.40235749698</v>
      </c>
      <c r="F350" s="833">
        <f t="shared" ref="F350:F352" si="256">SUM(D350:E350)</f>
        <v>530586.83854067803</v>
      </c>
      <c r="I350" s="834">
        <f>D6-D186-D222</f>
        <v>404844.68686140829</v>
      </c>
      <c r="J350" s="834">
        <f t="shared" ref="J350:K350" si="257">E6-E186-E222</f>
        <v>117759.17414216271</v>
      </c>
      <c r="K350" s="834">
        <f t="shared" si="257"/>
        <v>7982.9775371069736</v>
      </c>
      <c r="M350" s="841" t="s">
        <v>145</v>
      </c>
      <c r="N350" s="843">
        <v>469073.33241865807</v>
      </c>
      <c r="O350" s="843">
        <v>134827.1385202379</v>
      </c>
      <c r="P350" s="843">
        <v>603900.47093889595</v>
      </c>
      <c r="Q350" s="503">
        <f>F350/P350-1</f>
        <v>-0.12140019080335496</v>
      </c>
      <c r="T350" s="503"/>
    </row>
    <row r="351" spans="3:21" ht="20.100000000000001" customHeight="1" x14ac:dyDescent="0.25">
      <c r="C351" s="725" t="str">
        <f>C341</f>
        <v>SERVIÇOS</v>
      </c>
      <c r="D351" s="821">
        <f>I351+$K351*I$338</f>
        <v>482064.71953667235</v>
      </c>
      <c r="E351" s="821">
        <f>J351+$K351*J$338</f>
        <v>7544.6587085375641</v>
      </c>
      <c r="F351" s="833">
        <f t="shared" si="256"/>
        <v>489609.37824520993</v>
      </c>
      <c r="I351" s="834">
        <f>D7-D187-D223</f>
        <v>428663.09067638032</v>
      </c>
      <c r="J351" s="834">
        <f>E7-E187-E223</f>
        <v>0</v>
      </c>
      <c r="K351" s="834">
        <f>F7-F187-F223</f>
        <v>60946.287568829561</v>
      </c>
      <c r="M351" s="841" t="s">
        <v>146</v>
      </c>
      <c r="N351" s="843">
        <v>516665.5344061873</v>
      </c>
      <c r="O351" s="843">
        <v>11013.875563152944</v>
      </c>
      <c r="P351" s="843">
        <v>527679.40996934019</v>
      </c>
      <c r="Q351" s="503">
        <f>F351/P351-1</f>
        <v>-7.2146138365228762E-2</v>
      </c>
      <c r="T351" s="503"/>
    </row>
    <row r="352" spans="3:21" ht="20.100000000000001" customHeight="1" x14ac:dyDescent="0.25">
      <c r="C352" s="1"/>
      <c r="D352" s="822">
        <f t="shared" ref="D352:E352" si="258">SUM(D350:D351)</f>
        <v>893904.15571985336</v>
      </c>
      <c r="E352" s="822">
        <f t="shared" si="258"/>
        <v>126292.06106603454</v>
      </c>
      <c r="F352" s="835">
        <f t="shared" si="256"/>
        <v>1020196.216785888</v>
      </c>
      <c r="M352" s="841"/>
      <c r="N352" s="843">
        <v>985738.86682484532</v>
      </c>
      <c r="O352" s="843">
        <v>145841.01408339085</v>
      </c>
      <c r="P352" s="843">
        <v>1131579.8809082361</v>
      </c>
      <c r="Q352" s="846">
        <f t="shared" ref="Q352" si="259">F352/P352-1</f>
        <v>-9.8431994065632078E-2</v>
      </c>
      <c r="T352" s="503"/>
    </row>
    <row r="353" spans="3:20" ht="5.0999999999999996" customHeight="1" x14ac:dyDescent="0.25">
      <c r="C353" s="1"/>
      <c r="D353" s="1"/>
      <c r="E353" s="1"/>
      <c r="F353" s="1"/>
      <c r="M353" s="841"/>
      <c r="N353" s="843"/>
      <c r="O353" s="843"/>
      <c r="P353" s="843"/>
      <c r="T353" s="503"/>
    </row>
    <row r="354" spans="3:20" ht="20.100000000000001" customHeight="1" x14ac:dyDescent="0.25">
      <c r="C354" s="725" t="str">
        <f t="shared" ref="C354:C355" si="260">C344</f>
        <v>MOBILIÁRIO</v>
      </c>
      <c r="D354" s="821">
        <f>K354</f>
        <v>20054.837249584423</v>
      </c>
      <c r="E354" s="1"/>
      <c r="F354" s="1"/>
      <c r="K354" s="834">
        <f>F8-F188-F224</f>
        <v>20054.837249584423</v>
      </c>
      <c r="M354" s="841" t="s">
        <v>3045</v>
      </c>
      <c r="N354" s="843">
        <v>20528.994773946648</v>
      </c>
      <c r="O354" s="843"/>
      <c r="P354" s="843"/>
      <c r="Q354" s="503">
        <f t="shared" ref="Q354:Q356" si="261">D354/N354-1</f>
        <v>-2.3096967463987927E-2</v>
      </c>
      <c r="T354" s="503"/>
    </row>
    <row r="355" spans="3:20" ht="20.100000000000001" customHeight="1" x14ac:dyDescent="0.25">
      <c r="C355" s="725" t="str">
        <f t="shared" si="260"/>
        <v>TREINAMENTO</v>
      </c>
      <c r="D355" s="821">
        <f>K355</f>
        <v>12537.655959465073</v>
      </c>
      <c r="E355" s="1"/>
      <c r="F355" s="1"/>
      <c r="K355" s="834">
        <f>F9-F189-F225</f>
        <v>12537.655959465073</v>
      </c>
      <c r="M355" s="841" t="s">
        <v>3046</v>
      </c>
      <c r="N355" s="843">
        <v>12777.742882601517</v>
      </c>
      <c r="O355" s="843"/>
      <c r="P355" s="843"/>
      <c r="Q355" s="503">
        <f t="shared" si="261"/>
        <v>-1.8789462688543423E-2</v>
      </c>
      <c r="T355" s="503"/>
    </row>
    <row r="356" spans="3:20" ht="20.100000000000001" customHeight="1" x14ac:dyDescent="0.25">
      <c r="C356" s="1"/>
      <c r="D356" s="822">
        <f>SUM(D354:D355)</f>
        <v>32592.493209049499</v>
      </c>
      <c r="E356" s="1"/>
      <c r="F356" s="1"/>
      <c r="G356" s="204">
        <f>F352+D356</f>
        <v>1052788.7099949375</v>
      </c>
      <c r="M356" s="841"/>
      <c r="N356" s="843">
        <v>33306.737656548168</v>
      </c>
      <c r="O356" s="843"/>
      <c r="P356" s="843"/>
      <c r="Q356" s="503">
        <f t="shared" si="261"/>
        <v>-2.1444443309452943E-2</v>
      </c>
    </row>
    <row r="357" spans="3:20" x14ac:dyDescent="0.25">
      <c r="G357" s="113" t="b">
        <f>IF(ABS(G356-(V3-V183-V219))&lt;0.01,TRUE,FALSE)</f>
        <v>1</v>
      </c>
      <c r="L357" s="115"/>
      <c r="M357" s="113"/>
    </row>
    <row r="358" spans="3:20" ht="15" customHeight="1" x14ac:dyDescent="0.25">
      <c r="D358" s="87"/>
      <c r="J358" s="115"/>
      <c r="K358" s="115"/>
      <c r="M358" s="113"/>
    </row>
    <row r="359" spans="3:20" ht="15" customHeight="1" x14ac:dyDescent="0.25">
      <c r="J359" s="204"/>
      <c r="K359" s="204"/>
    </row>
    <row r="360" spans="3:20" ht="15" customHeight="1" x14ac:dyDescent="0.25">
      <c r="J360" s="204"/>
      <c r="K360" s="204"/>
    </row>
    <row r="361" spans="3:20" ht="15" customHeight="1" x14ac:dyDescent="0.25">
      <c r="J361" s="204"/>
      <c r="K361" s="204"/>
    </row>
    <row r="362" spans="3:20" ht="15" customHeight="1" x14ac:dyDescent="0.25">
      <c r="J362" s="204"/>
      <c r="K362" s="204"/>
    </row>
    <row r="363" spans="3:20" ht="15" customHeight="1" x14ac:dyDescent="0.25">
      <c r="J363" s="204"/>
      <c r="K363" s="204"/>
    </row>
  </sheetData>
  <mergeCells count="3">
    <mergeCell ref="H328:I328"/>
    <mergeCell ref="J328:K328"/>
    <mergeCell ref="L328:M328"/>
  </mergeCells>
  <dataValidations disablePrompts="1" count="1">
    <dataValidation type="list" allowBlank="1" showInputMessage="1" showErrorMessage="1" sqref="E3" xr:uid="{00000000-0002-0000-0000-000000000000}">
      <formula1>$A$3:$A$4</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rgb="FF00B0F0"/>
  </sheetPr>
  <dimension ref="A2:X109"/>
  <sheetViews>
    <sheetView zoomScale="80" zoomScaleNormal="80" workbookViewId="0">
      <pane xSplit="3" ySplit="5" topLeftCell="D6" activePane="bottomRight" state="frozen"/>
      <selection pane="topRight" activeCell="C1" sqref="C1"/>
      <selection pane="bottomLeft" activeCell="A6" sqref="A6"/>
      <selection pane="bottomRight" activeCell="E29" sqref="E29"/>
    </sheetView>
  </sheetViews>
  <sheetFormatPr defaultColWidth="9.109375" defaultRowHeight="13.2" outlineLevelRow="1" x14ac:dyDescent="0.25"/>
  <cols>
    <col min="1" max="1" width="12.6640625" style="113" hidden="1" customWidth="1"/>
    <col min="2" max="2" width="2.6640625" style="113" customWidth="1"/>
    <col min="3" max="3" width="20.6640625" style="113" customWidth="1"/>
    <col min="4" max="7" width="16.6640625" style="113" customWidth="1"/>
    <col min="8" max="24" width="14.6640625" style="113" customWidth="1"/>
    <col min="25" max="16384" width="9.109375" style="113"/>
  </cols>
  <sheetData>
    <row r="2" spans="1:24" x14ac:dyDescent="0.25">
      <c r="U2" s="282" t="s">
        <v>339</v>
      </c>
      <c r="V2" s="282" t="s">
        <v>340</v>
      </c>
    </row>
    <row r="3" spans="1:24" x14ac:dyDescent="0.25">
      <c r="A3" s="544" t="s">
        <v>678</v>
      </c>
      <c r="D3" s="114" t="s">
        <v>677</v>
      </c>
      <c r="E3" s="213" t="s">
        <v>679</v>
      </c>
      <c r="U3" s="283">
        <f>SUM(D6:W35)</f>
        <v>1052788.7099949373</v>
      </c>
      <c r="V3" s="283">
        <f>IF($E$3=$A$3,Dados!$M$109,Dados!$M$112)</f>
        <v>1052788.7099949375</v>
      </c>
      <c r="W3" s="522" t="b">
        <f>IF(ABS(U3-V3)&lt;0.01,TRUE,FALSE)</f>
        <v>1</v>
      </c>
    </row>
    <row r="4" spans="1:24" x14ac:dyDescent="0.25">
      <c r="A4" s="545" t="s">
        <v>679</v>
      </c>
    </row>
    <row r="5" spans="1:24" x14ac:dyDescent="0.25">
      <c r="D5" s="260" t="str">
        <f>IF(Abertura!D5&lt;&gt;"",Abertura!D5,"")</f>
        <v>SAGE</v>
      </c>
      <c r="E5" s="261" t="str">
        <f>IF(Abertura!E5&lt;&gt;"",Abertura!E5,"")</f>
        <v>TELECOM</v>
      </c>
      <c r="F5" s="261" t="str">
        <f>IF(Abertura!F5&lt;&gt;"",Abertura!F5,"")</f>
        <v>GERAL</v>
      </c>
      <c r="G5" s="261" t="str">
        <f>IF(Abertura!G5&lt;&gt;"",Abertura!G5,"")</f>
        <v/>
      </c>
      <c r="H5" s="261" t="str">
        <f>IF(Abertura!H5&lt;&gt;"",Abertura!H5,"")</f>
        <v/>
      </c>
      <c r="I5" s="261" t="str">
        <f>IF(Abertura!I5&lt;&gt;"",Abertura!I5,"")</f>
        <v/>
      </c>
      <c r="J5" s="261" t="str">
        <f>IF(Abertura!J5&lt;&gt;"",Abertura!J5,"")</f>
        <v/>
      </c>
      <c r="K5" s="261" t="str">
        <f>IF(Abertura!K5&lt;&gt;"",Abertura!K5,"")</f>
        <v/>
      </c>
      <c r="L5" s="261" t="str">
        <f>IF(Abertura!L5&lt;&gt;"",Abertura!L5,"")</f>
        <v/>
      </c>
      <c r="M5" s="261" t="str">
        <f>IF(Abertura!M5&lt;&gt;"",Abertura!M5,"")</f>
        <v/>
      </c>
      <c r="N5" s="261" t="str">
        <f>IF(Abertura!N5&lt;&gt;"",Abertura!N5,"")</f>
        <v/>
      </c>
      <c r="O5" s="261" t="str">
        <f>IF(Abertura!O5&lt;&gt;"",Abertura!O5,"")</f>
        <v/>
      </c>
      <c r="P5" s="261" t="str">
        <f>IF(Abertura!P5&lt;&gt;"",Abertura!P5,"")</f>
        <v/>
      </c>
      <c r="Q5" s="261" t="str">
        <f>IF(Abertura!Q5&lt;&gt;"",Abertura!Q5,"")</f>
        <v/>
      </c>
      <c r="R5" s="261" t="str">
        <f>IF(Abertura!R5&lt;&gt;"",Abertura!R5,"")</f>
        <v/>
      </c>
      <c r="S5" s="261" t="str">
        <f>IF(Abertura!S5&lt;&gt;"",Abertura!S5,"")</f>
        <v/>
      </c>
      <c r="T5" s="261" t="str">
        <f>IF(Abertura!T5&lt;&gt;"",Abertura!T5,"")</f>
        <v/>
      </c>
      <c r="U5" s="261" t="str">
        <f>IF(Abertura!U5&lt;&gt;"",Abertura!U5,"")</f>
        <v/>
      </c>
      <c r="V5" s="261" t="str">
        <f>IF(Abertura!V5&lt;&gt;"",Abertura!V5,"")</f>
        <v/>
      </c>
      <c r="W5" s="262" t="str">
        <f>IF(Abertura!W5&lt;&gt;"",Abertura!W5,"")</f>
        <v/>
      </c>
    </row>
    <row r="6" spans="1:24" x14ac:dyDescent="0.25">
      <c r="C6" s="263" t="str">
        <f>IF(Abertura!C6&lt;&gt;"",Abertura!C6,"")</f>
        <v>MAT</v>
      </c>
      <c r="D6" s="269">
        <f t="shared" ref="D6:M15" si="0">IF(AND($C6&lt;&gt;"",D$5&lt;&gt;""),SUMIFS(col_std_PV,col_abertura1,$C6,col_abertura2,D$5)+IF($E$3=$A$4,SUMIFS(col_fatdir_bruto_com_mn,col_abertura1,$C6,col_abertura2,D$5),0),0)</f>
        <v>404844.68686140829</v>
      </c>
      <c r="E6" s="269">
        <f t="shared" si="0"/>
        <v>117759.17414216271</v>
      </c>
      <c r="F6" s="269">
        <f t="shared" si="0"/>
        <v>7982.9775371069736</v>
      </c>
      <c r="G6" s="269">
        <f t="shared" si="0"/>
        <v>0</v>
      </c>
      <c r="H6" s="269">
        <f t="shared" si="0"/>
        <v>0</v>
      </c>
      <c r="I6" s="269">
        <f t="shared" si="0"/>
        <v>0</v>
      </c>
      <c r="J6" s="265">
        <f t="shared" si="0"/>
        <v>0</v>
      </c>
      <c r="K6" s="265">
        <f t="shared" si="0"/>
        <v>0</v>
      </c>
      <c r="L6" s="265">
        <f t="shared" si="0"/>
        <v>0</v>
      </c>
      <c r="M6" s="265">
        <f t="shared" si="0"/>
        <v>0</v>
      </c>
      <c r="N6" s="265">
        <f t="shared" ref="N6:W15" si="1">IF(AND($C6&lt;&gt;"",N$5&lt;&gt;""),SUMIFS(col_std_PV,col_abertura1,$C6,col_abertura2,N$5)+IF($E$3=$A$4,SUMIFS(col_fatdir_bruto_com_mn,col_abertura1,$C6,col_abertura2,N$5),0),0)</f>
        <v>0</v>
      </c>
      <c r="O6" s="265">
        <f t="shared" si="1"/>
        <v>0</v>
      </c>
      <c r="P6" s="265">
        <f t="shared" si="1"/>
        <v>0</v>
      </c>
      <c r="Q6" s="265">
        <f t="shared" si="1"/>
        <v>0</v>
      </c>
      <c r="R6" s="265">
        <f t="shared" si="1"/>
        <v>0</v>
      </c>
      <c r="S6" s="265">
        <f t="shared" si="1"/>
        <v>0</v>
      </c>
      <c r="T6" s="265">
        <f t="shared" si="1"/>
        <v>0</v>
      </c>
      <c r="U6" s="265">
        <f t="shared" si="1"/>
        <v>0</v>
      </c>
      <c r="V6" s="265">
        <f t="shared" si="1"/>
        <v>0</v>
      </c>
      <c r="W6" s="266">
        <f t="shared" si="1"/>
        <v>0</v>
      </c>
      <c r="X6" s="204">
        <f>SUM(D6:W6)</f>
        <v>530586.83854067803</v>
      </c>
    </row>
    <row r="7" spans="1:24" x14ac:dyDescent="0.25">
      <c r="C7" s="267" t="str">
        <f>IF(Abertura!C7&lt;&gt;"",Abertura!C7,"")</f>
        <v>SRV</v>
      </c>
      <c r="D7" s="269">
        <f t="shared" si="0"/>
        <v>428663.09067638032</v>
      </c>
      <c r="E7" s="269">
        <f t="shared" si="0"/>
        <v>0</v>
      </c>
      <c r="F7" s="269">
        <f t="shared" si="0"/>
        <v>60946.287568829561</v>
      </c>
      <c r="G7" s="269">
        <f t="shared" si="0"/>
        <v>0</v>
      </c>
      <c r="H7" s="269">
        <f t="shared" si="0"/>
        <v>0</v>
      </c>
      <c r="I7" s="269">
        <f t="shared" si="0"/>
        <v>0</v>
      </c>
      <c r="J7" s="269">
        <f t="shared" si="0"/>
        <v>0</v>
      </c>
      <c r="K7" s="269">
        <f t="shared" si="0"/>
        <v>0</v>
      </c>
      <c r="L7" s="269">
        <f t="shared" si="0"/>
        <v>0</v>
      </c>
      <c r="M7" s="269">
        <f t="shared" si="0"/>
        <v>0</v>
      </c>
      <c r="N7" s="269">
        <f t="shared" si="1"/>
        <v>0</v>
      </c>
      <c r="O7" s="269">
        <f t="shared" si="1"/>
        <v>0</v>
      </c>
      <c r="P7" s="269">
        <f t="shared" si="1"/>
        <v>0</v>
      </c>
      <c r="Q7" s="269">
        <f t="shared" si="1"/>
        <v>0</v>
      </c>
      <c r="R7" s="269">
        <f t="shared" si="1"/>
        <v>0</v>
      </c>
      <c r="S7" s="269">
        <f t="shared" si="1"/>
        <v>0</v>
      </c>
      <c r="T7" s="269">
        <f t="shared" si="1"/>
        <v>0</v>
      </c>
      <c r="U7" s="269">
        <f t="shared" si="1"/>
        <v>0</v>
      </c>
      <c r="V7" s="269">
        <f t="shared" si="1"/>
        <v>0</v>
      </c>
      <c r="W7" s="270">
        <f t="shared" si="1"/>
        <v>0</v>
      </c>
      <c r="X7" s="204">
        <f t="shared" ref="X7:X35" si="2">SUM(D7:W7)</f>
        <v>489609.37824520987</v>
      </c>
    </row>
    <row r="8" spans="1:24" x14ac:dyDescent="0.25">
      <c r="C8" s="267" t="str">
        <f>IF(Abertura!C8&lt;&gt;"",Abertura!C8,"")</f>
        <v>MOBI</v>
      </c>
      <c r="D8" s="269">
        <f t="shared" si="0"/>
        <v>0</v>
      </c>
      <c r="E8" s="269">
        <f t="shared" si="0"/>
        <v>0</v>
      </c>
      <c r="F8" s="269">
        <f t="shared" si="0"/>
        <v>20054.837249584423</v>
      </c>
      <c r="G8" s="269">
        <f t="shared" si="0"/>
        <v>0</v>
      </c>
      <c r="H8" s="269">
        <f t="shared" si="0"/>
        <v>0</v>
      </c>
      <c r="I8" s="269">
        <f t="shared" si="0"/>
        <v>0</v>
      </c>
      <c r="J8" s="269">
        <f t="shared" si="0"/>
        <v>0</v>
      </c>
      <c r="K8" s="269">
        <f t="shared" si="0"/>
        <v>0</v>
      </c>
      <c r="L8" s="269">
        <f t="shared" si="0"/>
        <v>0</v>
      </c>
      <c r="M8" s="269">
        <f t="shared" si="0"/>
        <v>0</v>
      </c>
      <c r="N8" s="269">
        <f t="shared" si="1"/>
        <v>0</v>
      </c>
      <c r="O8" s="269">
        <f t="shared" si="1"/>
        <v>0</v>
      </c>
      <c r="P8" s="269">
        <f t="shared" si="1"/>
        <v>0</v>
      </c>
      <c r="Q8" s="269">
        <f t="shared" si="1"/>
        <v>0</v>
      </c>
      <c r="R8" s="269">
        <f t="shared" si="1"/>
        <v>0</v>
      </c>
      <c r="S8" s="269">
        <f t="shared" si="1"/>
        <v>0</v>
      </c>
      <c r="T8" s="269">
        <f t="shared" si="1"/>
        <v>0</v>
      </c>
      <c r="U8" s="269">
        <f t="shared" si="1"/>
        <v>0</v>
      </c>
      <c r="V8" s="269">
        <f t="shared" si="1"/>
        <v>0</v>
      </c>
      <c r="W8" s="270">
        <f t="shared" si="1"/>
        <v>0</v>
      </c>
      <c r="X8" s="204">
        <f t="shared" si="2"/>
        <v>20054.837249584423</v>
      </c>
    </row>
    <row r="9" spans="1:24" x14ac:dyDescent="0.25">
      <c r="C9" s="267" t="str">
        <f>IF(Abertura!C9&lt;&gt;"",Abertura!C9,"")</f>
        <v>TREIN</v>
      </c>
      <c r="D9" s="269">
        <f t="shared" si="0"/>
        <v>0</v>
      </c>
      <c r="E9" s="269">
        <f t="shared" si="0"/>
        <v>0</v>
      </c>
      <c r="F9" s="269">
        <f t="shared" si="0"/>
        <v>12537.655959465073</v>
      </c>
      <c r="G9" s="269">
        <f t="shared" si="0"/>
        <v>0</v>
      </c>
      <c r="H9" s="269">
        <f t="shared" si="0"/>
        <v>0</v>
      </c>
      <c r="I9" s="269">
        <f t="shared" si="0"/>
        <v>0</v>
      </c>
      <c r="J9" s="269">
        <f t="shared" si="0"/>
        <v>0</v>
      </c>
      <c r="K9" s="269">
        <f t="shared" si="0"/>
        <v>0</v>
      </c>
      <c r="L9" s="269">
        <f t="shared" si="0"/>
        <v>0</v>
      </c>
      <c r="M9" s="269">
        <f t="shared" si="0"/>
        <v>0</v>
      </c>
      <c r="N9" s="269">
        <f t="shared" si="1"/>
        <v>0</v>
      </c>
      <c r="O9" s="269">
        <f t="shared" si="1"/>
        <v>0</v>
      </c>
      <c r="P9" s="269">
        <f t="shared" si="1"/>
        <v>0</v>
      </c>
      <c r="Q9" s="269">
        <f t="shared" si="1"/>
        <v>0</v>
      </c>
      <c r="R9" s="269">
        <f t="shared" si="1"/>
        <v>0</v>
      </c>
      <c r="S9" s="269">
        <f t="shared" si="1"/>
        <v>0</v>
      </c>
      <c r="T9" s="269">
        <f t="shared" si="1"/>
        <v>0</v>
      </c>
      <c r="U9" s="269">
        <f t="shared" si="1"/>
        <v>0</v>
      </c>
      <c r="V9" s="269">
        <f t="shared" si="1"/>
        <v>0</v>
      </c>
      <c r="W9" s="270">
        <f t="shared" si="1"/>
        <v>0</v>
      </c>
      <c r="X9" s="204">
        <f t="shared" si="2"/>
        <v>12537.655959465073</v>
      </c>
    </row>
    <row r="10" spans="1:24" x14ac:dyDescent="0.25">
      <c r="C10" s="267" t="str">
        <f>IF(Abertura!C10&lt;&gt;"",Abertura!C10,"")</f>
        <v/>
      </c>
      <c r="D10" s="269">
        <f t="shared" si="0"/>
        <v>0</v>
      </c>
      <c r="E10" s="269">
        <f t="shared" si="0"/>
        <v>0</v>
      </c>
      <c r="F10" s="269">
        <f t="shared" si="0"/>
        <v>0</v>
      </c>
      <c r="G10" s="269">
        <f t="shared" si="0"/>
        <v>0</v>
      </c>
      <c r="H10" s="269">
        <f t="shared" si="0"/>
        <v>0</v>
      </c>
      <c r="I10" s="269">
        <f t="shared" si="0"/>
        <v>0</v>
      </c>
      <c r="J10" s="269">
        <f t="shared" si="0"/>
        <v>0</v>
      </c>
      <c r="K10" s="269">
        <f t="shared" si="0"/>
        <v>0</v>
      </c>
      <c r="L10" s="269">
        <f t="shared" si="0"/>
        <v>0</v>
      </c>
      <c r="M10" s="269">
        <f t="shared" si="0"/>
        <v>0</v>
      </c>
      <c r="N10" s="269">
        <f t="shared" si="1"/>
        <v>0</v>
      </c>
      <c r="O10" s="269">
        <f t="shared" si="1"/>
        <v>0</v>
      </c>
      <c r="P10" s="269">
        <f t="shared" si="1"/>
        <v>0</v>
      </c>
      <c r="Q10" s="269">
        <f t="shared" si="1"/>
        <v>0</v>
      </c>
      <c r="R10" s="269">
        <f t="shared" si="1"/>
        <v>0</v>
      </c>
      <c r="S10" s="269">
        <f t="shared" si="1"/>
        <v>0</v>
      </c>
      <c r="T10" s="269">
        <f t="shared" si="1"/>
        <v>0</v>
      </c>
      <c r="U10" s="269">
        <f t="shared" si="1"/>
        <v>0</v>
      </c>
      <c r="V10" s="269">
        <f t="shared" si="1"/>
        <v>0</v>
      </c>
      <c r="W10" s="270">
        <f t="shared" si="1"/>
        <v>0</v>
      </c>
      <c r="X10" s="204">
        <f t="shared" si="2"/>
        <v>0</v>
      </c>
    </row>
    <row r="11" spans="1:24" x14ac:dyDescent="0.25">
      <c r="C11" s="267" t="str">
        <f>IF(Abertura!C11&lt;&gt;"",Abertura!C11,"")</f>
        <v/>
      </c>
      <c r="D11" s="269">
        <f t="shared" si="0"/>
        <v>0</v>
      </c>
      <c r="E11" s="269">
        <f t="shared" si="0"/>
        <v>0</v>
      </c>
      <c r="F11" s="269">
        <f t="shared" si="0"/>
        <v>0</v>
      </c>
      <c r="G11" s="269">
        <f t="shared" si="0"/>
        <v>0</v>
      </c>
      <c r="H11" s="269">
        <f t="shared" si="0"/>
        <v>0</v>
      </c>
      <c r="I11" s="269">
        <f t="shared" si="0"/>
        <v>0</v>
      </c>
      <c r="J11" s="269">
        <f t="shared" si="0"/>
        <v>0</v>
      </c>
      <c r="K11" s="269">
        <f t="shared" si="0"/>
        <v>0</v>
      </c>
      <c r="L11" s="269">
        <f t="shared" si="0"/>
        <v>0</v>
      </c>
      <c r="M11" s="269">
        <f t="shared" si="0"/>
        <v>0</v>
      </c>
      <c r="N11" s="269">
        <f t="shared" si="1"/>
        <v>0</v>
      </c>
      <c r="O11" s="269">
        <f t="shared" si="1"/>
        <v>0</v>
      </c>
      <c r="P11" s="269">
        <f t="shared" si="1"/>
        <v>0</v>
      </c>
      <c r="Q11" s="269">
        <f t="shared" si="1"/>
        <v>0</v>
      </c>
      <c r="R11" s="269">
        <f t="shared" si="1"/>
        <v>0</v>
      </c>
      <c r="S11" s="269">
        <f t="shared" si="1"/>
        <v>0</v>
      </c>
      <c r="T11" s="269">
        <f t="shared" si="1"/>
        <v>0</v>
      </c>
      <c r="U11" s="269">
        <f t="shared" si="1"/>
        <v>0</v>
      </c>
      <c r="V11" s="269">
        <f t="shared" si="1"/>
        <v>0</v>
      </c>
      <c r="W11" s="270">
        <f t="shared" si="1"/>
        <v>0</v>
      </c>
      <c r="X11" s="204">
        <f t="shared" si="2"/>
        <v>0</v>
      </c>
    </row>
    <row r="12" spans="1:24" x14ac:dyDescent="0.25">
      <c r="C12" s="267" t="str">
        <f>IF(Abertura!C12&lt;&gt;"",Abertura!C12,"")</f>
        <v/>
      </c>
      <c r="D12" s="268">
        <f t="shared" si="0"/>
        <v>0</v>
      </c>
      <c r="E12" s="269">
        <f t="shared" si="0"/>
        <v>0</v>
      </c>
      <c r="F12" s="269">
        <f t="shared" si="0"/>
        <v>0</v>
      </c>
      <c r="G12" s="269">
        <f t="shared" si="0"/>
        <v>0</v>
      </c>
      <c r="H12" s="269">
        <f t="shared" si="0"/>
        <v>0</v>
      </c>
      <c r="I12" s="269">
        <f t="shared" si="0"/>
        <v>0</v>
      </c>
      <c r="J12" s="269">
        <f t="shared" si="0"/>
        <v>0</v>
      </c>
      <c r="K12" s="269">
        <f t="shared" si="0"/>
        <v>0</v>
      </c>
      <c r="L12" s="269">
        <f t="shared" si="0"/>
        <v>0</v>
      </c>
      <c r="M12" s="269">
        <f t="shared" si="0"/>
        <v>0</v>
      </c>
      <c r="N12" s="269">
        <f t="shared" si="1"/>
        <v>0</v>
      </c>
      <c r="O12" s="269">
        <f t="shared" si="1"/>
        <v>0</v>
      </c>
      <c r="P12" s="269">
        <f t="shared" si="1"/>
        <v>0</v>
      </c>
      <c r="Q12" s="269">
        <f t="shared" si="1"/>
        <v>0</v>
      </c>
      <c r="R12" s="269">
        <f t="shared" si="1"/>
        <v>0</v>
      </c>
      <c r="S12" s="269">
        <f t="shared" si="1"/>
        <v>0</v>
      </c>
      <c r="T12" s="269">
        <f t="shared" si="1"/>
        <v>0</v>
      </c>
      <c r="U12" s="269">
        <f t="shared" si="1"/>
        <v>0</v>
      </c>
      <c r="V12" s="269">
        <f t="shared" si="1"/>
        <v>0</v>
      </c>
      <c r="W12" s="270">
        <f t="shared" si="1"/>
        <v>0</v>
      </c>
      <c r="X12" s="204">
        <f t="shared" si="2"/>
        <v>0</v>
      </c>
    </row>
    <row r="13" spans="1:24" x14ac:dyDescent="0.25">
      <c r="C13" s="267" t="str">
        <f>IF(Abertura!C13&lt;&gt;"",Abertura!C13,"")</f>
        <v/>
      </c>
      <c r="D13" s="268">
        <f t="shared" si="0"/>
        <v>0</v>
      </c>
      <c r="E13" s="269">
        <f t="shared" si="0"/>
        <v>0</v>
      </c>
      <c r="F13" s="269">
        <f t="shared" si="0"/>
        <v>0</v>
      </c>
      <c r="G13" s="269">
        <f t="shared" si="0"/>
        <v>0</v>
      </c>
      <c r="H13" s="269">
        <f t="shared" si="0"/>
        <v>0</v>
      </c>
      <c r="I13" s="269">
        <f t="shared" si="0"/>
        <v>0</v>
      </c>
      <c r="J13" s="269">
        <f t="shared" si="0"/>
        <v>0</v>
      </c>
      <c r="K13" s="269">
        <f t="shared" si="0"/>
        <v>0</v>
      </c>
      <c r="L13" s="269">
        <f t="shared" si="0"/>
        <v>0</v>
      </c>
      <c r="M13" s="269">
        <f t="shared" si="0"/>
        <v>0</v>
      </c>
      <c r="N13" s="269">
        <f t="shared" si="1"/>
        <v>0</v>
      </c>
      <c r="O13" s="269">
        <f t="shared" si="1"/>
        <v>0</v>
      </c>
      <c r="P13" s="269">
        <f t="shared" si="1"/>
        <v>0</v>
      </c>
      <c r="Q13" s="269">
        <f t="shared" si="1"/>
        <v>0</v>
      </c>
      <c r="R13" s="269">
        <f t="shared" si="1"/>
        <v>0</v>
      </c>
      <c r="S13" s="269">
        <f t="shared" si="1"/>
        <v>0</v>
      </c>
      <c r="T13" s="269">
        <f t="shared" si="1"/>
        <v>0</v>
      </c>
      <c r="U13" s="269">
        <f t="shared" si="1"/>
        <v>0</v>
      </c>
      <c r="V13" s="269">
        <f t="shared" si="1"/>
        <v>0</v>
      </c>
      <c r="W13" s="270">
        <f t="shared" si="1"/>
        <v>0</v>
      </c>
      <c r="X13" s="204">
        <f t="shared" si="2"/>
        <v>0</v>
      </c>
    </row>
    <row r="14" spans="1:24" x14ac:dyDescent="0.25">
      <c r="C14" s="267" t="str">
        <f>IF(Abertura!C14&lt;&gt;"",Abertura!C14,"")</f>
        <v/>
      </c>
      <c r="D14" s="268">
        <f t="shared" si="0"/>
        <v>0</v>
      </c>
      <c r="E14" s="269">
        <f t="shared" si="0"/>
        <v>0</v>
      </c>
      <c r="F14" s="269">
        <f t="shared" si="0"/>
        <v>0</v>
      </c>
      <c r="G14" s="269">
        <f t="shared" si="0"/>
        <v>0</v>
      </c>
      <c r="H14" s="269">
        <f t="shared" si="0"/>
        <v>0</v>
      </c>
      <c r="I14" s="269">
        <f t="shared" si="0"/>
        <v>0</v>
      </c>
      <c r="J14" s="269">
        <f t="shared" si="0"/>
        <v>0</v>
      </c>
      <c r="K14" s="269">
        <f t="shared" si="0"/>
        <v>0</v>
      </c>
      <c r="L14" s="269">
        <f t="shared" si="0"/>
        <v>0</v>
      </c>
      <c r="M14" s="269">
        <f t="shared" si="0"/>
        <v>0</v>
      </c>
      <c r="N14" s="269">
        <f t="shared" si="1"/>
        <v>0</v>
      </c>
      <c r="O14" s="269">
        <f t="shared" si="1"/>
        <v>0</v>
      </c>
      <c r="P14" s="269">
        <f t="shared" si="1"/>
        <v>0</v>
      </c>
      <c r="Q14" s="269">
        <f t="shared" si="1"/>
        <v>0</v>
      </c>
      <c r="R14" s="269">
        <f t="shared" si="1"/>
        <v>0</v>
      </c>
      <c r="S14" s="269">
        <f t="shared" si="1"/>
        <v>0</v>
      </c>
      <c r="T14" s="269">
        <f t="shared" si="1"/>
        <v>0</v>
      </c>
      <c r="U14" s="269">
        <f t="shared" si="1"/>
        <v>0</v>
      </c>
      <c r="V14" s="269">
        <f t="shared" si="1"/>
        <v>0</v>
      </c>
      <c r="W14" s="270">
        <f t="shared" si="1"/>
        <v>0</v>
      </c>
      <c r="X14" s="204">
        <f t="shared" si="2"/>
        <v>0</v>
      </c>
    </row>
    <row r="15" spans="1:24" x14ac:dyDescent="0.25">
      <c r="C15" s="267" t="str">
        <f>IF(Abertura!C15&lt;&gt;"",Abertura!C15,"")</f>
        <v/>
      </c>
      <c r="D15" s="268">
        <f t="shared" si="0"/>
        <v>0</v>
      </c>
      <c r="E15" s="269">
        <f t="shared" si="0"/>
        <v>0</v>
      </c>
      <c r="F15" s="269">
        <f t="shared" si="0"/>
        <v>0</v>
      </c>
      <c r="G15" s="269">
        <f t="shared" si="0"/>
        <v>0</v>
      </c>
      <c r="H15" s="269">
        <f t="shared" si="0"/>
        <v>0</v>
      </c>
      <c r="I15" s="269">
        <f t="shared" si="0"/>
        <v>0</v>
      </c>
      <c r="J15" s="269">
        <f t="shared" si="0"/>
        <v>0</v>
      </c>
      <c r="K15" s="269">
        <f t="shared" si="0"/>
        <v>0</v>
      </c>
      <c r="L15" s="269">
        <f t="shared" si="0"/>
        <v>0</v>
      </c>
      <c r="M15" s="269">
        <f t="shared" si="0"/>
        <v>0</v>
      </c>
      <c r="N15" s="269">
        <f t="shared" si="1"/>
        <v>0</v>
      </c>
      <c r="O15" s="269">
        <f t="shared" si="1"/>
        <v>0</v>
      </c>
      <c r="P15" s="269">
        <f t="shared" si="1"/>
        <v>0</v>
      </c>
      <c r="Q15" s="269">
        <f t="shared" si="1"/>
        <v>0</v>
      </c>
      <c r="R15" s="269">
        <f t="shared" si="1"/>
        <v>0</v>
      </c>
      <c r="S15" s="269">
        <f t="shared" si="1"/>
        <v>0</v>
      </c>
      <c r="T15" s="269">
        <f t="shared" si="1"/>
        <v>0</v>
      </c>
      <c r="U15" s="269">
        <f t="shared" si="1"/>
        <v>0</v>
      </c>
      <c r="V15" s="269">
        <f t="shared" si="1"/>
        <v>0</v>
      </c>
      <c r="W15" s="270">
        <f t="shared" si="1"/>
        <v>0</v>
      </c>
      <c r="X15" s="204">
        <f t="shared" si="2"/>
        <v>0</v>
      </c>
    </row>
    <row r="16" spans="1:24" x14ac:dyDescent="0.25">
      <c r="C16" s="267" t="str">
        <f>IF(Abertura!C16&lt;&gt;"",Abertura!C16,"")</f>
        <v/>
      </c>
      <c r="D16" s="268">
        <f t="shared" ref="D16:M25" si="3">IF(AND($C16&lt;&gt;"",D$5&lt;&gt;""),SUMIFS(col_std_PV,col_abertura1,$C16,col_abertura2,D$5)+IF($E$3=$A$4,SUMIFS(col_fatdir_bruto_com_mn,col_abertura1,$C16,col_abertura2,D$5),0),0)</f>
        <v>0</v>
      </c>
      <c r="E16" s="269">
        <f t="shared" si="3"/>
        <v>0</v>
      </c>
      <c r="F16" s="269">
        <f t="shared" si="3"/>
        <v>0</v>
      </c>
      <c r="G16" s="269">
        <f t="shared" si="3"/>
        <v>0</v>
      </c>
      <c r="H16" s="269">
        <f t="shared" si="3"/>
        <v>0</v>
      </c>
      <c r="I16" s="269">
        <f t="shared" si="3"/>
        <v>0</v>
      </c>
      <c r="J16" s="269">
        <f t="shared" si="3"/>
        <v>0</v>
      </c>
      <c r="K16" s="269">
        <f t="shared" si="3"/>
        <v>0</v>
      </c>
      <c r="L16" s="269">
        <f t="shared" si="3"/>
        <v>0</v>
      </c>
      <c r="M16" s="269">
        <f t="shared" si="3"/>
        <v>0</v>
      </c>
      <c r="N16" s="269">
        <f t="shared" ref="N16:W25" si="4">IF(AND($C16&lt;&gt;"",N$5&lt;&gt;""),SUMIFS(col_std_PV,col_abertura1,$C16,col_abertura2,N$5)+IF($E$3=$A$4,SUMIFS(col_fatdir_bruto_com_mn,col_abertura1,$C16,col_abertura2,N$5),0),0)</f>
        <v>0</v>
      </c>
      <c r="O16" s="269">
        <f t="shared" si="4"/>
        <v>0</v>
      </c>
      <c r="P16" s="269">
        <f t="shared" si="4"/>
        <v>0</v>
      </c>
      <c r="Q16" s="269">
        <f t="shared" si="4"/>
        <v>0</v>
      </c>
      <c r="R16" s="269">
        <f t="shared" si="4"/>
        <v>0</v>
      </c>
      <c r="S16" s="269">
        <f t="shared" si="4"/>
        <v>0</v>
      </c>
      <c r="T16" s="269">
        <f t="shared" si="4"/>
        <v>0</v>
      </c>
      <c r="U16" s="269">
        <f t="shared" si="4"/>
        <v>0</v>
      </c>
      <c r="V16" s="269">
        <f t="shared" si="4"/>
        <v>0</v>
      </c>
      <c r="W16" s="270">
        <f t="shared" si="4"/>
        <v>0</v>
      </c>
      <c r="X16" s="204">
        <f t="shared" si="2"/>
        <v>0</v>
      </c>
    </row>
    <row r="17" spans="3:24" x14ac:dyDescent="0.25">
      <c r="C17" s="267" t="str">
        <f>IF(Abertura!C17&lt;&gt;"",Abertura!C17,"")</f>
        <v/>
      </c>
      <c r="D17" s="268">
        <f t="shared" si="3"/>
        <v>0</v>
      </c>
      <c r="E17" s="269">
        <f t="shared" si="3"/>
        <v>0</v>
      </c>
      <c r="F17" s="269">
        <f t="shared" si="3"/>
        <v>0</v>
      </c>
      <c r="G17" s="269">
        <f t="shared" si="3"/>
        <v>0</v>
      </c>
      <c r="H17" s="269">
        <f t="shared" si="3"/>
        <v>0</v>
      </c>
      <c r="I17" s="269">
        <f t="shared" si="3"/>
        <v>0</v>
      </c>
      <c r="J17" s="269">
        <f t="shared" si="3"/>
        <v>0</v>
      </c>
      <c r="K17" s="269">
        <f t="shared" si="3"/>
        <v>0</v>
      </c>
      <c r="L17" s="269">
        <f t="shared" si="3"/>
        <v>0</v>
      </c>
      <c r="M17" s="269">
        <f t="shared" si="3"/>
        <v>0</v>
      </c>
      <c r="N17" s="269">
        <f t="shared" si="4"/>
        <v>0</v>
      </c>
      <c r="O17" s="269">
        <f t="shared" si="4"/>
        <v>0</v>
      </c>
      <c r="P17" s="269">
        <f t="shared" si="4"/>
        <v>0</v>
      </c>
      <c r="Q17" s="269">
        <f t="shared" si="4"/>
        <v>0</v>
      </c>
      <c r="R17" s="269">
        <f t="shared" si="4"/>
        <v>0</v>
      </c>
      <c r="S17" s="269">
        <f t="shared" si="4"/>
        <v>0</v>
      </c>
      <c r="T17" s="269">
        <f t="shared" si="4"/>
        <v>0</v>
      </c>
      <c r="U17" s="269">
        <f t="shared" si="4"/>
        <v>0</v>
      </c>
      <c r="V17" s="269">
        <f t="shared" si="4"/>
        <v>0</v>
      </c>
      <c r="W17" s="270">
        <f t="shared" si="4"/>
        <v>0</v>
      </c>
      <c r="X17" s="204">
        <f t="shared" si="2"/>
        <v>0</v>
      </c>
    </row>
    <row r="18" spans="3:24" x14ac:dyDescent="0.25">
      <c r="C18" s="267" t="str">
        <f>IF(Abertura!C18&lt;&gt;"",Abertura!C18,"")</f>
        <v/>
      </c>
      <c r="D18" s="268">
        <f t="shared" si="3"/>
        <v>0</v>
      </c>
      <c r="E18" s="269">
        <f t="shared" si="3"/>
        <v>0</v>
      </c>
      <c r="F18" s="269">
        <f t="shared" si="3"/>
        <v>0</v>
      </c>
      <c r="G18" s="269">
        <f t="shared" si="3"/>
        <v>0</v>
      </c>
      <c r="H18" s="269">
        <f t="shared" si="3"/>
        <v>0</v>
      </c>
      <c r="I18" s="269">
        <f t="shared" si="3"/>
        <v>0</v>
      </c>
      <c r="J18" s="269">
        <f t="shared" si="3"/>
        <v>0</v>
      </c>
      <c r="K18" s="269">
        <f t="shared" si="3"/>
        <v>0</v>
      </c>
      <c r="L18" s="269">
        <f t="shared" si="3"/>
        <v>0</v>
      </c>
      <c r="M18" s="269">
        <f t="shared" si="3"/>
        <v>0</v>
      </c>
      <c r="N18" s="269">
        <f t="shared" si="4"/>
        <v>0</v>
      </c>
      <c r="O18" s="269">
        <f t="shared" si="4"/>
        <v>0</v>
      </c>
      <c r="P18" s="269">
        <f t="shared" si="4"/>
        <v>0</v>
      </c>
      <c r="Q18" s="269">
        <f t="shared" si="4"/>
        <v>0</v>
      </c>
      <c r="R18" s="269">
        <f t="shared" si="4"/>
        <v>0</v>
      </c>
      <c r="S18" s="269">
        <f t="shared" si="4"/>
        <v>0</v>
      </c>
      <c r="T18" s="269">
        <f t="shared" si="4"/>
        <v>0</v>
      </c>
      <c r="U18" s="269">
        <f t="shared" si="4"/>
        <v>0</v>
      </c>
      <c r="V18" s="269">
        <f t="shared" si="4"/>
        <v>0</v>
      </c>
      <c r="W18" s="270">
        <f t="shared" si="4"/>
        <v>0</v>
      </c>
      <c r="X18" s="204">
        <f t="shared" si="2"/>
        <v>0</v>
      </c>
    </row>
    <row r="19" spans="3:24" x14ac:dyDescent="0.25">
      <c r="C19" s="267" t="str">
        <f>IF(Abertura!C19&lt;&gt;"",Abertura!C19,"")</f>
        <v/>
      </c>
      <c r="D19" s="268">
        <f t="shared" si="3"/>
        <v>0</v>
      </c>
      <c r="E19" s="269">
        <f t="shared" si="3"/>
        <v>0</v>
      </c>
      <c r="F19" s="269">
        <f t="shared" si="3"/>
        <v>0</v>
      </c>
      <c r="G19" s="269">
        <f t="shared" si="3"/>
        <v>0</v>
      </c>
      <c r="H19" s="269">
        <f t="shared" si="3"/>
        <v>0</v>
      </c>
      <c r="I19" s="269">
        <f t="shared" si="3"/>
        <v>0</v>
      </c>
      <c r="J19" s="269">
        <f t="shared" si="3"/>
        <v>0</v>
      </c>
      <c r="K19" s="269">
        <f t="shared" si="3"/>
        <v>0</v>
      </c>
      <c r="L19" s="269">
        <f t="shared" si="3"/>
        <v>0</v>
      </c>
      <c r="M19" s="269">
        <f t="shared" si="3"/>
        <v>0</v>
      </c>
      <c r="N19" s="269">
        <f t="shared" si="4"/>
        <v>0</v>
      </c>
      <c r="O19" s="269">
        <f t="shared" si="4"/>
        <v>0</v>
      </c>
      <c r="P19" s="269">
        <f t="shared" si="4"/>
        <v>0</v>
      </c>
      <c r="Q19" s="269">
        <f t="shared" si="4"/>
        <v>0</v>
      </c>
      <c r="R19" s="269">
        <f t="shared" si="4"/>
        <v>0</v>
      </c>
      <c r="S19" s="269">
        <f t="shared" si="4"/>
        <v>0</v>
      </c>
      <c r="T19" s="269">
        <f t="shared" si="4"/>
        <v>0</v>
      </c>
      <c r="U19" s="269">
        <f t="shared" si="4"/>
        <v>0</v>
      </c>
      <c r="V19" s="269">
        <f t="shared" si="4"/>
        <v>0</v>
      </c>
      <c r="W19" s="270">
        <f t="shared" si="4"/>
        <v>0</v>
      </c>
      <c r="X19" s="204">
        <f t="shared" si="2"/>
        <v>0</v>
      </c>
    </row>
    <row r="20" spans="3:24" x14ac:dyDescent="0.25">
      <c r="C20" s="267" t="str">
        <f>IF(Abertura!C20&lt;&gt;"",Abertura!C20,"")</f>
        <v/>
      </c>
      <c r="D20" s="268">
        <f t="shared" si="3"/>
        <v>0</v>
      </c>
      <c r="E20" s="269">
        <f t="shared" si="3"/>
        <v>0</v>
      </c>
      <c r="F20" s="269">
        <f t="shared" si="3"/>
        <v>0</v>
      </c>
      <c r="G20" s="269">
        <f t="shared" si="3"/>
        <v>0</v>
      </c>
      <c r="H20" s="269">
        <f t="shared" si="3"/>
        <v>0</v>
      </c>
      <c r="I20" s="269">
        <f t="shared" si="3"/>
        <v>0</v>
      </c>
      <c r="J20" s="269">
        <f t="shared" si="3"/>
        <v>0</v>
      </c>
      <c r="K20" s="269">
        <f t="shared" si="3"/>
        <v>0</v>
      </c>
      <c r="L20" s="269">
        <f t="shared" si="3"/>
        <v>0</v>
      </c>
      <c r="M20" s="269">
        <f t="shared" si="3"/>
        <v>0</v>
      </c>
      <c r="N20" s="269">
        <f t="shared" si="4"/>
        <v>0</v>
      </c>
      <c r="O20" s="269">
        <f t="shared" si="4"/>
        <v>0</v>
      </c>
      <c r="P20" s="269">
        <f t="shared" si="4"/>
        <v>0</v>
      </c>
      <c r="Q20" s="269">
        <f t="shared" si="4"/>
        <v>0</v>
      </c>
      <c r="R20" s="269">
        <f t="shared" si="4"/>
        <v>0</v>
      </c>
      <c r="S20" s="269">
        <f t="shared" si="4"/>
        <v>0</v>
      </c>
      <c r="T20" s="269">
        <f t="shared" si="4"/>
        <v>0</v>
      </c>
      <c r="U20" s="269">
        <f t="shared" si="4"/>
        <v>0</v>
      </c>
      <c r="V20" s="269">
        <f t="shared" si="4"/>
        <v>0</v>
      </c>
      <c r="W20" s="270">
        <f t="shared" si="4"/>
        <v>0</v>
      </c>
      <c r="X20" s="204">
        <f t="shared" si="2"/>
        <v>0</v>
      </c>
    </row>
    <row r="21" spans="3:24" x14ac:dyDescent="0.25">
      <c r="C21" s="267" t="str">
        <f>IF(Abertura!C21&lt;&gt;"",Abertura!C21,"")</f>
        <v/>
      </c>
      <c r="D21" s="268">
        <f t="shared" si="3"/>
        <v>0</v>
      </c>
      <c r="E21" s="269">
        <f t="shared" si="3"/>
        <v>0</v>
      </c>
      <c r="F21" s="269">
        <f t="shared" si="3"/>
        <v>0</v>
      </c>
      <c r="G21" s="269">
        <f t="shared" si="3"/>
        <v>0</v>
      </c>
      <c r="H21" s="269">
        <f t="shared" si="3"/>
        <v>0</v>
      </c>
      <c r="I21" s="269">
        <f t="shared" si="3"/>
        <v>0</v>
      </c>
      <c r="J21" s="269">
        <f t="shared" si="3"/>
        <v>0</v>
      </c>
      <c r="K21" s="269">
        <f t="shared" si="3"/>
        <v>0</v>
      </c>
      <c r="L21" s="269">
        <f t="shared" si="3"/>
        <v>0</v>
      </c>
      <c r="M21" s="269">
        <f t="shared" si="3"/>
        <v>0</v>
      </c>
      <c r="N21" s="269">
        <f t="shared" si="4"/>
        <v>0</v>
      </c>
      <c r="O21" s="269">
        <f t="shared" si="4"/>
        <v>0</v>
      </c>
      <c r="P21" s="269">
        <f t="shared" si="4"/>
        <v>0</v>
      </c>
      <c r="Q21" s="269">
        <f t="shared" si="4"/>
        <v>0</v>
      </c>
      <c r="R21" s="269">
        <f t="shared" si="4"/>
        <v>0</v>
      </c>
      <c r="S21" s="269">
        <f t="shared" si="4"/>
        <v>0</v>
      </c>
      <c r="T21" s="269">
        <f t="shared" si="4"/>
        <v>0</v>
      </c>
      <c r="U21" s="269">
        <f t="shared" si="4"/>
        <v>0</v>
      </c>
      <c r="V21" s="269">
        <f t="shared" si="4"/>
        <v>0</v>
      </c>
      <c r="W21" s="270">
        <f t="shared" si="4"/>
        <v>0</v>
      </c>
      <c r="X21" s="204">
        <f t="shared" si="2"/>
        <v>0</v>
      </c>
    </row>
    <row r="22" spans="3:24" x14ac:dyDescent="0.25">
      <c r="C22" s="267" t="str">
        <f>IF(Abertura!C22&lt;&gt;"",Abertura!C22,"")</f>
        <v/>
      </c>
      <c r="D22" s="268">
        <f t="shared" si="3"/>
        <v>0</v>
      </c>
      <c r="E22" s="269">
        <f t="shared" si="3"/>
        <v>0</v>
      </c>
      <c r="F22" s="269">
        <f t="shared" si="3"/>
        <v>0</v>
      </c>
      <c r="G22" s="269">
        <f t="shared" si="3"/>
        <v>0</v>
      </c>
      <c r="H22" s="269">
        <f t="shared" si="3"/>
        <v>0</v>
      </c>
      <c r="I22" s="269">
        <f t="shared" si="3"/>
        <v>0</v>
      </c>
      <c r="J22" s="269">
        <f t="shared" si="3"/>
        <v>0</v>
      </c>
      <c r="K22" s="269">
        <f t="shared" si="3"/>
        <v>0</v>
      </c>
      <c r="L22" s="269">
        <f t="shared" si="3"/>
        <v>0</v>
      </c>
      <c r="M22" s="269">
        <f t="shared" si="3"/>
        <v>0</v>
      </c>
      <c r="N22" s="269">
        <f t="shared" si="4"/>
        <v>0</v>
      </c>
      <c r="O22" s="269">
        <f t="shared" si="4"/>
        <v>0</v>
      </c>
      <c r="P22" s="269">
        <f t="shared" si="4"/>
        <v>0</v>
      </c>
      <c r="Q22" s="269">
        <f t="shared" si="4"/>
        <v>0</v>
      </c>
      <c r="R22" s="269">
        <f t="shared" si="4"/>
        <v>0</v>
      </c>
      <c r="S22" s="269">
        <f t="shared" si="4"/>
        <v>0</v>
      </c>
      <c r="T22" s="269">
        <f t="shared" si="4"/>
        <v>0</v>
      </c>
      <c r="U22" s="269">
        <f t="shared" si="4"/>
        <v>0</v>
      </c>
      <c r="V22" s="269">
        <f t="shared" si="4"/>
        <v>0</v>
      </c>
      <c r="W22" s="270">
        <f t="shared" si="4"/>
        <v>0</v>
      </c>
      <c r="X22" s="204">
        <f t="shared" si="2"/>
        <v>0</v>
      </c>
    </row>
    <row r="23" spans="3:24" x14ac:dyDescent="0.25">
      <c r="C23" s="267" t="str">
        <f>IF(Abertura!C23&lt;&gt;"",Abertura!C23,"")</f>
        <v/>
      </c>
      <c r="D23" s="268">
        <f t="shared" si="3"/>
        <v>0</v>
      </c>
      <c r="E23" s="269">
        <f t="shared" si="3"/>
        <v>0</v>
      </c>
      <c r="F23" s="269">
        <f t="shared" si="3"/>
        <v>0</v>
      </c>
      <c r="G23" s="269">
        <f t="shared" si="3"/>
        <v>0</v>
      </c>
      <c r="H23" s="269">
        <f t="shared" si="3"/>
        <v>0</v>
      </c>
      <c r="I23" s="269">
        <f t="shared" si="3"/>
        <v>0</v>
      </c>
      <c r="J23" s="269">
        <f t="shared" si="3"/>
        <v>0</v>
      </c>
      <c r="K23" s="269">
        <f t="shared" si="3"/>
        <v>0</v>
      </c>
      <c r="L23" s="269">
        <f t="shared" si="3"/>
        <v>0</v>
      </c>
      <c r="M23" s="269">
        <f t="shared" si="3"/>
        <v>0</v>
      </c>
      <c r="N23" s="269">
        <f t="shared" si="4"/>
        <v>0</v>
      </c>
      <c r="O23" s="269">
        <f t="shared" si="4"/>
        <v>0</v>
      </c>
      <c r="P23" s="269">
        <f t="shared" si="4"/>
        <v>0</v>
      </c>
      <c r="Q23" s="269">
        <f t="shared" si="4"/>
        <v>0</v>
      </c>
      <c r="R23" s="269">
        <f t="shared" si="4"/>
        <v>0</v>
      </c>
      <c r="S23" s="269">
        <f t="shared" si="4"/>
        <v>0</v>
      </c>
      <c r="T23" s="269">
        <f t="shared" si="4"/>
        <v>0</v>
      </c>
      <c r="U23" s="269">
        <f t="shared" si="4"/>
        <v>0</v>
      </c>
      <c r="V23" s="269">
        <f t="shared" si="4"/>
        <v>0</v>
      </c>
      <c r="W23" s="270">
        <f t="shared" si="4"/>
        <v>0</v>
      </c>
      <c r="X23" s="204">
        <f t="shared" si="2"/>
        <v>0</v>
      </c>
    </row>
    <row r="24" spans="3:24" x14ac:dyDescent="0.25">
      <c r="C24" s="267" t="str">
        <f>IF(Abertura!C24&lt;&gt;"",Abertura!C24,"")</f>
        <v/>
      </c>
      <c r="D24" s="268">
        <f t="shared" si="3"/>
        <v>0</v>
      </c>
      <c r="E24" s="269">
        <f t="shared" si="3"/>
        <v>0</v>
      </c>
      <c r="F24" s="269">
        <f t="shared" si="3"/>
        <v>0</v>
      </c>
      <c r="G24" s="269">
        <f t="shared" si="3"/>
        <v>0</v>
      </c>
      <c r="H24" s="269">
        <f t="shared" si="3"/>
        <v>0</v>
      </c>
      <c r="I24" s="269">
        <f t="shared" si="3"/>
        <v>0</v>
      </c>
      <c r="J24" s="269">
        <f t="shared" si="3"/>
        <v>0</v>
      </c>
      <c r="K24" s="269">
        <f t="shared" si="3"/>
        <v>0</v>
      </c>
      <c r="L24" s="269">
        <f t="shared" si="3"/>
        <v>0</v>
      </c>
      <c r="M24" s="269">
        <f t="shared" si="3"/>
        <v>0</v>
      </c>
      <c r="N24" s="269">
        <f t="shared" si="4"/>
        <v>0</v>
      </c>
      <c r="O24" s="269">
        <f t="shared" si="4"/>
        <v>0</v>
      </c>
      <c r="P24" s="269">
        <f t="shared" si="4"/>
        <v>0</v>
      </c>
      <c r="Q24" s="269">
        <f t="shared" si="4"/>
        <v>0</v>
      </c>
      <c r="R24" s="269">
        <f t="shared" si="4"/>
        <v>0</v>
      </c>
      <c r="S24" s="269">
        <f t="shared" si="4"/>
        <v>0</v>
      </c>
      <c r="T24" s="269">
        <f t="shared" si="4"/>
        <v>0</v>
      </c>
      <c r="U24" s="269">
        <f t="shared" si="4"/>
        <v>0</v>
      </c>
      <c r="V24" s="269">
        <f t="shared" si="4"/>
        <v>0</v>
      </c>
      <c r="W24" s="270">
        <f t="shared" si="4"/>
        <v>0</v>
      </c>
      <c r="X24" s="204">
        <f t="shared" si="2"/>
        <v>0</v>
      </c>
    </row>
    <row r="25" spans="3:24" x14ac:dyDescent="0.25">
      <c r="C25" s="267" t="str">
        <f>IF(Abertura!C25&lt;&gt;"",Abertura!C25,"")</f>
        <v/>
      </c>
      <c r="D25" s="268">
        <f t="shared" si="3"/>
        <v>0</v>
      </c>
      <c r="E25" s="269">
        <f t="shared" si="3"/>
        <v>0</v>
      </c>
      <c r="F25" s="269">
        <f t="shared" si="3"/>
        <v>0</v>
      </c>
      <c r="G25" s="269">
        <f t="shared" si="3"/>
        <v>0</v>
      </c>
      <c r="H25" s="269">
        <f t="shared" si="3"/>
        <v>0</v>
      </c>
      <c r="I25" s="269">
        <f t="shared" si="3"/>
        <v>0</v>
      </c>
      <c r="J25" s="269">
        <f t="shared" si="3"/>
        <v>0</v>
      </c>
      <c r="K25" s="269">
        <f t="shared" si="3"/>
        <v>0</v>
      </c>
      <c r="L25" s="269">
        <f t="shared" si="3"/>
        <v>0</v>
      </c>
      <c r="M25" s="269">
        <f t="shared" si="3"/>
        <v>0</v>
      </c>
      <c r="N25" s="269">
        <f t="shared" si="4"/>
        <v>0</v>
      </c>
      <c r="O25" s="269">
        <f t="shared" si="4"/>
        <v>0</v>
      </c>
      <c r="P25" s="269">
        <f t="shared" si="4"/>
        <v>0</v>
      </c>
      <c r="Q25" s="269">
        <f t="shared" si="4"/>
        <v>0</v>
      </c>
      <c r="R25" s="269">
        <f t="shared" si="4"/>
        <v>0</v>
      </c>
      <c r="S25" s="269">
        <f t="shared" si="4"/>
        <v>0</v>
      </c>
      <c r="T25" s="269">
        <f t="shared" si="4"/>
        <v>0</v>
      </c>
      <c r="U25" s="269">
        <f t="shared" si="4"/>
        <v>0</v>
      </c>
      <c r="V25" s="269">
        <f t="shared" si="4"/>
        <v>0</v>
      </c>
      <c r="W25" s="270">
        <f t="shared" si="4"/>
        <v>0</v>
      </c>
      <c r="X25" s="204">
        <f t="shared" si="2"/>
        <v>0</v>
      </c>
    </row>
    <row r="26" spans="3:24" x14ac:dyDescent="0.25">
      <c r="C26" s="267" t="str">
        <f>IF(Abertura!C26&lt;&gt;"",Abertura!C26,"")</f>
        <v/>
      </c>
      <c r="D26" s="268">
        <f t="shared" ref="D26:M35" si="5">IF(AND($C26&lt;&gt;"",D$5&lt;&gt;""),SUMIFS(col_std_PV,col_abertura1,$C26,col_abertura2,D$5)+IF($E$3=$A$4,SUMIFS(col_fatdir_bruto_com_mn,col_abertura1,$C26,col_abertura2,D$5),0),0)</f>
        <v>0</v>
      </c>
      <c r="E26" s="269">
        <f t="shared" si="5"/>
        <v>0</v>
      </c>
      <c r="F26" s="269">
        <f t="shared" si="5"/>
        <v>0</v>
      </c>
      <c r="G26" s="269">
        <f t="shared" si="5"/>
        <v>0</v>
      </c>
      <c r="H26" s="269">
        <f t="shared" si="5"/>
        <v>0</v>
      </c>
      <c r="I26" s="269">
        <f t="shared" si="5"/>
        <v>0</v>
      </c>
      <c r="J26" s="269">
        <f t="shared" si="5"/>
        <v>0</v>
      </c>
      <c r="K26" s="269">
        <f t="shared" si="5"/>
        <v>0</v>
      </c>
      <c r="L26" s="269">
        <f t="shared" si="5"/>
        <v>0</v>
      </c>
      <c r="M26" s="269">
        <f t="shared" si="5"/>
        <v>0</v>
      </c>
      <c r="N26" s="269">
        <f t="shared" ref="N26:W35" si="6">IF(AND($C26&lt;&gt;"",N$5&lt;&gt;""),SUMIFS(col_std_PV,col_abertura1,$C26,col_abertura2,N$5)+IF($E$3=$A$4,SUMIFS(col_fatdir_bruto_com_mn,col_abertura1,$C26,col_abertura2,N$5),0),0)</f>
        <v>0</v>
      </c>
      <c r="O26" s="269">
        <f t="shared" si="6"/>
        <v>0</v>
      </c>
      <c r="P26" s="269">
        <f t="shared" si="6"/>
        <v>0</v>
      </c>
      <c r="Q26" s="269">
        <f t="shared" si="6"/>
        <v>0</v>
      </c>
      <c r="R26" s="269">
        <f t="shared" si="6"/>
        <v>0</v>
      </c>
      <c r="S26" s="269">
        <f t="shared" si="6"/>
        <v>0</v>
      </c>
      <c r="T26" s="269">
        <f t="shared" si="6"/>
        <v>0</v>
      </c>
      <c r="U26" s="269">
        <f t="shared" si="6"/>
        <v>0</v>
      </c>
      <c r="V26" s="269">
        <f t="shared" si="6"/>
        <v>0</v>
      </c>
      <c r="W26" s="270">
        <f t="shared" si="6"/>
        <v>0</v>
      </c>
      <c r="X26" s="204">
        <f t="shared" si="2"/>
        <v>0</v>
      </c>
    </row>
    <row r="27" spans="3:24" x14ac:dyDescent="0.25">
      <c r="C27" s="267" t="str">
        <f>IF(Abertura!C27&lt;&gt;"",Abertura!C27,"")</f>
        <v/>
      </c>
      <c r="D27" s="268">
        <f t="shared" si="5"/>
        <v>0</v>
      </c>
      <c r="E27" s="269">
        <f t="shared" si="5"/>
        <v>0</v>
      </c>
      <c r="F27" s="269">
        <f t="shared" si="5"/>
        <v>0</v>
      </c>
      <c r="G27" s="269">
        <f t="shared" si="5"/>
        <v>0</v>
      </c>
      <c r="H27" s="269">
        <f t="shared" si="5"/>
        <v>0</v>
      </c>
      <c r="I27" s="269">
        <f t="shared" si="5"/>
        <v>0</v>
      </c>
      <c r="J27" s="269">
        <f t="shared" si="5"/>
        <v>0</v>
      </c>
      <c r="K27" s="269">
        <f t="shared" si="5"/>
        <v>0</v>
      </c>
      <c r="L27" s="269">
        <f t="shared" si="5"/>
        <v>0</v>
      </c>
      <c r="M27" s="269">
        <f t="shared" si="5"/>
        <v>0</v>
      </c>
      <c r="N27" s="269">
        <f t="shared" si="6"/>
        <v>0</v>
      </c>
      <c r="O27" s="269">
        <f t="shared" si="6"/>
        <v>0</v>
      </c>
      <c r="P27" s="269">
        <f t="shared" si="6"/>
        <v>0</v>
      </c>
      <c r="Q27" s="269">
        <f t="shared" si="6"/>
        <v>0</v>
      </c>
      <c r="R27" s="269">
        <f t="shared" si="6"/>
        <v>0</v>
      </c>
      <c r="S27" s="269">
        <f t="shared" si="6"/>
        <v>0</v>
      </c>
      <c r="T27" s="269">
        <f t="shared" si="6"/>
        <v>0</v>
      </c>
      <c r="U27" s="269">
        <f t="shared" si="6"/>
        <v>0</v>
      </c>
      <c r="V27" s="269">
        <f t="shared" si="6"/>
        <v>0</v>
      </c>
      <c r="W27" s="270">
        <f t="shared" si="6"/>
        <v>0</v>
      </c>
      <c r="X27" s="204">
        <f t="shared" si="2"/>
        <v>0</v>
      </c>
    </row>
    <row r="28" spans="3:24" x14ac:dyDescent="0.25">
      <c r="C28" s="267" t="str">
        <f>IF(Abertura!C28&lt;&gt;"",Abertura!C28,"")</f>
        <v/>
      </c>
      <c r="D28" s="268">
        <f t="shared" si="5"/>
        <v>0</v>
      </c>
      <c r="E28" s="269">
        <f t="shared" si="5"/>
        <v>0</v>
      </c>
      <c r="F28" s="269">
        <f t="shared" si="5"/>
        <v>0</v>
      </c>
      <c r="G28" s="269">
        <f t="shared" si="5"/>
        <v>0</v>
      </c>
      <c r="H28" s="269">
        <f t="shared" si="5"/>
        <v>0</v>
      </c>
      <c r="I28" s="269">
        <f t="shared" si="5"/>
        <v>0</v>
      </c>
      <c r="J28" s="269">
        <f t="shared" si="5"/>
        <v>0</v>
      </c>
      <c r="K28" s="269">
        <f t="shared" si="5"/>
        <v>0</v>
      </c>
      <c r="L28" s="269">
        <f t="shared" si="5"/>
        <v>0</v>
      </c>
      <c r="M28" s="269">
        <f t="shared" si="5"/>
        <v>0</v>
      </c>
      <c r="N28" s="269">
        <f t="shared" si="6"/>
        <v>0</v>
      </c>
      <c r="O28" s="269">
        <f t="shared" si="6"/>
        <v>0</v>
      </c>
      <c r="P28" s="269">
        <f t="shared" si="6"/>
        <v>0</v>
      </c>
      <c r="Q28" s="269">
        <f t="shared" si="6"/>
        <v>0</v>
      </c>
      <c r="R28" s="269">
        <f t="shared" si="6"/>
        <v>0</v>
      </c>
      <c r="S28" s="269">
        <f t="shared" si="6"/>
        <v>0</v>
      </c>
      <c r="T28" s="269">
        <f t="shared" si="6"/>
        <v>0</v>
      </c>
      <c r="U28" s="269">
        <f t="shared" si="6"/>
        <v>0</v>
      </c>
      <c r="V28" s="269">
        <f t="shared" si="6"/>
        <v>0</v>
      </c>
      <c r="W28" s="270">
        <f t="shared" si="6"/>
        <v>0</v>
      </c>
      <c r="X28" s="204">
        <f t="shared" si="2"/>
        <v>0</v>
      </c>
    </row>
    <row r="29" spans="3:24" x14ac:dyDescent="0.25">
      <c r="C29" s="267" t="str">
        <f>IF(Abertura!C29&lt;&gt;"",Abertura!C29,"")</f>
        <v/>
      </c>
      <c r="D29" s="268">
        <f t="shared" si="5"/>
        <v>0</v>
      </c>
      <c r="E29" s="269">
        <f t="shared" si="5"/>
        <v>0</v>
      </c>
      <c r="F29" s="269">
        <f t="shared" si="5"/>
        <v>0</v>
      </c>
      <c r="G29" s="269">
        <f t="shared" si="5"/>
        <v>0</v>
      </c>
      <c r="H29" s="269">
        <f t="shared" si="5"/>
        <v>0</v>
      </c>
      <c r="I29" s="269">
        <f t="shared" si="5"/>
        <v>0</v>
      </c>
      <c r="J29" s="269">
        <f t="shared" si="5"/>
        <v>0</v>
      </c>
      <c r="K29" s="269">
        <f t="shared" si="5"/>
        <v>0</v>
      </c>
      <c r="L29" s="269">
        <f t="shared" si="5"/>
        <v>0</v>
      </c>
      <c r="M29" s="269">
        <f t="shared" si="5"/>
        <v>0</v>
      </c>
      <c r="N29" s="269">
        <f t="shared" si="6"/>
        <v>0</v>
      </c>
      <c r="O29" s="269">
        <f t="shared" si="6"/>
        <v>0</v>
      </c>
      <c r="P29" s="269">
        <f t="shared" si="6"/>
        <v>0</v>
      </c>
      <c r="Q29" s="269">
        <f t="shared" si="6"/>
        <v>0</v>
      </c>
      <c r="R29" s="269">
        <f t="shared" si="6"/>
        <v>0</v>
      </c>
      <c r="S29" s="269">
        <f t="shared" si="6"/>
        <v>0</v>
      </c>
      <c r="T29" s="269">
        <f t="shared" si="6"/>
        <v>0</v>
      </c>
      <c r="U29" s="269">
        <f t="shared" si="6"/>
        <v>0</v>
      </c>
      <c r="V29" s="269">
        <f t="shared" si="6"/>
        <v>0</v>
      </c>
      <c r="W29" s="270">
        <f t="shared" si="6"/>
        <v>0</v>
      </c>
      <c r="X29" s="204">
        <f t="shared" si="2"/>
        <v>0</v>
      </c>
    </row>
    <row r="30" spans="3:24" x14ac:dyDescent="0.25">
      <c r="C30" s="267" t="str">
        <f>IF(Abertura!C30&lt;&gt;"",Abertura!C30,"")</f>
        <v/>
      </c>
      <c r="D30" s="268">
        <f t="shared" si="5"/>
        <v>0</v>
      </c>
      <c r="E30" s="269">
        <f t="shared" si="5"/>
        <v>0</v>
      </c>
      <c r="F30" s="269">
        <f t="shared" si="5"/>
        <v>0</v>
      </c>
      <c r="G30" s="269">
        <f t="shared" si="5"/>
        <v>0</v>
      </c>
      <c r="H30" s="269">
        <f t="shared" si="5"/>
        <v>0</v>
      </c>
      <c r="I30" s="269">
        <f t="shared" si="5"/>
        <v>0</v>
      </c>
      <c r="J30" s="269">
        <f t="shared" si="5"/>
        <v>0</v>
      </c>
      <c r="K30" s="269">
        <f t="shared" si="5"/>
        <v>0</v>
      </c>
      <c r="L30" s="269">
        <f t="shared" si="5"/>
        <v>0</v>
      </c>
      <c r="M30" s="269">
        <f t="shared" si="5"/>
        <v>0</v>
      </c>
      <c r="N30" s="269">
        <f t="shared" si="6"/>
        <v>0</v>
      </c>
      <c r="O30" s="269">
        <f t="shared" si="6"/>
        <v>0</v>
      </c>
      <c r="P30" s="269">
        <f t="shared" si="6"/>
        <v>0</v>
      </c>
      <c r="Q30" s="269">
        <f t="shared" si="6"/>
        <v>0</v>
      </c>
      <c r="R30" s="269">
        <f t="shared" si="6"/>
        <v>0</v>
      </c>
      <c r="S30" s="269">
        <f t="shared" si="6"/>
        <v>0</v>
      </c>
      <c r="T30" s="269">
        <f t="shared" si="6"/>
        <v>0</v>
      </c>
      <c r="U30" s="269">
        <f t="shared" si="6"/>
        <v>0</v>
      </c>
      <c r="V30" s="269">
        <f t="shared" si="6"/>
        <v>0</v>
      </c>
      <c r="W30" s="270">
        <f t="shared" si="6"/>
        <v>0</v>
      </c>
      <c r="X30" s="204">
        <f t="shared" si="2"/>
        <v>0</v>
      </c>
    </row>
    <row r="31" spans="3:24" x14ac:dyDescent="0.25">
      <c r="C31" s="267" t="str">
        <f>IF(Abertura!C31&lt;&gt;"",Abertura!C31,"")</f>
        <v/>
      </c>
      <c r="D31" s="268">
        <f t="shared" si="5"/>
        <v>0</v>
      </c>
      <c r="E31" s="269">
        <f t="shared" si="5"/>
        <v>0</v>
      </c>
      <c r="F31" s="269">
        <f t="shared" si="5"/>
        <v>0</v>
      </c>
      <c r="G31" s="269">
        <f t="shared" si="5"/>
        <v>0</v>
      </c>
      <c r="H31" s="269">
        <f t="shared" si="5"/>
        <v>0</v>
      </c>
      <c r="I31" s="269">
        <f t="shared" si="5"/>
        <v>0</v>
      </c>
      <c r="J31" s="269">
        <f t="shared" si="5"/>
        <v>0</v>
      </c>
      <c r="K31" s="269">
        <f t="shared" si="5"/>
        <v>0</v>
      </c>
      <c r="L31" s="269">
        <f t="shared" si="5"/>
        <v>0</v>
      </c>
      <c r="M31" s="269">
        <f t="shared" si="5"/>
        <v>0</v>
      </c>
      <c r="N31" s="269">
        <f t="shared" si="6"/>
        <v>0</v>
      </c>
      <c r="O31" s="269">
        <f t="shared" si="6"/>
        <v>0</v>
      </c>
      <c r="P31" s="269">
        <f t="shared" si="6"/>
        <v>0</v>
      </c>
      <c r="Q31" s="269">
        <f t="shared" si="6"/>
        <v>0</v>
      </c>
      <c r="R31" s="269">
        <f t="shared" si="6"/>
        <v>0</v>
      </c>
      <c r="S31" s="269">
        <f t="shared" si="6"/>
        <v>0</v>
      </c>
      <c r="T31" s="269">
        <f t="shared" si="6"/>
        <v>0</v>
      </c>
      <c r="U31" s="269">
        <f t="shared" si="6"/>
        <v>0</v>
      </c>
      <c r="V31" s="269">
        <f t="shared" si="6"/>
        <v>0</v>
      </c>
      <c r="W31" s="270">
        <f t="shared" si="6"/>
        <v>0</v>
      </c>
      <c r="X31" s="204">
        <f t="shared" si="2"/>
        <v>0</v>
      </c>
    </row>
    <row r="32" spans="3:24" x14ac:dyDescent="0.25">
      <c r="C32" s="267" t="str">
        <f>IF(Abertura!C32&lt;&gt;"",Abertura!C32,"")</f>
        <v/>
      </c>
      <c r="D32" s="268">
        <f t="shared" si="5"/>
        <v>0</v>
      </c>
      <c r="E32" s="269">
        <f t="shared" si="5"/>
        <v>0</v>
      </c>
      <c r="F32" s="269">
        <f t="shared" si="5"/>
        <v>0</v>
      </c>
      <c r="G32" s="269">
        <f t="shared" si="5"/>
        <v>0</v>
      </c>
      <c r="H32" s="269">
        <f t="shared" si="5"/>
        <v>0</v>
      </c>
      <c r="I32" s="269">
        <f t="shared" si="5"/>
        <v>0</v>
      </c>
      <c r="J32" s="269">
        <f t="shared" si="5"/>
        <v>0</v>
      </c>
      <c r="K32" s="269">
        <f t="shared" si="5"/>
        <v>0</v>
      </c>
      <c r="L32" s="269">
        <f t="shared" si="5"/>
        <v>0</v>
      </c>
      <c r="M32" s="269">
        <f t="shared" si="5"/>
        <v>0</v>
      </c>
      <c r="N32" s="269">
        <f t="shared" si="6"/>
        <v>0</v>
      </c>
      <c r="O32" s="269">
        <f t="shared" si="6"/>
        <v>0</v>
      </c>
      <c r="P32" s="269">
        <f t="shared" si="6"/>
        <v>0</v>
      </c>
      <c r="Q32" s="269">
        <f t="shared" si="6"/>
        <v>0</v>
      </c>
      <c r="R32" s="269">
        <f t="shared" si="6"/>
        <v>0</v>
      </c>
      <c r="S32" s="269">
        <f t="shared" si="6"/>
        <v>0</v>
      </c>
      <c r="T32" s="269">
        <f t="shared" si="6"/>
        <v>0</v>
      </c>
      <c r="U32" s="269">
        <f t="shared" si="6"/>
        <v>0</v>
      </c>
      <c r="V32" s="269">
        <f t="shared" si="6"/>
        <v>0</v>
      </c>
      <c r="W32" s="270">
        <f t="shared" si="6"/>
        <v>0</v>
      </c>
      <c r="X32" s="204">
        <f t="shared" si="2"/>
        <v>0</v>
      </c>
    </row>
    <row r="33" spans="3:24" x14ac:dyDescent="0.25">
      <c r="C33" s="267" t="str">
        <f>IF(Abertura!C33&lt;&gt;"",Abertura!C33,"")</f>
        <v/>
      </c>
      <c r="D33" s="268">
        <f t="shared" si="5"/>
        <v>0</v>
      </c>
      <c r="E33" s="269">
        <f t="shared" si="5"/>
        <v>0</v>
      </c>
      <c r="F33" s="269">
        <f t="shared" si="5"/>
        <v>0</v>
      </c>
      <c r="G33" s="269">
        <f t="shared" si="5"/>
        <v>0</v>
      </c>
      <c r="H33" s="269">
        <f t="shared" si="5"/>
        <v>0</v>
      </c>
      <c r="I33" s="269">
        <f t="shared" si="5"/>
        <v>0</v>
      </c>
      <c r="J33" s="269">
        <f t="shared" si="5"/>
        <v>0</v>
      </c>
      <c r="K33" s="269">
        <f t="shared" si="5"/>
        <v>0</v>
      </c>
      <c r="L33" s="269">
        <f t="shared" si="5"/>
        <v>0</v>
      </c>
      <c r="M33" s="269">
        <f t="shared" si="5"/>
        <v>0</v>
      </c>
      <c r="N33" s="269">
        <f t="shared" si="6"/>
        <v>0</v>
      </c>
      <c r="O33" s="269">
        <f t="shared" si="6"/>
        <v>0</v>
      </c>
      <c r="P33" s="269">
        <f t="shared" si="6"/>
        <v>0</v>
      </c>
      <c r="Q33" s="269">
        <f t="shared" si="6"/>
        <v>0</v>
      </c>
      <c r="R33" s="269">
        <f t="shared" si="6"/>
        <v>0</v>
      </c>
      <c r="S33" s="269">
        <f t="shared" si="6"/>
        <v>0</v>
      </c>
      <c r="T33" s="269">
        <f t="shared" si="6"/>
        <v>0</v>
      </c>
      <c r="U33" s="269">
        <f t="shared" si="6"/>
        <v>0</v>
      </c>
      <c r="V33" s="269">
        <f t="shared" si="6"/>
        <v>0</v>
      </c>
      <c r="W33" s="270">
        <f t="shared" si="6"/>
        <v>0</v>
      </c>
      <c r="X33" s="204">
        <f t="shared" si="2"/>
        <v>0</v>
      </c>
    </row>
    <row r="34" spans="3:24" x14ac:dyDescent="0.25">
      <c r="C34" s="267" t="str">
        <f>IF(Abertura!C34&lt;&gt;"",Abertura!C34,"")</f>
        <v/>
      </c>
      <c r="D34" s="268">
        <f t="shared" si="5"/>
        <v>0</v>
      </c>
      <c r="E34" s="269">
        <f t="shared" si="5"/>
        <v>0</v>
      </c>
      <c r="F34" s="269">
        <f t="shared" si="5"/>
        <v>0</v>
      </c>
      <c r="G34" s="269">
        <f t="shared" si="5"/>
        <v>0</v>
      </c>
      <c r="H34" s="269">
        <f t="shared" si="5"/>
        <v>0</v>
      </c>
      <c r="I34" s="269">
        <f t="shared" si="5"/>
        <v>0</v>
      </c>
      <c r="J34" s="269">
        <f t="shared" si="5"/>
        <v>0</v>
      </c>
      <c r="K34" s="269">
        <f t="shared" si="5"/>
        <v>0</v>
      </c>
      <c r="L34" s="269">
        <f t="shared" si="5"/>
        <v>0</v>
      </c>
      <c r="M34" s="269">
        <f t="shared" si="5"/>
        <v>0</v>
      </c>
      <c r="N34" s="269">
        <f t="shared" si="6"/>
        <v>0</v>
      </c>
      <c r="O34" s="269">
        <f t="shared" si="6"/>
        <v>0</v>
      </c>
      <c r="P34" s="269">
        <f t="shared" si="6"/>
        <v>0</v>
      </c>
      <c r="Q34" s="269">
        <f t="shared" si="6"/>
        <v>0</v>
      </c>
      <c r="R34" s="269">
        <f t="shared" si="6"/>
        <v>0</v>
      </c>
      <c r="S34" s="269">
        <f t="shared" si="6"/>
        <v>0</v>
      </c>
      <c r="T34" s="269">
        <f t="shared" si="6"/>
        <v>0</v>
      </c>
      <c r="U34" s="269">
        <f t="shared" si="6"/>
        <v>0</v>
      </c>
      <c r="V34" s="269">
        <f t="shared" si="6"/>
        <v>0</v>
      </c>
      <c r="W34" s="270">
        <f t="shared" si="6"/>
        <v>0</v>
      </c>
      <c r="X34" s="204">
        <f t="shared" si="2"/>
        <v>0</v>
      </c>
    </row>
    <row r="35" spans="3:24" x14ac:dyDescent="0.25">
      <c r="C35" s="684" t="str">
        <f>IF(Abertura!C35&lt;&gt;"",Abertura!C35,"")</f>
        <v>Padrões</v>
      </c>
      <c r="D35" s="272">
        <f t="shared" si="5"/>
        <v>0</v>
      </c>
      <c r="E35" s="273">
        <f t="shared" si="5"/>
        <v>0</v>
      </c>
      <c r="F35" s="273">
        <f t="shared" si="5"/>
        <v>0</v>
      </c>
      <c r="G35" s="273">
        <f t="shared" si="5"/>
        <v>0</v>
      </c>
      <c r="H35" s="273">
        <f t="shared" si="5"/>
        <v>0</v>
      </c>
      <c r="I35" s="273">
        <f t="shared" si="5"/>
        <v>0</v>
      </c>
      <c r="J35" s="273">
        <f t="shared" si="5"/>
        <v>0</v>
      </c>
      <c r="K35" s="273">
        <f t="shared" si="5"/>
        <v>0</v>
      </c>
      <c r="L35" s="273">
        <f t="shared" si="5"/>
        <v>0</v>
      </c>
      <c r="M35" s="273">
        <f t="shared" si="5"/>
        <v>0</v>
      </c>
      <c r="N35" s="273">
        <f t="shared" si="6"/>
        <v>0</v>
      </c>
      <c r="O35" s="273">
        <f t="shared" si="6"/>
        <v>0</v>
      </c>
      <c r="P35" s="273">
        <f t="shared" si="6"/>
        <v>0</v>
      </c>
      <c r="Q35" s="273">
        <f t="shared" si="6"/>
        <v>0</v>
      </c>
      <c r="R35" s="273">
        <f t="shared" si="6"/>
        <v>0</v>
      </c>
      <c r="S35" s="273">
        <f t="shared" si="6"/>
        <v>0</v>
      </c>
      <c r="T35" s="273">
        <f t="shared" si="6"/>
        <v>0</v>
      </c>
      <c r="U35" s="273">
        <f t="shared" si="6"/>
        <v>0</v>
      </c>
      <c r="V35" s="273">
        <f t="shared" si="6"/>
        <v>0</v>
      </c>
      <c r="W35" s="274">
        <f t="shared" si="6"/>
        <v>0</v>
      </c>
      <c r="X35" s="204">
        <f t="shared" si="2"/>
        <v>0</v>
      </c>
    </row>
    <row r="36" spans="3:24" x14ac:dyDescent="0.25">
      <c r="C36" s="187"/>
      <c r="D36" s="281">
        <f>SUM(D6:D35)</f>
        <v>833507.77753778861</v>
      </c>
      <c r="E36" s="281">
        <f t="shared" ref="E36:W36" si="7">SUM(E6:E35)</f>
        <v>117759.17414216271</v>
      </c>
      <c r="F36" s="281">
        <f t="shared" si="7"/>
        <v>101521.75831498603</v>
      </c>
      <c r="G36" s="281">
        <f t="shared" si="7"/>
        <v>0</v>
      </c>
      <c r="H36" s="281">
        <f t="shared" si="7"/>
        <v>0</v>
      </c>
      <c r="I36" s="281">
        <f t="shared" si="7"/>
        <v>0</v>
      </c>
      <c r="J36" s="281">
        <f t="shared" si="7"/>
        <v>0</v>
      </c>
      <c r="K36" s="281">
        <f t="shared" si="7"/>
        <v>0</v>
      </c>
      <c r="L36" s="281">
        <f t="shared" si="7"/>
        <v>0</v>
      </c>
      <c r="M36" s="281">
        <f t="shared" si="7"/>
        <v>0</v>
      </c>
      <c r="N36" s="281">
        <f t="shared" si="7"/>
        <v>0</v>
      </c>
      <c r="O36" s="281">
        <f t="shared" si="7"/>
        <v>0</v>
      </c>
      <c r="P36" s="281">
        <f t="shared" si="7"/>
        <v>0</v>
      </c>
      <c r="Q36" s="281">
        <f t="shared" si="7"/>
        <v>0</v>
      </c>
      <c r="R36" s="281">
        <f t="shared" si="7"/>
        <v>0</v>
      </c>
      <c r="S36" s="281">
        <f t="shared" si="7"/>
        <v>0</v>
      </c>
      <c r="T36" s="281">
        <f t="shared" si="7"/>
        <v>0</v>
      </c>
      <c r="U36" s="281">
        <f t="shared" si="7"/>
        <v>0</v>
      </c>
      <c r="V36" s="281">
        <f t="shared" si="7"/>
        <v>0</v>
      </c>
      <c r="W36" s="281">
        <f t="shared" si="7"/>
        <v>0</v>
      </c>
      <c r="X36" s="280">
        <f>SUM(X6:X35)</f>
        <v>1052788.7099949373</v>
      </c>
    </row>
    <row r="37" spans="3:24" x14ac:dyDescent="0.25">
      <c r="D37" s="503"/>
      <c r="E37" s="503"/>
      <c r="F37" s="503"/>
      <c r="G37" s="503"/>
      <c r="H37" s="503"/>
      <c r="I37" s="503"/>
      <c r="J37" s="503"/>
      <c r="K37" s="503"/>
      <c r="L37" s="503"/>
    </row>
    <row r="38" spans="3:24" x14ac:dyDescent="0.25">
      <c r="U38" s="282" t="s">
        <v>339</v>
      </c>
      <c r="V38" s="282" t="s">
        <v>340</v>
      </c>
    </row>
    <row r="39" spans="3:24" x14ac:dyDescent="0.25">
      <c r="D39" s="114" t="s">
        <v>341</v>
      </c>
      <c r="U39" s="283">
        <f>SUM(D42:W71)</f>
        <v>960200.52820053604</v>
      </c>
      <c r="V39" s="283">
        <f>IF($E$3=$A$3,Dados!M96,Dados!M96+Escopo!$DI$273)</f>
        <v>960200.52820053604</v>
      </c>
      <c r="W39" s="522" t="b">
        <f>IF(ABS(U39-V39)&lt;0.01,TRUE,FALSE)</f>
        <v>1</v>
      </c>
    </row>
    <row r="40" spans="3:24" hidden="1" outlineLevel="1" x14ac:dyDescent="0.25"/>
    <row r="41" spans="3:24" hidden="1" outlineLevel="1" x14ac:dyDescent="0.25">
      <c r="D41" s="260" t="str">
        <f>D5</f>
        <v>SAGE</v>
      </c>
      <c r="E41" s="261" t="str">
        <f t="shared" ref="E41:W41" si="8">E5</f>
        <v>TELECOM</v>
      </c>
      <c r="F41" s="261" t="str">
        <f t="shared" si="8"/>
        <v>GERAL</v>
      </c>
      <c r="G41" s="261" t="str">
        <f t="shared" si="8"/>
        <v/>
      </c>
      <c r="H41" s="261" t="str">
        <f t="shared" si="8"/>
        <v/>
      </c>
      <c r="I41" s="261" t="str">
        <f t="shared" si="8"/>
        <v/>
      </c>
      <c r="J41" s="261" t="str">
        <f t="shared" si="8"/>
        <v/>
      </c>
      <c r="K41" s="261" t="str">
        <f t="shared" si="8"/>
        <v/>
      </c>
      <c r="L41" s="261" t="str">
        <f t="shared" si="8"/>
        <v/>
      </c>
      <c r="M41" s="261" t="str">
        <f t="shared" si="8"/>
        <v/>
      </c>
      <c r="N41" s="261" t="str">
        <f t="shared" si="8"/>
        <v/>
      </c>
      <c r="O41" s="261" t="str">
        <f t="shared" si="8"/>
        <v/>
      </c>
      <c r="P41" s="261" t="str">
        <f t="shared" si="8"/>
        <v/>
      </c>
      <c r="Q41" s="261" t="str">
        <f t="shared" si="8"/>
        <v/>
      </c>
      <c r="R41" s="261" t="str">
        <f t="shared" si="8"/>
        <v/>
      </c>
      <c r="S41" s="261" t="str">
        <f t="shared" si="8"/>
        <v/>
      </c>
      <c r="T41" s="261" t="str">
        <f t="shared" si="8"/>
        <v/>
      </c>
      <c r="U41" s="261" t="str">
        <f t="shared" si="8"/>
        <v/>
      </c>
      <c r="V41" s="261" t="str">
        <f t="shared" si="8"/>
        <v/>
      </c>
      <c r="W41" s="262" t="str">
        <f t="shared" si="8"/>
        <v/>
      </c>
    </row>
    <row r="42" spans="3:24" hidden="1" outlineLevel="1" x14ac:dyDescent="0.25">
      <c r="C42" s="263" t="str">
        <f>C6</f>
        <v>MAT</v>
      </c>
      <c r="D42" s="264">
        <f t="shared" ref="D42:M51" si="9">IF(AND($C42&lt;&gt;"",D$5&lt;&gt;""),SUMIFS(col_std_PL,col_abertura1,$C42,col_abertura2,D$5)+IF($E$3=$A$4,SUMIFS(col_fatdir_pi_mn,col_abertura1,$C42,col_abertura2,D$5),0),0)</f>
        <v>356263.32443803921</v>
      </c>
      <c r="E42" s="265">
        <f t="shared" si="9"/>
        <v>103628.07324510318</v>
      </c>
      <c r="F42" s="265">
        <f t="shared" si="9"/>
        <v>7743.4882109937644</v>
      </c>
      <c r="G42" s="265">
        <f t="shared" si="9"/>
        <v>0</v>
      </c>
      <c r="H42" s="265">
        <f t="shared" si="9"/>
        <v>0</v>
      </c>
      <c r="I42" s="265">
        <f t="shared" si="9"/>
        <v>0</v>
      </c>
      <c r="J42" s="265">
        <f t="shared" si="9"/>
        <v>0</v>
      </c>
      <c r="K42" s="265">
        <f t="shared" si="9"/>
        <v>0</v>
      </c>
      <c r="L42" s="265">
        <f t="shared" si="9"/>
        <v>0</v>
      </c>
      <c r="M42" s="265">
        <f t="shared" si="9"/>
        <v>0</v>
      </c>
      <c r="N42" s="265">
        <f t="shared" ref="N42:W51" si="10">IF(AND($C42&lt;&gt;"",N$5&lt;&gt;""),SUMIFS(col_std_PL,col_abertura1,$C42,col_abertura2,N$5)+IF($E$3=$A$4,SUMIFS(col_fatdir_pi_mn,col_abertura1,$C42,col_abertura2,N$5),0),0)</f>
        <v>0</v>
      </c>
      <c r="O42" s="265">
        <f t="shared" si="10"/>
        <v>0</v>
      </c>
      <c r="P42" s="265">
        <f t="shared" si="10"/>
        <v>0</v>
      </c>
      <c r="Q42" s="265">
        <f t="shared" si="10"/>
        <v>0</v>
      </c>
      <c r="R42" s="265">
        <f t="shared" si="10"/>
        <v>0</v>
      </c>
      <c r="S42" s="265">
        <f t="shared" si="10"/>
        <v>0</v>
      </c>
      <c r="T42" s="265">
        <f t="shared" si="10"/>
        <v>0</v>
      </c>
      <c r="U42" s="265">
        <f t="shared" si="10"/>
        <v>0</v>
      </c>
      <c r="V42" s="265">
        <f t="shared" si="10"/>
        <v>0</v>
      </c>
      <c r="W42" s="266">
        <f t="shared" si="10"/>
        <v>0</v>
      </c>
      <c r="X42" s="204">
        <f>SUM(D42:W42)</f>
        <v>467634.88589413615</v>
      </c>
    </row>
    <row r="43" spans="3:24" hidden="1" outlineLevel="1" x14ac:dyDescent="0.25">
      <c r="C43" s="267" t="str">
        <f t="shared" ref="C43:C71" si="11">C7</f>
        <v>SRV</v>
      </c>
      <c r="D43" s="268">
        <f t="shared" si="9"/>
        <v>404269.22636786592</v>
      </c>
      <c r="E43" s="269">
        <f t="shared" si="9"/>
        <v>0</v>
      </c>
      <c r="F43" s="269">
        <f t="shared" si="9"/>
        <v>59117.898941764681</v>
      </c>
      <c r="G43" s="269">
        <f t="shared" si="9"/>
        <v>0</v>
      </c>
      <c r="H43" s="269">
        <f t="shared" si="9"/>
        <v>0</v>
      </c>
      <c r="I43" s="269">
        <f t="shared" si="9"/>
        <v>0</v>
      </c>
      <c r="J43" s="269">
        <f t="shared" si="9"/>
        <v>0</v>
      </c>
      <c r="K43" s="269">
        <f t="shared" si="9"/>
        <v>0</v>
      </c>
      <c r="L43" s="269">
        <f t="shared" si="9"/>
        <v>0</v>
      </c>
      <c r="M43" s="269">
        <f t="shared" si="9"/>
        <v>0</v>
      </c>
      <c r="N43" s="269">
        <f t="shared" si="10"/>
        <v>0</v>
      </c>
      <c r="O43" s="269">
        <f t="shared" si="10"/>
        <v>0</v>
      </c>
      <c r="P43" s="269">
        <f t="shared" si="10"/>
        <v>0</v>
      </c>
      <c r="Q43" s="269">
        <f t="shared" si="10"/>
        <v>0</v>
      </c>
      <c r="R43" s="269">
        <f t="shared" si="10"/>
        <v>0</v>
      </c>
      <c r="S43" s="269">
        <f t="shared" si="10"/>
        <v>0</v>
      </c>
      <c r="T43" s="269">
        <f t="shared" si="10"/>
        <v>0</v>
      </c>
      <c r="U43" s="269">
        <f t="shared" si="10"/>
        <v>0</v>
      </c>
      <c r="V43" s="269">
        <f t="shared" si="10"/>
        <v>0</v>
      </c>
      <c r="W43" s="270">
        <f t="shared" si="10"/>
        <v>0</v>
      </c>
      <c r="X43" s="204">
        <f t="shared" ref="X43:X71" si="12">SUM(D43:W43)</f>
        <v>463387.12530963059</v>
      </c>
    </row>
    <row r="44" spans="3:24" hidden="1" outlineLevel="1" x14ac:dyDescent="0.25">
      <c r="C44" s="267" t="str">
        <f t="shared" si="11"/>
        <v>MOBI</v>
      </c>
      <c r="D44" s="268">
        <f t="shared" si="9"/>
        <v>0</v>
      </c>
      <c r="E44" s="269">
        <f t="shared" si="9"/>
        <v>0</v>
      </c>
      <c r="F44" s="269">
        <f t="shared" si="9"/>
        <v>17016.990716088054</v>
      </c>
      <c r="G44" s="269">
        <f t="shared" si="9"/>
        <v>0</v>
      </c>
      <c r="H44" s="269">
        <f t="shared" si="9"/>
        <v>0</v>
      </c>
      <c r="I44" s="269">
        <f t="shared" si="9"/>
        <v>0</v>
      </c>
      <c r="J44" s="269">
        <f t="shared" si="9"/>
        <v>0</v>
      </c>
      <c r="K44" s="269">
        <f t="shared" si="9"/>
        <v>0</v>
      </c>
      <c r="L44" s="269">
        <f t="shared" si="9"/>
        <v>0</v>
      </c>
      <c r="M44" s="269">
        <f t="shared" si="9"/>
        <v>0</v>
      </c>
      <c r="N44" s="269">
        <f t="shared" si="10"/>
        <v>0</v>
      </c>
      <c r="O44" s="269">
        <f t="shared" si="10"/>
        <v>0</v>
      </c>
      <c r="P44" s="269">
        <f t="shared" si="10"/>
        <v>0</v>
      </c>
      <c r="Q44" s="269">
        <f t="shared" si="10"/>
        <v>0</v>
      </c>
      <c r="R44" s="269">
        <f t="shared" si="10"/>
        <v>0</v>
      </c>
      <c r="S44" s="269">
        <f t="shared" si="10"/>
        <v>0</v>
      </c>
      <c r="T44" s="269">
        <f t="shared" si="10"/>
        <v>0</v>
      </c>
      <c r="U44" s="269">
        <f t="shared" si="10"/>
        <v>0</v>
      </c>
      <c r="V44" s="269">
        <f t="shared" si="10"/>
        <v>0</v>
      </c>
      <c r="W44" s="270">
        <f t="shared" si="10"/>
        <v>0</v>
      </c>
      <c r="X44" s="204">
        <f t="shared" si="12"/>
        <v>17016.990716088054</v>
      </c>
    </row>
    <row r="45" spans="3:24" hidden="1" outlineLevel="1" x14ac:dyDescent="0.25">
      <c r="C45" s="267" t="str">
        <f t="shared" si="11"/>
        <v>TREIN</v>
      </c>
      <c r="D45" s="268">
        <f t="shared" si="9"/>
        <v>0</v>
      </c>
      <c r="E45" s="269">
        <f t="shared" si="9"/>
        <v>0</v>
      </c>
      <c r="F45" s="269">
        <f t="shared" si="9"/>
        <v>12161.526280681121</v>
      </c>
      <c r="G45" s="269">
        <f t="shared" si="9"/>
        <v>0</v>
      </c>
      <c r="H45" s="269">
        <f t="shared" si="9"/>
        <v>0</v>
      </c>
      <c r="I45" s="269">
        <f t="shared" si="9"/>
        <v>0</v>
      </c>
      <c r="J45" s="269">
        <f t="shared" si="9"/>
        <v>0</v>
      </c>
      <c r="K45" s="269">
        <f t="shared" si="9"/>
        <v>0</v>
      </c>
      <c r="L45" s="269">
        <f t="shared" si="9"/>
        <v>0</v>
      </c>
      <c r="M45" s="269">
        <f t="shared" si="9"/>
        <v>0</v>
      </c>
      <c r="N45" s="269">
        <f t="shared" si="10"/>
        <v>0</v>
      </c>
      <c r="O45" s="269">
        <f t="shared" si="10"/>
        <v>0</v>
      </c>
      <c r="P45" s="269">
        <f t="shared" si="10"/>
        <v>0</v>
      </c>
      <c r="Q45" s="269">
        <f t="shared" si="10"/>
        <v>0</v>
      </c>
      <c r="R45" s="269">
        <f t="shared" si="10"/>
        <v>0</v>
      </c>
      <c r="S45" s="269">
        <f t="shared" si="10"/>
        <v>0</v>
      </c>
      <c r="T45" s="269">
        <f t="shared" si="10"/>
        <v>0</v>
      </c>
      <c r="U45" s="269">
        <f t="shared" si="10"/>
        <v>0</v>
      </c>
      <c r="V45" s="269">
        <f t="shared" si="10"/>
        <v>0</v>
      </c>
      <c r="W45" s="270">
        <f t="shared" si="10"/>
        <v>0</v>
      </c>
      <c r="X45" s="204">
        <f t="shared" si="12"/>
        <v>12161.526280681121</v>
      </c>
    </row>
    <row r="46" spans="3:24" hidden="1" outlineLevel="1" x14ac:dyDescent="0.25">
      <c r="C46" s="267" t="str">
        <f t="shared" si="11"/>
        <v/>
      </c>
      <c r="D46" s="268">
        <f t="shared" si="9"/>
        <v>0</v>
      </c>
      <c r="E46" s="269">
        <f t="shared" si="9"/>
        <v>0</v>
      </c>
      <c r="F46" s="269">
        <f t="shared" si="9"/>
        <v>0</v>
      </c>
      <c r="G46" s="269">
        <f t="shared" si="9"/>
        <v>0</v>
      </c>
      <c r="H46" s="269">
        <f t="shared" si="9"/>
        <v>0</v>
      </c>
      <c r="I46" s="269">
        <f t="shared" si="9"/>
        <v>0</v>
      </c>
      <c r="J46" s="269">
        <f t="shared" si="9"/>
        <v>0</v>
      </c>
      <c r="K46" s="269">
        <f t="shared" si="9"/>
        <v>0</v>
      </c>
      <c r="L46" s="269">
        <f t="shared" si="9"/>
        <v>0</v>
      </c>
      <c r="M46" s="269">
        <f t="shared" si="9"/>
        <v>0</v>
      </c>
      <c r="N46" s="269">
        <f t="shared" si="10"/>
        <v>0</v>
      </c>
      <c r="O46" s="269">
        <f t="shared" si="10"/>
        <v>0</v>
      </c>
      <c r="P46" s="269">
        <f t="shared" si="10"/>
        <v>0</v>
      </c>
      <c r="Q46" s="269">
        <f t="shared" si="10"/>
        <v>0</v>
      </c>
      <c r="R46" s="269">
        <f t="shared" si="10"/>
        <v>0</v>
      </c>
      <c r="S46" s="269">
        <f t="shared" si="10"/>
        <v>0</v>
      </c>
      <c r="T46" s="269">
        <f t="shared" si="10"/>
        <v>0</v>
      </c>
      <c r="U46" s="269">
        <f t="shared" si="10"/>
        <v>0</v>
      </c>
      <c r="V46" s="269">
        <f t="shared" si="10"/>
        <v>0</v>
      </c>
      <c r="W46" s="270">
        <f t="shared" si="10"/>
        <v>0</v>
      </c>
      <c r="X46" s="204">
        <f t="shared" si="12"/>
        <v>0</v>
      </c>
    </row>
    <row r="47" spans="3:24" hidden="1" outlineLevel="1" x14ac:dyDescent="0.25">
      <c r="C47" s="267" t="str">
        <f t="shared" si="11"/>
        <v/>
      </c>
      <c r="D47" s="268">
        <f t="shared" si="9"/>
        <v>0</v>
      </c>
      <c r="E47" s="269">
        <f t="shared" si="9"/>
        <v>0</v>
      </c>
      <c r="F47" s="269">
        <f t="shared" si="9"/>
        <v>0</v>
      </c>
      <c r="G47" s="269">
        <f t="shared" si="9"/>
        <v>0</v>
      </c>
      <c r="H47" s="269">
        <f t="shared" si="9"/>
        <v>0</v>
      </c>
      <c r="I47" s="269">
        <f t="shared" si="9"/>
        <v>0</v>
      </c>
      <c r="J47" s="269">
        <f t="shared" si="9"/>
        <v>0</v>
      </c>
      <c r="K47" s="269">
        <f t="shared" si="9"/>
        <v>0</v>
      </c>
      <c r="L47" s="269">
        <f t="shared" si="9"/>
        <v>0</v>
      </c>
      <c r="M47" s="269">
        <f t="shared" si="9"/>
        <v>0</v>
      </c>
      <c r="N47" s="269">
        <f t="shared" si="10"/>
        <v>0</v>
      </c>
      <c r="O47" s="269">
        <f t="shared" si="10"/>
        <v>0</v>
      </c>
      <c r="P47" s="269">
        <f t="shared" si="10"/>
        <v>0</v>
      </c>
      <c r="Q47" s="269">
        <f t="shared" si="10"/>
        <v>0</v>
      </c>
      <c r="R47" s="269">
        <f t="shared" si="10"/>
        <v>0</v>
      </c>
      <c r="S47" s="269">
        <f t="shared" si="10"/>
        <v>0</v>
      </c>
      <c r="T47" s="269">
        <f t="shared" si="10"/>
        <v>0</v>
      </c>
      <c r="U47" s="269">
        <f t="shared" si="10"/>
        <v>0</v>
      </c>
      <c r="V47" s="269">
        <f t="shared" si="10"/>
        <v>0</v>
      </c>
      <c r="W47" s="270">
        <f t="shared" si="10"/>
        <v>0</v>
      </c>
      <c r="X47" s="204">
        <f t="shared" si="12"/>
        <v>0</v>
      </c>
    </row>
    <row r="48" spans="3:24" hidden="1" outlineLevel="1" x14ac:dyDescent="0.25">
      <c r="C48" s="267" t="str">
        <f t="shared" si="11"/>
        <v/>
      </c>
      <c r="D48" s="268">
        <f t="shared" si="9"/>
        <v>0</v>
      </c>
      <c r="E48" s="269">
        <f t="shared" si="9"/>
        <v>0</v>
      </c>
      <c r="F48" s="269">
        <f t="shared" si="9"/>
        <v>0</v>
      </c>
      <c r="G48" s="269">
        <f t="shared" si="9"/>
        <v>0</v>
      </c>
      <c r="H48" s="269">
        <f t="shared" si="9"/>
        <v>0</v>
      </c>
      <c r="I48" s="269">
        <f t="shared" si="9"/>
        <v>0</v>
      </c>
      <c r="J48" s="269">
        <f t="shared" si="9"/>
        <v>0</v>
      </c>
      <c r="K48" s="269">
        <f t="shared" si="9"/>
        <v>0</v>
      </c>
      <c r="L48" s="269">
        <f t="shared" si="9"/>
        <v>0</v>
      </c>
      <c r="M48" s="269">
        <f t="shared" si="9"/>
        <v>0</v>
      </c>
      <c r="N48" s="269">
        <f t="shared" si="10"/>
        <v>0</v>
      </c>
      <c r="O48" s="269">
        <f t="shared" si="10"/>
        <v>0</v>
      </c>
      <c r="P48" s="269">
        <f t="shared" si="10"/>
        <v>0</v>
      </c>
      <c r="Q48" s="269">
        <f t="shared" si="10"/>
        <v>0</v>
      </c>
      <c r="R48" s="269">
        <f t="shared" si="10"/>
        <v>0</v>
      </c>
      <c r="S48" s="269">
        <f t="shared" si="10"/>
        <v>0</v>
      </c>
      <c r="T48" s="269">
        <f t="shared" si="10"/>
        <v>0</v>
      </c>
      <c r="U48" s="269">
        <f t="shared" si="10"/>
        <v>0</v>
      </c>
      <c r="V48" s="269">
        <f t="shared" si="10"/>
        <v>0</v>
      </c>
      <c r="W48" s="270">
        <f t="shared" si="10"/>
        <v>0</v>
      </c>
      <c r="X48" s="204">
        <f t="shared" si="12"/>
        <v>0</v>
      </c>
    </row>
    <row r="49" spans="3:24" hidden="1" outlineLevel="1" x14ac:dyDescent="0.25">
      <c r="C49" s="267" t="str">
        <f t="shared" si="11"/>
        <v/>
      </c>
      <c r="D49" s="268">
        <f t="shared" si="9"/>
        <v>0</v>
      </c>
      <c r="E49" s="269">
        <f t="shared" si="9"/>
        <v>0</v>
      </c>
      <c r="F49" s="269">
        <f t="shared" si="9"/>
        <v>0</v>
      </c>
      <c r="G49" s="269">
        <f t="shared" si="9"/>
        <v>0</v>
      </c>
      <c r="H49" s="269">
        <f t="shared" si="9"/>
        <v>0</v>
      </c>
      <c r="I49" s="269">
        <f t="shared" si="9"/>
        <v>0</v>
      </c>
      <c r="J49" s="269">
        <f t="shared" si="9"/>
        <v>0</v>
      </c>
      <c r="K49" s="269">
        <f t="shared" si="9"/>
        <v>0</v>
      </c>
      <c r="L49" s="269">
        <f t="shared" si="9"/>
        <v>0</v>
      </c>
      <c r="M49" s="269">
        <f t="shared" si="9"/>
        <v>0</v>
      </c>
      <c r="N49" s="269">
        <f t="shared" si="10"/>
        <v>0</v>
      </c>
      <c r="O49" s="269">
        <f t="shared" si="10"/>
        <v>0</v>
      </c>
      <c r="P49" s="269">
        <f t="shared" si="10"/>
        <v>0</v>
      </c>
      <c r="Q49" s="269">
        <f t="shared" si="10"/>
        <v>0</v>
      </c>
      <c r="R49" s="269">
        <f t="shared" si="10"/>
        <v>0</v>
      </c>
      <c r="S49" s="269">
        <f t="shared" si="10"/>
        <v>0</v>
      </c>
      <c r="T49" s="269">
        <f t="shared" si="10"/>
        <v>0</v>
      </c>
      <c r="U49" s="269">
        <f t="shared" si="10"/>
        <v>0</v>
      </c>
      <c r="V49" s="269">
        <f t="shared" si="10"/>
        <v>0</v>
      </c>
      <c r="W49" s="270">
        <f t="shared" si="10"/>
        <v>0</v>
      </c>
      <c r="X49" s="204">
        <f t="shared" si="12"/>
        <v>0</v>
      </c>
    </row>
    <row r="50" spans="3:24" hidden="1" outlineLevel="1" x14ac:dyDescent="0.25">
      <c r="C50" s="267" t="str">
        <f t="shared" si="11"/>
        <v/>
      </c>
      <c r="D50" s="268">
        <f t="shared" si="9"/>
        <v>0</v>
      </c>
      <c r="E50" s="269">
        <f t="shared" si="9"/>
        <v>0</v>
      </c>
      <c r="F50" s="269">
        <f t="shared" si="9"/>
        <v>0</v>
      </c>
      <c r="G50" s="269">
        <f t="shared" si="9"/>
        <v>0</v>
      </c>
      <c r="H50" s="269">
        <f t="shared" si="9"/>
        <v>0</v>
      </c>
      <c r="I50" s="269">
        <f t="shared" si="9"/>
        <v>0</v>
      </c>
      <c r="J50" s="269">
        <f t="shared" si="9"/>
        <v>0</v>
      </c>
      <c r="K50" s="269">
        <f t="shared" si="9"/>
        <v>0</v>
      </c>
      <c r="L50" s="269">
        <f t="shared" si="9"/>
        <v>0</v>
      </c>
      <c r="M50" s="269">
        <f t="shared" si="9"/>
        <v>0</v>
      </c>
      <c r="N50" s="269">
        <f t="shared" si="10"/>
        <v>0</v>
      </c>
      <c r="O50" s="269">
        <f t="shared" si="10"/>
        <v>0</v>
      </c>
      <c r="P50" s="269">
        <f t="shared" si="10"/>
        <v>0</v>
      </c>
      <c r="Q50" s="269">
        <f t="shared" si="10"/>
        <v>0</v>
      </c>
      <c r="R50" s="269">
        <f t="shared" si="10"/>
        <v>0</v>
      </c>
      <c r="S50" s="269">
        <f t="shared" si="10"/>
        <v>0</v>
      </c>
      <c r="T50" s="269">
        <f t="shared" si="10"/>
        <v>0</v>
      </c>
      <c r="U50" s="269">
        <f t="shared" si="10"/>
        <v>0</v>
      </c>
      <c r="V50" s="269">
        <f t="shared" si="10"/>
        <v>0</v>
      </c>
      <c r="W50" s="270">
        <f t="shared" si="10"/>
        <v>0</v>
      </c>
      <c r="X50" s="204">
        <f t="shared" si="12"/>
        <v>0</v>
      </c>
    </row>
    <row r="51" spans="3:24" hidden="1" outlineLevel="1" x14ac:dyDescent="0.25">
      <c r="C51" s="267" t="str">
        <f t="shared" si="11"/>
        <v/>
      </c>
      <c r="D51" s="268">
        <f t="shared" si="9"/>
        <v>0</v>
      </c>
      <c r="E51" s="269">
        <f t="shared" si="9"/>
        <v>0</v>
      </c>
      <c r="F51" s="269">
        <f t="shared" si="9"/>
        <v>0</v>
      </c>
      <c r="G51" s="269">
        <f t="shared" si="9"/>
        <v>0</v>
      </c>
      <c r="H51" s="269">
        <f t="shared" si="9"/>
        <v>0</v>
      </c>
      <c r="I51" s="269">
        <f t="shared" si="9"/>
        <v>0</v>
      </c>
      <c r="J51" s="269">
        <f t="shared" si="9"/>
        <v>0</v>
      </c>
      <c r="K51" s="269">
        <f t="shared" si="9"/>
        <v>0</v>
      </c>
      <c r="L51" s="269">
        <f t="shared" si="9"/>
        <v>0</v>
      </c>
      <c r="M51" s="269">
        <f t="shared" si="9"/>
        <v>0</v>
      </c>
      <c r="N51" s="269">
        <f t="shared" si="10"/>
        <v>0</v>
      </c>
      <c r="O51" s="269">
        <f t="shared" si="10"/>
        <v>0</v>
      </c>
      <c r="P51" s="269">
        <f t="shared" si="10"/>
        <v>0</v>
      </c>
      <c r="Q51" s="269">
        <f t="shared" si="10"/>
        <v>0</v>
      </c>
      <c r="R51" s="269">
        <f t="shared" si="10"/>
        <v>0</v>
      </c>
      <c r="S51" s="269">
        <f t="shared" si="10"/>
        <v>0</v>
      </c>
      <c r="T51" s="269">
        <f t="shared" si="10"/>
        <v>0</v>
      </c>
      <c r="U51" s="269">
        <f t="shared" si="10"/>
        <v>0</v>
      </c>
      <c r="V51" s="269">
        <f t="shared" si="10"/>
        <v>0</v>
      </c>
      <c r="W51" s="270">
        <f t="shared" si="10"/>
        <v>0</v>
      </c>
      <c r="X51" s="204">
        <f t="shared" si="12"/>
        <v>0</v>
      </c>
    </row>
    <row r="52" spans="3:24" hidden="1" outlineLevel="1" x14ac:dyDescent="0.25">
      <c r="C52" s="267" t="str">
        <f t="shared" si="11"/>
        <v/>
      </c>
      <c r="D52" s="268">
        <f t="shared" ref="D52:M61" si="13">IF(AND($C52&lt;&gt;"",D$5&lt;&gt;""),SUMIFS(col_std_PL,col_abertura1,$C52,col_abertura2,D$5)+IF($E$3=$A$4,SUMIFS(col_fatdir_pi_mn,col_abertura1,$C52,col_abertura2,D$5),0),0)</f>
        <v>0</v>
      </c>
      <c r="E52" s="269">
        <f t="shared" si="13"/>
        <v>0</v>
      </c>
      <c r="F52" s="269">
        <f t="shared" si="13"/>
        <v>0</v>
      </c>
      <c r="G52" s="269">
        <f t="shared" si="13"/>
        <v>0</v>
      </c>
      <c r="H52" s="269">
        <f t="shared" si="13"/>
        <v>0</v>
      </c>
      <c r="I52" s="269">
        <f t="shared" si="13"/>
        <v>0</v>
      </c>
      <c r="J52" s="269">
        <f t="shared" si="13"/>
        <v>0</v>
      </c>
      <c r="K52" s="269">
        <f t="shared" si="13"/>
        <v>0</v>
      </c>
      <c r="L52" s="269">
        <f t="shared" si="13"/>
        <v>0</v>
      </c>
      <c r="M52" s="269">
        <f t="shared" si="13"/>
        <v>0</v>
      </c>
      <c r="N52" s="269">
        <f t="shared" ref="N52:W61" si="14">IF(AND($C52&lt;&gt;"",N$5&lt;&gt;""),SUMIFS(col_std_PL,col_abertura1,$C52,col_abertura2,N$5)+IF($E$3=$A$4,SUMIFS(col_fatdir_pi_mn,col_abertura1,$C52,col_abertura2,N$5),0),0)</f>
        <v>0</v>
      </c>
      <c r="O52" s="269">
        <f t="shared" si="14"/>
        <v>0</v>
      </c>
      <c r="P52" s="269">
        <f t="shared" si="14"/>
        <v>0</v>
      </c>
      <c r="Q52" s="269">
        <f t="shared" si="14"/>
        <v>0</v>
      </c>
      <c r="R52" s="269">
        <f t="shared" si="14"/>
        <v>0</v>
      </c>
      <c r="S52" s="269">
        <f t="shared" si="14"/>
        <v>0</v>
      </c>
      <c r="T52" s="269">
        <f t="shared" si="14"/>
        <v>0</v>
      </c>
      <c r="U52" s="269">
        <f t="shared" si="14"/>
        <v>0</v>
      </c>
      <c r="V52" s="269">
        <f t="shared" si="14"/>
        <v>0</v>
      </c>
      <c r="W52" s="270">
        <f t="shared" si="14"/>
        <v>0</v>
      </c>
      <c r="X52" s="204">
        <f t="shared" si="12"/>
        <v>0</v>
      </c>
    </row>
    <row r="53" spans="3:24" hidden="1" outlineLevel="1" x14ac:dyDescent="0.25">
      <c r="C53" s="267" t="str">
        <f t="shared" si="11"/>
        <v/>
      </c>
      <c r="D53" s="268">
        <f t="shared" si="13"/>
        <v>0</v>
      </c>
      <c r="E53" s="269">
        <f t="shared" si="13"/>
        <v>0</v>
      </c>
      <c r="F53" s="269">
        <f t="shared" si="13"/>
        <v>0</v>
      </c>
      <c r="G53" s="269">
        <f t="shared" si="13"/>
        <v>0</v>
      </c>
      <c r="H53" s="269">
        <f t="shared" si="13"/>
        <v>0</v>
      </c>
      <c r="I53" s="269">
        <f t="shared" si="13"/>
        <v>0</v>
      </c>
      <c r="J53" s="269">
        <f t="shared" si="13"/>
        <v>0</v>
      </c>
      <c r="K53" s="269">
        <f t="shared" si="13"/>
        <v>0</v>
      </c>
      <c r="L53" s="269">
        <f t="shared" si="13"/>
        <v>0</v>
      </c>
      <c r="M53" s="269">
        <f t="shared" si="13"/>
        <v>0</v>
      </c>
      <c r="N53" s="269">
        <f t="shared" si="14"/>
        <v>0</v>
      </c>
      <c r="O53" s="269">
        <f t="shared" si="14"/>
        <v>0</v>
      </c>
      <c r="P53" s="269">
        <f t="shared" si="14"/>
        <v>0</v>
      </c>
      <c r="Q53" s="269">
        <f t="shared" si="14"/>
        <v>0</v>
      </c>
      <c r="R53" s="269">
        <f t="shared" si="14"/>
        <v>0</v>
      </c>
      <c r="S53" s="269">
        <f t="shared" si="14"/>
        <v>0</v>
      </c>
      <c r="T53" s="269">
        <f t="shared" si="14"/>
        <v>0</v>
      </c>
      <c r="U53" s="269">
        <f t="shared" si="14"/>
        <v>0</v>
      </c>
      <c r="V53" s="269">
        <f t="shared" si="14"/>
        <v>0</v>
      </c>
      <c r="W53" s="270">
        <f t="shared" si="14"/>
        <v>0</v>
      </c>
      <c r="X53" s="204">
        <f t="shared" si="12"/>
        <v>0</v>
      </c>
    </row>
    <row r="54" spans="3:24" hidden="1" outlineLevel="1" x14ac:dyDescent="0.25">
      <c r="C54" s="267" t="str">
        <f t="shared" si="11"/>
        <v/>
      </c>
      <c r="D54" s="268">
        <f t="shared" si="13"/>
        <v>0</v>
      </c>
      <c r="E54" s="269">
        <f t="shared" si="13"/>
        <v>0</v>
      </c>
      <c r="F54" s="269">
        <f t="shared" si="13"/>
        <v>0</v>
      </c>
      <c r="G54" s="269">
        <f t="shared" si="13"/>
        <v>0</v>
      </c>
      <c r="H54" s="269">
        <f t="shared" si="13"/>
        <v>0</v>
      </c>
      <c r="I54" s="269">
        <f t="shared" si="13"/>
        <v>0</v>
      </c>
      <c r="J54" s="269">
        <f t="shared" si="13"/>
        <v>0</v>
      </c>
      <c r="K54" s="269">
        <f t="shared" si="13"/>
        <v>0</v>
      </c>
      <c r="L54" s="269">
        <f t="shared" si="13"/>
        <v>0</v>
      </c>
      <c r="M54" s="269">
        <f t="shared" si="13"/>
        <v>0</v>
      </c>
      <c r="N54" s="269">
        <f t="shared" si="14"/>
        <v>0</v>
      </c>
      <c r="O54" s="269">
        <f t="shared" si="14"/>
        <v>0</v>
      </c>
      <c r="P54" s="269">
        <f t="shared" si="14"/>
        <v>0</v>
      </c>
      <c r="Q54" s="269">
        <f t="shared" si="14"/>
        <v>0</v>
      </c>
      <c r="R54" s="269">
        <f t="shared" si="14"/>
        <v>0</v>
      </c>
      <c r="S54" s="269">
        <f t="shared" si="14"/>
        <v>0</v>
      </c>
      <c r="T54" s="269">
        <f t="shared" si="14"/>
        <v>0</v>
      </c>
      <c r="U54" s="269">
        <f t="shared" si="14"/>
        <v>0</v>
      </c>
      <c r="V54" s="269">
        <f t="shared" si="14"/>
        <v>0</v>
      </c>
      <c r="W54" s="270">
        <f t="shared" si="14"/>
        <v>0</v>
      </c>
      <c r="X54" s="204">
        <f t="shared" si="12"/>
        <v>0</v>
      </c>
    </row>
    <row r="55" spans="3:24" hidden="1" outlineLevel="1" x14ac:dyDescent="0.25">
      <c r="C55" s="267" t="str">
        <f t="shared" si="11"/>
        <v/>
      </c>
      <c r="D55" s="268">
        <f t="shared" si="13"/>
        <v>0</v>
      </c>
      <c r="E55" s="269">
        <f t="shared" si="13"/>
        <v>0</v>
      </c>
      <c r="F55" s="269">
        <f t="shared" si="13"/>
        <v>0</v>
      </c>
      <c r="G55" s="269">
        <f t="shared" si="13"/>
        <v>0</v>
      </c>
      <c r="H55" s="269">
        <f t="shared" si="13"/>
        <v>0</v>
      </c>
      <c r="I55" s="269">
        <f t="shared" si="13"/>
        <v>0</v>
      </c>
      <c r="J55" s="269">
        <f t="shared" si="13"/>
        <v>0</v>
      </c>
      <c r="K55" s="269">
        <f t="shared" si="13"/>
        <v>0</v>
      </c>
      <c r="L55" s="269">
        <f t="shared" si="13"/>
        <v>0</v>
      </c>
      <c r="M55" s="269">
        <f t="shared" si="13"/>
        <v>0</v>
      </c>
      <c r="N55" s="269">
        <f t="shared" si="14"/>
        <v>0</v>
      </c>
      <c r="O55" s="269">
        <f t="shared" si="14"/>
        <v>0</v>
      </c>
      <c r="P55" s="269">
        <f t="shared" si="14"/>
        <v>0</v>
      </c>
      <c r="Q55" s="269">
        <f t="shared" si="14"/>
        <v>0</v>
      </c>
      <c r="R55" s="269">
        <f t="shared" si="14"/>
        <v>0</v>
      </c>
      <c r="S55" s="269">
        <f t="shared" si="14"/>
        <v>0</v>
      </c>
      <c r="T55" s="269">
        <f t="shared" si="14"/>
        <v>0</v>
      </c>
      <c r="U55" s="269">
        <f t="shared" si="14"/>
        <v>0</v>
      </c>
      <c r="V55" s="269">
        <f t="shared" si="14"/>
        <v>0</v>
      </c>
      <c r="W55" s="270">
        <f t="shared" si="14"/>
        <v>0</v>
      </c>
      <c r="X55" s="204">
        <f t="shared" si="12"/>
        <v>0</v>
      </c>
    </row>
    <row r="56" spans="3:24" hidden="1" outlineLevel="1" x14ac:dyDescent="0.25">
      <c r="C56" s="267" t="str">
        <f t="shared" si="11"/>
        <v/>
      </c>
      <c r="D56" s="268">
        <f t="shared" si="13"/>
        <v>0</v>
      </c>
      <c r="E56" s="269">
        <f t="shared" si="13"/>
        <v>0</v>
      </c>
      <c r="F56" s="269">
        <f t="shared" si="13"/>
        <v>0</v>
      </c>
      <c r="G56" s="269">
        <f t="shared" si="13"/>
        <v>0</v>
      </c>
      <c r="H56" s="269">
        <f t="shared" si="13"/>
        <v>0</v>
      </c>
      <c r="I56" s="269">
        <f t="shared" si="13"/>
        <v>0</v>
      </c>
      <c r="J56" s="269">
        <f t="shared" si="13"/>
        <v>0</v>
      </c>
      <c r="K56" s="269">
        <f t="shared" si="13"/>
        <v>0</v>
      </c>
      <c r="L56" s="269">
        <f t="shared" si="13"/>
        <v>0</v>
      </c>
      <c r="M56" s="269">
        <f t="shared" si="13"/>
        <v>0</v>
      </c>
      <c r="N56" s="269">
        <f t="shared" si="14"/>
        <v>0</v>
      </c>
      <c r="O56" s="269">
        <f t="shared" si="14"/>
        <v>0</v>
      </c>
      <c r="P56" s="269">
        <f t="shared" si="14"/>
        <v>0</v>
      </c>
      <c r="Q56" s="269">
        <f t="shared" si="14"/>
        <v>0</v>
      </c>
      <c r="R56" s="269">
        <f t="shared" si="14"/>
        <v>0</v>
      </c>
      <c r="S56" s="269">
        <f t="shared" si="14"/>
        <v>0</v>
      </c>
      <c r="T56" s="269">
        <f t="shared" si="14"/>
        <v>0</v>
      </c>
      <c r="U56" s="269">
        <f t="shared" si="14"/>
        <v>0</v>
      </c>
      <c r="V56" s="269">
        <f t="shared" si="14"/>
        <v>0</v>
      </c>
      <c r="W56" s="270">
        <f t="shared" si="14"/>
        <v>0</v>
      </c>
      <c r="X56" s="204">
        <f t="shared" si="12"/>
        <v>0</v>
      </c>
    </row>
    <row r="57" spans="3:24" hidden="1" outlineLevel="1" x14ac:dyDescent="0.25">
      <c r="C57" s="267" t="str">
        <f t="shared" si="11"/>
        <v/>
      </c>
      <c r="D57" s="268">
        <f t="shared" si="13"/>
        <v>0</v>
      </c>
      <c r="E57" s="269">
        <f t="shared" si="13"/>
        <v>0</v>
      </c>
      <c r="F57" s="269">
        <f t="shared" si="13"/>
        <v>0</v>
      </c>
      <c r="G57" s="269">
        <f t="shared" si="13"/>
        <v>0</v>
      </c>
      <c r="H57" s="269">
        <f t="shared" si="13"/>
        <v>0</v>
      </c>
      <c r="I57" s="269">
        <f t="shared" si="13"/>
        <v>0</v>
      </c>
      <c r="J57" s="269">
        <f t="shared" si="13"/>
        <v>0</v>
      </c>
      <c r="K57" s="269">
        <f t="shared" si="13"/>
        <v>0</v>
      </c>
      <c r="L57" s="269">
        <f t="shared" si="13"/>
        <v>0</v>
      </c>
      <c r="M57" s="269">
        <f t="shared" si="13"/>
        <v>0</v>
      </c>
      <c r="N57" s="269">
        <f t="shared" si="14"/>
        <v>0</v>
      </c>
      <c r="O57" s="269">
        <f t="shared" si="14"/>
        <v>0</v>
      </c>
      <c r="P57" s="269">
        <f t="shared" si="14"/>
        <v>0</v>
      </c>
      <c r="Q57" s="269">
        <f t="shared" si="14"/>
        <v>0</v>
      </c>
      <c r="R57" s="269">
        <f t="shared" si="14"/>
        <v>0</v>
      </c>
      <c r="S57" s="269">
        <f t="shared" si="14"/>
        <v>0</v>
      </c>
      <c r="T57" s="269">
        <f t="shared" si="14"/>
        <v>0</v>
      </c>
      <c r="U57" s="269">
        <f t="shared" si="14"/>
        <v>0</v>
      </c>
      <c r="V57" s="269">
        <f t="shared" si="14"/>
        <v>0</v>
      </c>
      <c r="W57" s="270">
        <f t="shared" si="14"/>
        <v>0</v>
      </c>
      <c r="X57" s="204">
        <f t="shared" si="12"/>
        <v>0</v>
      </c>
    </row>
    <row r="58" spans="3:24" hidden="1" outlineLevel="1" x14ac:dyDescent="0.25">
      <c r="C58" s="267" t="str">
        <f t="shared" si="11"/>
        <v/>
      </c>
      <c r="D58" s="268">
        <f t="shared" si="13"/>
        <v>0</v>
      </c>
      <c r="E58" s="269">
        <f t="shared" si="13"/>
        <v>0</v>
      </c>
      <c r="F58" s="269">
        <f t="shared" si="13"/>
        <v>0</v>
      </c>
      <c r="G58" s="269">
        <f t="shared" si="13"/>
        <v>0</v>
      </c>
      <c r="H58" s="269">
        <f t="shared" si="13"/>
        <v>0</v>
      </c>
      <c r="I58" s="269">
        <f t="shared" si="13"/>
        <v>0</v>
      </c>
      <c r="J58" s="269">
        <f t="shared" si="13"/>
        <v>0</v>
      </c>
      <c r="K58" s="269">
        <f t="shared" si="13"/>
        <v>0</v>
      </c>
      <c r="L58" s="269">
        <f t="shared" si="13"/>
        <v>0</v>
      </c>
      <c r="M58" s="269">
        <f t="shared" si="13"/>
        <v>0</v>
      </c>
      <c r="N58" s="269">
        <f t="shared" si="14"/>
        <v>0</v>
      </c>
      <c r="O58" s="269">
        <f t="shared" si="14"/>
        <v>0</v>
      </c>
      <c r="P58" s="269">
        <f t="shared" si="14"/>
        <v>0</v>
      </c>
      <c r="Q58" s="269">
        <f t="shared" si="14"/>
        <v>0</v>
      </c>
      <c r="R58" s="269">
        <f t="shared" si="14"/>
        <v>0</v>
      </c>
      <c r="S58" s="269">
        <f t="shared" si="14"/>
        <v>0</v>
      </c>
      <c r="T58" s="269">
        <f t="shared" si="14"/>
        <v>0</v>
      </c>
      <c r="U58" s="269">
        <f t="shared" si="14"/>
        <v>0</v>
      </c>
      <c r="V58" s="269">
        <f t="shared" si="14"/>
        <v>0</v>
      </c>
      <c r="W58" s="270">
        <f t="shared" si="14"/>
        <v>0</v>
      </c>
      <c r="X58" s="204">
        <f t="shared" si="12"/>
        <v>0</v>
      </c>
    </row>
    <row r="59" spans="3:24" hidden="1" outlineLevel="1" x14ac:dyDescent="0.25">
      <c r="C59" s="267" t="str">
        <f t="shared" si="11"/>
        <v/>
      </c>
      <c r="D59" s="268">
        <f t="shared" si="13"/>
        <v>0</v>
      </c>
      <c r="E59" s="269">
        <f t="shared" si="13"/>
        <v>0</v>
      </c>
      <c r="F59" s="269">
        <f t="shared" si="13"/>
        <v>0</v>
      </c>
      <c r="G59" s="269">
        <f t="shared" si="13"/>
        <v>0</v>
      </c>
      <c r="H59" s="269">
        <f t="shared" si="13"/>
        <v>0</v>
      </c>
      <c r="I59" s="269">
        <f t="shared" si="13"/>
        <v>0</v>
      </c>
      <c r="J59" s="269">
        <f t="shared" si="13"/>
        <v>0</v>
      </c>
      <c r="K59" s="269">
        <f t="shared" si="13"/>
        <v>0</v>
      </c>
      <c r="L59" s="269">
        <f t="shared" si="13"/>
        <v>0</v>
      </c>
      <c r="M59" s="269">
        <f t="shared" si="13"/>
        <v>0</v>
      </c>
      <c r="N59" s="269">
        <f t="shared" si="14"/>
        <v>0</v>
      </c>
      <c r="O59" s="269">
        <f t="shared" si="14"/>
        <v>0</v>
      </c>
      <c r="P59" s="269">
        <f t="shared" si="14"/>
        <v>0</v>
      </c>
      <c r="Q59" s="269">
        <f t="shared" si="14"/>
        <v>0</v>
      </c>
      <c r="R59" s="269">
        <f t="shared" si="14"/>
        <v>0</v>
      </c>
      <c r="S59" s="269">
        <f t="shared" si="14"/>
        <v>0</v>
      </c>
      <c r="T59" s="269">
        <f t="shared" si="14"/>
        <v>0</v>
      </c>
      <c r="U59" s="269">
        <f t="shared" si="14"/>
        <v>0</v>
      </c>
      <c r="V59" s="269">
        <f t="shared" si="14"/>
        <v>0</v>
      </c>
      <c r="W59" s="270">
        <f t="shared" si="14"/>
        <v>0</v>
      </c>
      <c r="X59" s="204">
        <f t="shared" si="12"/>
        <v>0</v>
      </c>
    </row>
    <row r="60" spans="3:24" hidden="1" outlineLevel="1" x14ac:dyDescent="0.25">
      <c r="C60" s="267" t="str">
        <f t="shared" si="11"/>
        <v/>
      </c>
      <c r="D60" s="268">
        <f t="shared" si="13"/>
        <v>0</v>
      </c>
      <c r="E60" s="269">
        <f t="shared" si="13"/>
        <v>0</v>
      </c>
      <c r="F60" s="269">
        <f t="shared" si="13"/>
        <v>0</v>
      </c>
      <c r="G60" s="269">
        <f t="shared" si="13"/>
        <v>0</v>
      </c>
      <c r="H60" s="269">
        <f t="shared" si="13"/>
        <v>0</v>
      </c>
      <c r="I60" s="269">
        <f t="shared" si="13"/>
        <v>0</v>
      </c>
      <c r="J60" s="269">
        <f t="shared" si="13"/>
        <v>0</v>
      </c>
      <c r="K60" s="269">
        <f t="shared" si="13"/>
        <v>0</v>
      </c>
      <c r="L60" s="269">
        <f t="shared" si="13"/>
        <v>0</v>
      </c>
      <c r="M60" s="269">
        <f t="shared" si="13"/>
        <v>0</v>
      </c>
      <c r="N60" s="269">
        <f t="shared" si="14"/>
        <v>0</v>
      </c>
      <c r="O60" s="269">
        <f t="shared" si="14"/>
        <v>0</v>
      </c>
      <c r="P60" s="269">
        <f t="shared" si="14"/>
        <v>0</v>
      </c>
      <c r="Q60" s="269">
        <f t="shared" si="14"/>
        <v>0</v>
      </c>
      <c r="R60" s="269">
        <f t="shared" si="14"/>
        <v>0</v>
      </c>
      <c r="S60" s="269">
        <f t="shared" si="14"/>
        <v>0</v>
      </c>
      <c r="T60" s="269">
        <f t="shared" si="14"/>
        <v>0</v>
      </c>
      <c r="U60" s="269">
        <f t="shared" si="14"/>
        <v>0</v>
      </c>
      <c r="V60" s="269">
        <f t="shared" si="14"/>
        <v>0</v>
      </c>
      <c r="W60" s="270">
        <f t="shared" si="14"/>
        <v>0</v>
      </c>
      <c r="X60" s="204">
        <f t="shared" si="12"/>
        <v>0</v>
      </c>
    </row>
    <row r="61" spans="3:24" hidden="1" outlineLevel="1" x14ac:dyDescent="0.25">
      <c r="C61" s="267" t="str">
        <f t="shared" si="11"/>
        <v/>
      </c>
      <c r="D61" s="268">
        <f t="shared" si="13"/>
        <v>0</v>
      </c>
      <c r="E61" s="269">
        <f t="shared" si="13"/>
        <v>0</v>
      </c>
      <c r="F61" s="269">
        <f t="shared" si="13"/>
        <v>0</v>
      </c>
      <c r="G61" s="269">
        <f t="shared" si="13"/>
        <v>0</v>
      </c>
      <c r="H61" s="269">
        <f t="shared" si="13"/>
        <v>0</v>
      </c>
      <c r="I61" s="269">
        <f t="shared" si="13"/>
        <v>0</v>
      </c>
      <c r="J61" s="269">
        <f t="shared" si="13"/>
        <v>0</v>
      </c>
      <c r="K61" s="269">
        <f t="shared" si="13"/>
        <v>0</v>
      </c>
      <c r="L61" s="269">
        <f t="shared" si="13"/>
        <v>0</v>
      </c>
      <c r="M61" s="269">
        <f t="shared" si="13"/>
        <v>0</v>
      </c>
      <c r="N61" s="269">
        <f t="shared" si="14"/>
        <v>0</v>
      </c>
      <c r="O61" s="269">
        <f t="shared" si="14"/>
        <v>0</v>
      </c>
      <c r="P61" s="269">
        <f t="shared" si="14"/>
        <v>0</v>
      </c>
      <c r="Q61" s="269">
        <f t="shared" si="14"/>
        <v>0</v>
      </c>
      <c r="R61" s="269">
        <f t="shared" si="14"/>
        <v>0</v>
      </c>
      <c r="S61" s="269">
        <f t="shared" si="14"/>
        <v>0</v>
      </c>
      <c r="T61" s="269">
        <f t="shared" si="14"/>
        <v>0</v>
      </c>
      <c r="U61" s="269">
        <f t="shared" si="14"/>
        <v>0</v>
      </c>
      <c r="V61" s="269">
        <f t="shared" si="14"/>
        <v>0</v>
      </c>
      <c r="W61" s="270">
        <f t="shared" si="14"/>
        <v>0</v>
      </c>
      <c r="X61" s="204">
        <f t="shared" si="12"/>
        <v>0</v>
      </c>
    </row>
    <row r="62" spans="3:24" hidden="1" outlineLevel="1" x14ac:dyDescent="0.25">
      <c r="C62" s="267" t="str">
        <f t="shared" si="11"/>
        <v/>
      </c>
      <c r="D62" s="268">
        <f t="shared" ref="D62:M71" si="15">IF(AND($C62&lt;&gt;"",D$5&lt;&gt;""),SUMIFS(col_std_PL,col_abertura1,$C62,col_abertura2,D$5)+IF($E$3=$A$4,SUMIFS(col_fatdir_pi_mn,col_abertura1,$C62,col_abertura2,D$5),0),0)</f>
        <v>0</v>
      </c>
      <c r="E62" s="269">
        <f t="shared" si="15"/>
        <v>0</v>
      </c>
      <c r="F62" s="269">
        <f t="shared" si="15"/>
        <v>0</v>
      </c>
      <c r="G62" s="269">
        <f t="shared" si="15"/>
        <v>0</v>
      </c>
      <c r="H62" s="269">
        <f t="shared" si="15"/>
        <v>0</v>
      </c>
      <c r="I62" s="269">
        <f t="shared" si="15"/>
        <v>0</v>
      </c>
      <c r="J62" s="269">
        <f t="shared" si="15"/>
        <v>0</v>
      </c>
      <c r="K62" s="269">
        <f t="shared" si="15"/>
        <v>0</v>
      </c>
      <c r="L62" s="269">
        <f t="shared" si="15"/>
        <v>0</v>
      </c>
      <c r="M62" s="269">
        <f t="shared" si="15"/>
        <v>0</v>
      </c>
      <c r="N62" s="269">
        <f t="shared" ref="N62:W71" si="16">IF(AND($C62&lt;&gt;"",N$5&lt;&gt;""),SUMIFS(col_std_PL,col_abertura1,$C62,col_abertura2,N$5)+IF($E$3=$A$4,SUMIFS(col_fatdir_pi_mn,col_abertura1,$C62,col_abertura2,N$5),0),0)</f>
        <v>0</v>
      </c>
      <c r="O62" s="269">
        <f t="shared" si="16"/>
        <v>0</v>
      </c>
      <c r="P62" s="269">
        <f t="shared" si="16"/>
        <v>0</v>
      </c>
      <c r="Q62" s="269">
        <f t="shared" si="16"/>
        <v>0</v>
      </c>
      <c r="R62" s="269">
        <f t="shared" si="16"/>
        <v>0</v>
      </c>
      <c r="S62" s="269">
        <f t="shared" si="16"/>
        <v>0</v>
      </c>
      <c r="T62" s="269">
        <f t="shared" si="16"/>
        <v>0</v>
      </c>
      <c r="U62" s="269">
        <f t="shared" si="16"/>
        <v>0</v>
      </c>
      <c r="V62" s="269">
        <f t="shared" si="16"/>
        <v>0</v>
      </c>
      <c r="W62" s="270">
        <f t="shared" si="16"/>
        <v>0</v>
      </c>
      <c r="X62" s="204">
        <f t="shared" si="12"/>
        <v>0</v>
      </c>
    </row>
    <row r="63" spans="3:24" hidden="1" outlineLevel="1" x14ac:dyDescent="0.25">
      <c r="C63" s="267" t="str">
        <f t="shared" si="11"/>
        <v/>
      </c>
      <c r="D63" s="268">
        <f t="shared" si="15"/>
        <v>0</v>
      </c>
      <c r="E63" s="269">
        <f t="shared" si="15"/>
        <v>0</v>
      </c>
      <c r="F63" s="269">
        <f t="shared" si="15"/>
        <v>0</v>
      </c>
      <c r="G63" s="269">
        <f t="shared" si="15"/>
        <v>0</v>
      </c>
      <c r="H63" s="269">
        <f t="shared" si="15"/>
        <v>0</v>
      </c>
      <c r="I63" s="269">
        <f t="shared" si="15"/>
        <v>0</v>
      </c>
      <c r="J63" s="269">
        <f t="shared" si="15"/>
        <v>0</v>
      </c>
      <c r="K63" s="269">
        <f t="shared" si="15"/>
        <v>0</v>
      </c>
      <c r="L63" s="269">
        <f t="shared" si="15"/>
        <v>0</v>
      </c>
      <c r="M63" s="269">
        <f t="shared" si="15"/>
        <v>0</v>
      </c>
      <c r="N63" s="269">
        <f t="shared" si="16"/>
        <v>0</v>
      </c>
      <c r="O63" s="269">
        <f t="shared" si="16"/>
        <v>0</v>
      </c>
      <c r="P63" s="269">
        <f t="shared" si="16"/>
        <v>0</v>
      </c>
      <c r="Q63" s="269">
        <f t="shared" si="16"/>
        <v>0</v>
      </c>
      <c r="R63" s="269">
        <f t="shared" si="16"/>
        <v>0</v>
      </c>
      <c r="S63" s="269">
        <f t="shared" si="16"/>
        <v>0</v>
      </c>
      <c r="T63" s="269">
        <f t="shared" si="16"/>
        <v>0</v>
      </c>
      <c r="U63" s="269">
        <f t="shared" si="16"/>
        <v>0</v>
      </c>
      <c r="V63" s="269">
        <f t="shared" si="16"/>
        <v>0</v>
      </c>
      <c r="W63" s="270">
        <f t="shared" si="16"/>
        <v>0</v>
      </c>
      <c r="X63" s="204">
        <f t="shared" si="12"/>
        <v>0</v>
      </c>
    </row>
    <row r="64" spans="3:24" hidden="1" outlineLevel="1" x14ac:dyDescent="0.25">
      <c r="C64" s="267" t="str">
        <f t="shared" si="11"/>
        <v/>
      </c>
      <c r="D64" s="268">
        <f t="shared" si="15"/>
        <v>0</v>
      </c>
      <c r="E64" s="269">
        <f t="shared" si="15"/>
        <v>0</v>
      </c>
      <c r="F64" s="269">
        <f t="shared" si="15"/>
        <v>0</v>
      </c>
      <c r="G64" s="269">
        <f t="shared" si="15"/>
        <v>0</v>
      </c>
      <c r="H64" s="269">
        <f t="shared" si="15"/>
        <v>0</v>
      </c>
      <c r="I64" s="269">
        <f t="shared" si="15"/>
        <v>0</v>
      </c>
      <c r="J64" s="269">
        <f t="shared" si="15"/>
        <v>0</v>
      </c>
      <c r="K64" s="269">
        <f t="shared" si="15"/>
        <v>0</v>
      </c>
      <c r="L64" s="269">
        <f t="shared" si="15"/>
        <v>0</v>
      </c>
      <c r="M64" s="269">
        <f t="shared" si="15"/>
        <v>0</v>
      </c>
      <c r="N64" s="269">
        <f t="shared" si="16"/>
        <v>0</v>
      </c>
      <c r="O64" s="269">
        <f t="shared" si="16"/>
        <v>0</v>
      </c>
      <c r="P64" s="269">
        <f t="shared" si="16"/>
        <v>0</v>
      </c>
      <c r="Q64" s="269">
        <f t="shared" si="16"/>
        <v>0</v>
      </c>
      <c r="R64" s="269">
        <f t="shared" si="16"/>
        <v>0</v>
      </c>
      <c r="S64" s="269">
        <f t="shared" si="16"/>
        <v>0</v>
      </c>
      <c r="T64" s="269">
        <f t="shared" si="16"/>
        <v>0</v>
      </c>
      <c r="U64" s="269">
        <f t="shared" si="16"/>
        <v>0</v>
      </c>
      <c r="V64" s="269">
        <f t="shared" si="16"/>
        <v>0</v>
      </c>
      <c r="W64" s="270">
        <f t="shared" si="16"/>
        <v>0</v>
      </c>
      <c r="X64" s="204">
        <f t="shared" si="12"/>
        <v>0</v>
      </c>
    </row>
    <row r="65" spans="3:24" hidden="1" outlineLevel="1" x14ac:dyDescent="0.25">
      <c r="C65" s="267" t="str">
        <f t="shared" si="11"/>
        <v/>
      </c>
      <c r="D65" s="268">
        <f t="shared" si="15"/>
        <v>0</v>
      </c>
      <c r="E65" s="269">
        <f t="shared" si="15"/>
        <v>0</v>
      </c>
      <c r="F65" s="269">
        <f t="shared" si="15"/>
        <v>0</v>
      </c>
      <c r="G65" s="269">
        <f t="shared" si="15"/>
        <v>0</v>
      </c>
      <c r="H65" s="269">
        <f t="shared" si="15"/>
        <v>0</v>
      </c>
      <c r="I65" s="269">
        <f t="shared" si="15"/>
        <v>0</v>
      </c>
      <c r="J65" s="269">
        <f t="shared" si="15"/>
        <v>0</v>
      </c>
      <c r="K65" s="269">
        <f t="shared" si="15"/>
        <v>0</v>
      </c>
      <c r="L65" s="269">
        <f t="shared" si="15"/>
        <v>0</v>
      </c>
      <c r="M65" s="269">
        <f t="shared" si="15"/>
        <v>0</v>
      </c>
      <c r="N65" s="269">
        <f t="shared" si="16"/>
        <v>0</v>
      </c>
      <c r="O65" s="269">
        <f t="shared" si="16"/>
        <v>0</v>
      </c>
      <c r="P65" s="269">
        <f t="shared" si="16"/>
        <v>0</v>
      </c>
      <c r="Q65" s="269">
        <f t="shared" si="16"/>
        <v>0</v>
      </c>
      <c r="R65" s="269">
        <f t="shared" si="16"/>
        <v>0</v>
      </c>
      <c r="S65" s="269">
        <f t="shared" si="16"/>
        <v>0</v>
      </c>
      <c r="T65" s="269">
        <f t="shared" si="16"/>
        <v>0</v>
      </c>
      <c r="U65" s="269">
        <f t="shared" si="16"/>
        <v>0</v>
      </c>
      <c r="V65" s="269">
        <f t="shared" si="16"/>
        <v>0</v>
      </c>
      <c r="W65" s="270">
        <f t="shared" si="16"/>
        <v>0</v>
      </c>
      <c r="X65" s="204">
        <f t="shared" si="12"/>
        <v>0</v>
      </c>
    </row>
    <row r="66" spans="3:24" hidden="1" outlineLevel="1" x14ac:dyDescent="0.25">
      <c r="C66" s="267" t="str">
        <f t="shared" si="11"/>
        <v/>
      </c>
      <c r="D66" s="268">
        <f t="shared" si="15"/>
        <v>0</v>
      </c>
      <c r="E66" s="269">
        <f t="shared" si="15"/>
        <v>0</v>
      </c>
      <c r="F66" s="269">
        <f t="shared" si="15"/>
        <v>0</v>
      </c>
      <c r="G66" s="269">
        <f t="shared" si="15"/>
        <v>0</v>
      </c>
      <c r="H66" s="269">
        <f t="shared" si="15"/>
        <v>0</v>
      </c>
      <c r="I66" s="269">
        <f t="shared" si="15"/>
        <v>0</v>
      </c>
      <c r="J66" s="269">
        <f t="shared" si="15"/>
        <v>0</v>
      </c>
      <c r="K66" s="269">
        <f t="shared" si="15"/>
        <v>0</v>
      </c>
      <c r="L66" s="269">
        <f t="shared" si="15"/>
        <v>0</v>
      </c>
      <c r="M66" s="269">
        <f t="shared" si="15"/>
        <v>0</v>
      </c>
      <c r="N66" s="269">
        <f t="shared" si="16"/>
        <v>0</v>
      </c>
      <c r="O66" s="269">
        <f t="shared" si="16"/>
        <v>0</v>
      </c>
      <c r="P66" s="269">
        <f t="shared" si="16"/>
        <v>0</v>
      </c>
      <c r="Q66" s="269">
        <f t="shared" si="16"/>
        <v>0</v>
      </c>
      <c r="R66" s="269">
        <f t="shared" si="16"/>
        <v>0</v>
      </c>
      <c r="S66" s="269">
        <f t="shared" si="16"/>
        <v>0</v>
      </c>
      <c r="T66" s="269">
        <f t="shared" si="16"/>
        <v>0</v>
      </c>
      <c r="U66" s="269">
        <f t="shared" si="16"/>
        <v>0</v>
      </c>
      <c r="V66" s="269">
        <f t="shared" si="16"/>
        <v>0</v>
      </c>
      <c r="W66" s="270">
        <f t="shared" si="16"/>
        <v>0</v>
      </c>
      <c r="X66" s="204">
        <f t="shared" si="12"/>
        <v>0</v>
      </c>
    </row>
    <row r="67" spans="3:24" hidden="1" outlineLevel="1" x14ac:dyDescent="0.25">
      <c r="C67" s="267" t="str">
        <f t="shared" si="11"/>
        <v/>
      </c>
      <c r="D67" s="268">
        <f t="shared" si="15"/>
        <v>0</v>
      </c>
      <c r="E67" s="269">
        <f t="shared" si="15"/>
        <v>0</v>
      </c>
      <c r="F67" s="269">
        <f t="shared" si="15"/>
        <v>0</v>
      </c>
      <c r="G67" s="269">
        <f t="shared" si="15"/>
        <v>0</v>
      </c>
      <c r="H67" s="269">
        <f t="shared" si="15"/>
        <v>0</v>
      </c>
      <c r="I67" s="269">
        <f t="shared" si="15"/>
        <v>0</v>
      </c>
      <c r="J67" s="269">
        <f t="shared" si="15"/>
        <v>0</v>
      </c>
      <c r="K67" s="269">
        <f t="shared" si="15"/>
        <v>0</v>
      </c>
      <c r="L67" s="269">
        <f t="shared" si="15"/>
        <v>0</v>
      </c>
      <c r="M67" s="269">
        <f t="shared" si="15"/>
        <v>0</v>
      </c>
      <c r="N67" s="269">
        <f t="shared" si="16"/>
        <v>0</v>
      </c>
      <c r="O67" s="269">
        <f t="shared" si="16"/>
        <v>0</v>
      </c>
      <c r="P67" s="269">
        <f t="shared" si="16"/>
        <v>0</v>
      </c>
      <c r="Q67" s="269">
        <f t="shared" si="16"/>
        <v>0</v>
      </c>
      <c r="R67" s="269">
        <f t="shared" si="16"/>
        <v>0</v>
      </c>
      <c r="S67" s="269">
        <f t="shared" si="16"/>
        <v>0</v>
      </c>
      <c r="T67" s="269">
        <f t="shared" si="16"/>
        <v>0</v>
      </c>
      <c r="U67" s="269">
        <f t="shared" si="16"/>
        <v>0</v>
      </c>
      <c r="V67" s="269">
        <f t="shared" si="16"/>
        <v>0</v>
      </c>
      <c r="W67" s="270">
        <f t="shared" si="16"/>
        <v>0</v>
      </c>
      <c r="X67" s="204">
        <f t="shared" si="12"/>
        <v>0</v>
      </c>
    </row>
    <row r="68" spans="3:24" hidden="1" outlineLevel="1" x14ac:dyDescent="0.25">
      <c r="C68" s="267" t="str">
        <f t="shared" si="11"/>
        <v/>
      </c>
      <c r="D68" s="268">
        <f t="shared" si="15"/>
        <v>0</v>
      </c>
      <c r="E68" s="269">
        <f t="shared" si="15"/>
        <v>0</v>
      </c>
      <c r="F68" s="269">
        <f t="shared" si="15"/>
        <v>0</v>
      </c>
      <c r="G68" s="269">
        <f t="shared" si="15"/>
        <v>0</v>
      </c>
      <c r="H68" s="269">
        <f t="shared" si="15"/>
        <v>0</v>
      </c>
      <c r="I68" s="269">
        <f t="shared" si="15"/>
        <v>0</v>
      </c>
      <c r="J68" s="269">
        <f t="shared" si="15"/>
        <v>0</v>
      </c>
      <c r="K68" s="269">
        <f t="shared" si="15"/>
        <v>0</v>
      </c>
      <c r="L68" s="269">
        <f t="shared" si="15"/>
        <v>0</v>
      </c>
      <c r="M68" s="269">
        <f t="shared" si="15"/>
        <v>0</v>
      </c>
      <c r="N68" s="269">
        <f t="shared" si="16"/>
        <v>0</v>
      </c>
      <c r="O68" s="269">
        <f t="shared" si="16"/>
        <v>0</v>
      </c>
      <c r="P68" s="269">
        <f t="shared" si="16"/>
        <v>0</v>
      </c>
      <c r="Q68" s="269">
        <f t="shared" si="16"/>
        <v>0</v>
      </c>
      <c r="R68" s="269">
        <f t="shared" si="16"/>
        <v>0</v>
      </c>
      <c r="S68" s="269">
        <f t="shared" si="16"/>
        <v>0</v>
      </c>
      <c r="T68" s="269">
        <f t="shared" si="16"/>
        <v>0</v>
      </c>
      <c r="U68" s="269">
        <f t="shared" si="16"/>
        <v>0</v>
      </c>
      <c r="V68" s="269">
        <f t="shared" si="16"/>
        <v>0</v>
      </c>
      <c r="W68" s="270">
        <f t="shared" si="16"/>
        <v>0</v>
      </c>
      <c r="X68" s="204">
        <f t="shared" si="12"/>
        <v>0</v>
      </c>
    </row>
    <row r="69" spans="3:24" hidden="1" outlineLevel="1" x14ac:dyDescent="0.25">
      <c r="C69" s="267" t="str">
        <f t="shared" si="11"/>
        <v/>
      </c>
      <c r="D69" s="268">
        <f t="shared" si="15"/>
        <v>0</v>
      </c>
      <c r="E69" s="269">
        <f t="shared" si="15"/>
        <v>0</v>
      </c>
      <c r="F69" s="269">
        <f t="shared" si="15"/>
        <v>0</v>
      </c>
      <c r="G69" s="269">
        <f t="shared" si="15"/>
        <v>0</v>
      </c>
      <c r="H69" s="269">
        <f t="shared" si="15"/>
        <v>0</v>
      </c>
      <c r="I69" s="269">
        <f t="shared" si="15"/>
        <v>0</v>
      </c>
      <c r="J69" s="269">
        <f t="shared" si="15"/>
        <v>0</v>
      </c>
      <c r="K69" s="269">
        <f t="shared" si="15"/>
        <v>0</v>
      </c>
      <c r="L69" s="269">
        <f t="shared" si="15"/>
        <v>0</v>
      </c>
      <c r="M69" s="269">
        <f t="shared" si="15"/>
        <v>0</v>
      </c>
      <c r="N69" s="269">
        <f t="shared" si="16"/>
        <v>0</v>
      </c>
      <c r="O69" s="269">
        <f t="shared" si="16"/>
        <v>0</v>
      </c>
      <c r="P69" s="269">
        <f t="shared" si="16"/>
        <v>0</v>
      </c>
      <c r="Q69" s="269">
        <f t="shared" si="16"/>
        <v>0</v>
      </c>
      <c r="R69" s="269">
        <f t="shared" si="16"/>
        <v>0</v>
      </c>
      <c r="S69" s="269">
        <f t="shared" si="16"/>
        <v>0</v>
      </c>
      <c r="T69" s="269">
        <f t="shared" si="16"/>
        <v>0</v>
      </c>
      <c r="U69" s="269">
        <f t="shared" si="16"/>
        <v>0</v>
      </c>
      <c r="V69" s="269">
        <f t="shared" si="16"/>
        <v>0</v>
      </c>
      <c r="W69" s="270">
        <f t="shared" si="16"/>
        <v>0</v>
      </c>
      <c r="X69" s="204">
        <f t="shared" si="12"/>
        <v>0</v>
      </c>
    </row>
    <row r="70" spans="3:24" hidden="1" outlineLevel="1" x14ac:dyDescent="0.25">
      <c r="C70" s="267" t="str">
        <f t="shared" si="11"/>
        <v/>
      </c>
      <c r="D70" s="268">
        <f t="shared" si="15"/>
        <v>0</v>
      </c>
      <c r="E70" s="269">
        <f t="shared" si="15"/>
        <v>0</v>
      </c>
      <c r="F70" s="269">
        <f t="shared" si="15"/>
        <v>0</v>
      </c>
      <c r="G70" s="269">
        <f t="shared" si="15"/>
        <v>0</v>
      </c>
      <c r="H70" s="269">
        <f t="shared" si="15"/>
        <v>0</v>
      </c>
      <c r="I70" s="269">
        <f t="shared" si="15"/>
        <v>0</v>
      </c>
      <c r="J70" s="269">
        <f t="shared" si="15"/>
        <v>0</v>
      </c>
      <c r="K70" s="269">
        <f t="shared" si="15"/>
        <v>0</v>
      </c>
      <c r="L70" s="269">
        <f t="shared" si="15"/>
        <v>0</v>
      </c>
      <c r="M70" s="269">
        <f t="shared" si="15"/>
        <v>0</v>
      </c>
      <c r="N70" s="269">
        <f t="shared" si="16"/>
        <v>0</v>
      </c>
      <c r="O70" s="269">
        <f t="shared" si="16"/>
        <v>0</v>
      </c>
      <c r="P70" s="269">
        <f t="shared" si="16"/>
        <v>0</v>
      </c>
      <c r="Q70" s="269">
        <f t="shared" si="16"/>
        <v>0</v>
      </c>
      <c r="R70" s="269">
        <f t="shared" si="16"/>
        <v>0</v>
      </c>
      <c r="S70" s="269">
        <f t="shared" si="16"/>
        <v>0</v>
      </c>
      <c r="T70" s="269">
        <f t="shared" si="16"/>
        <v>0</v>
      </c>
      <c r="U70" s="269">
        <f t="shared" si="16"/>
        <v>0</v>
      </c>
      <c r="V70" s="269">
        <f t="shared" si="16"/>
        <v>0</v>
      </c>
      <c r="W70" s="270">
        <f t="shared" si="16"/>
        <v>0</v>
      </c>
      <c r="X70" s="204">
        <f t="shared" si="12"/>
        <v>0</v>
      </c>
    </row>
    <row r="71" spans="3:24" hidden="1" outlineLevel="1" x14ac:dyDescent="0.25">
      <c r="C71" s="271" t="str">
        <f t="shared" si="11"/>
        <v>Padrões</v>
      </c>
      <c r="D71" s="272">
        <f t="shared" si="15"/>
        <v>0</v>
      </c>
      <c r="E71" s="273">
        <f t="shared" si="15"/>
        <v>0</v>
      </c>
      <c r="F71" s="273">
        <f t="shared" si="15"/>
        <v>0</v>
      </c>
      <c r="G71" s="273">
        <f t="shared" si="15"/>
        <v>0</v>
      </c>
      <c r="H71" s="273">
        <f t="shared" si="15"/>
        <v>0</v>
      </c>
      <c r="I71" s="273">
        <f t="shared" si="15"/>
        <v>0</v>
      </c>
      <c r="J71" s="273">
        <f t="shared" si="15"/>
        <v>0</v>
      </c>
      <c r="K71" s="273">
        <f t="shared" si="15"/>
        <v>0</v>
      </c>
      <c r="L71" s="273">
        <f t="shared" si="15"/>
        <v>0</v>
      </c>
      <c r="M71" s="273">
        <f t="shared" si="15"/>
        <v>0</v>
      </c>
      <c r="N71" s="273">
        <f t="shared" si="16"/>
        <v>0</v>
      </c>
      <c r="O71" s="273">
        <f t="shared" si="16"/>
        <v>0</v>
      </c>
      <c r="P71" s="273">
        <f t="shared" si="16"/>
        <v>0</v>
      </c>
      <c r="Q71" s="273">
        <f t="shared" si="16"/>
        <v>0</v>
      </c>
      <c r="R71" s="273">
        <f t="shared" si="16"/>
        <v>0</v>
      </c>
      <c r="S71" s="273">
        <f t="shared" si="16"/>
        <v>0</v>
      </c>
      <c r="T71" s="273">
        <f t="shared" si="16"/>
        <v>0</v>
      </c>
      <c r="U71" s="273">
        <f t="shared" si="16"/>
        <v>0</v>
      </c>
      <c r="V71" s="273">
        <f t="shared" si="16"/>
        <v>0</v>
      </c>
      <c r="W71" s="274">
        <f t="shared" si="16"/>
        <v>0</v>
      </c>
      <c r="X71" s="204">
        <f t="shared" si="12"/>
        <v>0</v>
      </c>
    </row>
    <row r="72" spans="3:24" hidden="1" outlineLevel="1" x14ac:dyDescent="0.25">
      <c r="C72" s="187"/>
      <c r="D72" s="281">
        <f>SUM(D42:D71)</f>
        <v>760532.55080590514</v>
      </c>
      <c r="E72" s="281">
        <f t="shared" ref="E72:W72" si="17">SUM(E42:E71)</f>
        <v>103628.07324510318</v>
      </c>
      <c r="F72" s="281">
        <f t="shared" si="17"/>
        <v>96039.904149527618</v>
      </c>
      <c r="G72" s="281">
        <f t="shared" si="17"/>
        <v>0</v>
      </c>
      <c r="H72" s="281">
        <f t="shared" si="17"/>
        <v>0</v>
      </c>
      <c r="I72" s="281">
        <f t="shared" si="17"/>
        <v>0</v>
      </c>
      <c r="J72" s="281">
        <f t="shared" si="17"/>
        <v>0</v>
      </c>
      <c r="K72" s="281">
        <f t="shared" si="17"/>
        <v>0</v>
      </c>
      <c r="L72" s="281">
        <f t="shared" si="17"/>
        <v>0</v>
      </c>
      <c r="M72" s="281">
        <f t="shared" si="17"/>
        <v>0</v>
      </c>
      <c r="N72" s="281">
        <f t="shared" si="17"/>
        <v>0</v>
      </c>
      <c r="O72" s="281">
        <f t="shared" si="17"/>
        <v>0</v>
      </c>
      <c r="P72" s="281">
        <f t="shared" si="17"/>
        <v>0</v>
      </c>
      <c r="Q72" s="281">
        <f t="shared" si="17"/>
        <v>0</v>
      </c>
      <c r="R72" s="281">
        <f t="shared" si="17"/>
        <v>0</v>
      </c>
      <c r="S72" s="281">
        <f t="shared" si="17"/>
        <v>0</v>
      </c>
      <c r="T72" s="281">
        <f t="shared" si="17"/>
        <v>0</v>
      </c>
      <c r="U72" s="281">
        <f t="shared" si="17"/>
        <v>0</v>
      </c>
      <c r="V72" s="281">
        <f t="shared" si="17"/>
        <v>0</v>
      </c>
      <c r="W72" s="281">
        <f t="shared" si="17"/>
        <v>0</v>
      </c>
      <c r="X72" s="280">
        <f>SUM(X42:X71)</f>
        <v>960200.52820053604</v>
      </c>
    </row>
    <row r="73" spans="3:24" hidden="1" outlineLevel="1" x14ac:dyDescent="0.25"/>
    <row r="74" spans="3:24" hidden="1" outlineLevel="1" x14ac:dyDescent="0.25">
      <c r="U74" s="282" t="s">
        <v>339</v>
      </c>
      <c r="V74" s="282" t="s">
        <v>340</v>
      </c>
    </row>
    <row r="75" spans="3:24" collapsed="1" x14ac:dyDescent="0.25">
      <c r="D75" s="114" t="s">
        <v>680</v>
      </c>
      <c r="U75" s="283">
        <f>SUM(D78:W107)</f>
        <v>0</v>
      </c>
      <c r="V75" s="283">
        <f>Dados!M111</f>
        <v>0</v>
      </c>
      <c r="W75" s="522" t="b">
        <f>IF(ABS(U75-V75)&lt;0.01,TRUE,FALSE)</f>
        <v>1</v>
      </c>
    </row>
    <row r="76" spans="3:24" hidden="1" outlineLevel="1" x14ac:dyDescent="0.25"/>
    <row r="77" spans="3:24" hidden="1" outlineLevel="1" x14ac:dyDescent="0.25">
      <c r="D77" s="260" t="str">
        <f>D41</f>
        <v>SAGE</v>
      </c>
      <c r="E77" s="261" t="str">
        <f t="shared" ref="E77:W77" si="18">E41</f>
        <v>TELECOM</v>
      </c>
      <c r="F77" s="261" t="str">
        <f t="shared" si="18"/>
        <v>GERAL</v>
      </c>
      <c r="G77" s="261" t="str">
        <f t="shared" si="18"/>
        <v/>
      </c>
      <c r="H77" s="261" t="str">
        <f t="shared" si="18"/>
        <v/>
      </c>
      <c r="I77" s="261" t="str">
        <f t="shared" si="18"/>
        <v/>
      </c>
      <c r="J77" s="261" t="str">
        <f t="shared" si="18"/>
        <v/>
      </c>
      <c r="K77" s="261" t="str">
        <f t="shared" si="18"/>
        <v/>
      </c>
      <c r="L77" s="261" t="str">
        <f t="shared" si="18"/>
        <v/>
      </c>
      <c r="M77" s="261" t="str">
        <f t="shared" si="18"/>
        <v/>
      </c>
      <c r="N77" s="261" t="str">
        <f t="shared" si="18"/>
        <v/>
      </c>
      <c r="O77" s="261" t="str">
        <f t="shared" si="18"/>
        <v/>
      </c>
      <c r="P77" s="261" t="str">
        <f t="shared" si="18"/>
        <v/>
      </c>
      <c r="Q77" s="261" t="str">
        <f t="shared" si="18"/>
        <v/>
      </c>
      <c r="R77" s="261" t="str">
        <f t="shared" si="18"/>
        <v/>
      </c>
      <c r="S77" s="261" t="str">
        <f t="shared" si="18"/>
        <v/>
      </c>
      <c r="T77" s="261" t="str">
        <f t="shared" si="18"/>
        <v/>
      </c>
      <c r="U77" s="261" t="str">
        <f t="shared" si="18"/>
        <v/>
      </c>
      <c r="V77" s="261" t="str">
        <f t="shared" si="18"/>
        <v/>
      </c>
      <c r="W77" s="262" t="str">
        <f t="shared" si="18"/>
        <v/>
      </c>
    </row>
    <row r="78" spans="3:24" hidden="1" outlineLevel="1" x14ac:dyDescent="0.25">
      <c r="C78" s="263" t="str">
        <f>C42</f>
        <v>MAT</v>
      </c>
      <c r="D78" s="264">
        <f t="shared" ref="D78:S93" si="19">SUMIFS(col_fatdir_bruto_com_mn,col_abertura1,$C78,col_abertura2,D$77,col_fatdir,"Sim")</f>
        <v>0</v>
      </c>
      <c r="E78" s="265">
        <f t="shared" si="19"/>
        <v>0</v>
      </c>
      <c r="F78" s="265">
        <f t="shared" si="19"/>
        <v>0</v>
      </c>
      <c r="G78" s="265">
        <f t="shared" si="19"/>
        <v>0</v>
      </c>
      <c r="H78" s="265">
        <f t="shared" si="19"/>
        <v>0</v>
      </c>
      <c r="I78" s="265">
        <f t="shared" si="19"/>
        <v>0</v>
      </c>
      <c r="J78" s="265">
        <f t="shared" si="19"/>
        <v>0</v>
      </c>
      <c r="K78" s="265">
        <f t="shared" si="19"/>
        <v>0</v>
      </c>
      <c r="L78" s="265">
        <f t="shared" si="19"/>
        <v>0</v>
      </c>
      <c r="M78" s="265">
        <f t="shared" si="19"/>
        <v>0</v>
      </c>
      <c r="N78" s="265">
        <f t="shared" si="19"/>
        <v>0</v>
      </c>
      <c r="O78" s="265">
        <f t="shared" si="19"/>
        <v>0</v>
      </c>
      <c r="P78" s="265">
        <f t="shared" si="19"/>
        <v>0</v>
      </c>
      <c r="Q78" s="265">
        <f t="shared" si="19"/>
        <v>0</v>
      </c>
      <c r="R78" s="265">
        <f t="shared" si="19"/>
        <v>0</v>
      </c>
      <c r="S78" s="265">
        <f t="shared" si="19"/>
        <v>0</v>
      </c>
      <c r="T78" s="265">
        <f t="shared" ref="N78:W93" si="20">SUMIFS(col_fatdir_bruto_com_mn,col_abertura1,$C78,col_abertura2,T$77,col_fatdir,"Sim")</f>
        <v>0</v>
      </c>
      <c r="U78" s="265">
        <f t="shared" si="20"/>
        <v>0</v>
      </c>
      <c r="V78" s="265">
        <f t="shared" si="20"/>
        <v>0</v>
      </c>
      <c r="W78" s="266">
        <f t="shared" si="20"/>
        <v>0</v>
      </c>
      <c r="X78" s="204">
        <f>SUM(D78:W78)</f>
        <v>0</v>
      </c>
    </row>
    <row r="79" spans="3:24" hidden="1" outlineLevel="1" x14ac:dyDescent="0.25">
      <c r="C79" s="267" t="str">
        <f t="shared" ref="C79:C107" si="21">C43</f>
        <v>SRV</v>
      </c>
      <c r="D79" s="268">
        <f t="shared" si="19"/>
        <v>0</v>
      </c>
      <c r="E79" s="269">
        <f t="shared" si="19"/>
        <v>0</v>
      </c>
      <c r="F79" s="269">
        <f t="shared" si="19"/>
        <v>0</v>
      </c>
      <c r="G79" s="269">
        <f t="shared" si="19"/>
        <v>0</v>
      </c>
      <c r="H79" s="269">
        <f t="shared" si="19"/>
        <v>0</v>
      </c>
      <c r="I79" s="269">
        <f t="shared" si="19"/>
        <v>0</v>
      </c>
      <c r="J79" s="269">
        <f t="shared" si="19"/>
        <v>0</v>
      </c>
      <c r="K79" s="269">
        <f t="shared" si="19"/>
        <v>0</v>
      </c>
      <c r="L79" s="269">
        <f t="shared" si="19"/>
        <v>0</v>
      </c>
      <c r="M79" s="269">
        <f t="shared" si="19"/>
        <v>0</v>
      </c>
      <c r="N79" s="269">
        <f t="shared" si="20"/>
        <v>0</v>
      </c>
      <c r="O79" s="269">
        <f t="shared" si="20"/>
        <v>0</v>
      </c>
      <c r="P79" s="269">
        <f t="shared" si="20"/>
        <v>0</v>
      </c>
      <c r="Q79" s="269">
        <f t="shared" si="20"/>
        <v>0</v>
      </c>
      <c r="R79" s="269">
        <f t="shared" si="20"/>
        <v>0</v>
      </c>
      <c r="S79" s="269">
        <f t="shared" si="20"/>
        <v>0</v>
      </c>
      <c r="T79" s="269">
        <f t="shared" si="20"/>
        <v>0</v>
      </c>
      <c r="U79" s="269">
        <f t="shared" si="20"/>
        <v>0</v>
      </c>
      <c r="V79" s="269">
        <f t="shared" si="20"/>
        <v>0</v>
      </c>
      <c r="W79" s="270">
        <f t="shared" si="20"/>
        <v>0</v>
      </c>
      <c r="X79" s="204">
        <f t="shared" ref="X79:X107" si="22">SUM(D79:W79)</f>
        <v>0</v>
      </c>
    </row>
    <row r="80" spans="3:24" hidden="1" outlineLevel="1" x14ac:dyDescent="0.25">
      <c r="C80" s="267" t="str">
        <f t="shared" si="21"/>
        <v>MOBI</v>
      </c>
      <c r="D80" s="268">
        <f t="shared" si="19"/>
        <v>0</v>
      </c>
      <c r="E80" s="269">
        <f t="shared" si="19"/>
        <v>0</v>
      </c>
      <c r="F80" s="269">
        <f t="shared" si="19"/>
        <v>0</v>
      </c>
      <c r="G80" s="269">
        <f t="shared" si="19"/>
        <v>0</v>
      </c>
      <c r="H80" s="269">
        <f t="shared" si="19"/>
        <v>0</v>
      </c>
      <c r="I80" s="269">
        <f t="shared" si="19"/>
        <v>0</v>
      </c>
      <c r="J80" s="269">
        <f t="shared" si="19"/>
        <v>0</v>
      </c>
      <c r="K80" s="269">
        <f t="shared" si="19"/>
        <v>0</v>
      </c>
      <c r="L80" s="269">
        <f t="shared" si="19"/>
        <v>0</v>
      </c>
      <c r="M80" s="269">
        <f t="shared" si="19"/>
        <v>0</v>
      </c>
      <c r="N80" s="269">
        <f t="shared" si="20"/>
        <v>0</v>
      </c>
      <c r="O80" s="269">
        <f t="shared" si="20"/>
        <v>0</v>
      </c>
      <c r="P80" s="269">
        <f t="shared" si="20"/>
        <v>0</v>
      </c>
      <c r="Q80" s="269">
        <f t="shared" si="20"/>
        <v>0</v>
      </c>
      <c r="R80" s="269">
        <f t="shared" si="20"/>
        <v>0</v>
      </c>
      <c r="S80" s="269">
        <f t="shared" si="20"/>
        <v>0</v>
      </c>
      <c r="T80" s="269">
        <f t="shared" si="20"/>
        <v>0</v>
      </c>
      <c r="U80" s="269">
        <f t="shared" si="20"/>
        <v>0</v>
      </c>
      <c r="V80" s="269">
        <f t="shared" si="20"/>
        <v>0</v>
      </c>
      <c r="W80" s="270">
        <f t="shared" si="20"/>
        <v>0</v>
      </c>
      <c r="X80" s="204">
        <f t="shared" si="22"/>
        <v>0</v>
      </c>
    </row>
    <row r="81" spans="3:24" hidden="1" outlineLevel="1" x14ac:dyDescent="0.25">
      <c r="C81" s="267" t="str">
        <f t="shared" si="21"/>
        <v>TREIN</v>
      </c>
      <c r="D81" s="268">
        <f t="shared" si="19"/>
        <v>0</v>
      </c>
      <c r="E81" s="269">
        <f t="shared" si="19"/>
        <v>0</v>
      </c>
      <c r="F81" s="269">
        <f t="shared" si="19"/>
        <v>0</v>
      </c>
      <c r="G81" s="269">
        <f t="shared" si="19"/>
        <v>0</v>
      </c>
      <c r="H81" s="269">
        <f t="shared" si="19"/>
        <v>0</v>
      </c>
      <c r="I81" s="269">
        <f t="shared" si="19"/>
        <v>0</v>
      </c>
      <c r="J81" s="269">
        <f t="shared" si="19"/>
        <v>0</v>
      </c>
      <c r="K81" s="269">
        <f t="shared" si="19"/>
        <v>0</v>
      </c>
      <c r="L81" s="269">
        <f t="shared" si="19"/>
        <v>0</v>
      </c>
      <c r="M81" s="269">
        <f t="shared" si="19"/>
        <v>0</v>
      </c>
      <c r="N81" s="269">
        <f t="shared" si="20"/>
        <v>0</v>
      </c>
      <c r="O81" s="269">
        <f t="shared" si="20"/>
        <v>0</v>
      </c>
      <c r="P81" s="269">
        <f t="shared" si="20"/>
        <v>0</v>
      </c>
      <c r="Q81" s="269">
        <f t="shared" si="20"/>
        <v>0</v>
      </c>
      <c r="R81" s="269">
        <f t="shared" si="20"/>
        <v>0</v>
      </c>
      <c r="S81" s="269">
        <f t="shared" si="20"/>
        <v>0</v>
      </c>
      <c r="T81" s="269">
        <f t="shared" si="20"/>
        <v>0</v>
      </c>
      <c r="U81" s="269">
        <f t="shared" si="20"/>
        <v>0</v>
      </c>
      <c r="V81" s="269">
        <f t="shared" si="20"/>
        <v>0</v>
      </c>
      <c r="W81" s="270">
        <f t="shared" si="20"/>
        <v>0</v>
      </c>
      <c r="X81" s="204">
        <f t="shared" si="22"/>
        <v>0</v>
      </c>
    </row>
    <row r="82" spans="3:24" hidden="1" outlineLevel="1" x14ac:dyDescent="0.25">
      <c r="C82" s="267" t="str">
        <f t="shared" si="21"/>
        <v/>
      </c>
      <c r="D82" s="268">
        <f t="shared" si="19"/>
        <v>0</v>
      </c>
      <c r="E82" s="269">
        <f t="shared" si="19"/>
        <v>0</v>
      </c>
      <c r="F82" s="269">
        <f t="shared" si="19"/>
        <v>0</v>
      </c>
      <c r="G82" s="269">
        <f t="shared" si="19"/>
        <v>0</v>
      </c>
      <c r="H82" s="269">
        <f t="shared" si="19"/>
        <v>0</v>
      </c>
      <c r="I82" s="269">
        <f t="shared" si="19"/>
        <v>0</v>
      </c>
      <c r="J82" s="269">
        <f t="shared" si="19"/>
        <v>0</v>
      </c>
      <c r="K82" s="269">
        <f t="shared" si="19"/>
        <v>0</v>
      </c>
      <c r="L82" s="269">
        <f t="shared" si="19"/>
        <v>0</v>
      </c>
      <c r="M82" s="269">
        <f t="shared" si="19"/>
        <v>0</v>
      </c>
      <c r="N82" s="269">
        <f t="shared" si="20"/>
        <v>0</v>
      </c>
      <c r="O82" s="269">
        <f t="shared" si="20"/>
        <v>0</v>
      </c>
      <c r="P82" s="269">
        <f t="shared" si="20"/>
        <v>0</v>
      </c>
      <c r="Q82" s="269">
        <f t="shared" si="20"/>
        <v>0</v>
      </c>
      <c r="R82" s="269">
        <f t="shared" si="20"/>
        <v>0</v>
      </c>
      <c r="S82" s="269">
        <f t="shared" si="20"/>
        <v>0</v>
      </c>
      <c r="T82" s="269">
        <f t="shared" si="20"/>
        <v>0</v>
      </c>
      <c r="U82" s="269">
        <f t="shared" si="20"/>
        <v>0</v>
      </c>
      <c r="V82" s="269">
        <f t="shared" si="20"/>
        <v>0</v>
      </c>
      <c r="W82" s="270">
        <f t="shared" si="20"/>
        <v>0</v>
      </c>
      <c r="X82" s="204">
        <f t="shared" si="22"/>
        <v>0</v>
      </c>
    </row>
    <row r="83" spans="3:24" hidden="1" outlineLevel="1" x14ac:dyDescent="0.25">
      <c r="C83" s="267" t="str">
        <f t="shared" si="21"/>
        <v/>
      </c>
      <c r="D83" s="268">
        <f t="shared" si="19"/>
        <v>0</v>
      </c>
      <c r="E83" s="269">
        <f t="shared" si="19"/>
        <v>0</v>
      </c>
      <c r="F83" s="269">
        <f t="shared" si="19"/>
        <v>0</v>
      </c>
      <c r="G83" s="269">
        <f t="shared" si="19"/>
        <v>0</v>
      </c>
      <c r="H83" s="269">
        <f t="shared" si="19"/>
        <v>0</v>
      </c>
      <c r="I83" s="269">
        <f t="shared" si="19"/>
        <v>0</v>
      </c>
      <c r="J83" s="269">
        <f t="shared" si="19"/>
        <v>0</v>
      </c>
      <c r="K83" s="269">
        <f t="shared" si="19"/>
        <v>0</v>
      </c>
      <c r="L83" s="269">
        <f t="shared" si="19"/>
        <v>0</v>
      </c>
      <c r="M83" s="269">
        <f t="shared" si="19"/>
        <v>0</v>
      </c>
      <c r="N83" s="269">
        <f t="shared" si="20"/>
        <v>0</v>
      </c>
      <c r="O83" s="269">
        <f t="shared" si="20"/>
        <v>0</v>
      </c>
      <c r="P83" s="269">
        <f t="shared" si="20"/>
        <v>0</v>
      </c>
      <c r="Q83" s="269">
        <f t="shared" si="20"/>
        <v>0</v>
      </c>
      <c r="R83" s="269">
        <f t="shared" si="20"/>
        <v>0</v>
      </c>
      <c r="S83" s="269">
        <f t="shared" si="20"/>
        <v>0</v>
      </c>
      <c r="T83" s="269">
        <f t="shared" si="20"/>
        <v>0</v>
      </c>
      <c r="U83" s="269">
        <f t="shared" si="20"/>
        <v>0</v>
      </c>
      <c r="V83" s="269">
        <f t="shared" si="20"/>
        <v>0</v>
      </c>
      <c r="W83" s="270">
        <f t="shared" si="20"/>
        <v>0</v>
      </c>
      <c r="X83" s="204">
        <f t="shared" si="22"/>
        <v>0</v>
      </c>
    </row>
    <row r="84" spans="3:24" hidden="1" outlineLevel="1" x14ac:dyDescent="0.25">
      <c r="C84" s="267" t="str">
        <f t="shared" si="21"/>
        <v/>
      </c>
      <c r="D84" s="268">
        <f t="shared" si="19"/>
        <v>0</v>
      </c>
      <c r="E84" s="269">
        <f t="shared" si="19"/>
        <v>0</v>
      </c>
      <c r="F84" s="269">
        <f t="shared" si="19"/>
        <v>0</v>
      </c>
      <c r="G84" s="269">
        <f t="shared" si="19"/>
        <v>0</v>
      </c>
      <c r="H84" s="269">
        <f t="shared" si="19"/>
        <v>0</v>
      </c>
      <c r="I84" s="269">
        <f t="shared" si="19"/>
        <v>0</v>
      </c>
      <c r="J84" s="269">
        <f t="shared" si="19"/>
        <v>0</v>
      </c>
      <c r="K84" s="269">
        <f t="shared" si="19"/>
        <v>0</v>
      </c>
      <c r="L84" s="269">
        <f t="shared" si="19"/>
        <v>0</v>
      </c>
      <c r="M84" s="269">
        <f t="shared" si="19"/>
        <v>0</v>
      </c>
      <c r="N84" s="269">
        <f t="shared" si="20"/>
        <v>0</v>
      </c>
      <c r="O84" s="269">
        <f t="shared" si="20"/>
        <v>0</v>
      </c>
      <c r="P84" s="269">
        <f t="shared" si="20"/>
        <v>0</v>
      </c>
      <c r="Q84" s="269">
        <f t="shared" si="20"/>
        <v>0</v>
      </c>
      <c r="R84" s="269">
        <f t="shared" si="20"/>
        <v>0</v>
      </c>
      <c r="S84" s="269">
        <f t="shared" si="20"/>
        <v>0</v>
      </c>
      <c r="T84" s="269">
        <f t="shared" si="20"/>
        <v>0</v>
      </c>
      <c r="U84" s="269">
        <f t="shared" si="20"/>
        <v>0</v>
      </c>
      <c r="V84" s="269">
        <f t="shared" si="20"/>
        <v>0</v>
      </c>
      <c r="W84" s="270">
        <f t="shared" si="20"/>
        <v>0</v>
      </c>
      <c r="X84" s="204">
        <f t="shared" si="22"/>
        <v>0</v>
      </c>
    </row>
    <row r="85" spans="3:24" hidden="1" outlineLevel="1" x14ac:dyDescent="0.25">
      <c r="C85" s="267" t="str">
        <f t="shared" si="21"/>
        <v/>
      </c>
      <c r="D85" s="268">
        <f t="shared" si="19"/>
        <v>0</v>
      </c>
      <c r="E85" s="269">
        <f t="shared" si="19"/>
        <v>0</v>
      </c>
      <c r="F85" s="269">
        <f t="shared" si="19"/>
        <v>0</v>
      </c>
      <c r="G85" s="269">
        <f t="shared" si="19"/>
        <v>0</v>
      </c>
      <c r="H85" s="269">
        <f t="shared" si="19"/>
        <v>0</v>
      </c>
      <c r="I85" s="269">
        <f t="shared" si="19"/>
        <v>0</v>
      </c>
      <c r="J85" s="269">
        <f t="shared" si="19"/>
        <v>0</v>
      </c>
      <c r="K85" s="269">
        <f t="shared" si="19"/>
        <v>0</v>
      </c>
      <c r="L85" s="269">
        <f t="shared" si="19"/>
        <v>0</v>
      </c>
      <c r="M85" s="269">
        <f t="shared" si="19"/>
        <v>0</v>
      </c>
      <c r="N85" s="269">
        <f t="shared" si="20"/>
        <v>0</v>
      </c>
      <c r="O85" s="269">
        <f t="shared" si="20"/>
        <v>0</v>
      </c>
      <c r="P85" s="269">
        <f t="shared" si="20"/>
        <v>0</v>
      </c>
      <c r="Q85" s="269">
        <f t="shared" si="20"/>
        <v>0</v>
      </c>
      <c r="R85" s="269">
        <f t="shared" si="20"/>
        <v>0</v>
      </c>
      <c r="S85" s="269">
        <f t="shared" si="20"/>
        <v>0</v>
      </c>
      <c r="T85" s="269">
        <f t="shared" si="20"/>
        <v>0</v>
      </c>
      <c r="U85" s="269">
        <f t="shared" si="20"/>
        <v>0</v>
      </c>
      <c r="V85" s="269">
        <f t="shared" si="20"/>
        <v>0</v>
      </c>
      <c r="W85" s="270">
        <f t="shared" si="20"/>
        <v>0</v>
      </c>
      <c r="X85" s="204">
        <f t="shared" si="22"/>
        <v>0</v>
      </c>
    </row>
    <row r="86" spans="3:24" hidden="1" outlineLevel="1" x14ac:dyDescent="0.25">
      <c r="C86" s="267" t="str">
        <f t="shared" si="21"/>
        <v/>
      </c>
      <c r="D86" s="268">
        <f t="shared" si="19"/>
        <v>0</v>
      </c>
      <c r="E86" s="269">
        <f t="shared" si="19"/>
        <v>0</v>
      </c>
      <c r="F86" s="269">
        <f t="shared" si="19"/>
        <v>0</v>
      </c>
      <c r="G86" s="269">
        <f t="shared" si="19"/>
        <v>0</v>
      </c>
      <c r="H86" s="269">
        <f t="shared" si="19"/>
        <v>0</v>
      </c>
      <c r="I86" s="269">
        <f t="shared" si="19"/>
        <v>0</v>
      </c>
      <c r="J86" s="269">
        <f t="shared" si="19"/>
        <v>0</v>
      </c>
      <c r="K86" s="269">
        <f t="shared" si="19"/>
        <v>0</v>
      </c>
      <c r="L86" s="269">
        <f t="shared" si="19"/>
        <v>0</v>
      </c>
      <c r="M86" s="269">
        <f t="shared" si="19"/>
        <v>0</v>
      </c>
      <c r="N86" s="269">
        <f t="shared" si="20"/>
        <v>0</v>
      </c>
      <c r="O86" s="269">
        <f t="shared" si="20"/>
        <v>0</v>
      </c>
      <c r="P86" s="269">
        <f t="shared" si="20"/>
        <v>0</v>
      </c>
      <c r="Q86" s="269">
        <f t="shared" si="20"/>
        <v>0</v>
      </c>
      <c r="R86" s="269">
        <f t="shared" si="20"/>
        <v>0</v>
      </c>
      <c r="S86" s="269">
        <f t="shared" si="20"/>
        <v>0</v>
      </c>
      <c r="T86" s="269">
        <f t="shared" si="20"/>
        <v>0</v>
      </c>
      <c r="U86" s="269">
        <f t="shared" si="20"/>
        <v>0</v>
      </c>
      <c r="V86" s="269">
        <f t="shared" si="20"/>
        <v>0</v>
      </c>
      <c r="W86" s="270">
        <f t="shared" si="20"/>
        <v>0</v>
      </c>
      <c r="X86" s="204">
        <f t="shared" si="22"/>
        <v>0</v>
      </c>
    </row>
    <row r="87" spans="3:24" hidden="1" outlineLevel="1" x14ac:dyDescent="0.25">
      <c r="C87" s="267" t="str">
        <f t="shared" si="21"/>
        <v/>
      </c>
      <c r="D87" s="268">
        <f t="shared" si="19"/>
        <v>0</v>
      </c>
      <c r="E87" s="269">
        <f t="shared" si="19"/>
        <v>0</v>
      </c>
      <c r="F87" s="269">
        <f t="shared" si="19"/>
        <v>0</v>
      </c>
      <c r="G87" s="269">
        <f t="shared" si="19"/>
        <v>0</v>
      </c>
      <c r="H87" s="269">
        <f t="shared" si="19"/>
        <v>0</v>
      </c>
      <c r="I87" s="269">
        <f t="shared" si="19"/>
        <v>0</v>
      </c>
      <c r="J87" s="269">
        <f t="shared" si="19"/>
        <v>0</v>
      </c>
      <c r="K87" s="269">
        <f t="shared" si="19"/>
        <v>0</v>
      </c>
      <c r="L87" s="269">
        <f t="shared" si="19"/>
        <v>0</v>
      </c>
      <c r="M87" s="269">
        <f t="shared" si="19"/>
        <v>0</v>
      </c>
      <c r="N87" s="269">
        <f t="shared" si="20"/>
        <v>0</v>
      </c>
      <c r="O87" s="269">
        <f t="shared" si="20"/>
        <v>0</v>
      </c>
      <c r="P87" s="269">
        <f t="shared" si="20"/>
        <v>0</v>
      </c>
      <c r="Q87" s="269">
        <f t="shared" si="20"/>
        <v>0</v>
      </c>
      <c r="R87" s="269">
        <f t="shared" si="20"/>
        <v>0</v>
      </c>
      <c r="S87" s="269">
        <f t="shared" si="20"/>
        <v>0</v>
      </c>
      <c r="T87" s="269">
        <f t="shared" si="20"/>
        <v>0</v>
      </c>
      <c r="U87" s="269">
        <f t="shared" si="20"/>
        <v>0</v>
      </c>
      <c r="V87" s="269">
        <f t="shared" si="20"/>
        <v>0</v>
      </c>
      <c r="W87" s="270">
        <f t="shared" si="20"/>
        <v>0</v>
      </c>
      <c r="X87" s="204">
        <f t="shared" si="22"/>
        <v>0</v>
      </c>
    </row>
    <row r="88" spans="3:24" hidden="1" outlineLevel="1" x14ac:dyDescent="0.25">
      <c r="C88" s="267" t="str">
        <f t="shared" si="21"/>
        <v/>
      </c>
      <c r="D88" s="268">
        <f t="shared" si="19"/>
        <v>0</v>
      </c>
      <c r="E88" s="269">
        <f t="shared" si="19"/>
        <v>0</v>
      </c>
      <c r="F88" s="269">
        <f t="shared" si="19"/>
        <v>0</v>
      </c>
      <c r="G88" s="269">
        <f t="shared" si="19"/>
        <v>0</v>
      </c>
      <c r="H88" s="269">
        <f t="shared" si="19"/>
        <v>0</v>
      </c>
      <c r="I88" s="269">
        <f t="shared" si="19"/>
        <v>0</v>
      </c>
      <c r="J88" s="269">
        <f t="shared" si="19"/>
        <v>0</v>
      </c>
      <c r="K88" s="269">
        <f t="shared" si="19"/>
        <v>0</v>
      </c>
      <c r="L88" s="269">
        <f t="shared" si="19"/>
        <v>0</v>
      </c>
      <c r="M88" s="269">
        <f t="shared" si="19"/>
        <v>0</v>
      </c>
      <c r="N88" s="269">
        <f t="shared" si="20"/>
        <v>0</v>
      </c>
      <c r="O88" s="269">
        <f t="shared" si="20"/>
        <v>0</v>
      </c>
      <c r="P88" s="269">
        <f t="shared" si="20"/>
        <v>0</v>
      </c>
      <c r="Q88" s="269">
        <f t="shared" si="20"/>
        <v>0</v>
      </c>
      <c r="R88" s="269">
        <f t="shared" si="20"/>
        <v>0</v>
      </c>
      <c r="S88" s="269">
        <f t="shared" si="20"/>
        <v>0</v>
      </c>
      <c r="T88" s="269">
        <f t="shared" si="20"/>
        <v>0</v>
      </c>
      <c r="U88" s="269">
        <f t="shared" si="20"/>
        <v>0</v>
      </c>
      <c r="V88" s="269">
        <f t="shared" si="20"/>
        <v>0</v>
      </c>
      <c r="W88" s="270">
        <f t="shared" si="20"/>
        <v>0</v>
      </c>
      <c r="X88" s="204">
        <f t="shared" si="22"/>
        <v>0</v>
      </c>
    </row>
    <row r="89" spans="3:24" hidden="1" outlineLevel="1" x14ac:dyDescent="0.25">
      <c r="C89" s="267" t="str">
        <f t="shared" si="21"/>
        <v/>
      </c>
      <c r="D89" s="268">
        <f t="shared" si="19"/>
        <v>0</v>
      </c>
      <c r="E89" s="269">
        <f t="shared" si="19"/>
        <v>0</v>
      </c>
      <c r="F89" s="269">
        <f t="shared" si="19"/>
        <v>0</v>
      </c>
      <c r="G89" s="269">
        <f t="shared" si="19"/>
        <v>0</v>
      </c>
      <c r="H89" s="269">
        <f t="shared" si="19"/>
        <v>0</v>
      </c>
      <c r="I89" s="269">
        <f t="shared" si="19"/>
        <v>0</v>
      </c>
      <c r="J89" s="269">
        <f t="shared" si="19"/>
        <v>0</v>
      </c>
      <c r="K89" s="269">
        <f t="shared" si="19"/>
        <v>0</v>
      </c>
      <c r="L89" s="269">
        <f t="shared" si="19"/>
        <v>0</v>
      </c>
      <c r="M89" s="269">
        <f t="shared" si="19"/>
        <v>0</v>
      </c>
      <c r="N89" s="269">
        <f t="shared" si="20"/>
        <v>0</v>
      </c>
      <c r="O89" s="269">
        <f t="shared" si="20"/>
        <v>0</v>
      </c>
      <c r="P89" s="269">
        <f t="shared" si="20"/>
        <v>0</v>
      </c>
      <c r="Q89" s="269">
        <f t="shared" si="20"/>
        <v>0</v>
      </c>
      <c r="R89" s="269">
        <f t="shared" si="20"/>
        <v>0</v>
      </c>
      <c r="S89" s="269">
        <f t="shared" si="20"/>
        <v>0</v>
      </c>
      <c r="T89" s="269">
        <f t="shared" si="20"/>
        <v>0</v>
      </c>
      <c r="U89" s="269">
        <f t="shared" si="20"/>
        <v>0</v>
      </c>
      <c r="V89" s="269">
        <f t="shared" si="20"/>
        <v>0</v>
      </c>
      <c r="W89" s="270">
        <f t="shared" si="20"/>
        <v>0</v>
      </c>
      <c r="X89" s="204">
        <f t="shared" si="22"/>
        <v>0</v>
      </c>
    </row>
    <row r="90" spans="3:24" hidden="1" outlineLevel="1" x14ac:dyDescent="0.25">
      <c r="C90" s="267" t="str">
        <f t="shared" si="21"/>
        <v/>
      </c>
      <c r="D90" s="268">
        <f t="shared" si="19"/>
        <v>0</v>
      </c>
      <c r="E90" s="269">
        <f t="shared" si="19"/>
        <v>0</v>
      </c>
      <c r="F90" s="269">
        <f t="shared" si="19"/>
        <v>0</v>
      </c>
      <c r="G90" s="269">
        <f t="shared" si="19"/>
        <v>0</v>
      </c>
      <c r="H90" s="269">
        <f t="shared" si="19"/>
        <v>0</v>
      </c>
      <c r="I90" s="269">
        <f t="shared" si="19"/>
        <v>0</v>
      </c>
      <c r="J90" s="269">
        <f t="shared" si="19"/>
        <v>0</v>
      </c>
      <c r="K90" s="269">
        <f t="shared" si="19"/>
        <v>0</v>
      </c>
      <c r="L90" s="269">
        <f t="shared" si="19"/>
        <v>0</v>
      </c>
      <c r="M90" s="269">
        <f t="shared" si="19"/>
        <v>0</v>
      </c>
      <c r="N90" s="269">
        <f t="shared" si="20"/>
        <v>0</v>
      </c>
      <c r="O90" s="269">
        <f t="shared" si="20"/>
        <v>0</v>
      </c>
      <c r="P90" s="269">
        <f t="shared" si="20"/>
        <v>0</v>
      </c>
      <c r="Q90" s="269">
        <f t="shared" si="20"/>
        <v>0</v>
      </c>
      <c r="R90" s="269">
        <f t="shared" si="20"/>
        <v>0</v>
      </c>
      <c r="S90" s="269">
        <f t="shared" si="20"/>
        <v>0</v>
      </c>
      <c r="T90" s="269">
        <f t="shared" si="20"/>
        <v>0</v>
      </c>
      <c r="U90" s="269">
        <f t="shared" si="20"/>
        <v>0</v>
      </c>
      <c r="V90" s="269">
        <f t="shared" si="20"/>
        <v>0</v>
      </c>
      <c r="W90" s="270">
        <f t="shared" si="20"/>
        <v>0</v>
      </c>
      <c r="X90" s="204">
        <f t="shared" si="22"/>
        <v>0</v>
      </c>
    </row>
    <row r="91" spans="3:24" hidden="1" outlineLevel="1" x14ac:dyDescent="0.25">
      <c r="C91" s="267" t="str">
        <f t="shared" si="21"/>
        <v/>
      </c>
      <c r="D91" s="268">
        <f t="shared" si="19"/>
        <v>0</v>
      </c>
      <c r="E91" s="269">
        <f t="shared" si="19"/>
        <v>0</v>
      </c>
      <c r="F91" s="269">
        <f t="shared" si="19"/>
        <v>0</v>
      </c>
      <c r="G91" s="269">
        <f t="shared" si="19"/>
        <v>0</v>
      </c>
      <c r="H91" s="269">
        <f t="shared" si="19"/>
        <v>0</v>
      </c>
      <c r="I91" s="269">
        <f t="shared" si="19"/>
        <v>0</v>
      </c>
      <c r="J91" s="269">
        <f t="shared" si="19"/>
        <v>0</v>
      </c>
      <c r="K91" s="269">
        <f t="shared" si="19"/>
        <v>0</v>
      </c>
      <c r="L91" s="269">
        <f t="shared" si="19"/>
        <v>0</v>
      </c>
      <c r="M91" s="269">
        <f t="shared" si="19"/>
        <v>0</v>
      </c>
      <c r="N91" s="269">
        <f t="shared" si="20"/>
        <v>0</v>
      </c>
      <c r="O91" s="269">
        <f t="shared" si="20"/>
        <v>0</v>
      </c>
      <c r="P91" s="269">
        <f t="shared" si="20"/>
        <v>0</v>
      </c>
      <c r="Q91" s="269">
        <f t="shared" si="20"/>
        <v>0</v>
      </c>
      <c r="R91" s="269">
        <f t="shared" si="20"/>
        <v>0</v>
      </c>
      <c r="S91" s="269">
        <f t="shared" si="20"/>
        <v>0</v>
      </c>
      <c r="T91" s="269">
        <f t="shared" si="20"/>
        <v>0</v>
      </c>
      <c r="U91" s="269">
        <f t="shared" si="20"/>
        <v>0</v>
      </c>
      <c r="V91" s="269">
        <f t="shared" si="20"/>
        <v>0</v>
      </c>
      <c r="W91" s="270">
        <f t="shared" si="20"/>
        <v>0</v>
      </c>
      <c r="X91" s="204">
        <f t="shared" si="22"/>
        <v>0</v>
      </c>
    </row>
    <row r="92" spans="3:24" hidden="1" outlineLevel="1" x14ac:dyDescent="0.25">
      <c r="C92" s="267" t="str">
        <f t="shared" si="21"/>
        <v/>
      </c>
      <c r="D92" s="268">
        <f t="shared" si="19"/>
        <v>0</v>
      </c>
      <c r="E92" s="269">
        <f t="shared" si="19"/>
        <v>0</v>
      </c>
      <c r="F92" s="269">
        <f t="shared" si="19"/>
        <v>0</v>
      </c>
      <c r="G92" s="269">
        <f t="shared" si="19"/>
        <v>0</v>
      </c>
      <c r="H92" s="269">
        <f t="shared" si="19"/>
        <v>0</v>
      </c>
      <c r="I92" s="269">
        <f t="shared" si="19"/>
        <v>0</v>
      </c>
      <c r="J92" s="269">
        <f t="shared" si="19"/>
        <v>0</v>
      </c>
      <c r="K92" s="269">
        <f t="shared" si="19"/>
        <v>0</v>
      </c>
      <c r="L92" s="269">
        <f t="shared" si="19"/>
        <v>0</v>
      </c>
      <c r="M92" s="269">
        <f t="shared" si="19"/>
        <v>0</v>
      </c>
      <c r="N92" s="269">
        <f t="shared" si="20"/>
        <v>0</v>
      </c>
      <c r="O92" s="269">
        <f t="shared" si="20"/>
        <v>0</v>
      </c>
      <c r="P92" s="269">
        <f t="shared" si="20"/>
        <v>0</v>
      </c>
      <c r="Q92" s="269">
        <f t="shared" si="20"/>
        <v>0</v>
      </c>
      <c r="R92" s="269">
        <f t="shared" si="20"/>
        <v>0</v>
      </c>
      <c r="S92" s="269">
        <f t="shared" si="20"/>
        <v>0</v>
      </c>
      <c r="T92" s="269">
        <f t="shared" si="20"/>
        <v>0</v>
      </c>
      <c r="U92" s="269">
        <f t="shared" si="20"/>
        <v>0</v>
      </c>
      <c r="V92" s="269">
        <f t="shared" si="20"/>
        <v>0</v>
      </c>
      <c r="W92" s="270">
        <f t="shared" si="20"/>
        <v>0</v>
      </c>
      <c r="X92" s="204">
        <f t="shared" si="22"/>
        <v>0</v>
      </c>
    </row>
    <row r="93" spans="3:24" hidden="1" outlineLevel="1" x14ac:dyDescent="0.25">
      <c r="C93" s="267" t="str">
        <f t="shared" si="21"/>
        <v/>
      </c>
      <c r="D93" s="268">
        <f t="shared" si="19"/>
        <v>0</v>
      </c>
      <c r="E93" s="269">
        <f t="shared" si="19"/>
        <v>0</v>
      </c>
      <c r="F93" s="269">
        <f t="shared" si="19"/>
        <v>0</v>
      </c>
      <c r="G93" s="269">
        <f t="shared" si="19"/>
        <v>0</v>
      </c>
      <c r="H93" s="269">
        <f t="shared" si="19"/>
        <v>0</v>
      </c>
      <c r="I93" s="269">
        <f t="shared" si="19"/>
        <v>0</v>
      </c>
      <c r="J93" s="269">
        <f t="shared" si="19"/>
        <v>0</v>
      </c>
      <c r="K93" s="269">
        <f t="shared" si="19"/>
        <v>0</v>
      </c>
      <c r="L93" s="269">
        <f t="shared" si="19"/>
        <v>0</v>
      </c>
      <c r="M93" s="269">
        <f t="shared" si="19"/>
        <v>0</v>
      </c>
      <c r="N93" s="269">
        <f t="shared" si="20"/>
        <v>0</v>
      </c>
      <c r="O93" s="269">
        <f t="shared" si="20"/>
        <v>0</v>
      </c>
      <c r="P93" s="269">
        <f t="shared" si="20"/>
        <v>0</v>
      </c>
      <c r="Q93" s="269">
        <f t="shared" si="20"/>
        <v>0</v>
      </c>
      <c r="R93" s="269">
        <f t="shared" si="20"/>
        <v>0</v>
      </c>
      <c r="S93" s="269">
        <f t="shared" si="20"/>
        <v>0</v>
      </c>
      <c r="T93" s="269">
        <f t="shared" si="20"/>
        <v>0</v>
      </c>
      <c r="U93" s="269">
        <f t="shared" si="20"/>
        <v>0</v>
      </c>
      <c r="V93" s="269">
        <f t="shared" si="20"/>
        <v>0</v>
      </c>
      <c r="W93" s="270">
        <f t="shared" si="20"/>
        <v>0</v>
      </c>
      <c r="X93" s="204">
        <f t="shared" si="22"/>
        <v>0</v>
      </c>
    </row>
    <row r="94" spans="3:24" hidden="1" outlineLevel="1" x14ac:dyDescent="0.25">
      <c r="C94" s="267" t="str">
        <f t="shared" si="21"/>
        <v/>
      </c>
      <c r="D94" s="268">
        <f t="shared" ref="D94:S107" si="23">SUMIFS(col_fatdir_bruto_com_mn,col_abertura1,$C94,col_abertura2,D$77,col_fatdir,"Sim")</f>
        <v>0</v>
      </c>
      <c r="E94" s="269">
        <f t="shared" si="23"/>
        <v>0</v>
      </c>
      <c r="F94" s="269">
        <f t="shared" si="23"/>
        <v>0</v>
      </c>
      <c r="G94" s="269">
        <f t="shared" si="23"/>
        <v>0</v>
      </c>
      <c r="H94" s="269">
        <f t="shared" si="23"/>
        <v>0</v>
      </c>
      <c r="I94" s="269">
        <f t="shared" si="23"/>
        <v>0</v>
      </c>
      <c r="J94" s="269">
        <f t="shared" si="23"/>
        <v>0</v>
      </c>
      <c r="K94" s="269">
        <f t="shared" si="23"/>
        <v>0</v>
      </c>
      <c r="L94" s="269">
        <f t="shared" si="23"/>
        <v>0</v>
      </c>
      <c r="M94" s="269">
        <f t="shared" si="23"/>
        <v>0</v>
      </c>
      <c r="N94" s="269">
        <f t="shared" si="23"/>
        <v>0</v>
      </c>
      <c r="O94" s="269">
        <f t="shared" si="23"/>
        <v>0</v>
      </c>
      <c r="P94" s="269">
        <f t="shared" si="23"/>
        <v>0</v>
      </c>
      <c r="Q94" s="269">
        <f t="shared" si="23"/>
        <v>0</v>
      </c>
      <c r="R94" s="269">
        <f t="shared" si="23"/>
        <v>0</v>
      </c>
      <c r="S94" s="269">
        <f t="shared" si="23"/>
        <v>0</v>
      </c>
      <c r="T94" s="269">
        <f t="shared" ref="N94:W107" si="24">SUMIFS(col_fatdir_bruto_com_mn,col_abertura1,$C94,col_abertura2,T$77,col_fatdir,"Sim")</f>
        <v>0</v>
      </c>
      <c r="U94" s="269">
        <f t="shared" si="24"/>
        <v>0</v>
      </c>
      <c r="V94" s="269">
        <f t="shared" si="24"/>
        <v>0</v>
      </c>
      <c r="W94" s="270">
        <f t="shared" si="24"/>
        <v>0</v>
      </c>
      <c r="X94" s="204">
        <f t="shared" si="22"/>
        <v>0</v>
      </c>
    </row>
    <row r="95" spans="3:24" hidden="1" outlineLevel="1" x14ac:dyDescent="0.25">
      <c r="C95" s="267" t="str">
        <f t="shared" si="21"/>
        <v/>
      </c>
      <c r="D95" s="268">
        <f t="shared" si="23"/>
        <v>0</v>
      </c>
      <c r="E95" s="269">
        <f t="shared" si="23"/>
        <v>0</v>
      </c>
      <c r="F95" s="269">
        <f t="shared" si="23"/>
        <v>0</v>
      </c>
      <c r="G95" s="269">
        <f t="shared" si="23"/>
        <v>0</v>
      </c>
      <c r="H95" s="269">
        <f t="shared" si="23"/>
        <v>0</v>
      </c>
      <c r="I95" s="269">
        <f t="shared" si="23"/>
        <v>0</v>
      </c>
      <c r="J95" s="269">
        <f t="shared" si="23"/>
        <v>0</v>
      </c>
      <c r="K95" s="269">
        <f t="shared" si="23"/>
        <v>0</v>
      </c>
      <c r="L95" s="269">
        <f t="shared" si="23"/>
        <v>0</v>
      </c>
      <c r="M95" s="269">
        <f t="shared" si="23"/>
        <v>0</v>
      </c>
      <c r="N95" s="269">
        <f t="shared" si="24"/>
        <v>0</v>
      </c>
      <c r="O95" s="269">
        <f t="shared" si="24"/>
        <v>0</v>
      </c>
      <c r="P95" s="269">
        <f t="shared" si="24"/>
        <v>0</v>
      </c>
      <c r="Q95" s="269">
        <f t="shared" si="24"/>
        <v>0</v>
      </c>
      <c r="R95" s="269">
        <f t="shared" si="24"/>
        <v>0</v>
      </c>
      <c r="S95" s="269">
        <f t="shared" si="24"/>
        <v>0</v>
      </c>
      <c r="T95" s="269">
        <f t="shared" si="24"/>
        <v>0</v>
      </c>
      <c r="U95" s="269">
        <f t="shared" si="24"/>
        <v>0</v>
      </c>
      <c r="V95" s="269">
        <f t="shared" si="24"/>
        <v>0</v>
      </c>
      <c r="W95" s="270">
        <f t="shared" si="24"/>
        <v>0</v>
      </c>
      <c r="X95" s="204">
        <f t="shared" si="22"/>
        <v>0</v>
      </c>
    </row>
    <row r="96" spans="3:24" hidden="1" outlineLevel="1" x14ac:dyDescent="0.25">
      <c r="C96" s="267" t="str">
        <f t="shared" si="21"/>
        <v/>
      </c>
      <c r="D96" s="268">
        <f t="shared" si="23"/>
        <v>0</v>
      </c>
      <c r="E96" s="269">
        <f t="shared" si="23"/>
        <v>0</v>
      </c>
      <c r="F96" s="269">
        <f t="shared" si="23"/>
        <v>0</v>
      </c>
      <c r="G96" s="269">
        <f t="shared" si="23"/>
        <v>0</v>
      </c>
      <c r="H96" s="269">
        <f t="shared" si="23"/>
        <v>0</v>
      </c>
      <c r="I96" s="269">
        <f t="shared" si="23"/>
        <v>0</v>
      </c>
      <c r="J96" s="269">
        <f t="shared" si="23"/>
        <v>0</v>
      </c>
      <c r="K96" s="269">
        <f t="shared" si="23"/>
        <v>0</v>
      </c>
      <c r="L96" s="269">
        <f t="shared" si="23"/>
        <v>0</v>
      </c>
      <c r="M96" s="269">
        <f t="shared" si="23"/>
        <v>0</v>
      </c>
      <c r="N96" s="269">
        <f t="shared" si="24"/>
        <v>0</v>
      </c>
      <c r="O96" s="269">
        <f t="shared" si="24"/>
        <v>0</v>
      </c>
      <c r="P96" s="269">
        <f t="shared" si="24"/>
        <v>0</v>
      </c>
      <c r="Q96" s="269">
        <f t="shared" si="24"/>
        <v>0</v>
      </c>
      <c r="R96" s="269">
        <f t="shared" si="24"/>
        <v>0</v>
      </c>
      <c r="S96" s="269">
        <f t="shared" si="24"/>
        <v>0</v>
      </c>
      <c r="T96" s="269">
        <f t="shared" si="24"/>
        <v>0</v>
      </c>
      <c r="U96" s="269">
        <f t="shared" si="24"/>
        <v>0</v>
      </c>
      <c r="V96" s="269">
        <f t="shared" si="24"/>
        <v>0</v>
      </c>
      <c r="W96" s="270">
        <f t="shared" si="24"/>
        <v>0</v>
      </c>
      <c r="X96" s="204">
        <f t="shared" si="22"/>
        <v>0</v>
      </c>
    </row>
    <row r="97" spans="3:24" hidden="1" outlineLevel="1" x14ac:dyDescent="0.25">
      <c r="C97" s="267" t="str">
        <f t="shared" si="21"/>
        <v/>
      </c>
      <c r="D97" s="268">
        <f t="shared" si="23"/>
        <v>0</v>
      </c>
      <c r="E97" s="269">
        <f t="shared" si="23"/>
        <v>0</v>
      </c>
      <c r="F97" s="269">
        <f t="shared" si="23"/>
        <v>0</v>
      </c>
      <c r="G97" s="269">
        <f t="shared" si="23"/>
        <v>0</v>
      </c>
      <c r="H97" s="269">
        <f t="shared" si="23"/>
        <v>0</v>
      </c>
      <c r="I97" s="269">
        <f t="shared" si="23"/>
        <v>0</v>
      </c>
      <c r="J97" s="269">
        <f t="shared" si="23"/>
        <v>0</v>
      </c>
      <c r="K97" s="269">
        <f t="shared" si="23"/>
        <v>0</v>
      </c>
      <c r="L97" s="269">
        <f t="shared" si="23"/>
        <v>0</v>
      </c>
      <c r="M97" s="269">
        <f t="shared" si="23"/>
        <v>0</v>
      </c>
      <c r="N97" s="269">
        <f t="shared" si="24"/>
        <v>0</v>
      </c>
      <c r="O97" s="269">
        <f t="shared" si="24"/>
        <v>0</v>
      </c>
      <c r="P97" s="269">
        <f t="shared" si="24"/>
        <v>0</v>
      </c>
      <c r="Q97" s="269">
        <f t="shared" si="24"/>
        <v>0</v>
      </c>
      <c r="R97" s="269">
        <f t="shared" si="24"/>
        <v>0</v>
      </c>
      <c r="S97" s="269">
        <f t="shared" si="24"/>
        <v>0</v>
      </c>
      <c r="T97" s="269">
        <f t="shared" si="24"/>
        <v>0</v>
      </c>
      <c r="U97" s="269">
        <f t="shared" si="24"/>
        <v>0</v>
      </c>
      <c r="V97" s="269">
        <f t="shared" si="24"/>
        <v>0</v>
      </c>
      <c r="W97" s="270">
        <f t="shared" si="24"/>
        <v>0</v>
      </c>
      <c r="X97" s="204">
        <f t="shared" si="22"/>
        <v>0</v>
      </c>
    </row>
    <row r="98" spans="3:24" hidden="1" outlineLevel="1" x14ac:dyDescent="0.25">
      <c r="C98" s="267" t="str">
        <f t="shared" si="21"/>
        <v/>
      </c>
      <c r="D98" s="268">
        <f t="shared" si="23"/>
        <v>0</v>
      </c>
      <c r="E98" s="269">
        <f t="shared" si="23"/>
        <v>0</v>
      </c>
      <c r="F98" s="269">
        <f t="shared" si="23"/>
        <v>0</v>
      </c>
      <c r="G98" s="269">
        <f t="shared" si="23"/>
        <v>0</v>
      </c>
      <c r="H98" s="269">
        <f t="shared" si="23"/>
        <v>0</v>
      </c>
      <c r="I98" s="269">
        <f t="shared" si="23"/>
        <v>0</v>
      </c>
      <c r="J98" s="269">
        <f t="shared" si="23"/>
        <v>0</v>
      </c>
      <c r="K98" s="269">
        <f t="shared" si="23"/>
        <v>0</v>
      </c>
      <c r="L98" s="269">
        <f t="shared" si="23"/>
        <v>0</v>
      </c>
      <c r="M98" s="269">
        <f t="shared" si="23"/>
        <v>0</v>
      </c>
      <c r="N98" s="269">
        <f t="shared" si="24"/>
        <v>0</v>
      </c>
      <c r="O98" s="269">
        <f t="shared" si="24"/>
        <v>0</v>
      </c>
      <c r="P98" s="269">
        <f t="shared" si="24"/>
        <v>0</v>
      </c>
      <c r="Q98" s="269">
        <f t="shared" si="24"/>
        <v>0</v>
      </c>
      <c r="R98" s="269">
        <f t="shared" si="24"/>
        <v>0</v>
      </c>
      <c r="S98" s="269">
        <f t="shared" si="24"/>
        <v>0</v>
      </c>
      <c r="T98" s="269">
        <f t="shared" si="24"/>
        <v>0</v>
      </c>
      <c r="U98" s="269">
        <f t="shared" si="24"/>
        <v>0</v>
      </c>
      <c r="V98" s="269">
        <f t="shared" si="24"/>
        <v>0</v>
      </c>
      <c r="W98" s="270">
        <f t="shared" si="24"/>
        <v>0</v>
      </c>
      <c r="X98" s="204">
        <f t="shared" si="22"/>
        <v>0</v>
      </c>
    </row>
    <row r="99" spans="3:24" hidden="1" outlineLevel="1" x14ac:dyDescent="0.25">
      <c r="C99" s="267" t="str">
        <f t="shared" si="21"/>
        <v/>
      </c>
      <c r="D99" s="268">
        <f t="shared" si="23"/>
        <v>0</v>
      </c>
      <c r="E99" s="269">
        <f t="shared" si="23"/>
        <v>0</v>
      </c>
      <c r="F99" s="269">
        <f t="shared" si="23"/>
        <v>0</v>
      </c>
      <c r="G99" s="269">
        <f t="shared" si="23"/>
        <v>0</v>
      </c>
      <c r="H99" s="269">
        <f t="shared" si="23"/>
        <v>0</v>
      </c>
      <c r="I99" s="269">
        <f t="shared" si="23"/>
        <v>0</v>
      </c>
      <c r="J99" s="269">
        <f t="shared" si="23"/>
        <v>0</v>
      </c>
      <c r="K99" s="269">
        <f t="shared" si="23"/>
        <v>0</v>
      </c>
      <c r="L99" s="269">
        <f t="shared" si="23"/>
        <v>0</v>
      </c>
      <c r="M99" s="269">
        <f t="shared" si="23"/>
        <v>0</v>
      </c>
      <c r="N99" s="269">
        <f t="shared" si="24"/>
        <v>0</v>
      </c>
      <c r="O99" s="269">
        <f t="shared" si="24"/>
        <v>0</v>
      </c>
      <c r="P99" s="269">
        <f t="shared" si="24"/>
        <v>0</v>
      </c>
      <c r="Q99" s="269">
        <f t="shared" si="24"/>
        <v>0</v>
      </c>
      <c r="R99" s="269">
        <f t="shared" si="24"/>
        <v>0</v>
      </c>
      <c r="S99" s="269">
        <f t="shared" si="24"/>
        <v>0</v>
      </c>
      <c r="T99" s="269">
        <f t="shared" si="24"/>
        <v>0</v>
      </c>
      <c r="U99" s="269">
        <f t="shared" si="24"/>
        <v>0</v>
      </c>
      <c r="V99" s="269">
        <f t="shared" si="24"/>
        <v>0</v>
      </c>
      <c r="W99" s="270">
        <f t="shared" si="24"/>
        <v>0</v>
      </c>
      <c r="X99" s="204">
        <f t="shared" si="22"/>
        <v>0</v>
      </c>
    </row>
    <row r="100" spans="3:24" hidden="1" outlineLevel="1" x14ac:dyDescent="0.25">
      <c r="C100" s="267" t="str">
        <f t="shared" si="21"/>
        <v/>
      </c>
      <c r="D100" s="268">
        <f t="shared" si="23"/>
        <v>0</v>
      </c>
      <c r="E100" s="269">
        <f t="shared" si="23"/>
        <v>0</v>
      </c>
      <c r="F100" s="269">
        <f t="shared" si="23"/>
        <v>0</v>
      </c>
      <c r="G100" s="269">
        <f t="shared" si="23"/>
        <v>0</v>
      </c>
      <c r="H100" s="269">
        <f t="shared" si="23"/>
        <v>0</v>
      </c>
      <c r="I100" s="269">
        <f t="shared" si="23"/>
        <v>0</v>
      </c>
      <c r="J100" s="269">
        <f t="shared" si="23"/>
        <v>0</v>
      </c>
      <c r="K100" s="269">
        <f t="shared" si="23"/>
        <v>0</v>
      </c>
      <c r="L100" s="269">
        <f t="shared" si="23"/>
        <v>0</v>
      </c>
      <c r="M100" s="269">
        <f t="shared" si="23"/>
        <v>0</v>
      </c>
      <c r="N100" s="269">
        <f t="shared" si="24"/>
        <v>0</v>
      </c>
      <c r="O100" s="269">
        <f t="shared" si="24"/>
        <v>0</v>
      </c>
      <c r="P100" s="269">
        <f t="shared" si="24"/>
        <v>0</v>
      </c>
      <c r="Q100" s="269">
        <f t="shared" si="24"/>
        <v>0</v>
      </c>
      <c r="R100" s="269">
        <f t="shared" si="24"/>
        <v>0</v>
      </c>
      <c r="S100" s="269">
        <f t="shared" si="24"/>
        <v>0</v>
      </c>
      <c r="T100" s="269">
        <f t="shared" si="24"/>
        <v>0</v>
      </c>
      <c r="U100" s="269">
        <f t="shared" si="24"/>
        <v>0</v>
      </c>
      <c r="V100" s="269">
        <f t="shared" si="24"/>
        <v>0</v>
      </c>
      <c r="W100" s="270">
        <f t="shared" si="24"/>
        <v>0</v>
      </c>
      <c r="X100" s="204">
        <f t="shared" si="22"/>
        <v>0</v>
      </c>
    </row>
    <row r="101" spans="3:24" hidden="1" outlineLevel="1" x14ac:dyDescent="0.25">
      <c r="C101" s="267" t="str">
        <f t="shared" si="21"/>
        <v/>
      </c>
      <c r="D101" s="268">
        <f t="shared" si="23"/>
        <v>0</v>
      </c>
      <c r="E101" s="269">
        <f t="shared" si="23"/>
        <v>0</v>
      </c>
      <c r="F101" s="269">
        <f t="shared" si="23"/>
        <v>0</v>
      </c>
      <c r="G101" s="269">
        <f t="shared" si="23"/>
        <v>0</v>
      </c>
      <c r="H101" s="269">
        <f t="shared" si="23"/>
        <v>0</v>
      </c>
      <c r="I101" s="269">
        <f t="shared" si="23"/>
        <v>0</v>
      </c>
      <c r="J101" s="269">
        <f t="shared" si="23"/>
        <v>0</v>
      </c>
      <c r="K101" s="269">
        <f t="shared" si="23"/>
        <v>0</v>
      </c>
      <c r="L101" s="269">
        <f t="shared" si="23"/>
        <v>0</v>
      </c>
      <c r="M101" s="269">
        <f t="shared" si="23"/>
        <v>0</v>
      </c>
      <c r="N101" s="269">
        <f t="shared" si="24"/>
        <v>0</v>
      </c>
      <c r="O101" s="269">
        <f t="shared" si="24"/>
        <v>0</v>
      </c>
      <c r="P101" s="269">
        <f t="shared" si="24"/>
        <v>0</v>
      </c>
      <c r="Q101" s="269">
        <f t="shared" si="24"/>
        <v>0</v>
      </c>
      <c r="R101" s="269">
        <f t="shared" si="24"/>
        <v>0</v>
      </c>
      <c r="S101" s="269">
        <f t="shared" si="24"/>
        <v>0</v>
      </c>
      <c r="T101" s="269">
        <f t="shared" si="24"/>
        <v>0</v>
      </c>
      <c r="U101" s="269">
        <f t="shared" si="24"/>
        <v>0</v>
      </c>
      <c r="V101" s="269">
        <f t="shared" si="24"/>
        <v>0</v>
      </c>
      <c r="W101" s="270">
        <f t="shared" si="24"/>
        <v>0</v>
      </c>
      <c r="X101" s="204">
        <f t="shared" si="22"/>
        <v>0</v>
      </c>
    </row>
    <row r="102" spans="3:24" hidden="1" outlineLevel="1" x14ac:dyDescent="0.25">
      <c r="C102" s="267" t="str">
        <f t="shared" si="21"/>
        <v/>
      </c>
      <c r="D102" s="268">
        <f t="shared" si="23"/>
        <v>0</v>
      </c>
      <c r="E102" s="269">
        <f t="shared" si="23"/>
        <v>0</v>
      </c>
      <c r="F102" s="269">
        <f t="shared" si="23"/>
        <v>0</v>
      </c>
      <c r="G102" s="269">
        <f t="shared" si="23"/>
        <v>0</v>
      </c>
      <c r="H102" s="269">
        <f t="shared" si="23"/>
        <v>0</v>
      </c>
      <c r="I102" s="269">
        <f t="shared" si="23"/>
        <v>0</v>
      </c>
      <c r="J102" s="269">
        <f t="shared" si="23"/>
        <v>0</v>
      </c>
      <c r="K102" s="269">
        <f t="shared" si="23"/>
        <v>0</v>
      </c>
      <c r="L102" s="269">
        <f t="shared" si="23"/>
        <v>0</v>
      </c>
      <c r="M102" s="269">
        <f t="shared" si="23"/>
        <v>0</v>
      </c>
      <c r="N102" s="269">
        <f t="shared" si="24"/>
        <v>0</v>
      </c>
      <c r="O102" s="269">
        <f t="shared" si="24"/>
        <v>0</v>
      </c>
      <c r="P102" s="269">
        <f t="shared" si="24"/>
        <v>0</v>
      </c>
      <c r="Q102" s="269">
        <f t="shared" si="24"/>
        <v>0</v>
      </c>
      <c r="R102" s="269">
        <f t="shared" si="24"/>
        <v>0</v>
      </c>
      <c r="S102" s="269">
        <f t="shared" si="24"/>
        <v>0</v>
      </c>
      <c r="T102" s="269">
        <f t="shared" si="24"/>
        <v>0</v>
      </c>
      <c r="U102" s="269">
        <f t="shared" si="24"/>
        <v>0</v>
      </c>
      <c r="V102" s="269">
        <f t="shared" si="24"/>
        <v>0</v>
      </c>
      <c r="W102" s="270">
        <f t="shared" si="24"/>
        <v>0</v>
      </c>
      <c r="X102" s="204">
        <f t="shared" si="22"/>
        <v>0</v>
      </c>
    </row>
    <row r="103" spans="3:24" hidden="1" outlineLevel="1" x14ac:dyDescent="0.25">
      <c r="C103" s="267" t="str">
        <f t="shared" si="21"/>
        <v/>
      </c>
      <c r="D103" s="268">
        <f t="shared" si="23"/>
        <v>0</v>
      </c>
      <c r="E103" s="269">
        <f t="shared" si="23"/>
        <v>0</v>
      </c>
      <c r="F103" s="269">
        <f t="shared" si="23"/>
        <v>0</v>
      </c>
      <c r="G103" s="269">
        <f t="shared" si="23"/>
        <v>0</v>
      </c>
      <c r="H103" s="269">
        <f t="shared" si="23"/>
        <v>0</v>
      </c>
      <c r="I103" s="269">
        <f t="shared" si="23"/>
        <v>0</v>
      </c>
      <c r="J103" s="269">
        <f t="shared" si="23"/>
        <v>0</v>
      </c>
      <c r="K103" s="269">
        <f t="shared" si="23"/>
        <v>0</v>
      </c>
      <c r="L103" s="269">
        <f t="shared" si="23"/>
        <v>0</v>
      </c>
      <c r="M103" s="269">
        <f t="shared" si="23"/>
        <v>0</v>
      </c>
      <c r="N103" s="269">
        <f t="shared" si="24"/>
        <v>0</v>
      </c>
      <c r="O103" s="269">
        <f t="shared" si="24"/>
        <v>0</v>
      </c>
      <c r="P103" s="269">
        <f t="shared" si="24"/>
        <v>0</v>
      </c>
      <c r="Q103" s="269">
        <f t="shared" si="24"/>
        <v>0</v>
      </c>
      <c r="R103" s="269">
        <f t="shared" si="24"/>
        <v>0</v>
      </c>
      <c r="S103" s="269">
        <f t="shared" si="24"/>
        <v>0</v>
      </c>
      <c r="T103" s="269">
        <f t="shared" si="24"/>
        <v>0</v>
      </c>
      <c r="U103" s="269">
        <f t="shared" si="24"/>
        <v>0</v>
      </c>
      <c r="V103" s="269">
        <f t="shared" si="24"/>
        <v>0</v>
      </c>
      <c r="W103" s="270">
        <f t="shared" si="24"/>
        <v>0</v>
      </c>
      <c r="X103" s="204">
        <f t="shared" si="22"/>
        <v>0</v>
      </c>
    </row>
    <row r="104" spans="3:24" hidden="1" outlineLevel="1" x14ac:dyDescent="0.25">
      <c r="C104" s="267" t="str">
        <f t="shared" si="21"/>
        <v/>
      </c>
      <c r="D104" s="268">
        <f t="shared" si="23"/>
        <v>0</v>
      </c>
      <c r="E104" s="269">
        <f t="shared" si="23"/>
        <v>0</v>
      </c>
      <c r="F104" s="269">
        <f t="shared" si="23"/>
        <v>0</v>
      </c>
      <c r="G104" s="269">
        <f t="shared" si="23"/>
        <v>0</v>
      </c>
      <c r="H104" s="269">
        <f t="shared" si="23"/>
        <v>0</v>
      </c>
      <c r="I104" s="269">
        <f t="shared" si="23"/>
        <v>0</v>
      </c>
      <c r="J104" s="269">
        <f t="shared" si="23"/>
        <v>0</v>
      </c>
      <c r="K104" s="269">
        <f t="shared" si="23"/>
        <v>0</v>
      </c>
      <c r="L104" s="269">
        <f t="shared" si="23"/>
        <v>0</v>
      </c>
      <c r="M104" s="269">
        <f t="shared" si="23"/>
        <v>0</v>
      </c>
      <c r="N104" s="269">
        <f t="shared" si="24"/>
        <v>0</v>
      </c>
      <c r="O104" s="269">
        <f t="shared" si="24"/>
        <v>0</v>
      </c>
      <c r="P104" s="269">
        <f t="shared" si="24"/>
        <v>0</v>
      </c>
      <c r="Q104" s="269">
        <f t="shared" si="24"/>
        <v>0</v>
      </c>
      <c r="R104" s="269">
        <f t="shared" si="24"/>
        <v>0</v>
      </c>
      <c r="S104" s="269">
        <f t="shared" si="24"/>
        <v>0</v>
      </c>
      <c r="T104" s="269">
        <f t="shared" si="24"/>
        <v>0</v>
      </c>
      <c r="U104" s="269">
        <f t="shared" si="24"/>
        <v>0</v>
      </c>
      <c r="V104" s="269">
        <f t="shared" si="24"/>
        <v>0</v>
      </c>
      <c r="W104" s="270">
        <f t="shared" si="24"/>
        <v>0</v>
      </c>
      <c r="X104" s="204">
        <f t="shared" si="22"/>
        <v>0</v>
      </c>
    </row>
    <row r="105" spans="3:24" hidden="1" outlineLevel="1" x14ac:dyDescent="0.25">
      <c r="C105" s="267" t="str">
        <f t="shared" si="21"/>
        <v/>
      </c>
      <c r="D105" s="268">
        <f t="shared" si="23"/>
        <v>0</v>
      </c>
      <c r="E105" s="269">
        <f t="shared" si="23"/>
        <v>0</v>
      </c>
      <c r="F105" s="269">
        <f t="shared" si="23"/>
        <v>0</v>
      </c>
      <c r="G105" s="269">
        <f t="shared" si="23"/>
        <v>0</v>
      </c>
      <c r="H105" s="269">
        <f t="shared" si="23"/>
        <v>0</v>
      </c>
      <c r="I105" s="269">
        <f t="shared" si="23"/>
        <v>0</v>
      </c>
      <c r="J105" s="269">
        <f t="shared" si="23"/>
        <v>0</v>
      </c>
      <c r="K105" s="269">
        <f t="shared" si="23"/>
        <v>0</v>
      </c>
      <c r="L105" s="269">
        <f t="shared" si="23"/>
        <v>0</v>
      </c>
      <c r="M105" s="269">
        <f t="shared" si="23"/>
        <v>0</v>
      </c>
      <c r="N105" s="269">
        <f t="shared" si="24"/>
        <v>0</v>
      </c>
      <c r="O105" s="269">
        <f t="shared" si="24"/>
        <v>0</v>
      </c>
      <c r="P105" s="269">
        <f t="shared" si="24"/>
        <v>0</v>
      </c>
      <c r="Q105" s="269">
        <f t="shared" si="24"/>
        <v>0</v>
      </c>
      <c r="R105" s="269">
        <f t="shared" si="24"/>
        <v>0</v>
      </c>
      <c r="S105" s="269">
        <f t="shared" si="24"/>
        <v>0</v>
      </c>
      <c r="T105" s="269">
        <f t="shared" si="24"/>
        <v>0</v>
      </c>
      <c r="U105" s="269">
        <f t="shared" si="24"/>
        <v>0</v>
      </c>
      <c r="V105" s="269">
        <f t="shared" si="24"/>
        <v>0</v>
      </c>
      <c r="W105" s="270">
        <f t="shared" si="24"/>
        <v>0</v>
      </c>
      <c r="X105" s="204">
        <f t="shared" si="22"/>
        <v>0</v>
      </c>
    </row>
    <row r="106" spans="3:24" hidden="1" outlineLevel="1" x14ac:dyDescent="0.25">
      <c r="C106" s="267" t="str">
        <f t="shared" si="21"/>
        <v/>
      </c>
      <c r="D106" s="268">
        <f t="shared" si="23"/>
        <v>0</v>
      </c>
      <c r="E106" s="269">
        <f t="shared" si="23"/>
        <v>0</v>
      </c>
      <c r="F106" s="269">
        <f t="shared" si="23"/>
        <v>0</v>
      </c>
      <c r="G106" s="269">
        <f t="shared" si="23"/>
        <v>0</v>
      </c>
      <c r="H106" s="269">
        <f t="shared" si="23"/>
        <v>0</v>
      </c>
      <c r="I106" s="269">
        <f t="shared" si="23"/>
        <v>0</v>
      </c>
      <c r="J106" s="269">
        <f t="shared" si="23"/>
        <v>0</v>
      </c>
      <c r="K106" s="269">
        <f t="shared" si="23"/>
        <v>0</v>
      </c>
      <c r="L106" s="269">
        <f t="shared" si="23"/>
        <v>0</v>
      </c>
      <c r="M106" s="269">
        <f t="shared" si="23"/>
        <v>0</v>
      </c>
      <c r="N106" s="269">
        <f t="shared" si="24"/>
        <v>0</v>
      </c>
      <c r="O106" s="269">
        <f t="shared" si="24"/>
        <v>0</v>
      </c>
      <c r="P106" s="269">
        <f t="shared" si="24"/>
        <v>0</v>
      </c>
      <c r="Q106" s="269">
        <f t="shared" si="24"/>
        <v>0</v>
      </c>
      <c r="R106" s="269">
        <f t="shared" si="24"/>
        <v>0</v>
      </c>
      <c r="S106" s="269">
        <f t="shared" si="24"/>
        <v>0</v>
      </c>
      <c r="T106" s="269">
        <f t="shared" si="24"/>
        <v>0</v>
      </c>
      <c r="U106" s="269">
        <f t="shared" si="24"/>
        <v>0</v>
      </c>
      <c r="V106" s="269">
        <f t="shared" si="24"/>
        <v>0</v>
      </c>
      <c r="W106" s="270">
        <f t="shared" si="24"/>
        <v>0</v>
      </c>
      <c r="X106" s="204">
        <f t="shared" si="22"/>
        <v>0</v>
      </c>
    </row>
    <row r="107" spans="3:24" hidden="1" outlineLevel="1" x14ac:dyDescent="0.25">
      <c r="C107" s="271" t="str">
        <f t="shared" si="21"/>
        <v>Padrões</v>
      </c>
      <c r="D107" s="272">
        <f t="shared" si="23"/>
        <v>0</v>
      </c>
      <c r="E107" s="273">
        <f t="shared" si="23"/>
        <v>0</v>
      </c>
      <c r="F107" s="273">
        <f t="shared" si="23"/>
        <v>0</v>
      </c>
      <c r="G107" s="273">
        <f t="shared" si="23"/>
        <v>0</v>
      </c>
      <c r="H107" s="273">
        <f t="shared" si="23"/>
        <v>0</v>
      </c>
      <c r="I107" s="273">
        <f t="shared" si="23"/>
        <v>0</v>
      </c>
      <c r="J107" s="273">
        <f t="shared" si="23"/>
        <v>0</v>
      </c>
      <c r="K107" s="273">
        <f t="shared" si="23"/>
        <v>0</v>
      </c>
      <c r="L107" s="273">
        <f t="shared" si="23"/>
        <v>0</v>
      </c>
      <c r="M107" s="273">
        <f t="shared" si="23"/>
        <v>0</v>
      </c>
      <c r="N107" s="273">
        <f t="shared" si="24"/>
        <v>0</v>
      </c>
      <c r="O107" s="273">
        <f t="shared" si="24"/>
        <v>0</v>
      </c>
      <c r="P107" s="273">
        <f t="shared" si="24"/>
        <v>0</v>
      </c>
      <c r="Q107" s="273">
        <f t="shared" si="24"/>
        <v>0</v>
      </c>
      <c r="R107" s="273">
        <f t="shared" si="24"/>
        <v>0</v>
      </c>
      <c r="S107" s="273">
        <f t="shared" si="24"/>
        <v>0</v>
      </c>
      <c r="T107" s="273">
        <f t="shared" si="24"/>
        <v>0</v>
      </c>
      <c r="U107" s="273">
        <f t="shared" si="24"/>
        <v>0</v>
      </c>
      <c r="V107" s="273">
        <f t="shared" si="24"/>
        <v>0</v>
      </c>
      <c r="W107" s="274">
        <f t="shared" si="24"/>
        <v>0</v>
      </c>
      <c r="X107" s="204">
        <f t="shared" si="22"/>
        <v>0</v>
      </c>
    </row>
    <row r="108" spans="3:24" hidden="1" outlineLevel="1" x14ac:dyDescent="0.25">
      <c r="C108" s="187"/>
      <c r="D108" s="281">
        <f>SUM(D78:D107)</f>
        <v>0</v>
      </c>
      <c r="E108" s="281">
        <f t="shared" ref="E108:W108" si="25">SUM(E78:E107)</f>
        <v>0</v>
      </c>
      <c r="F108" s="281">
        <f t="shared" si="25"/>
        <v>0</v>
      </c>
      <c r="G108" s="281">
        <f t="shared" si="25"/>
        <v>0</v>
      </c>
      <c r="H108" s="281">
        <f t="shared" si="25"/>
        <v>0</v>
      </c>
      <c r="I108" s="281">
        <f t="shared" si="25"/>
        <v>0</v>
      </c>
      <c r="J108" s="281">
        <f t="shared" si="25"/>
        <v>0</v>
      </c>
      <c r="K108" s="281">
        <f t="shared" si="25"/>
        <v>0</v>
      </c>
      <c r="L108" s="281">
        <f t="shared" si="25"/>
        <v>0</v>
      </c>
      <c r="M108" s="281">
        <f t="shared" si="25"/>
        <v>0</v>
      </c>
      <c r="N108" s="281">
        <f t="shared" si="25"/>
        <v>0</v>
      </c>
      <c r="O108" s="281">
        <f t="shared" si="25"/>
        <v>0</v>
      </c>
      <c r="P108" s="281">
        <f t="shared" si="25"/>
        <v>0</v>
      </c>
      <c r="Q108" s="281">
        <f t="shared" si="25"/>
        <v>0</v>
      </c>
      <c r="R108" s="281">
        <f t="shared" si="25"/>
        <v>0</v>
      </c>
      <c r="S108" s="281">
        <f t="shared" si="25"/>
        <v>0</v>
      </c>
      <c r="T108" s="281">
        <f t="shared" si="25"/>
        <v>0</v>
      </c>
      <c r="U108" s="281">
        <f t="shared" si="25"/>
        <v>0</v>
      </c>
      <c r="V108" s="281">
        <f t="shared" si="25"/>
        <v>0</v>
      </c>
      <c r="W108" s="281">
        <f t="shared" si="25"/>
        <v>0</v>
      </c>
      <c r="X108" s="280">
        <f>SUM(X78:X107)</f>
        <v>0</v>
      </c>
    </row>
    <row r="109" spans="3:24" collapsed="1" x14ac:dyDescent="0.25">
      <c r="D109" s="204"/>
      <c r="E109" s="204"/>
      <c r="F109" s="204"/>
      <c r="G109" s="204"/>
      <c r="H109" s="204"/>
      <c r="I109" s="204"/>
      <c r="J109" s="204"/>
      <c r="K109" s="204"/>
      <c r="L109" s="204"/>
      <c r="M109" s="204"/>
      <c r="N109" s="204"/>
      <c r="O109" s="204"/>
      <c r="P109" s="204"/>
      <c r="Q109" s="204"/>
      <c r="R109" s="204"/>
      <c r="S109" s="204"/>
      <c r="T109" s="204"/>
      <c r="U109" s="204"/>
      <c r="V109" s="204"/>
      <c r="W109" s="204"/>
      <c r="X109" s="280"/>
    </row>
  </sheetData>
  <dataValidations count="1">
    <dataValidation type="list" allowBlank="1" showInputMessage="1" showErrorMessage="1" sqref="E3" xr:uid="{00000000-0002-0000-0100-000000000000}">
      <formula1>$A$3:$A$4</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9" tint="0.39997558519241921"/>
  </sheetPr>
  <dimension ref="A1:AK203"/>
  <sheetViews>
    <sheetView tabSelected="1" topLeftCell="D50" zoomScaleNormal="100" workbookViewId="0">
      <selection activeCell="F53" sqref="F53:I53"/>
    </sheetView>
  </sheetViews>
  <sheetFormatPr defaultColWidth="0" defaultRowHeight="13.2" zeroHeight="1" x14ac:dyDescent="0.25"/>
  <cols>
    <col min="1" max="1" width="33.5546875" style="689" hidden="1" customWidth="1"/>
    <col min="2" max="2" width="1.6640625" style="689" hidden="1" customWidth="1"/>
    <col min="3" max="3" width="27.6640625" style="689" hidden="1" customWidth="1"/>
    <col min="4" max="4" width="3.6640625" style="1" customWidth="1"/>
    <col min="5" max="5" width="23.44140625" style="1" bestFit="1" customWidth="1"/>
    <col min="6" max="6" width="17.6640625" style="1" customWidth="1"/>
    <col min="7" max="7" width="8.6640625" style="1" customWidth="1"/>
    <col min="8" max="8" width="3.6640625" style="1" customWidth="1"/>
    <col min="9" max="9" width="14.6640625" style="1" customWidth="1"/>
    <col min="10" max="10" width="8.6640625" style="598" customWidth="1"/>
    <col min="11" max="11" width="3.6640625" style="1" customWidth="1"/>
    <col min="12" max="12" width="21" style="598" bestFit="1" customWidth="1"/>
    <col min="13" max="13" width="18.6640625" style="599" customWidth="1"/>
    <col min="14" max="14" width="10.6640625" style="599" customWidth="1"/>
    <col min="15" max="15" width="8.6640625" style="1" customWidth="1"/>
    <col min="16" max="16" width="8.6640625" style="599" customWidth="1"/>
    <col min="17" max="17" width="15.6640625" style="74" customWidth="1"/>
    <col min="18" max="18" width="8.6640625" style="600" customWidth="1"/>
    <col min="19" max="20" width="8.6640625" style="601" customWidth="1"/>
    <col min="21" max="21" width="28.6640625" style="601" customWidth="1"/>
    <col min="22" max="25" width="12.6640625" style="601" customWidth="1"/>
    <col min="26" max="27" width="8.6640625" style="601" customWidth="1"/>
    <col min="28" max="30" width="8.6640625" style="1" customWidth="1"/>
    <col min="31" max="31" width="3.6640625" style="1" customWidth="1"/>
    <col min="32" max="32" width="9.109375" style="1" hidden="1" customWidth="1"/>
    <col min="33" max="34" width="0" style="1" hidden="1" customWidth="1"/>
    <col min="35" max="35" width="9.109375" style="1" hidden="1" customWidth="1"/>
    <col min="36" max="37" width="0" style="1" hidden="1" customWidth="1"/>
    <col min="38" max="16384" width="9.109375" style="1" hidden="1"/>
  </cols>
  <sheetData>
    <row r="1" spans="1:27" s="689" customFormat="1" hidden="1" x14ac:dyDescent="0.25">
      <c r="C1" s="689" t="s">
        <v>179</v>
      </c>
      <c r="J1" s="695"/>
      <c r="L1" s="695"/>
      <c r="M1" s="696"/>
      <c r="N1" s="696"/>
      <c r="P1" s="696"/>
      <c r="Q1" s="693"/>
      <c r="R1" s="697"/>
      <c r="S1" s="698"/>
      <c r="T1" s="698"/>
      <c r="U1" s="698"/>
      <c r="V1" s="698"/>
      <c r="W1" s="698"/>
      <c r="X1" s="698"/>
      <c r="Y1" s="698"/>
      <c r="Z1" s="698"/>
      <c r="AA1" s="698"/>
    </row>
    <row r="2" spans="1:27" s="689" customFormat="1" hidden="1" x14ac:dyDescent="0.25">
      <c r="A2" s="690"/>
      <c r="C2" s="690"/>
      <c r="J2" s="695"/>
      <c r="L2" s="695"/>
      <c r="M2" s="696"/>
      <c r="N2" s="696"/>
      <c r="P2" s="696"/>
      <c r="Q2" s="693"/>
      <c r="R2" s="697"/>
      <c r="S2" s="698"/>
      <c r="T2" s="698"/>
      <c r="U2" s="698"/>
      <c r="V2" s="698"/>
      <c r="W2" s="698"/>
      <c r="X2" s="698"/>
      <c r="Y2" s="698"/>
      <c r="Z2" s="698"/>
      <c r="AA2" s="698"/>
    </row>
    <row r="3" spans="1:27" s="689" customFormat="1" hidden="1" x14ac:dyDescent="0.25">
      <c r="A3" s="691" t="str">
        <f>L88</f>
        <v xml:space="preserve">Custo Coberto </v>
      </c>
      <c r="C3" s="691" t="s">
        <v>267</v>
      </c>
      <c r="J3" s="695"/>
      <c r="L3" s="695"/>
      <c r="M3" s="696"/>
      <c r="N3" s="696"/>
      <c r="P3" s="696"/>
      <c r="Q3" s="693"/>
      <c r="R3" s="697"/>
      <c r="S3" s="698"/>
      <c r="T3" s="698"/>
      <c r="U3" s="698"/>
      <c r="V3" s="698"/>
      <c r="W3" s="698"/>
      <c r="X3" s="698"/>
      <c r="Y3" s="698"/>
      <c r="Z3" s="698"/>
      <c r="AA3" s="698"/>
    </row>
    <row r="4" spans="1:27" s="689" customFormat="1" hidden="1" x14ac:dyDescent="0.25">
      <c r="A4" s="691" t="str">
        <f>L93</f>
        <v xml:space="preserve">Líquido s/ MN </v>
      </c>
      <c r="C4" s="692" t="s">
        <v>268</v>
      </c>
      <c r="J4" s="695"/>
      <c r="L4" s="695"/>
      <c r="M4" s="696"/>
      <c r="N4" s="696"/>
      <c r="P4" s="696"/>
      <c r="Q4" s="693"/>
      <c r="R4" s="697"/>
      <c r="S4" s="698"/>
      <c r="T4" s="698"/>
      <c r="U4" s="698"/>
      <c r="V4" s="698"/>
      <c r="W4" s="698"/>
      <c r="X4" s="698"/>
      <c r="Y4" s="698"/>
      <c r="Z4" s="698"/>
      <c r="AA4" s="698"/>
    </row>
    <row r="5" spans="1:27" s="689" customFormat="1" hidden="1" x14ac:dyDescent="0.25">
      <c r="A5" s="691" t="str">
        <f>L96</f>
        <v xml:space="preserve">Líquido c/ MN </v>
      </c>
      <c r="J5" s="695"/>
      <c r="L5" s="695"/>
      <c r="M5" s="696"/>
      <c r="N5" s="696"/>
      <c r="P5" s="696"/>
      <c r="Q5" s="693"/>
      <c r="R5" s="697"/>
      <c r="S5" s="698"/>
      <c r="T5" s="698"/>
      <c r="U5" s="698"/>
      <c r="V5" s="698"/>
      <c r="W5" s="698"/>
      <c r="X5" s="698"/>
      <c r="Y5" s="698"/>
      <c r="Z5" s="698"/>
      <c r="AA5" s="698"/>
    </row>
    <row r="6" spans="1:27" s="689" customFormat="1" hidden="1" x14ac:dyDescent="0.25">
      <c r="A6" s="691" t="str">
        <f>L102</f>
        <v xml:space="preserve">Bruto s/ IPI </v>
      </c>
      <c r="C6" s="689" t="s">
        <v>9</v>
      </c>
      <c r="J6" s="695"/>
      <c r="L6" s="695"/>
      <c r="M6" s="696"/>
      <c r="N6" s="696"/>
      <c r="P6" s="696"/>
      <c r="Q6" s="693"/>
      <c r="R6" s="697"/>
      <c r="S6" s="698"/>
      <c r="T6" s="698"/>
      <c r="U6" s="698"/>
      <c r="V6" s="698"/>
      <c r="W6" s="698"/>
      <c r="X6" s="698"/>
      <c r="Y6" s="698"/>
      <c r="Z6" s="698"/>
      <c r="AA6" s="698"/>
    </row>
    <row r="7" spans="1:27" s="689" customFormat="1" hidden="1" x14ac:dyDescent="0.25">
      <c r="A7" s="691" t="str">
        <f>L105</f>
        <v xml:space="preserve">Bruto c/ IPI </v>
      </c>
      <c r="C7" s="690"/>
      <c r="J7" s="695"/>
      <c r="L7" s="695"/>
      <c r="M7" s="696"/>
      <c r="N7" s="696"/>
      <c r="P7" s="696"/>
      <c r="Q7" s="693"/>
      <c r="R7" s="697"/>
      <c r="S7" s="698"/>
      <c r="T7" s="698"/>
      <c r="U7" s="698"/>
      <c r="V7" s="698"/>
      <c r="W7" s="698"/>
      <c r="X7" s="698"/>
      <c r="Y7" s="698"/>
      <c r="Z7" s="698"/>
      <c r="AA7" s="698"/>
    </row>
    <row r="8" spans="1:27" s="689" customFormat="1" hidden="1" x14ac:dyDescent="0.25">
      <c r="A8" s="691" t="str">
        <f>L109</f>
        <v xml:space="preserve">Bruto c/ DIFAL-ST </v>
      </c>
      <c r="C8" s="691" t="s">
        <v>256</v>
      </c>
      <c r="J8" s="695"/>
      <c r="L8" s="695"/>
      <c r="M8" s="696"/>
      <c r="N8" s="696"/>
      <c r="P8" s="696"/>
      <c r="Q8" s="693"/>
      <c r="R8" s="697"/>
      <c r="S8" s="698"/>
      <c r="T8" s="698"/>
      <c r="U8" s="698"/>
      <c r="V8" s="698"/>
      <c r="W8" s="698"/>
      <c r="X8" s="698"/>
      <c r="Y8" s="698"/>
      <c r="Z8" s="698"/>
      <c r="AA8" s="698"/>
    </row>
    <row r="9" spans="1:27" s="689" customFormat="1" hidden="1" x14ac:dyDescent="0.25">
      <c r="A9" s="691" t="str">
        <f>L112</f>
        <v xml:space="preserve">Bruto c/ Fat. Direto </v>
      </c>
      <c r="C9" s="691" t="s">
        <v>254</v>
      </c>
      <c r="J9" s="695"/>
      <c r="L9" s="695"/>
      <c r="M9" s="696"/>
      <c r="N9" s="696"/>
      <c r="P9" s="696"/>
      <c r="Q9" s="693"/>
      <c r="R9" s="697"/>
      <c r="S9" s="698"/>
      <c r="T9" s="698"/>
      <c r="U9" s="698"/>
      <c r="V9" s="698"/>
      <c r="W9" s="698"/>
      <c r="X9" s="698"/>
      <c r="Y9" s="698"/>
      <c r="Z9" s="698"/>
      <c r="AA9" s="698"/>
    </row>
    <row r="10" spans="1:27" s="689" customFormat="1" hidden="1" x14ac:dyDescent="0.25">
      <c r="A10" s="692" t="s">
        <v>759</v>
      </c>
      <c r="C10" s="692" t="s">
        <v>255</v>
      </c>
      <c r="J10" s="695"/>
      <c r="L10" s="695"/>
      <c r="M10" s="696"/>
      <c r="N10" s="696"/>
      <c r="P10" s="696"/>
      <c r="Q10" s="693"/>
      <c r="R10" s="697"/>
      <c r="S10" s="698"/>
      <c r="T10" s="698"/>
      <c r="U10" s="698"/>
      <c r="V10" s="698"/>
      <c r="W10" s="698"/>
      <c r="X10" s="698"/>
      <c r="Y10" s="698"/>
      <c r="Z10" s="698"/>
      <c r="AA10" s="698"/>
    </row>
    <row r="11" spans="1:27" s="689" customFormat="1" hidden="1" x14ac:dyDescent="0.25">
      <c r="J11" s="695"/>
      <c r="L11" s="695"/>
      <c r="M11" s="696"/>
      <c r="N11" s="696"/>
      <c r="P11" s="696"/>
      <c r="Q11" s="693"/>
      <c r="R11" s="697"/>
      <c r="S11" s="698"/>
      <c r="T11" s="698"/>
      <c r="U11" s="698"/>
      <c r="V11" s="698"/>
      <c r="W11" s="698"/>
      <c r="X11" s="698"/>
      <c r="Y11" s="698"/>
      <c r="Z11" s="698"/>
      <c r="AA11" s="698"/>
    </row>
    <row r="12" spans="1:27" s="689" customFormat="1" hidden="1" x14ac:dyDescent="0.25">
      <c r="C12" s="689" t="s">
        <v>54</v>
      </c>
      <c r="J12" s="695"/>
      <c r="L12" s="695"/>
      <c r="M12" s="696"/>
      <c r="N12" s="696"/>
      <c r="P12" s="696"/>
      <c r="Q12" s="693"/>
      <c r="R12" s="697"/>
      <c r="S12" s="698"/>
      <c r="T12" s="698"/>
      <c r="U12" s="698"/>
      <c r="V12" s="698"/>
      <c r="W12" s="698"/>
      <c r="X12" s="698"/>
      <c r="Y12" s="698"/>
      <c r="Z12" s="698"/>
      <c r="AA12" s="698"/>
    </row>
    <row r="13" spans="1:27" s="689" customFormat="1" hidden="1" x14ac:dyDescent="0.25">
      <c r="A13" s="693" t="s">
        <v>344</v>
      </c>
      <c r="C13" s="690" t="s">
        <v>52</v>
      </c>
      <c r="J13" s="695"/>
      <c r="L13" s="695"/>
      <c r="M13" s="696"/>
      <c r="N13" s="696"/>
      <c r="P13" s="696"/>
      <c r="Q13" s="693"/>
      <c r="R13" s="697"/>
      <c r="S13" s="698"/>
      <c r="T13" s="698"/>
      <c r="U13" s="698"/>
      <c r="V13" s="698"/>
      <c r="W13" s="698"/>
      <c r="X13" s="698"/>
      <c r="Y13" s="698"/>
      <c r="Z13" s="698"/>
      <c r="AA13" s="698"/>
    </row>
    <row r="14" spans="1:27" s="689" customFormat="1" hidden="1" x14ac:dyDescent="0.25">
      <c r="A14" s="694" t="b">
        <f>IF(M129="Sim",TRUE,FALSE)</f>
        <v>1</v>
      </c>
      <c r="C14" s="692" t="s">
        <v>53</v>
      </c>
      <c r="J14" s="695"/>
      <c r="L14" s="695"/>
      <c r="M14" s="696"/>
      <c r="N14" s="696"/>
      <c r="P14" s="696"/>
      <c r="Q14" s="693"/>
      <c r="R14" s="697"/>
      <c r="S14" s="698"/>
      <c r="T14" s="698"/>
      <c r="U14" s="698"/>
      <c r="V14" s="698"/>
      <c r="W14" s="698"/>
      <c r="X14" s="698"/>
      <c r="Y14" s="698"/>
      <c r="Z14" s="698"/>
      <c r="AA14" s="698"/>
    </row>
    <row r="15" spans="1:27" s="689" customFormat="1" hidden="1" x14ac:dyDescent="0.25">
      <c r="J15" s="695"/>
      <c r="L15" s="695"/>
      <c r="M15" s="696"/>
      <c r="N15" s="696"/>
      <c r="P15" s="696"/>
      <c r="Q15" s="693"/>
      <c r="R15" s="697"/>
      <c r="S15" s="698"/>
      <c r="T15" s="698"/>
      <c r="U15" s="698"/>
      <c r="V15" s="698"/>
      <c r="W15" s="698"/>
      <c r="X15" s="698"/>
      <c r="Y15" s="698"/>
      <c r="Z15" s="698"/>
      <c r="AA15" s="698"/>
    </row>
    <row r="16" spans="1:27" s="689" customFormat="1" hidden="1" x14ac:dyDescent="0.25">
      <c r="C16" s="689" t="s">
        <v>198</v>
      </c>
      <c r="J16" s="695"/>
      <c r="L16" s="695"/>
      <c r="M16" s="696"/>
      <c r="N16" s="696"/>
      <c r="P16" s="696"/>
      <c r="Q16" s="693"/>
      <c r="R16" s="697"/>
      <c r="S16" s="698"/>
      <c r="T16" s="698"/>
      <c r="U16" s="698"/>
      <c r="V16" s="698"/>
      <c r="W16" s="698"/>
      <c r="X16" s="698"/>
      <c r="Y16" s="698"/>
      <c r="Z16" s="698"/>
      <c r="AA16" s="698"/>
    </row>
    <row r="17" spans="1:27" s="689" customFormat="1" hidden="1" x14ac:dyDescent="0.25">
      <c r="A17" s="693" t="s">
        <v>345</v>
      </c>
      <c r="C17" s="690"/>
      <c r="J17" s="695"/>
      <c r="L17" s="695"/>
      <c r="M17" s="696"/>
      <c r="N17" s="696"/>
      <c r="P17" s="696"/>
      <c r="Q17" s="693"/>
      <c r="R17" s="697"/>
      <c r="S17" s="698"/>
      <c r="T17" s="698"/>
      <c r="U17" s="698"/>
      <c r="V17" s="698"/>
      <c r="W17" s="698"/>
      <c r="X17" s="698"/>
      <c r="Y17" s="698"/>
      <c r="Z17" s="698"/>
      <c r="AA17" s="698"/>
    </row>
    <row r="18" spans="1:27" s="689" customFormat="1" hidden="1" x14ac:dyDescent="0.25">
      <c r="A18" s="694" t="b">
        <f>IF(M134="Sim",TRUE,FALSE)</f>
        <v>0</v>
      </c>
      <c r="C18" s="691" t="str">
        <f>F55</f>
        <v>CTEEP</v>
      </c>
      <c r="J18" s="695"/>
      <c r="L18" s="695"/>
      <c r="M18" s="696"/>
      <c r="N18" s="696"/>
      <c r="P18" s="696"/>
      <c r="Q18" s="693"/>
      <c r="R18" s="697"/>
      <c r="S18" s="698"/>
      <c r="T18" s="698"/>
      <c r="U18" s="698"/>
      <c r="V18" s="698"/>
      <c r="W18" s="698"/>
      <c r="X18" s="698"/>
      <c r="Y18" s="698"/>
      <c r="Z18" s="698"/>
      <c r="AA18" s="698"/>
    </row>
    <row r="19" spans="1:27" s="689" customFormat="1" hidden="1" x14ac:dyDescent="0.25">
      <c r="C19" s="692" t="str">
        <f>F57</f>
        <v>CTEEP</v>
      </c>
      <c r="J19" s="695"/>
      <c r="L19" s="695"/>
      <c r="M19" s="696"/>
      <c r="N19" s="696"/>
      <c r="P19" s="696"/>
      <c r="Q19" s="693"/>
      <c r="R19" s="697"/>
      <c r="S19" s="698"/>
      <c r="T19" s="698"/>
      <c r="U19" s="698"/>
      <c r="V19" s="698"/>
      <c r="W19" s="698"/>
      <c r="X19" s="698"/>
      <c r="Y19" s="698"/>
      <c r="Z19" s="698"/>
      <c r="AA19" s="698"/>
    </row>
    <row r="20" spans="1:27" s="689" customFormat="1" hidden="1" x14ac:dyDescent="0.25">
      <c r="J20" s="695"/>
      <c r="L20" s="695"/>
      <c r="M20" s="696"/>
      <c r="N20" s="696"/>
      <c r="P20" s="696"/>
      <c r="Q20" s="693"/>
      <c r="R20" s="697"/>
      <c r="S20" s="698"/>
      <c r="T20" s="698"/>
      <c r="U20" s="698"/>
      <c r="V20" s="698"/>
      <c r="W20" s="698"/>
      <c r="X20" s="698"/>
      <c r="Y20" s="698"/>
      <c r="Z20" s="698"/>
      <c r="AA20" s="698"/>
    </row>
    <row r="21" spans="1:27" s="689" customFormat="1" hidden="1" x14ac:dyDescent="0.25">
      <c r="A21" s="689" t="s">
        <v>218</v>
      </c>
      <c r="C21" s="689" t="s">
        <v>201</v>
      </c>
      <c r="J21" s="695"/>
      <c r="L21" s="695"/>
      <c r="M21" s="696"/>
      <c r="N21" s="696"/>
      <c r="P21" s="696"/>
      <c r="Q21" s="693"/>
      <c r="R21" s="697"/>
      <c r="S21" s="698"/>
      <c r="T21" s="698"/>
      <c r="U21" s="698"/>
      <c r="V21" s="698"/>
      <c r="W21" s="698"/>
      <c r="X21" s="698"/>
      <c r="Y21" s="698"/>
      <c r="Z21" s="698"/>
      <c r="AA21" s="698"/>
    </row>
    <row r="22" spans="1:27" s="689" customFormat="1" hidden="1" x14ac:dyDescent="0.25">
      <c r="A22" s="690"/>
      <c r="C22" s="690"/>
      <c r="J22" s="695"/>
      <c r="L22" s="695"/>
      <c r="M22" s="696"/>
      <c r="N22" s="696"/>
      <c r="P22" s="696"/>
      <c r="Q22" s="693"/>
      <c r="R22" s="697"/>
      <c r="S22" s="698"/>
      <c r="T22" s="698"/>
      <c r="U22" s="698"/>
      <c r="V22" s="698"/>
      <c r="W22" s="698"/>
      <c r="X22" s="698"/>
      <c r="Y22" s="698"/>
      <c r="Z22" s="698"/>
      <c r="AA22" s="698"/>
    </row>
    <row r="23" spans="1:27" s="689" customFormat="1" hidden="1" x14ac:dyDescent="0.25">
      <c r="A23" s="691" t="s">
        <v>219</v>
      </c>
      <c r="C23" s="691" t="str">
        <f>Tributos!B5</f>
        <v>AC - ACRE</v>
      </c>
      <c r="J23" s="695"/>
      <c r="L23" s="695"/>
      <c r="M23" s="696"/>
      <c r="N23" s="696"/>
      <c r="P23" s="696"/>
      <c r="Q23" s="693"/>
      <c r="R23" s="697"/>
      <c r="S23" s="698"/>
      <c r="T23" s="698"/>
      <c r="U23" s="698"/>
      <c r="V23" s="698"/>
      <c r="W23" s="698"/>
      <c r="X23" s="698"/>
      <c r="Y23" s="698"/>
      <c r="Z23" s="698"/>
      <c r="AA23" s="698"/>
    </row>
    <row r="24" spans="1:27" s="689" customFormat="1" hidden="1" x14ac:dyDescent="0.25">
      <c r="A24" s="691" t="s">
        <v>220</v>
      </c>
      <c r="C24" s="691" t="str">
        <f>Tributos!B6</f>
        <v>AL - ALAGOAS</v>
      </c>
      <c r="J24" s="695"/>
      <c r="L24" s="695"/>
      <c r="M24" s="696"/>
      <c r="N24" s="696"/>
      <c r="P24" s="696"/>
      <c r="Q24" s="693"/>
      <c r="R24" s="697"/>
      <c r="S24" s="698"/>
      <c r="T24" s="698"/>
      <c r="U24" s="698"/>
      <c r="V24" s="698"/>
      <c r="W24" s="698"/>
      <c r="X24" s="698"/>
      <c r="Y24" s="698"/>
      <c r="Z24" s="698"/>
      <c r="AA24" s="698"/>
    </row>
    <row r="25" spans="1:27" s="689" customFormat="1" hidden="1" x14ac:dyDescent="0.25">
      <c r="A25" s="691" t="s">
        <v>221</v>
      </c>
      <c r="C25" s="691" t="str">
        <f>Tributos!B7</f>
        <v>AM - AMAZONAS</v>
      </c>
      <c r="J25" s="695"/>
      <c r="L25" s="695"/>
      <c r="M25" s="696"/>
      <c r="N25" s="696"/>
      <c r="P25" s="696"/>
      <c r="Q25" s="693"/>
      <c r="R25" s="697"/>
      <c r="S25" s="698"/>
      <c r="T25" s="698"/>
      <c r="U25" s="698"/>
      <c r="V25" s="698"/>
      <c r="W25" s="698"/>
      <c r="X25" s="698"/>
      <c r="Y25" s="698"/>
      <c r="Z25" s="698"/>
      <c r="AA25" s="698"/>
    </row>
    <row r="26" spans="1:27" s="689" customFormat="1" hidden="1" x14ac:dyDescent="0.25">
      <c r="A26" s="691" t="s">
        <v>222</v>
      </c>
      <c r="C26" s="691" t="str">
        <f>Tributos!B8</f>
        <v>AP - AMAPÁ</v>
      </c>
      <c r="J26" s="695"/>
      <c r="L26" s="695"/>
      <c r="M26" s="696"/>
      <c r="N26" s="696"/>
      <c r="P26" s="696"/>
      <c r="Q26" s="693"/>
      <c r="R26" s="697"/>
      <c r="S26" s="698"/>
      <c r="T26" s="698"/>
      <c r="U26" s="698"/>
      <c r="V26" s="698"/>
      <c r="W26" s="698"/>
      <c r="X26" s="698"/>
      <c r="Y26" s="698"/>
      <c r="Z26" s="698"/>
      <c r="AA26" s="698"/>
    </row>
    <row r="27" spans="1:27" s="689" customFormat="1" hidden="1" x14ac:dyDescent="0.25">
      <c r="A27" s="691" t="s">
        <v>223</v>
      </c>
      <c r="C27" s="691" t="str">
        <f>Tributos!B9</f>
        <v>BA - BAHIA</v>
      </c>
      <c r="J27" s="695"/>
      <c r="L27" s="695"/>
      <c r="M27" s="696"/>
      <c r="N27" s="696"/>
      <c r="P27" s="696"/>
      <c r="Q27" s="693"/>
      <c r="R27" s="697"/>
      <c r="S27" s="698"/>
      <c r="T27" s="698"/>
      <c r="U27" s="698"/>
      <c r="V27" s="698"/>
      <c r="W27" s="698"/>
      <c r="X27" s="698"/>
      <c r="Y27" s="698"/>
      <c r="Z27" s="698"/>
      <c r="AA27" s="698"/>
    </row>
    <row r="28" spans="1:27" s="689" customFormat="1" hidden="1" x14ac:dyDescent="0.25">
      <c r="A28" s="691" t="s">
        <v>224</v>
      </c>
      <c r="C28" s="691" t="str">
        <f>Tributos!B10</f>
        <v>CE - CEARÁ</v>
      </c>
      <c r="J28" s="695"/>
      <c r="L28" s="695"/>
      <c r="M28" s="696"/>
      <c r="N28" s="696"/>
      <c r="P28" s="696"/>
      <c r="Q28" s="693"/>
      <c r="R28" s="697"/>
      <c r="S28" s="698"/>
      <c r="T28" s="698"/>
      <c r="U28" s="698"/>
      <c r="V28" s="698"/>
      <c r="W28" s="698"/>
      <c r="X28" s="698"/>
      <c r="Y28" s="698"/>
      <c r="Z28" s="698"/>
      <c r="AA28" s="698"/>
    </row>
    <row r="29" spans="1:27" s="689" customFormat="1" hidden="1" x14ac:dyDescent="0.25">
      <c r="A29" s="691" t="s">
        <v>225</v>
      </c>
      <c r="C29" s="691" t="str">
        <f>Tributos!B11</f>
        <v>DF - DISTRITO FEDERAL</v>
      </c>
      <c r="J29" s="695"/>
      <c r="L29" s="695"/>
      <c r="M29" s="696"/>
      <c r="N29" s="696"/>
      <c r="P29" s="696"/>
      <c r="Q29" s="693"/>
      <c r="R29" s="697"/>
      <c r="S29" s="698"/>
      <c r="T29" s="698"/>
      <c r="U29" s="698"/>
      <c r="V29" s="698"/>
      <c r="W29" s="698"/>
      <c r="X29" s="698"/>
      <c r="Y29" s="698"/>
      <c r="Z29" s="698"/>
      <c r="AA29" s="698"/>
    </row>
    <row r="30" spans="1:27" s="689" customFormat="1" hidden="1" x14ac:dyDescent="0.25">
      <c r="A30" s="691" t="s">
        <v>226</v>
      </c>
      <c r="C30" s="691" t="str">
        <f>Tributos!B12</f>
        <v>ES - ESPÍRITO SANTO</v>
      </c>
      <c r="J30" s="695"/>
      <c r="L30" s="695"/>
      <c r="M30" s="696"/>
      <c r="N30" s="696"/>
      <c r="P30" s="696"/>
      <c r="Q30" s="693"/>
      <c r="R30" s="697"/>
      <c r="S30" s="698"/>
      <c r="T30" s="698"/>
      <c r="U30" s="698"/>
      <c r="V30" s="698"/>
      <c r="W30" s="698"/>
      <c r="X30" s="698"/>
      <c r="Y30" s="698"/>
      <c r="Z30" s="698"/>
      <c r="AA30" s="698"/>
    </row>
    <row r="31" spans="1:27" s="689" customFormat="1" hidden="1" x14ac:dyDescent="0.25">
      <c r="A31" s="691" t="s">
        <v>227</v>
      </c>
      <c r="C31" s="691" t="str">
        <f>Tributos!B13</f>
        <v>GO - GOIÁS</v>
      </c>
      <c r="J31" s="695"/>
      <c r="L31" s="695"/>
      <c r="M31" s="696"/>
      <c r="N31" s="696"/>
      <c r="P31" s="696"/>
      <c r="Q31" s="693"/>
      <c r="R31" s="697"/>
      <c r="S31" s="698"/>
      <c r="T31" s="698"/>
      <c r="U31" s="698"/>
      <c r="V31" s="698"/>
      <c r="W31" s="698"/>
      <c r="X31" s="698"/>
      <c r="Y31" s="698"/>
      <c r="Z31" s="698"/>
      <c r="AA31" s="698"/>
    </row>
    <row r="32" spans="1:27" s="689" customFormat="1" hidden="1" x14ac:dyDescent="0.25">
      <c r="A32" s="691" t="s">
        <v>228</v>
      </c>
      <c r="C32" s="691" t="str">
        <f>Tributos!B14</f>
        <v>MA - MARANHÃO</v>
      </c>
      <c r="J32" s="695"/>
      <c r="L32" s="695"/>
      <c r="M32" s="696"/>
      <c r="N32" s="696"/>
      <c r="P32" s="696"/>
      <c r="Q32" s="693"/>
      <c r="R32" s="697"/>
      <c r="S32" s="698"/>
      <c r="T32" s="698"/>
      <c r="U32" s="698"/>
      <c r="V32" s="698"/>
      <c r="W32" s="698"/>
      <c r="X32" s="698"/>
      <c r="Y32" s="698"/>
      <c r="Z32" s="698"/>
      <c r="AA32" s="698"/>
    </row>
    <row r="33" spans="1:27" s="689" customFormat="1" hidden="1" x14ac:dyDescent="0.25">
      <c r="A33" s="692" t="s">
        <v>229</v>
      </c>
      <c r="C33" s="691" t="str">
        <f>Tributos!B15</f>
        <v>MT - MATO GROSSO</v>
      </c>
      <c r="J33" s="695"/>
      <c r="L33" s="695"/>
      <c r="M33" s="696"/>
      <c r="N33" s="696"/>
      <c r="P33" s="696"/>
      <c r="Q33" s="693"/>
      <c r="R33" s="697"/>
      <c r="S33" s="698"/>
      <c r="T33" s="698"/>
      <c r="U33" s="698"/>
      <c r="V33" s="698"/>
      <c r="W33" s="698"/>
      <c r="X33" s="698"/>
      <c r="Y33" s="698"/>
      <c r="Z33" s="698"/>
      <c r="AA33" s="698"/>
    </row>
    <row r="34" spans="1:27" s="689" customFormat="1" hidden="1" x14ac:dyDescent="0.25">
      <c r="C34" s="691" t="str">
        <f>Tributos!B16</f>
        <v>MS - MATO GROSSO DO SUL</v>
      </c>
      <c r="J34" s="695"/>
      <c r="L34" s="695"/>
      <c r="M34" s="696"/>
      <c r="N34" s="696"/>
      <c r="P34" s="696"/>
      <c r="Q34" s="693"/>
      <c r="R34" s="697"/>
      <c r="S34" s="698"/>
      <c r="T34" s="698"/>
      <c r="U34" s="698"/>
      <c r="V34" s="698"/>
      <c r="W34" s="698"/>
      <c r="X34" s="698"/>
      <c r="Y34" s="698"/>
      <c r="Z34" s="698"/>
      <c r="AA34" s="698"/>
    </row>
    <row r="35" spans="1:27" s="689" customFormat="1" hidden="1" x14ac:dyDescent="0.25">
      <c r="C35" s="691" t="str">
        <f>Tributos!B17</f>
        <v>MG - MINAS GERAIS</v>
      </c>
      <c r="J35" s="695"/>
      <c r="L35" s="695"/>
      <c r="M35" s="696"/>
      <c r="N35" s="696"/>
      <c r="P35" s="696"/>
      <c r="Q35" s="693"/>
      <c r="R35" s="697"/>
      <c r="S35" s="698"/>
      <c r="T35" s="698"/>
      <c r="U35" s="698"/>
      <c r="V35" s="698"/>
      <c r="W35" s="698"/>
      <c r="X35" s="698"/>
      <c r="Y35" s="698"/>
      <c r="Z35" s="698"/>
      <c r="AA35" s="698"/>
    </row>
    <row r="36" spans="1:27" s="689" customFormat="1" hidden="1" x14ac:dyDescent="0.25">
      <c r="A36" s="690"/>
      <c r="C36" s="691" t="str">
        <f>Tributos!B18</f>
        <v>PA - PARÁ</v>
      </c>
      <c r="J36" s="695"/>
      <c r="L36" s="695"/>
      <c r="M36" s="696"/>
      <c r="N36" s="696"/>
      <c r="P36" s="696"/>
      <c r="Q36" s="693"/>
      <c r="R36" s="697"/>
      <c r="S36" s="698"/>
      <c r="T36" s="698"/>
      <c r="U36" s="698"/>
      <c r="V36" s="698"/>
      <c r="W36" s="698"/>
      <c r="X36" s="698"/>
      <c r="Y36" s="698"/>
      <c r="Z36" s="698"/>
      <c r="AA36" s="698"/>
    </row>
    <row r="37" spans="1:27" s="689" customFormat="1" hidden="1" x14ac:dyDescent="0.25">
      <c r="A37" s="691" t="s">
        <v>233</v>
      </c>
      <c r="C37" s="691" t="str">
        <f>Tributos!B19</f>
        <v>PB - PARAÍBA</v>
      </c>
      <c r="J37" s="695"/>
      <c r="L37" s="695"/>
      <c r="M37" s="696"/>
      <c r="N37" s="696"/>
      <c r="P37" s="696"/>
      <c r="Q37" s="693"/>
      <c r="R37" s="697"/>
      <c r="S37" s="698"/>
      <c r="T37" s="698"/>
      <c r="U37" s="698"/>
      <c r="V37" s="698"/>
      <c r="W37" s="698"/>
      <c r="X37" s="698"/>
      <c r="Y37" s="698"/>
      <c r="Z37" s="698"/>
      <c r="AA37" s="698"/>
    </row>
    <row r="38" spans="1:27" s="689" customFormat="1" hidden="1" x14ac:dyDescent="0.25">
      <c r="A38" s="692" t="s">
        <v>234</v>
      </c>
      <c r="C38" s="691" t="str">
        <f>Tributos!B20</f>
        <v>PR - PARANÁ</v>
      </c>
      <c r="J38" s="695"/>
      <c r="L38" s="695"/>
      <c r="M38" s="696"/>
      <c r="N38" s="696"/>
      <c r="P38" s="696"/>
      <c r="Q38" s="693"/>
      <c r="R38" s="697"/>
      <c r="S38" s="698"/>
      <c r="T38" s="698"/>
      <c r="U38" s="698"/>
      <c r="V38" s="698"/>
      <c r="W38" s="698"/>
      <c r="X38" s="698"/>
      <c r="Y38" s="698"/>
      <c r="Z38" s="698"/>
      <c r="AA38" s="698"/>
    </row>
    <row r="39" spans="1:27" s="689" customFormat="1" hidden="1" x14ac:dyDescent="0.25">
      <c r="C39" s="691" t="str">
        <f>Tributos!B21</f>
        <v>PE - PERNAMBUCO</v>
      </c>
      <c r="J39" s="695"/>
      <c r="L39" s="695"/>
      <c r="M39" s="696"/>
      <c r="N39" s="696"/>
      <c r="P39" s="696"/>
      <c r="Q39" s="693"/>
      <c r="R39" s="697"/>
      <c r="S39" s="698"/>
      <c r="T39" s="698"/>
      <c r="U39" s="698"/>
      <c r="V39" s="698"/>
      <c r="W39" s="698"/>
      <c r="X39" s="698"/>
      <c r="Y39" s="698"/>
      <c r="Z39" s="698"/>
      <c r="AA39" s="698"/>
    </row>
    <row r="40" spans="1:27" s="689" customFormat="1" hidden="1" x14ac:dyDescent="0.25">
      <c r="C40" s="691" t="str">
        <f>Tributos!B22</f>
        <v>PI - PIAUÍ</v>
      </c>
      <c r="J40" s="695"/>
      <c r="L40" s="695"/>
      <c r="M40" s="696"/>
      <c r="N40" s="696"/>
      <c r="P40" s="696"/>
      <c r="Q40" s="693"/>
      <c r="R40" s="697"/>
      <c r="S40" s="698"/>
      <c r="T40" s="698"/>
      <c r="U40" s="698"/>
      <c r="V40" s="698"/>
      <c r="W40" s="698"/>
      <c r="X40" s="698"/>
      <c r="Y40" s="698"/>
      <c r="Z40" s="698"/>
      <c r="AA40" s="698"/>
    </row>
    <row r="41" spans="1:27" s="689" customFormat="1" hidden="1" x14ac:dyDescent="0.25">
      <c r="A41" s="690" t="str">
        <f>F84</f>
        <v>Custos</v>
      </c>
      <c r="C41" s="691" t="str">
        <f>Tributos!B23</f>
        <v>RN - RIO GRANDE DO NORTE</v>
      </c>
      <c r="J41" s="695"/>
      <c r="L41" s="695"/>
      <c r="M41" s="696"/>
      <c r="N41" s="696"/>
      <c r="P41" s="696"/>
      <c r="Q41" s="693"/>
      <c r="R41" s="697"/>
      <c r="S41" s="698"/>
      <c r="T41" s="698"/>
      <c r="U41" s="698"/>
      <c r="V41" s="698"/>
      <c r="W41" s="698"/>
      <c r="X41" s="698"/>
      <c r="Y41" s="698"/>
      <c r="Z41" s="698"/>
      <c r="AA41" s="698"/>
    </row>
    <row r="42" spans="1:27" s="689" customFormat="1" hidden="1" x14ac:dyDescent="0.25">
      <c r="A42" s="692" t="str">
        <f>I84</f>
        <v>Preço Líquido com MN</v>
      </c>
      <c r="C42" s="691" t="str">
        <f>Tributos!B24</f>
        <v>RS - RIO GRANDE DO SUL</v>
      </c>
      <c r="J42" s="695"/>
      <c r="L42" s="695"/>
      <c r="M42" s="696"/>
      <c r="N42" s="696"/>
      <c r="P42" s="696"/>
      <c r="Q42" s="693"/>
      <c r="R42" s="697"/>
      <c r="S42" s="698"/>
      <c r="T42" s="698"/>
      <c r="U42" s="698"/>
      <c r="V42" s="698"/>
      <c r="W42" s="698"/>
      <c r="X42" s="698"/>
      <c r="Y42" s="698"/>
      <c r="Z42" s="698"/>
      <c r="AA42" s="698"/>
    </row>
    <row r="43" spans="1:27" s="689" customFormat="1" hidden="1" x14ac:dyDescent="0.25">
      <c r="C43" s="691" t="str">
        <f>Tributos!B25</f>
        <v>RJ - RIO DE JANEIRO</v>
      </c>
      <c r="J43" s="695"/>
      <c r="L43" s="695"/>
      <c r="M43" s="696"/>
      <c r="N43" s="696"/>
      <c r="P43" s="696"/>
      <c r="Q43" s="693"/>
      <c r="R43" s="697"/>
      <c r="S43" s="698"/>
      <c r="T43" s="698"/>
      <c r="U43" s="698"/>
      <c r="V43" s="698"/>
      <c r="W43" s="698"/>
      <c r="X43" s="698"/>
      <c r="Y43" s="698"/>
      <c r="Z43" s="698"/>
      <c r="AA43" s="698"/>
    </row>
    <row r="44" spans="1:27" s="689" customFormat="1" hidden="1" x14ac:dyDescent="0.25">
      <c r="A44" s="693" t="s">
        <v>1093</v>
      </c>
      <c r="C44" s="691" t="str">
        <f>Tributos!B26</f>
        <v>RO - RONDÔNIA</v>
      </c>
      <c r="J44" s="695"/>
      <c r="L44" s="695"/>
      <c r="M44" s="696"/>
      <c r="N44" s="696"/>
      <c r="P44" s="696"/>
      <c r="Q44" s="693"/>
      <c r="R44" s="697"/>
      <c r="S44" s="698"/>
      <c r="T44" s="698"/>
      <c r="U44" s="698"/>
      <c r="V44" s="698"/>
      <c r="W44" s="698"/>
      <c r="X44" s="698"/>
      <c r="Y44" s="698"/>
      <c r="Z44" s="698"/>
      <c r="AA44" s="698"/>
    </row>
    <row r="45" spans="1:27" s="689" customFormat="1" hidden="1" x14ac:dyDescent="0.25">
      <c r="A45" s="694" t="e">
        <f>IF(#REF!="Sim",TRUE,FALSE)</f>
        <v>#REF!</v>
      </c>
      <c r="C45" s="691" t="str">
        <f>Tributos!B27</f>
        <v>RR - RORAIMA</v>
      </c>
      <c r="J45" s="695"/>
      <c r="L45" s="695"/>
      <c r="M45" s="696"/>
      <c r="N45" s="696"/>
      <c r="P45" s="696"/>
      <c r="Q45" s="693"/>
      <c r="R45" s="697"/>
      <c r="S45" s="698"/>
      <c r="T45" s="698"/>
      <c r="U45" s="698"/>
      <c r="V45" s="698"/>
      <c r="W45" s="698"/>
      <c r="X45" s="698"/>
      <c r="Y45" s="698"/>
      <c r="Z45" s="698"/>
      <c r="AA45" s="698"/>
    </row>
    <row r="46" spans="1:27" s="689" customFormat="1" hidden="1" x14ac:dyDescent="0.25">
      <c r="C46" s="691" t="str">
        <f>Tributos!B28</f>
        <v>SC - SANTA CATARINA</v>
      </c>
      <c r="J46" s="695"/>
      <c r="L46" s="695"/>
      <c r="M46" s="696"/>
      <c r="N46" s="696"/>
      <c r="P46" s="696"/>
      <c r="Q46" s="693"/>
      <c r="R46" s="697"/>
      <c r="S46" s="698"/>
      <c r="T46" s="698"/>
      <c r="U46" s="698"/>
      <c r="V46" s="698"/>
      <c r="W46" s="698"/>
      <c r="X46" s="698"/>
      <c r="Y46" s="698"/>
      <c r="Z46" s="698"/>
      <c r="AA46" s="698"/>
    </row>
    <row r="47" spans="1:27" s="689" customFormat="1" hidden="1" x14ac:dyDescent="0.25">
      <c r="C47" s="691" t="str">
        <f>Tributos!B29</f>
        <v>SP - SÃO PAULO</v>
      </c>
      <c r="J47" s="695"/>
      <c r="L47" s="695"/>
      <c r="M47" s="696"/>
      <c r="N47" s="696"/>
      <c r="P47" s="696"/>
      <c r="Q47" s="693"/>
      <c r="R47" s="697"/>
      <c r="S47" s="698"/>
      <c r="T47" s="698"/>
      <c r="U47" s="698"/>
      <c r="V47" s="698"/>
      <c r="W47" s="698"/>
      <c r="X47" s="698"/>
      <c r="Y47" s="698"/>
      <c r="Z47" s="698"/>
      <c r="AA47" s="698"/>
    </row>
    <row r="48" spans="1:27" s="689" customFormat="1" hidden="1" x14ac:dyDescent="0.25">
      <c r="C48" s="691" t="str">
        <f>Tributos!B30</f>
        <v>SE - SERGIPE</v>
      </c>
      <c r="J48" s="695"/>
      <c r="L48" s="695"/>
      <c r="M48" s="696"/>
      <c r="N48" s="696"/>
      <c r="P48" s="696"/>
      <c r="Q48" s="693"/>
      <c r="R48" s="697"/>
      <c r="S48" s="698"/>
      <c r="T48" s="698"/>
      <c r="U48" s="698"/>
      <c r="V48" s="698"/>
      <c r="W48" s="698"/>
      <c r="X48" s="698"/>
      <c r="Y48" s="698"/>
      <c r="Z48" s="698"/>
      <c r="AA48" s="698"/>
    </row>
    <row r="49" spans="3:32" s="689" customFormat="1" hidden="1" x14ac:dyDescent="0.25">
      <c r="C49" s="692" t="str">
        <f>Tributos!B31</f>
        <v>TO - TOCANTINS</v>
      </c>
      <c r="J49" s="695"/>
      <c r="L49" s="695"/>
      <c r="M49" s="696"/>
      <c r="N49" s="696"/>
      <c r="P49" s="696"/>
      <c r="Q49" s="693"/>
      <c r="R49" s="697"/>
      <c r="S49" s="698"/>
      <c r="T49" s="698"/>
      <c r="U49" s="698"/>
      <c r="V49" s="698"/>
      <c r="W49" s="698"/>
      <c r="X49" s="698"/>
      <c r="Y49" s="698"/>
      <c r="Z49" s="698"/>
      <c r="AA49" s="698"/>
    </row>
    <row r="50" spans="3:32" x14ac:dyDescent="0.25">
      <c r="D50" s="113"/>
      <c r="E50" s="501"/>
      <c r="F50" s="113"/>
      <c r="G50" s="113"/>
      <c r="H50" s="113"/>
      <c r="I50" s="113"/>
      <c r="J50" s="120"/>
      <c r="K50" s="113"/>
      <c r="L50" s="120"/>
      <c r="M50" s="87"/>
      <c r="N50" s="87"/>
      <c r="O50" s="113"/>
      <c r="P50" s="87"/>
      <c r="Q50" s="115"/>
      <c r="R50" s="540"/>
      <c r="S50" s="116"/>
      <c r="T50" s="116"/>
      <c r="U50" s="116"/>
      <c r="V50" s="116"/>
      <c r="W50" s="116"/>
      <c r="X50" s="116"/>
      <c r="Y50" s="116"/>
      <c r="Z50" s="116"/>
      <c r="AA50" s="116"/>
      <c r="AB50" s="113"/>
      <c r="AC50" s="113"/>
      <c r="AD50" s="113"/>
      <c r="AE50" s="113"/>
      <c r="AF50" s="113"/>
    </row>
    <row r="51" spans="3:32" x14ac:dyDescent="0.25">
      <c r="D51" s="113"/>
      <c r="E51" s="530" t="str">
        <f>"PP versão "&amp;DAY(versao_pp)&amp;"."&amp;MONTH(versao_pp)&amp;"."&amp;YEAR(versao_pp)</f>
        <v>PP versão 19.7.2024</v>
      </c>
      <c r="F51" s="113"/>
      <c r="G51" s="113"/>
      <c r="H51" s="113"/>
      <c r="I51" s="113"/>
      <c r="J51" s="120"/>
      <c r="K51" s="113"/>
      <c r="L51" s="120"/>
      <c r="M51" s="87"/>
      <c r="N51" s="87"/>
      <c r="O51" s="113"/>
      <c r="P51" s="87"/>
      <c r="Q51" s="115"/>
      <c r="R51" s="540"/>
      <c r="S51" s="116"/>
      <c r="T51" s="116"/>
      <c r="U51" s="116"/>
      <c r="V51" s="116"/>
      <c r="W51" s="116"/>
      <c r="X51" s="116"/>
      <c r="Y51" s="116"/>
      <c r="Z51" s="116"/>
      <c r="AA51" s="116"/>
      <c r="AB51" s="113"/>
      <c r="AC51" s="113"/>
      <c r="AD51" s="113"/>
      <c r="AE51" s="113"/>
      <c r="AF51" s="113"/>
    </row>
    <row r="52" spans="3:32" x14ac:dyDescent="0.25">
      <c r="D52" s="113"/>
      <c r="E52" s="113"/>
      <c r="F52" s="113"/>
      <c r="G52" s="113"/>
      <c r="H52" s="113"/>
      <c r="I52" s="113"/>
      <c r="J52" s="120"/>
      <c r="K52" s="113"/>
      <c r="L52" s="120"/>
      <c r="M52" s="87"/>
      <c r="N52" s="87"/>
      <c r="O52" s="113"/>
      <c r="P52" s="87"/>
      <c r="Q52" s="115"/>
      <c r="R52" s="540"/>
      <c r="S52" s="116"/>
      <c r="T52" s="116"/>
      <c r="U52" s="116"/>
      <c r="V52" s="116"/>
      <c r="W52" s="116"/>
      <c r="X52" s="116"/>
      <c r="Y52" s="116"/>
      <c r="Z52" s="116"/>
      <c r="AA52" s="116"/>
      <c r="AB52" s="113"/>
      <c r="AC52" s="113"/>
      <c r="AD52" s="113"/>
      <c r="AE52" s="113"/>
      <c r="AF52" s="113"/>
    </row>
    <row r="53" spans="3:32" x14ac:dyDescent="0.25">
      <c r="D53" s="113"/>
      <c r="E53" s="120" t="s">
        <v>244</v>
      </c>
      <c r="F53" s="849" t="s">
        <v>3043</v>
      </c>
      <c r="G53" s="850"/>
      <c r="H53" s="850"/>
      <c r="I53" s="851"/>
      <c r="J53" s="120"/>
      <c r="K53" s="113"/>
      <c r="L53" s="120" t="s">
        <v>245</v>
      </c>
      <c r="M53" s="852" t="s">
        <v>3130</v>
      </c>
      <c r="N53" s="853"/>
      <c r="O53" s="854"/>
      <c r="P53" s="87"/>
      <c r="Q53" s="115"/>
      <c r="R53" s="540"/>
      <c r="S53" s="116"/>
      <c r="T53" s="116"/>
      <c r="U53" s="120" t="s">
        <v>329</v>
      </c>
      <c r="V53" s="217">
        <f>(1+1%)^12-1</f>
        <v>0.12682503013196977</v>
      </c>
      <c r="W53" s="116"/>
      <c r="X53" s="116"/>
      <c r="Y53" s="116"/>
      <c r="Z53" s="116"/>
      <c r="AA53" s="116"/>
      <c r="AB53" s="113"/>
      <c r="AC53" s="113"/>
      <c r="AD53" s="113"/>
      <c r="AE53" s="113"/>
      <c r="AF53" s="113"/>
    </row>
    <row r="54" spans="3:32" x14ac:dyDescent="0.25">
      <c r="D54" s="113"/>
      <c r="E54" s="113"/>
      <c r="F54" s="113"/>
      <c r="G54" s="113"/>
      <c r="H54" s="113"/>
      <c r="I54" s="113"/>
      <c r="J54" s="120"/>
      <c r="K54" s="113"/>
      <c r="L54" s="120"/>
      <c r="M54" s="87"/>
      <c r="N54" s="87"/>
      <c r="O54" s="113"/>
      <c r="P54" s="87"/>
      <c r="Q54" s="115"/>
      <c r="R54" s="540"/>
      <c r="S54" s="116"/>
      <c r="T54" s="116"/>
      <c r="U54" s="120" t="s">
        <v>330</v>
      </c>
      <c r="V54" s="217">
        <v>0</v>
      </c>
      <c r="W54" s="116"/>
      <c r="X54" s="116"/>
      <c r="Y54" s="116"/>
      <c r="Z54" s="116"/>
      <c r="AA54" s="116"/>
      <c r="AB54" s="113"/>
      <c r="AC54" s="113"/>
      <c r="AD54" s="113"/>
      <c r="AE54" s="113"/>
      <c r="AF54" s="113"/>
    </row>
    <row r="55" spans="3:32" x14ac:dyDescent="0.25">
      <c r="D55" s="113"/>
      <c r="E55" s="120" t="s">
        <v>39</v>
      </c>
      <c r="F55" s="849" t="s">
        <v>768</v>
      </c>
      <c r="G55" s="850"/>
      <c r="H55" s="850"/>
      <c r="I55" s="851"/>
      <c r="J55" s="120"/>
      <c r="K55" s="113"/>
      <c r="L55" s="120" t="s">
        <v>217</v>
      </c>
      <c r="M55" s="855" t="s">
        <v>232</v>
      </c>
      <c r="N55" s="855"/>
      <c r="O55" s="855"/>
      <c r="P55" s="87"/>
      <c r="Q55" s="115"/>
      <c r="R55" s="540"/>
      <c r="S55" s="116"/>
      <c r="T55" s="116"/>
      <c r="U55" s="113"/>
      <c r="V55" s="116"/>
      <c r="W55" s="116"/>
      <c r="X55" s="116"/>
      <c r="Y55" s="116" t="s">
        <v>1046</v>
      </c>
      <c r="Z55" s="116"/>
      <c r="AA55" s="116"/>
      <c r="AB55" s="113"/>
      <c r="AC55" s="113"/>
      <c r="AD55" s="113"/>
      <c r="AE55" s="113"/>
      <c r="AF55" s="113"/>
    </row>
    <row r="56" spans="3:32" x14ac:dyDescent="0.25">
      <c r="D56" s="113"/>
      <c r="E56" s="113"/>
      <c r="F56" s="113"/>
      <c r="G56" s="113"/>
      <c r="H56" s="113"/>
      <c r="I56" s="113"/>
      <c r="J56" s="120"/>
      <c r="K56" s="113"/>
      <c r="L56" s="120" t="s">
        <v>230</v>
      </c>
      <c r="M56" s="855" t="s">
        <v>229</v>
      </c>
      <c r="N56" s="855"/>
      <c r="O56" s="855"/>
      <c r="P56" s="87"/>
      <c r="Q56" s="115"/>
      <c r="R56" s="540"/>
      <c r="S56" s="116"/>
      <c r="T56" s="116"/>
      <c r="U56" s="115" t="s">
        <v>320</v>
      </c>
      <c r="V56" s="116" t="s">
        <v>319</v>
      </c>
      <c r="W56" s="116"/>
      <c r="X56" s="116"/>
      <c r="Y56" s="115"/>
      <c r="Z56" s="116"/>
      <c r="AA56" s="116"/>
      <c r="AB56" s="113"/>
      <c r="AC56" s="113"/>
      <c r="AD56" s="113"/>
      <c r="AE56" s="113"/>
      <c r="AF56" s="113"/>
    </row>
    <row r="57" spans="3:32" x14ac:dyDescent="0.25">
      <c r="D57" s="113"/>
      <c r="E57" s="120" t="s">
        <v>40</v>
      </c>
      <c r="F57" s="849" t="s">
        <v>768</v>
      </c>
      <c r="G57" s="850"/>
      <c r="H57" s="850"/>
      <c r="I57" s="851"/>
      <c r="J57" s="120"/>
      <c r="K57" s="113"/>
      <c r="L57" s="120" t="s">
        <v>231</v>
      </c>
      <c r="M57" s="856">
        <v>12</v>
      </c>
      <c r="N57" s="856"/>
      <c r="O57" s="213" t="s">
        <v>234</v>
      </c>
      <c r="P57" s="87"/>
      <c r="Q57" s="115"/>
      <c r="R57" s="540"/>
      <c r="S57" s="116"/>
      <c r="T57" s="116"/>
      <c r="U57" s="104"/>
      <c r="V57" s="782"/>
      <c r="W57" s="116"/>
      <c r="X57" s="120" t="s">
        <v>1042</v>
      </c>
      <c r="Y57" s="120">
        <f>SUMIF(Materiais!C:C,"pnl",Materiais!M:M)</f>
        <v>2</v>
      </c>
      <c r="Z57" s="116"/>
      <c r="AA57" s="116"/>
      <c r="AB57" s="113"/>
      <c r="AC57" s="113"/>
      <c r="AD57" s="113"/>
      <c r="AE57" s="113"/>
      <c r="AF57" s="113"/>
    </row>
    <row r="58" spans="3:32" x14ac:dyDescent="0.25">
      <c r="D58" s="113"/>
      <c r="E58" s="113"/>
      <c r="F58" s="113"/>
      <c r="G58" s="113"/>
      <c r="H58" s="113"/>
      <c r="I58" s="113"/>
      <c r="J58" s="120"/>
      <c r="K58" s="113"/>
      <c r="L58" s="120" t="s">
        <v>243</v>
      </c>
      <c r="M58" s="175">
        <f>F66+IF(O57=A37,M57,30*M57)</f>
        <v>45921</v>
      </c>
      <c r="N58" s="176"/>
      <c r="O58" s="113"/>
      <c r="P58" s="87"/>
      <c r="Q58" s="115"/>
      <c r="R58" s="540"/>
      <c r="S58" s="116"/>
      <c r="T58" s="116"/>
      <c r="U58" s="107"/>
      <c r="V58" s="783"/>
      <c r="W58" s="116"/>
      <c r="X58" s="120" t="s">
        <v>1043</v>
      </c>
      <c r="Y58" s="204">
        <f>M112/Y57</f>
        <v>526394.35499746876</v>
      </c>
      <c r="Z58" s="116"/>
      <c r="AA58" s="116"/>
      <c r="AB58" s="113"/>
      <c r="AC58" s="113"/>
      <c r="AD58" s="113"/>
      <c r="AE58" s="113"/>
      <c r="AF58" s="113"/>
    </row>
    <row r="59" spans="3:32" x14ac:dyDescent="0.25">
      <c r="D59" s="113"/>
      <c r="E59" s="120" t="s">
        <v>335</v>
      </c>
      <c r="F59" s="213">
        <v>30</v>
      </c>
      <c r="G59" s="113" t="s">
        <v>336</v>
      </c>
      <c r="H59" s="113"/>
      <c r="I59" s="113"/>
      <c r="J59" s="120"/>
      <c r="K59" s="113"/>
      <c r="L59" s="120"/>
      <c r="M59" s="87"/>
      <c r="N59" s="87"/>
      <c r="O59" s="113"/>
      <c r="P59" s="87"/>
      <c r="Q59" s="115"/>
      <c r="R59" s="540"/>
      <c r="S59" s="116"/>
      <c r="T59" s="116"/>
      <c r="U59" s="107"/>
      <c r="V59" s="783"/>
      <c r="W59" s="116"/>
      <c r="X59" s="116"/>
      <c r="Y59" s="116"/>
      <c r="Z59" s="116"/>
      <c r="AA59" s="116"/>
      <c r="AB59" s="113"/>
      <c r="AC59" s="113"/>
      <c r="AD59" s="113"/>
      <c r="AE59" s="113"/>
      <c r="AF59" s="113"/>
    </row>
    <row r="60" spans="3:32" x14ac:dyDescent="0.25">
      <c r="D60" s="113"/>
      <c r="E60" s="120"/>
      <c r="F60" s="115"/>
      <c r="G60" s="115"/>
      <c r="H60" s="115"/>
      <c r="I60" s="115"/>
      <c r="J60" s="120"/>
      <c r="K60" s="113"/>
      <c r="L60" s="848" t="s">
        <v>236</v>
      </c>
      <c r="M60" s="289">
        <v>12</v>
      </c>
      <c r="N60" s="179" t="s">
        <v>353</v>
      </c>
      <c r="O60" s="113"/>
      <c r="P60" s="87"/>
      <c r="Q60" s="115"/>
      <c r="R60" s="540"/>
      <c r="S60" s="116"/>
      <c r="T60" s="116"/>
      <c r="U60" s="107"/>
      <c r="V60" s="783"/>
      <c r="W60" s="116"/>
      <c r="X60" s="116" t="s">
        <v>1044</v>
      </c>
      <c r="Y60" s="715">
        <f>SUM(Serviços!J:J)</f>
        <v>3080</v>
      </c>
      <c r="Z60" s="116"/>
      <c r="AA60" s="116"/>
      <c r="AB60" s="113"/>
      <c r="AC60" s="113"/>
      <c r="AD60" s="113"/>
      <c r="AE60" s="113"/>
      <c r="AF60" s="113"/>
    </row>
    <row r="61" spans="3:32" x14ac:dyDescent="0.25">
      <c r="D61" s="113"/>
      <c r="E61" s="120" t="s">
        <v>197</v>
      </c>
      <c r="F61" s="849" t="s">
        <v>768</v>
      </c>
      <c r="G61" s="850"/>
      <c r="H61" s="850"/>
      <c r="I61" s="851"/>
      <c r="J61" s="120"/>
      <c r="K61" s="113"/>
      <c r="L61" s="848"/>
      <c r="M61" s="289">
        <f>M60+6</f>
        <v>18</v>
      </c>
      <c r="N61" s="179" t="s">
        <v>235</v>
      </c>
      <c r="O61" s="113"/>
      <c r="P61" s="87"/>
      <c r="Q61" s="115"/>
      <c r="R61" s="540"/>
      <c r="S61" s="116"/>
      <c r="T61" s="116"/>
      <c r="U61" s="107"/>
      <c r="V61" s="783"/>
      <c r="W61" s="116"/>
      <c r="X61" s="116" t="s">
        <v>1045</v>
      </c>
      <c r="Y61" s="190">
        <f>M112/Y60</f>
        <v>341.81451623212257</v>
      </c>
      <c r="Z61" s="116"/>
      <c r="AA61" s="116"/>
      <c r="AB61" s="113"/>
      <c r="AC61" s="113"/>
      <c r="AD61" s="113"/>
      <c r="AE61" s="113"/>
      <c r="AF61" s="113"/>
    </row>
    <row r="62" spans="3:32" x14ac:dyDescent="0.25">
      <c r="D62" s="113"/>
      <c r="E62" s="120" t="s">
        <v>199</v>
      </c>
      <c r="F62" s="849" t="s">
        <v>126</v>
      </c>
      <c r="G62" s="850"/>
      <c r="H62" s="850"/>
      <c r="I62" s="180" t="str">
        <f>IFERROR(VLOOKUP(F62,tbl_UF,2,FALSE),"")</f>
        <v>MG</v>
      </c>
      <c r="J62" s="120"/>
      <c r="K62" s="113"/>
      <c r="L62" s="120"/>
      <c r="M62" s="87"/>
      <c r="N62" s="87"/>
      <c r="O62" s="113"/>
      <c r="P62" s="87"/>
      <c r="Q62" s="699"/>
      <c r="R62" s="540"/>
      <c r="S62" s="116"/>
      <c r="T62" s="116"/>
      <c r="U62" s="107"/>
      <c r="V62" s="783"/>
      <c r="W62" s="116"/>
      <c r="X62" s="116"/>
      <c r="Y62" s="116"/>
      <c r="Z62" s="116"/>
      <c r="AA62" s="116"/>
      <c r="AB62" s="113"/>
      <c r="AC62" s="113"/>
      <c r="AD62" s="113"/>
      <c r="AE62" s="113"/>
      <c r="AF62" s="113"/>
    </row>
    <row r="63" spans="3:32" x14ac:dyDescent="0.25">
      <c r="D63" s="113"/>
      <c r="E63" s="120"/>
      <c r="F63" s="115"/>
      <c r="G63" s="115"/>
      <c r="H63" s="115"/>
      <c r="I63" s="115"/>
      <c r="J63" s="120"/>
      <c r="K63" s="113"/>
      <c r="L63" s="120"/>
      <c r="M63" s="181" t="s">
        <v>237</v>
      </c>
      <c r="N63" s="179"/>
      <c r="O63" s="113"/>
      <c r="P63" s="87"/>
      <c r="Q63" s="113" t="s">
        <v>1018</v>
      </c>
      <c r="R63" s="116"/>
      <c r="S63" s="116"/>
      <c r="T63" s="116"/>
      <c r="U63" s="107"/>
      <c r="V63" s="783"/>
      <c r="W63" s="116"/>
      <c r="X63" s="116" t="s">
        <v>1095</v>
      </c>
      <c r="Y63" s="733">
        <f>F87/SUM(F85,F103,F108,F114:F116,F122)</f>
        <v>0</v>
      </c>
      <c r="Z63" s="116"/>
      <c r="AA63" s="116"/>
      <c r="AB63" s="113"/>
      <c r="AC63" s="113"/>
      <c r="AD63" s="113"/>
      <c r="AE63" s="113"/>
      <c r="AF63" s="113"/>
    </row>
    <row r="64" spans="3:32" x14ac:dyDescent="0.25">
      <c r="D64" s="113"/>
      <c r="E64" s="120"/>
      <c r="F64" s="115"/>
      <c r="G64" s="115"/>
      <c r="H64" s="115"/>
      <c r="I64" s="115"/>
      <c r="J64" s="120"/>
      <c r="K64" s="113"/>
      <c r="L64" s="120" t="s">
        <v>238</v>
      </c>
      <c r="M64" s="214">
        <v>5.43</v>
      </c>
      <c r="N64" s="87"/>
      <c r="O64" s="113"/>
      <c r="P64" s="87"/>
      <c r="Q64" s="701" t="s">
        <v>38</v>
      </c>
      <c r="R64" s="702">
        <v>0.15</v>
      </c>
      <c r="S64" s="706">
        <f>SUMIF(col_tipodemargem,Dados!Q64,col_PLsemMN)/$M$93</f>
        <v>0.61366801322100217</v>
      </c>
      <c r="T64" s="705"/>
      <c r="U64" s="107"/>
      <c r="V64" s="783"/>
      <c r="W64" s="116"/>
      <c r="X64" s="116"/>
      <c r="Y64" s="116"/>
      <c r="Z64" s="116"/>
      <c r="AA64" s="116"/>
      <c r="AB64" s="113"/>
      <c r="AC64" s="113"/>
      <c r="AD64" s="113"/>
      <c r="AE64" s="113"/>
      <c r="AF64" s="113"/>
    </row>
    <row r="65" spans="4:32" x14ac:dyDescent="0.25">
      <c r="D65" s="113"/>
      <c r="E65" s="120" t="s">
        <v>241</v>
      </c>
      <c r="F65" s="209">
        <v>45516</v>
      </c>
      <c r="G65" s="115"/>
      <c r="H65" s="115"/>
      <c r="I65" s="115"/>
      <c r="J65" s="120"/>
      <c r="K65" s="113"/>
      <c r="L65" s="120" t="s">
        <v>239</v>
      </c>
      <c r="M65" s="214">
        <v>5.9</v>
      </c>
      <c r="N65" s="87"/>
      <c r="O65" s="113"/>
      <c r="P65" s="87"/>
      <c r="Q65" s="703" t="s">
        <v>1017</v>
      </c>
      <c r="R65" s="704">
        <f>(1+zeradora)*50%</f>
        <v>0.64794776875939952</v>
      </c>
      <c r="S65" s="706">
        <f>SUMIF(col_tipodemargem,Dados!Q65,col_PLsemMN)/$M$93</f>
        <v>0.29800449115317562</v>
      </c>
      <c r="T65" s="705"/>
      <c r="U65" s="107"/>
      <c r="V65" s="783"/>
      <c r="W65" s="116"/>
      <c r="X65" s="116"/>
      <c r="Y65" s="116"/>
      <c r="Z65" s="116"/>
      <c r="AA65" s="116"/>
      <c r="AB65" s="113"/>
      <c r="AC65" s="113"/>
      <c r="AD65" s="113"/>
      <c r="AE65" s="113"/>
      <c r="AF65" s="113"/>
    </row>
    <row r="66" spans="4:32" x14ac:dyDescent="0.25">
      <c r="D66" s="113"/>
      <c r="E66" s="120" t="s">
        <v>242</v>
      </c>
      <c r="F66" s="209">
        <f>F65+45</f>
        <v>45561</v>
      </c>
      <c r="G66" s="115"/>
      <c r="H66" s="115"/>
      <c r="I66" s="115"/>
      <c r="J66" s="120"/>
      <c r="K66" s="113"/>
      <c r="L66" s="120" t="s">
        <v>240</v>
      </c>
      <c r="M66" s="215">
        <v>45484</v>
      </c>
      <c r="N66" s="87"/>
      <c r="O66" s="113"/>
      <c r="P66" s="87"/>
      <c r="Q66" s="703" t="s">
        <v>29</v>
      </c>
      <c r="R66" s="704">
        <v>0.4</v>
      </c>
      <c r="S66" s="706">
        <f>SUMIF(col_tipodemargem,Dados!Q66,col_PLsemMN)/$M$93</f>
        <v>5.7939554628277601E-2</v>
      </c>
      <c r="T66" s="705"/>
      <c r="U66" s="107"/>
      <c r="V66" s="783"/>
      <c r="W66" s="116"/>
      <c r="X66" s="116"/>
      <c r="Y66" s="116"/>
      <c r="Z66" s="116"/>
      <c r="AA66" s="116"/>
      <c r="AB66" s="113"/>
      <c r="AC66" s="113"/>
      <c r="AD66" s="113"/>
      <c r="AE66" s="113"/>
      <c r="AF66" s="113"/>
    </row>
    <row r="67" spans="4:32" x14ac:dyDescent="0.25">
      <c r="D67" s="113"/>
      <c r="E67" s="113"/>
      <c r="F67" s="113"/>
      <c r="G67" s="113"/>
      <c r="H67" s="113"/>
      <c r="I67" s="113"/>
      <c r="J67" s="120"/>
      <c r="K67" s="113"/>
      <c r="L67" s="120"/>
      <c r="M67" s="87"/>
      <c r="N67" s="87"/>
      <c r="O67" s="113"/>
      <c r="P67" s="87"/>
      <c r="Q67" s="703" t="s">
        <v>3129</v>
      </c>
      <c r="R67" s="704">
        <v>0.23499999999999999</v>
      </c>
      <c r="S67" s="706">
        <f>SUMIF(col_tipodemargem,Dados!Q67,col_PLsemMN)/$M$93</f>
        <v>1.7722330092838783E-2</v>
      </c>
      <c r="T67" s="705"/>
      <c r="U67" s="107"/>
      <c r="V67" s="783"/>
      <c r="W67" s="116"/>
      <c r="X67" s="116"/>
      <c r="Y67" s="116"/>
      <c r="Z67" s="116"/>
      <c r="AA67" s="116"/>
      <c r="AB67" s="113"/>
      <c r="AC67" s="113"/>
      <c r="AD67" s="113"/>
      <c r="AE67" s="113"/>
      <c r="AF67" s="113"/>
    </row>
    <row r="68" spans="4:32" x14ac:dyDescent="0.25">
      <c r="D68" s="113"/>
      <c r="E68" s="113"/>
      <c r="F68" s="858" t="s">
        <v>67</v>
      </c>
      <c r="G68" s="858"/>
      <c r="H68" s="113"/>
      <c r="I68" s="113"/>
      <c r="J68" s="120"/>
      <c r="K68" s="113"/>
      <c r="L68" s="120"/>
      <c r="M68" s="87"/>
      <c r="N68" s="87"/>
      <c r="O68" s="113"/>
      <c r="P68" s="87"/>
      <c r="Q68" s="703" t="s">
        <v>30</v>
      </c>
      <c r="R68" s="704">
        <v>0.73</v>
      </c>
      <c r="S68" s="706">
        <f>SUMIF(col_tipodemargem,Dados!Q68,col_PLsemMN)/$M$93</f>
        <v>1.2665610904705948E-2</v>
      </c>
      <c r="T68" s="705"/>
      <c r="U68" s="107"/>
      <c r="V68" s="783"/>
      <c r="W68" s="116"/>
      <c r="X68" s="116"/>
      <c r="Y68" s="116"/>
      <c r="Z68" s="116"/>
      <c r="AA68" s="116"/>
      <c r="AB68" s="113"/>
      <c r="AC68" s="113"/>
      <c r="AD68" s="113"/>
      <c r="AE68" s="113"/>
      <c r="AF68" s="113"/>
    </row>
    <row r="69" spans="4:32" x14ac:dyDescent="0.25">
      <c r="D69" s="113"/>
      <c r="E69" s="120" t="s">
        <v>751</v>
      </c>
      <c r="F69" s="204">
        <f>M90</f>
        <v>308923.407529513</v>
      </c>
      <c r="G69" s="182">
        <f>N90</f>
        <v>0.32172801248969418</v>
      </c>
      <c r="H69" s="115"/>
      <c r="I69" s="113"/>
      <c r="J69" s="120"/>
      <c r="K69" s="113"/>
      <c r="L69" s="120" t="s">
        <v>216</v>
      </c>
      <c r="M69" s="216" t="s">
        <v>52</v>
      </c>
      <c r="N69" s="87"/>
      <c r="O69" s="113"/>
      <c r="P69" s="87"/>
      <c r="Q69" s="703"/>
      <c r="R69" s="704"/>
      <c r="S69" s="706">
        <f>SUMIF(col_tipodemargem,Dados!Q69,col_PLsemMN)/$M$93</f>
        <v>0</v>
      </c>
      <c r="T69" s="705"/>
      <c r="U69" s="107"/>
      <c r="V69" s="783"/>
      <c r="W69" s="116"/>
      <c r="X69" s="116"/>
      <c r="Y69" s="116"/>
      <c r="Z69" s="116"/>
      <c r="AA69" s="116"/>
      <c r="AB69" s="113"/>
      <c r="AC69" s="113"/>
      <c r="AD69" s="113"/>
      <c r="AE69" s="113"/>
      <c r="AF69" s="113"/>
    </row>
    <row r="70" spans="4:32" x14ac:dyDescent="0.25">
      <c r="D70" s="113"/>
      <c r="E70" s="120" t="s">
        <v>932</v>
      </c>
      <c r="F70" s="87">
        <f>mb_pc*M96</f>
        <v>308923.407529513</v>
      </c>
      <c r="G70" s="182">
        <f>R71</f>
        <v>0.32172801248969418</v>
      </c>
      <c r="H70" s="182"/>
      <c r="I70" s="188"/>
      <c r="J70" s="120"/>
      <c r="K70" s="113"/>
      <c r="L70" s="113"/>
      <c r="M70" s="113"/>
      <c r="N70" s="87"/>
      <c r="O70" s="113"/>
      <c r="P70" s="87"/>
      <c r="Q70" s="707"/>
      <c r="R70" s="708"/>
      <c r="S70" s="706">
        <f>SUMIF(col_tipodemargem,Dados!Q70,col_PLsemMN)/$M$93</f>
        <v>0</v>
      </c>
      <c r="T70" s="705"/>
      <c r="U70" s="107"/>
      <c r="V70" s="783"/>
      <c r="W70" s="116"/>
      <c r="X70" s="116"/>
      <c r="Y70" s="116"/>
      <c r="Z70" s="116"/>
      <c r="AA70" s="116"/>
      <c r="AB70" s="113"/>
      <c r="AC70" s="113"/>
      <c r="AD70" s="113"/>
      <c r="AE70" s="113"/>
      <c r="AF70" s="113"/>
    </row>
    <row r="71" spans="4:32" x14ac:dyDescent="0.25">
      <c r="D71" s="113"/>
      <c r="E71" s="120" t="s">
        <v>46</v>
      </c>
      <c r="F71" s="87">
        <f>Escopo!AL273</f>
        <v>0</v>
      </c>
      <c r="G71" s="210">
        <v>0</v>
      </c>
      <c r="H71" s="805"/>
      <c r="I71" s="113"/>
      <c r="J71" s="120"/>
      <c r="K71" s="113"/>
      <c r="L71" s="120"/>
      <c r="M71" s="181" t="s">
        <v>182</v>
      </c>
      <c r="N71" s="87"/>
      <c r="O71" s="113"/>
      <c r="P71" s="87"/>
      <c r="Q71" s="709"/>
      <c r="R71" s="700">
        <f>SUMPRODUCT(R64:R70,S64:S70)/SUM(S64:S70)</f>
        <v>0.32172801248969418</v>
      </c>
      <c r="S71" s="706"/>
      <c r="T71" s="116"/>
      <c r="U71" s="107"/>
      <c r="V71" s="783"/>
      <c r="W71" s="116"/>
      <c r="X71" s="116"/>
      <c r="Y71" s="116"/>
      <c r="Z71" s="116"/>
      <c r="AA71" s="116"/>
      <c r="AB71" s="113"/>
      <c r="AC71" s="113"/>
      <c r="AD71" s="113"/>
      <c r="AE71" s="113"/>
      <c r="AF71" s="113"/>
    </row>
    <row r="72" spans="4:32" x14ac:dyDescent="0.25">
      <c r="D72" s="113"/>
      <c r="E72" s="113"/>
      <c r="F72" s="113"/>
      <c r="G72" s="113"/>
      <c r="H72" s="113"/>
      <c r="I72" s="113"/>
      <c r="J72" s="120"/>
      <c r="K72" s="113"/>
      <c r="L72" s="120" t="s">
        <v>185</v>
      </c>
      <c r="M72" s="87">
        <f>IRPJ!H27</f>
        <v>0</v>
      </c>
      <c r="N72" s="87"/>
      <c r="O72" s="113"/>
      <c r="P72" s="87"/>
      <c r="Q72" s="115"/>
      <c r="R72" s="540"/>
      <c r="S72" s="116"/>
      <c r="T72" s="116"/>
      <c r="U72" s="107"/>
      <c r="V72" s="783"/>
      <c r="W72" s="116"/>
      <c r="X72" s="116"/>
      <c r="Y72" s="116"/>
      <c r="Z72" s="116"/>
      <c r="AA72" s="116"/>
      <c r="AB72" s="113"/>
      <c r="AC72" s="113"/>
      <c r="AD72" s="113"/>
      <c r="AE72" s="113"/>
      <c r="AF72" s="113"/>
    </row>
    <row r="73" spans="4:32" x14ac:dyDescent="0.25">
      <c r="D73" s="113"/>
      <c r="E73" s="113"/>
      <c r="F73" s="858" t="s">
        <v>67</v>
      </c>
      <c r="G73" s="858"/>
      <c r="H73" s="115"/>
      <c r="I73" s="87"/>
      <c r="J73" s="120"/>
      <c r="K73" s="113"/>
      <c r="L73" s="120" t="s">
        <v>186</v>
      </c>
      <c r="M73" s="87">
        <f>IRPJ!H28</f>
        <v>105033.95856003446</v>
      </c>
      <c r="N73" s="87"/>
      <c r="O73" s="113"/>
      <c r="P73" s="87"/>
      <c r="Q73" s="699"/>
      <c r="R73" s="700"/>
      <c r="S73" s="116"/>
      <c r="T73" s="116"/>
      <c r="U73" s="107"/>
      <c r="V73" s="783"/>
      <c r="W73" s="116"/>
      <c r="X73" s="116"/>
      <c r="Y73" s="116"/>
      <c r="Z73" s="116"/>
      <c r="AA73" s="116"/>
      <c r="AB73" s="113"/>
      <c r="AC73" s="113"/>
      <c r="AD73" s="113"/>
      <c r="AE73" s="113"/>
      <c r="AF73" s="113"/>
    </row>
    <row r="74" spans="4:32" x14ac:dyDescent="0.25">
      <c r="D74" s="113"/>
      <c r="E74" s="120" t="s">
        <v>70</v>
      </c>
      <c r="F74" s="87">
        <f>IFERROR((frete_seguro_pc/cobertura_pc)*F78,0)</f>
        <v>3000.0000135833125</v>
      </c>
      <c r="G74" s="211">
        <v>3.124347389399445E-3</v>
      </c>
      <c r="H74" s="184"/>
      <c r="I74" s="87"/>
      <c r="J74" s="120"/>
      <c r="K74" s="113"/>
      <c r="L74" s="120"/>
      <c r="M74" s="285">
        <f>M72+M73</f>
        <v>105033.95856003446</v>
      </c>
      <c r="N74" s="596" t="str">
        <f>IF(IRPJ!K10,"ok","ERRO")</f>
        <v>ok</v>
      </c>
      <c r="O74" s="113"/>
      <c r="P74" s="87"/>
      <c r="Q74" s="699"/>
      <c r="R74" s="540"/>
      <c r="S74" s="116"/>
      <c r="T74" s="116"/>
      <c r="U74" s="107"/>
      <c r="V74" s="783"/>
      <c r="W74" s="116"/>
      <c r="X74" s="116"/>
      <c r="Y74" s="116"/>
      <c r="Z74" s="116"/>
      <c r="AA74" s="116"/>
      <c r="AB74" s="113"/>
      <c r="AC74" s="113"/>
      <c r="AD74" s="113"/>
      <c r="AE74" s="113"/>
      <c r="AF74" s="113"/>
    </row>
    <row r="75" spans="4:32" x14ac:dyDescent="0.25">
      <c r="D75" s="113"/>
      <c r="E75" s="120" t="s">
        <v>71</v>
      </c>
      <c r="F75" s="87">
        <f>IFERROR((garantia_pc/cobertura_pc)*F78,0)</f>
        <v>9602.0052820053606</v>
      </c>
      <c r="G75" s="212">
        <f>1%*(1-Y63)</f>
        <v>0.01</v>
      </c>
      <c r="H75" s="184"/>
      <c r="I75" s="87"/>
      <c r="J75" s="120"/>
      <c r="K75" s="113"/>
      <c r="L75" s="113"/>
      <c r="M75" s="113"/>
      <c r="N75" s="113"/>
      <c r="O75" s="113"/>
      <c r="P75" s="87"/>
      <c r="Q75" s="699"/>
      <c r="R75" s="540"/>
      <c r="S75" s="116"/>
      <c r="T75" s="116"/>
      <c r="U75" s="107"/>
      <c r="V75" s="783"/>
      <c r="W75" s="116"/>
      <c r="X75" s="116"/>
      <c r="Y75" s="116"/>
      <c r="Z75" s="116"/>
      <c r="AA75" s="116"/>
      <c r="AB75" s="113"/>
      <c r="AC75" s="113"/>
      <c r="AD75" s="113"/>
      <c r="AE75" s="113"/>
      <c r="AF75" s="113"/>
    </row>
    <row r="76" spans="4:32" x14ac:dyDescent="0.25">
      <c r="D76" s="113"/>
      <c r="E76" s="120" t="s">
        <v>72</v>
      </c>
      <c r="F76" s="87">
        <f>IFERROR((cf_pc/cobertura_pc)*F78,0)</f>
        <v>9.8262399388642805E-7</v>
      </c>
      <c r="G76" s="185">
        <f>cf_custo_pc</f>
        <v>1.0233528987199317E-12</v>
      </c>
      <c r="H76" s="184"/>
      <c r="I76" s="87"/>
      <c r="J76" s="120"/>
      <c r="K76" s="113"/>
      <c r="L76" s="113"/>
      <c r="M76" s="115" t="s">
        <v>260</v>
      </c>
      <c r="N76" s="113"/>
      <c r="O76" s="113"/>
      <c r="P76" s="87"/>
      <c r="Q76" s="699"/>
      <c r="R76" s="540"/>
      <c r="S76" s="116"/>
      <c r="T76" s="116"/>
      <c r="U76" s="107"/>
      <c r="V76" s="783"/>
      <c r="W76" s="116"/>
      <c r="X76" s="116"/>
      <c r="Y76" s="116"/>
      <c r="Z76" s="116"/>
      <c r="AA76" s="116"/>
      <c r="AB76" s="113"/>
      <c r="AC76" s="113"/>
      <c r="AD76" s="113"/>
      <c r="AE76" s="113"/>
      <c r="AF76" s="113"/>
    </row>
    <row r="77" spans="4:32" x14ac:dyDescent="0.25">
      <c r="D77" s="113"/>
      <c r="E77" s="120" t="s">
        <v>73</v>
      </c>
      <c r="F77" s="87">
        <f>IFERROR((risco_pc/cobertura_pc)*F78,0)</f>
        <v>6.1968484011391635E-6</v>
      </c>
      <c r="G77" s="184">
        <f>risco_custo_pc</f>
        <v>6.4537023456468724E-12</v>
      </c>
      <c r="H77" s="184"/>
      <c r="I77" s="113"/>
      <c r="J77" s="120"/>
      <c r="K77" s="113"/>
      <c r="L77" s="120" t="s">
        <v>74</v>
      </c>
      <c r="M77" s="87">
        <f>Escopo!CI273</f>
        <v>52801.941403984427</v>
      </c>
      <c r="N77" s="87"/>
      <c r="O77" s="113"/>
      <c r="P77" s="87"/>
      <c r="Q77" s="699"/>
      <c r="R77" s="540"/>
      <c r="S77" s="116"/>
      <c r="T77" s="116"/>
      <c r="U77" s="107"/>
      <c r="V77" s="783"/>
      <c r="W77" s="116"/>
      <c r="X77" s="116"/>
      <c r="Y77" s="116"/>
      <c r="Z77" s="116"/>
      <c r="AA77" s="116"/>
      <c r="AB77" s="113"/>
      <c r="AC77" s="113"/>
      <c r="AD77" s="113"/>
      <c r="AE77" s="113"/>
      <c r="AF77" s="113"/>
    </row>
    <row r="78" spans="4:32" x14ac:dyDescent="0.25">
      <c r="D78" s="113"/>
      <c r="E78" s="120" t="s">
        <v>47</v>
      </c>
      <c r="F78" s="285">
        <f>cobertura_total</f>
        <v>12602.005302768144</v>
      </c>
      <c r="G78" s="286">
        <f>SUM(G74:G77)</f>
        <v>1.31243473968765E-2</v>
      </c>
      <c r="H78" s="186"/>
      <c r="I78" s="113"/>
      <c r="J78" s="120"/>
      <c r="K78" s="113"/>
      <c r="L78" s="120" t="s">
        <v>78</v>
      </c>
      <c r="M78" s="87">
        <f>Escopo!CJ273</f>
        <v>38108.425472548806</v>
      </c>
      <c r="N78" s="87"/>
      <c r="O78" s="113"/>
      <c r="P78" s="87"/>
      <c r="Q78" s="699"/>
      <c r="R78" s="540"/>
      <c r="S78" s="116"/>
      <c r="T78" s="116"/>
      <c r="U78" s="107"/>
      <c r="V78" s="783"/>
      <c r="W78" s="116"/>
      <c r="X78" s="116"/>
      <c r="Y78" s="116"/>
      <c r="Z78" s="116"/>
      <c r="AA78" s="116"/>
      <c r="AB78" s="113"/>
      <c r="AC78" s="113"/>
      <c r="AD78" s="113"/>
      <c r="AE78" s="113"/>
      <c r="AF78" s="113"/>
    </row>
    <row r="79" spans="4:32" x14ac:dyDescent="0.25">
      <c r="D79" s="113"/>
      <c r="E79" s="120"/>
      <c r="F79" s="113"/>
      <c r="G79" s="113"/>
      <c r="H79" s="113"/>
      <c r="I79" s="113"/>
      <c r="J79" s="120"/>
      <c r="K79" s="113"/>
      <c r="L79" s="120" t="s">
        <v>76</v>
      </c>
      <c r="M79" s="87">
        <f>Escopo!CK273</f>
        <v>9358.0531607820212</v>
      </c>
      <c r="N79" s="87"/>
      <c r="O79" s="113"/>
      <c r="P79" s="87"/>
      <c r="Q79" s="699"/>
      <c r="R79" s="540"/>
      <c r="S79" s="116"/>
      <c r="T79" s="116"/>
      <c r="U79" s="187"/>
      <c r="V79" s="804">
        <f>SUM(V57:V78)</f>
        <v>0</v>
      </c>
      <c r="W79" s="116"/>
      <c r="X79" s="116"/>
      <c r="Y79" s="116"/>
      <c r="Z79" s="116"/>
      <c r="AA79" s="116"/>
      <c r="AB79" s="113"/>
      <c r="AC79" s="113"/>
      <c r="AD79" s="113"/>
      <c r="AE79" s="113"/>
      <c r="AF79" s="113"/>
    </row>
    <row r="80" spans="4:32" ht="12.75" customHeight="1" x14ac:dyDescent="0.25">
      <c r="D80" s="113"/>
      <c r="E80" s="113"/>
      <c r="F80" s="858" t="s">
        <v>143</v>
      </c>
      <c r="G80" s="858"/>
      <c r="H80" s="115"/>
      <c r="I80" s="113"/>
      <c r="J80" s="284"/>
      <c r="K80" s="284"/>
      <c r="L80" s="120" t="s">
        <v>77</v>
      </c>
      <c r="M80" s="87">
        <f>Escopo!CL273</f>
        <v>43103.760013298997</v>
      </c>
      <c r="N80" s="87"/>
      <c r="O80" s="113"/>
      <c r="P80" s="87"/>
      <c r="Q80" s="699"/>
      <c r="R80" s="540"/>
      <c r="S80" s="116"/>
      <c r="T80" s="116"/>
      <c r="U80" s="113"/>
      <c r="V80" s="515" t="b">
        <f>IF(ABS(V79-1)&lt;0.01%,TRUE,FALSE)</f>
        <v>0</v>
      </c>
      <c r="W80" s="116"/>
      <c r="X80" s="116"/>
      <c r="Y80" s="116"/>
      <c r="Z80" s="116"/>
      <c r="AA80" s="116"/>
      <c r="AB80" s="113"/>
      <c r="AC80" s="113"/>
      <c r="AD80" s="113"/>
      <c r="AE80" s="113"/>
      <c r="AF80" s="113"/>
    </row>
    <row r="81" spans="4:32" x14ac:dyDescent="0.25">
      <c r="D81" s="113"/>
      <c r="E81" s="120" t="s">
        <v>676</v>
      </c>
      <c r="F81" s="87">
        <f>M96*comissao_pc</f>
        <v>14403.007923008039</v>
      </c>
      <c r="G81" s="211">
        <v>1.4999999999999999E-2</v>
      </c>
      <c r="H81" s="182"/>
      <c r="I81" s="188" t="str">
        <f>IF(E130,""," &lt;  inserir comissão !!")</f>
        <v/>
      </c>
      <c r="J81" s="284"/>
      <c r="K81" s="284"/>
      <c r="L81" s="113"/>
      <c r="M81" s="285">
        <f>SUM(M77:M80)</f>
        <v>143372.18005061423</v>
      </c>
      <c r="N81" s="182"/>
      <c r="O81" s="113"/>
      <c r="P81" s="87"/>
      <c r="Q81" s="436"/>
      <c r="R81" s="729"/>
      <c r="S81" s="730"/>
      <c r="T81" s="200"/>
      <c r="U81" s="116"/>
      <c r="V81" s="200"/>
      <c r="W81" s="190"/>
      <c r="X81" s="200"/>
      <c r="Y81" s="116"/>
      <c r="Z81" s="200"/>
      <c r="AA81" s="116"/>
      <c r="AB81" s="113"/>
      <c r="AC81" s="113"/>
      <c r="AD81" s="113"/>
      <c r="AE81" s="113"/>
      <c r="AF81" s="113"/>
    </row>
    <row r="82" spans="4:32" x14ac:dyDescent="0.25">
      <c r="D82" s="113"/>
      <c r="E82" s="120"/>
      <c r="F82" s="87"/>
      <c r="G82" s="182"/>
      <c r="H82" s="182"/>
      <c r="I82" s="188"/>
      <c r="J82" s="120"/>
      <c r="K82" s="113"/>
      <c r="L82" s="113"/>
      <c r="M82" s="113"/>
      <c r="N82" s="182"/>
      <c r="O82" s="113"/>
      <c r="P82" s="87"/>
      <c r="Q82" s="436"/>
      <c r="R82" s="729"/>
      <c r="S82" s="730"/>
      <c r="T82" s="200"/>
      <c r="U82" s="116"/>
      <c r="V82" s="200"/>
      <c r="W82" s="190"/>
      <c r="X82" s="200"/>
      <c r="Y82" s="116"/>
      <c r="Z82" s="200"/>
      <c r="AA82" s="116"/>
      <c r="AB82" s="113"/>
      <c r="AC82" s="113"/>
      <c r="AD82" s="113"/>
      <c r="AE82" s="113"/>
      <c r="AF82" s="113"/>
    </row>
    <row r="83" spans="4:32" x14ac:dyDescent="0.25">
      <c r="D83" s="113"/>
      <c r="E83" s="113"/>
      <c r="F83" s="113"/>
      <c r="G83" s="113"/>
      <c r="H83" s="113"/>
      <c r="I83" s="188"/>
      <c r="J83" s="120"/>
      <c r="K83" s="113"/>
      <c r="L83" s="120"/>
      <c r="M83" s="87"/>
      <c r="N83" s="182"/>
      <c r="O83" s="113"/>
      <c r="P83" s="87"/>
      <c r="Q83" s="436"/>
      <c r="R83" s="541"/>
      <c r="S83" s="200"/>
      <c r="T83" s="200"/>
      <c r="U83" s="116"/>
      <c r="V83" s="200"/>
      <c r="W83" s="190"/>
      <c r="X83" s="200"/>
      <c r="Y83" s="116"/>
      <c r="Z83" s="200"/>
      <c r="AA83" s="116"/>
      <c r="AB83" s="113"/>
      <c r="AC83" s="113"/>
      <c r="AD83" s="113"/>
      <c r="AE83" s="113"/>
      <c r="AF83" s="113"/>
    </row>
    <row r="84" spans="4:32" ht="20.100000000000001" customHeight="1" x14ac:dyDescent="0.25">
      <c r="D84" s="113"/>
      <c r="E84" s="113"/>
      <c r="F84" s="857" t="s">
        <v>63</v>
      </c>
      <c r="G84" s="857"/>
      <c r="H84" s="191"/>
      <c r="I84" s="857" t="s">
        <v>144</v>
      </c>
      <c r="J84" s="857"/>
      <c r="K84" s="113"/>
      <c r="L84" s="120"/>
      <c r="M84" s="513"/>
      <c r="N84" s="87"/>
      <c r="O84" s="113"/>
      <c r="P84" s="87"/>
      <c r="Q84" s="436"/>
      <c r="R84" s="541"/>
      <c r="S84" s="200"/>
      <c r="T84" s="200"/>
      <c r="U84" s="116"/>
      <c r="V84" s="200"/>
      <c r="W84" s="190"/>
      <c r="X84" s="200"/>
      <c r="Y84" s="116"/>
      <c r="Z84" s="200"/>
      <c r="AA84" s="116"/>
      <c r="AB84" s="113"/>
      <c r="AC84" s="113"/>
      <c r="AD84" s="113"/>
      <c r="AE84" s="113"/>
      <c r="AF84" s="113"/>
    </row>
    <row r="85" spans="4:32" x14ac:dyDescent="0.25">
      <c r="D85" s="113"/>
      <c r="E85" s="192" t="s">
        <v>38</v>
      </c>
      <c r="F85" s="584">
        <f>SUM(F86:F102)</f>
        <v>498526.91131264239</v>
      </c>
      <c r="G85" s="585">
        <f>IFERROR(F85/$F$123,0)</f>
        <v>0.76546050135923838</v>
      </c>
      <c r="H85" s="585"/>
      <c r="I85" s="584">
        <f>SUM(I86:I102)</f>
        <v>597428.48769507138</v>
      </c>
      <c r="J85" s="586">
        <f>IFERROR(I85/$I$123,0)</f>
        <v>0.62219137581051143</v>
      </c>
      <c r="K85" s="113"/>
      <c r="L85" s="120"/>
      <c r="M85" s="87"/>
      <c r="N85" s="87"/>
      <c r="O85" s="113"/>
      <c r="P85" s="87"/>
      <c r="Q85" s="436"/>
      <c r="R85" s="541"/>
      <c r="S85" s="200"/>
      <c r="T85" s="200"/>
      <c r="U85" s="116"/>
      <c r="V85" s="200"/>
      <c r="W85" s="190"/>
      <c r="X85" s="200"/>
      <c r="Y85" s="116"/>
      <c r="Z85" s="200"/>
      <c r="AA85" s="116"/>
      <c r="AB85" s="113"/>
      <c r="AC85" s="113"/>
      <c r="AD85" s="113"/>
      <c r="AE85" s="113"/>
      <c r="AF85" s="113"/>
    </row>
    <row r="86" spans="4:32" x14ac:dyDescent="0.25">
      <c r="D86" s="113"/>
      <c r="E86" s="195" t="s">
        <v>37</v>
      </c>
      <c r="F86" s="151">
        <f t="shared" ref="F86:F102" si="0">SUMIF(col_tipoWBS,E86,col_custoTotal)</f>
        <v>20865.424800000001</v>
      </c>
      <c r="G86" s="196">
        <f>IFERROR(F86/$F$85,0)</f>
        <v>4.1854159377395408E-2</v>
      </c>
      <c r="H86" s="196"/>
      <c r="I86" s="151">
        <f t="shared" ref="I86:I102" si="1">SUMIF(col_tipoWBS,E86,col_PLcomMN)</f>
        <v>24932.526995017186</v>
      </c>
      <c r="J86" s="197">
        <f>IFERROR(I86/$I$85,0)</f>
        <v>4.1733073511792083E-2</v>
      </c>
      <c r="K86" s="113"/>
      <c r="L86" s="120" t="s">
        <v>69</v>
      </c>
      <c r="M86" s="193">
        <f>custo_total</f>
        <v>638675.11536825483</v>
      </c>
      <c r="N86" s="194">
        <f>M86/M88</f>
        <v>0.98065031780974565</v>
      </c>
      <c r="O86" s="113"/>
      <c r="P86" s="588"/>
      <c r="Q86" s="181"/>
      <c r="R86" s="208"/>
      <c r="S86" s="200"/>
      <c r="T86" s="200"/>
      <c r="U86" s="116"/>
      <c r="V86" s="200"/>
      <c r="W86" s="190"/>
      <c r="X86" s="200"/>
      <c r="Y86" s="116"/>
      <c r="Z86" s="200"/>
      <c r="AA86" s="116"/>
      <c r="AB86" s="113"/>
      <c r="AC86" s="113"/>
      <c r="AD86" s="113"/>
      <c r="AE86" s="113"/>
      <c r="AF86" s="113"/>
    </row>
    <row r="87" spans="4:32" x14ac:dyDescent="0.25">
      <c r="D87" s="113"/>
      <c r="E87" s="195" t="s">
        <v>35</v>
      </c>
      <c r="F87" s="151">
        <f t="shared" si="0"/>
        <v>0</v>
      </c>
      <c r="G87" s="196">
        <f t="shared" ref="G87:G102" si="2">IFERROR(F87/$F$85,0)</f>
        <v>0</v>
      </c>
      <c r="H87" s="196"/>
      <c r="I87" s="151">
        <f t="shared" si="1"/>
        <v>0</v>
      </c>
      <c r="J87" s="197">
        <f t="shared" ref="J87:J102" si="3">IFERROR(I87/$I$85,0)</f>
        <v>0</v>
      </c>
      <c r="K87" s="113"/>
      <c r="L87" s="120" t="s">
        <v>68</v>
      </c>
      <c r="M87" s="193">
        <f>cobertura_total</f>
        <v>12602.005302768144</v>
      </c>
      <c r="N87" s="194">
        <f>M87/M88</f>
        <v>1.9349682190254222E-2</v>
      </c>
      <c r="O87" s="113"/>
      <c r="P87" s="588"/>
      <c r="Q87" s="533"/>
      <c r="R87" s="208"/>
      <c r="S87" s="200"/>
      <c r="T87" s="200"/>
      <c r="U87" s="116"/>
      <c r="V87" s="200"/>
      <c r="W87" s="190"/>
      <c r="X87" s="200"/>
      <c r="Y87" s="116"/>
      <c r="Z87" s="200"/>
      <c r="AA87" s="116"/>
      <c r="AB87" s="113"/>
      <c r="AC87" s="113"/>
      <c r="AD87" s="113"/>
      <c r="AE87" s="113"/>
      <c r="AF87" s="113"/>
    </row>
    <row r="88" spans="4:32" x14ac:dyDescent="0.25">
      <c r="D88" s="113"/>
      <c r="E88" s="195" t="s">
        <v>666</v>
      </c>
      <c r="F88" s="151">
        <f t="shared" si="0"/>
        <v>0</v>
      </c>
      <c r="G88" s="196">
        <f t="shared" ref="G88:G91" si="4">IFERROR(F88/$F$85,0)</f>
        <v>0</v>
      </c>
      <c r="H88" s="196"/>
      <c r="I88" s="151">
        <f t="shared" si="1"/>
        <v>0</v>
      </c>
      <c r="J88" s="197">
        <f t="shared" ref="J88:J91" si="5">IFERROR(I88/$I$85,0)</f>
        <v>0</v>
      </c>
      <c r="K88" s="113"/>
      <c r="L88" s="120" t="s">
        <v>81</v>
      </c>
      <c r="M88" s="122">
        <f>SUM(M86:M87)</f>
        <v>651277.12067102303</v>
      </c>
      <c r="N88" s="596" t="str">
        <f>IFERROR(IF(ABS(liquido_com_MN_total-mn_total-mb_total-M88)&lt;0.01,"ok","ERRO"),"ERRO")</f>
        <v>ok</v>
      </c>
      <c r="O88" s="113"/>
      <c r="P88" s="87"/>
      <c r="Q88" s="436"/>
      <c r="R88" s="541"/>
      <c r="S88" s="200"/>
      <c r="T88" s="200"/>
      <c r="U88" s="116"/>
      <c r="V88" s="200"/>
      <c r="W88" s="190"/>
      <c r="X88" s="200"/>
      <c r="Y88" s="116"/>
      <c r="Z88" s="200"/>
      <c r="AA88" s="116"/>
      <c r="AB88" s="113"/>
      <c r="AC88" s="113"/>
      <c r="AD88" s="113"/>
      <c r="AE88" s="113"/>
      <c r="AF88" s="113"/>
    </row>
    <row r="89" spans="4:32" x14ac:dyDescent="0.25">
      <c r="D89" s="113"/>
      <c r="E89" s="195" t="s">
        <v>667</v>
      </c>
      <c r="F89" s="151">
        <f t="shared" si="0"/>
        <v>0</v>
      </c>
      <c r="G89" s="196">
        <f t="shared" si="4"/>
        <v>0</v>
      </c>
      <c r="H89" s="196"/>
      <c r="I89" s="151">
        <f t="shared" si="1"/>
        <v>0</v>
      </c>
      <c r="J89" s="197">
        <f t="shared" si="5"/>
        <v>0</v>
      </c>
      <c r="K89" s="113"/>
      <c r="L89" s="120" t="s">
        <v>591</v>
      </c>
      <c r="M89" s="87"/>
      <c r="N89" s="87"/>
      <c r="O89" s="113"/>
      <c r="P89" s="87"/>
      <c r="Q89" s="436"/>
      <c r="R89" s="541"/>
      <c r="S89" s="116"/>
      <c r="T89" s="116"/>
      <c r="U89" s="116"/>
      <c r="V89" s="200"/>
      <c r="W89" s="190"/>
      <c r="X89" s="200"/>
      <c r="Y89" s="116"/>
      <c r="Z89" s="200"/>
      <c r="AA89" s="116"/>
      <c r="AB89" s="113"/>
      <c r="AC89" s="113"/>
      <c r="AD89" s="113"/>
      <c r="AE89" s="113"/>
      <c r="AF89" s="113"/>
    </row>
    <row r="90" spans="4:32" x14ac:dyDescent="0.25">
      <c r="D90" s="113"/>
      <c r="E90" s="195" t="s">
        <v>668</v>
      </c>
      <c r="F90" s="151">
        <f t="shared" si="0"/>
        <v>219660.53416264238</v>
      </c>
      <c r="G90" s="196">
        <f t="shared" si="4"/>
        <v>0.44061921067463927</v>
      </c>
      <c r="H90" s="196"/>
      <c r="I90" s="151">
        <f t="shared" si="1"/>
        <v>264205.29464054893</v>
      </c>
      <c r="J90" s="197">
        <f t="shared" si="5"/>
        <v>0.44223752312159548</v>
      </c>
      <c r="K90" s="113"/>
      <c r="L90" s="120" t="s">
        <v>751</v>
      </c>
      <c r="M90" s="87">
        <f>N90*M93</f>
        <v>308923.407529513</v>
      </c>
      <c r="N90" s="194">
        <f>N91-over_pc</f>
        <v>0.32172801248969418</v>
      </c>
      <c r="O90" s="113"/>
      <c r="P90" s="87"/>
      <c r="Q90" s="436"/>
      <c r="R90" s="541"/>
      <c r="S90" s="116"/>
      <c r="T90" s="116"/>
      <c r="U90" s="116"/>
      <c r="V90" s="200"/>
      <c r="W90" s="190"/>
      <c r="X90" s="200"/>
      <c r="Y90" s="116"/>
      <c r="Z90" s="200"/>
      <c r="AA90" s="116"/>
      <c r="AB90" s="113"/>
      <c r="AC90" s="113"/>
      <c r="AD90" s="113"/>
      <c r="AE90" s="113"/>
      <c r="AF90" s="113"/>
    </row>
    <row r="91" spans="4:32" x14ac:dyDescent="0.25">
      <c r="D91" s="113"/>
      <c r="E91" s="195" t="s">
        <v>669</v>
      </c>
      <c r="F91" s="151">
        <f t="shared" si="0"/>
        <v>94380.000000000015</v>
      </c>
      <c r="G91" s="196">
        <f t="shared" si="4"/>
        <v>0.18931776371208023</v>
      </c>
      <c r="H91" s="196"/>
      <c r="I91" s="151">
        <f t="shared" si="1"/>
        <v>112776.61108484703</v>
      </c>
      <c r="J91" s="197">
        <f t="shared" si="5"/>
        <v>0.18877005935881722</v>
      </c>
      <c r="K91" s="113"/>
      <c r="L91" s="120" t="s">
        <v>659</v>
      </c>
      <c r="M91" s="87">
        <f>mb_total</f>
        <v>308923.407529513</v>
      </c>
      <c r="N91" s="198">
        <f>M91/$M$93</f>
        <v>0.32172801248969418</v>
      </c>
      <c r="O91" s="113" t="str">
        <f>IF(ABS(N91-mb_pc_total)&lt;0.1%,"ok","ERRO")</f>
        <v>ok</v>
      </c>
      <c r="P91" s="87"/>
      <c r="Q91" s="436"/>
      <c r="R91" s="541"/>
      <c r="S91" s="200"/>
      <c r="T91" s="200"/>
      <c r="U91" s="116"/>
      <c r="V91" s="200"/>
      <c r="W91" s="190"/>
      <c r="X91" s="200"/>
      <c r="Y91" s="116"/>
      <c r="Z91" s="200"/>
      <c r="AA91" s="116"/>
      <c r="AB91" s="113"/>
      <c r="AC91" s="113"/>
      <c r="AD91" s="113"/>
      <c r="AE91" s="113"/>
      <c r="AF91" s="113"/>
    </row>
    <row r="92" spans="4:32" x14ac:dyDescent="0.25">
      <c r="D92" s="113"/>
      <c r="E92" s="195" t="s">
        <v>34</v>
      </c>
      <c r="F92" s="151">
        <f t="shared" si="0"/>
        <v>161982.5398</v>
      </c>
      <c r="G92" s="196">
        <f t="shared" si="2"/>
        <v>0.3249223585011552</v>
      </c>
      <c r="H92" s="196"/>
      <c r="I92" s="151">
        <f t="shared" si="1"/>
        <v>193556.28198305101</v>
      </c>
      <c r="J92" s="197">
        <f t="shared" si="3"/>
        <v>0.32398234427991068</v>
      </c>
      <c r="K92" s="113"/>
      <c r="L92" s="120"/>
      <c r="M92" s="87"/>
      <c r="N92" s="198"/>
      <c r="O92" s="113"/>
      <c r="P92" s="87"/>
      <c r="Q92" s="436"/>
      <c r="R92" s="541"/>
      <c r="S92" s="200"/>
      <c r="T92" s="200"/>
      <c r="U92" s="116"/>
      <c r="V92" s="200"/>
      <c r="W92" s="190"/>
      <c r="X92" s="200"/>
      <c r="Y92" s="116"/>
      <c r="Z92" s="200"/>
      <c r="AA92" s="116"/>
      <c r="AB92" s="113"/>
      <c r="AC92" s="113"/>
      <c r="AD92" s="113"/>
      <c r="AE92" s="113"/>
      <c r="AF92" s="113"/>
    </row>
    <row r="93" spans="4:32" x14ac:dyDescent="0.25">
      <c r="D93" s="113"/>
      <c r="E93" s="195" t="s">
        <v>60</v>
      </c>
      <c r="F93" s="151">
        <f t="shared" si="0"/>
        <v>1638.41255</v>
      </c>
      <c r="G93" s="196">
        <f t="shared" si="2"/>
        <v>3.2865077347298878E-3</v>
      </c>
      <c r="H93" s="196"/>
      <c r="I93" s="151">
        <f t="shared" si="1"/>
        <v>1957.7729916071464</v>
      </c>
      <c r="J93" s="197">
        <f t="shared" si="3"/>
        <v>3.2769997278844147E-3</v>
      </c>
      <c r="K93" s="113"/>
      <c r="L93" s="120" t="s">
        <v>632</v>
      </c>
      <c r="M93" s="122">
        <f>SUM(M88,M91:M92)</f>
        <v>960200.52820053604</v>
      </c>
      <c r="N93" s="596" t="str">
        <f>IFERROR(IF(ABS(liquido_com_MN_total-mn_total-M93)&lt;0.01,"ok","ERRO"),"ERRO")</f>
        <v>ok</v>
      </c>
      <c r="O93" s="113"/>
      <c r="P93" s="87"/>
      <c r="Q93" s="536"/>
      <c r="R93" s="678"/>
      <c r="S93" s="200"/>
      <c r="T93" s="200"/>
      <c r="U93" s="116"/>
      <c r="V93" s="200"/>
      <c r="W93" s="190"/>
      <c r="X93" s="200"/>
      <c r="Y93" s="116"/>
      <c r="Z93" s="200"/>
      <c r="AA93" s="116"/>
      <c r="AB93" s="113"/>
      <c r="AC93" s="113"/>
      <c r="AD93" s="113"/>
      <c r="AE93" s="113"/>
      <c r="AF93" s="113"/>
    </row>
    <row r="94" spans="4:32" x14ac:dyDescent="0.25">
      <c r="D94" s="113"/>
      <c r="E94" s="195" t="s">
        <v>33</v>
      </c>
      <c r="F94" s="151">
        <f t="shared" si="0"/>
        <v>0</v>
      </c>
      <c r="G94" s="196">
        <f t="shared" si="2"/>
        <v>0</v>
      </c>
      <c r="H94" s="196"/>
      <c r="I94" s="151">
        <f t="shared" si="1"/>
        <v>0</v>
      </c>
      <c r="J94" s="197">
        <f t="shared" si="3"/>
        <v>0</v>
      </c>
      <c r="K94" s="113"/>
      <c r="L94" s="120" t="s">
        <v>591</v>
      </c>
      <c r="M94" s="87"/>
      <c r="N94" s="87"/>
      <c r="O94" s="113"/>
      <c r="P94" s="87"/>
      <c r="Q94" s="87"/>
      <c r="R94" s="679"/>
      <c r="S94" s="200"/>
      <c r="T94" s="200"/>
      <c r="U94" s="116"/>
      <c r="V94" s="200"/>
      <c r="W94" s="190"/>
      <c r="X94" s="200"/>
      <c r="Y94" s="116"/>
      <c r="Z94" s="200"/>
      <c r="AA94" s="116"/>
      <c r="AB94" s="113"/>
      <c r="AC94" s="113"/>
      <c r="AD94" s="113"/>
      <c r="AE94" s="113"/>
      <c r="AF94" s="113"/>
    </row>
    <row r="95" spans="4:32" x14ac:dyDescent="0.25">
      <c r="D95" s="113"/>
      <c r="E95" s="195" t="s">
        <v>36</v>
      </c>
      <c r="F95" s="151">
        <f t="shared" si="0"/>
        <v>0</v>
      </c>
      <c r="G95" s="196">
        <f t="shared" si="2"/>
        <v>0</v>
      </c>
      <c r="H95" s="196"/>
      <c r="I95" s="151">
        <f t="shared" si="1"/>
        <v>0</v>
      </c>
      <c r="J95" s="197">
        <f t="shared" si="3"/>
        <v>0</v>
      </c>
      <c r="K95" s="113"/>
      <c r="L95" s="120" t="s">
        <v>46</v>
      </c>
      <c r="M95" s="87">
        <f>Escopo!AL273</f>
        <v>0</v>
      </c>
      <c r="N95" s="202">
        <f>M95/M96</f>
        <v>0</v>
      </c>
      <c r="O95" s="113"/>
      <c r="P95" s="87"/>
      <c r="Q95" s="535"/>
      <c r="R95" s="541"/>
      <c r="S95" s="200"/>
      <c r="T95" s="200"/>
      <c r="U95" s="116"/>
      <c r="V95" s="200"/>
      <c r="W95" s="190"/>
      <c r="X95" s="200"/>
      <c r="Y95" s="116"/>
      <c r="Z95" s="200"/>
      <c r="AA95" s="116"/>
      <c r="AB95" s="113"/>
      <c r="AC95" s="113"/>
      <c r="AD95" s="113"/>
      <c r="AE95" s="113"/>
      <c r="AF95" s="113"/>
    </row>
    <row r="96" spans="4:32" x14ac:dyDescent="0.25">
      <c r="D96" s="113"/>
      <c r="E96" s="195" t="s">
        <v>32</v>
      </c>
      <c r="F96" s="151">
        <f t="shared" si="0"/>
        <v>0</v>
      </c>
      <c r="G96" s="196">
        <f t="shared" si="2"/>
        <v>0</v>
      </c>
      <c r="H96" s="196"/>
      <c r="I96" s="151">
        <f t="shared" si="1"/>
        <v>0</v>
      </c>
      <c r="J96" s="197">
        <f t="shared" si="3"/>
        <v>0</v>
      </c>
      <c r="K96" s="113"/>
      <c r="L96" s="120" t="s">
        <v>633</v>
      </c>
      <c r="M96" s="122">
        <f>M93+M95</f>
        <v>960200.52820053604</v>
      </c>
      <c r="N96" s="596" t="str">
        <f>IFERROR(IF(ABS(Escopo!AR273-M96)&lt;0.01,"ok","ERRO"),"ERRO")</f>
        <v>ok</v>
      </c>
      <c r="O96" s="204"/>
      <c r="P96" s="87"/>
      <c r="Q96" s="535"/>
      <c r="R96" s="541"/>
      <c r="S96" s="200"/>
      <c r="T96" s="200"/>
      <c r="U96" s="116"/>
      <c r="V96" s="200"/>
      <c r="W96" s="190"/>
      <c r="X96" s="200"/>
      <c r="Y96" s="116"/>
      <c r="Z96" s="200"/>
      <c r="AA96" s="116"/>
      <c r="AB96" s="113"/>
      <c r="AC96" s="113"/>
      <c r="AD96" s="113"/>
      <c r="AE96" s="113"/>
      <c r="AF96" s="113"/>
    </row>
    <row r="97" spans="4:32" x14ac:dyDescent="0.25">
      <c r="D97" s="113"/>
      <c r="E97" s="195" t="s">
        <v>31</v>
      </c>
      <c r="F97" s="151">
        <f t="shared" si="0"/>
        <v>0</v>
      </c>
      <c r="G97" s="196">
        <f t="shared" si="2"/>
        <v>0</v>
      </c>
      <c r="H97" s="196"/>
      <c r="I97" s="151">
        <f t="shared" si="1"/>
        <v>0</v>
      </c>
      <c r="J97" s="197">
        <f t="shared" si="3"/>
        <v>0</v>
      </c>
      <c r="K97" s="113"/>
      <c r="L97" s="120" t="s">
        <v>591</v>
      </c>
      <c r="M97" s="87"/>
      <c r="N97" s="87"/>
      <c r="O97" s="113"/>
      <c r="P97" s="87"/>
      <c r="Q97" s="436"/>
      <c r="R97" s="541"/>
      <c r="S97" s="515"/>
      <c r="T97" s="515"/>
      <c r="U97" s="116"/>
      <c r="V97" s="200"/>
      <c r="W97" s="190"/>
      <c r="X97" s="200"/>
      <c r="Y97" s="116"/>
      <c r="Z97" s="200"/>
      <c r="AA97" s="116"/>
      <c r="AB97" s="113"/>
      <c r="AC97" s="113"/>
      <c r="AD97" s="113"/>
      <c r="AE97" s="113"/>
      <c r="AF97" s="113"/>
    </row>
    <row r="98" spans="4:32" x14ac:dyDescent="0.25">
      <c r="D98" s="113"/>
      <c r="E98" s="195" t="s">
        <v>160</v>
      </c>
      <c r="F98" s="151">
        <f t="shared" si="0"/>
        <v>0</v>
      </c>
      <c r="G98" s="196">
        <f t="shared" si="2"/>
        <v>0</v>
      </c>
      <c r="H98" s="196"/>
      <c r="I98" s="151">
        <f t="shared" si="1"/>
        <v>0</v>
      </c>
      <c r="J98" s="197">
        <f t="shared" si="3"/>
        <v>0</v>
      </c>
      <c r="K98" s="113"/>
      <c r="L98" s="120" t="s">
        <v>74</v>
      </c>
      <c r="M98" s="87">
        <f>icms_total</f>
        <v>80497.672574675948</v>
      </c>
      <c r="N98" s="198">
        <f>M98/$M$102</f>
        <v>7.6507249973821426E-2</v>
      </c>
      <c r="O98" s="113"/>
      <c r="P98" s="87"/>
      <c r="Q98" s="436"/>
      <c r="R98" s="541"/>
      <c r="S98" s="200"/>
      <c r="T98" s="200"/>
      <c r="U98" s="116"/>
      <c r="V98" s="200"/>
      <c r="W98" s="190"/>
      <c r="X98" s="200"/>
      <c r="Y98" s="116"/>
      <c r="Z98" s="200"/>
      <c r="AA98" s="116"/>
      <c r="AB98" s="113"/>
      <c r="AC98" s="113"/>
      <c r="AD98" s="113"/>
      <c r="AE98" s="113"/>
      <c r="AF98" s="113"/>
    </row>
    <row r="99" spans="4:32" x14ac:dyDescent="0.25">
      <c r="D99" s="113"/>
      <c r="E99" s="195" t="s">
        <v>161</v>
      </c>
      <c r="F99" s="151">
        <f t="shared" si="0"/>
        <v>0</v>
      </c>
      <c r="G99" s="196">
        <f t="shared" si="2"/>
        <v>0</v>
      </c>
      <c r="H99" s="196"/>
      <c r="I99" s="151">
        <f t="shared" si="1"/>
        <v>0</v>
      </c>
      <c r="J99" s="197">
        <f t="shared" si="3"/>
        <v>0</v>
      </c>
      <c r="K99" s="113"/>
      <c r="L99" s="120" t="s">
        <v>75</v>
      </c>
      <c r="M99" s="87">
        <f>iss_total</f>
        <v>11459.243156179127</v>
      </c>
      <c r="N99" s="198">
        <f>M99/$M$102</f>
        <v>1.0891186696699699E-2</v>
      </c>
      <c r="O99" s="113"/>
      <c r="P99" s="87"/>
      <c r="Q99" s="535"/>
      <c r="R99" s="541"/>
      <c r="S99" s="200"/>
      <c r="T99" s="200"/>
      <c r="U99" s="116"/>
      <c r="V99" s="200"/>
      <c r="W99" s="190"/>
      <c r="X99" s="200"/>
      <c r="Y99" s="116"/>
      <c r="Z99" s="200"/>
      <c r="AA99" s="116"/>
      <c r="AB99" s="113"/>
      <c r="AC99" s="113"/>
      <c r="AD99" s="113"/>
      <c r="AE99" s="113"/>
      <c r="AF99" s="113"/>
    </row>
    <row r="100" spans="4:32" x14ac:dyDescent="0.25">
      <c r="D100" s="113"/>
      <c r="E100" s="195" t="s">
        <v>162</v>
      </c>
      <c r="F100" s="151">
        <f t="shared" si="0"/>
        <v>0</v>
      </c>
      <c r="G100" s="196">
        <f t="shared" si="2"/>
        <v>0</v>
      </c>
      <c r="H100" s="196"/>
      <c r="I100" s="151">
        <f t="shared" si="1"/>
        <v>0</v>
      </c>
      <c r="J100" s="197">
        <f t="shared" si="3"/>
        <v>0</v>
      </c>
      <c r="K100" s="113"/>
      <c r="L100" s="120" t="s">
        <v>76</v>
      </c>
      <c r="M100" s="87">
        <f>pis_total</f>
        <v>0</v>
      </c>
      <c r="N100" s="198">
        <f>M100/$M$102</f>
        <v>0</v>
      </c>
      <c r="O100" s="113"/>
      <c r="P100" s="87"/>
      <c r="Q100" s="436"/>
      <c r="R100" s="541"/>
      <c r="S100" s="200"/>
      <c r="T100" s="200"/>
      <c r="U100" s="116"/>
      <c r="V100" s="200"/>
      <c r="W100" s="190"/>
      <c r="X100" s="200"/>
      <c r="Y100" s="116"/>
      <c r="Z100" s="200"/>
      <c r="AA100" s="116"/>
      <c r="AB100" s="113"/>
      <c r="AC100" s="113"/>
      <c r="AD100" s="113"/>
      <c r="AE100" s="113"/>
      <c r="AF100" s="113"/>
    </row>
    <row r="101" spans="4:32" x14ac:dyDescent="0.25">
      <c r="D101" s="113"/>
      <c r="E101" s="195" t="s">
        <v>147</v>
      </c>
      <c r="F101" s="151">
        <f t="shared" si="0"/>
        <v>0</v>
      </c>
      <c r="G101" s="196">
        <f t="shared" si="2"/>
        <v>0</v>
      </c>
      <c r="H101" s="196"/>
      <c r="I101" s="151">
        <f t="shared" si="1"/>
        <v>0</v>
      </c>
      <c r="J101" s="197">
        <f t="shared" si="3"/>
        <v>0</v>
      </c>
      <c r="K101" s="113"/>
      <c r="L101" s="120" t="s">
        <v>77</v>
      </c>
      <c r="M101" s="87">
        <f>cofins_total</f>
        <v>0</v>
      </c>
      <c r="N101" s="198">
        <f>M101/$M$102</f>
        <v>0</v>
      </c>
      <c r="O101" s="113"/>
      <c r="P101" s="87"/>
      <c r="Q101" s="436"/>
      <c r="R101" s="541"/>
      <c r="S101" s="200"/>
      <c r="T101" s="200"/>
      <c r="U101" s="116"/>
      <c r="V101" s="200"/>
      <c r="W101" s="190"/>
      <c r="X101" s="200"/>
      <c r="Y101" s="116"/>
      <c r="Z101" s="200"/>
      <c r="AA101" s="116"/>
      <c r="AB101" s="113"/>
      <c r="AC101" s="113"/>
      <c r="AD101" s="113"/>
      <c r="AE101" s="113"/>
      <c r="AF101" s="113"/>
    </row>
    <row r="102" spans="4:32" x14ac:dyDescent="0.25">
      <c r="D102" s="113"/>
      <c r="E102" s="195" t="s">
        <v>148</v>
      </c>
      <c r="F102" s="151">
        <f t="shared" si="0"/>
        <v>0</v>
      </c>
      <c r="G102" s="196">
        <f t="shared" si="2"/>
        <v>0</v>
      </c>
      <c r="H102" s="196"/>
      <c r="I102" s="151">
        <f t="shared" si="1"/>
        <v>0</v>
      </c>
      <c r="J102" s="197">
        <f t="shared" si="3"/>
        <v>0</v>
      </c>
      <c r="K102" s="113"/>
      <c r="L102" s="120" t="s">
        <v>634</v>
      </c>
      <c r="M102" s="122">
        <f>SUM(M96,M98:M101)</f>
        <v>1052157.4439313912</v>
      </c>
      <c r="N102" s="596" t="str">
        <f>IFERROR(IF(ABS(bruto_sem_ipi-M102)&lt;0.01,"ok","ERRO"),"ERRO")</f>
        <v>ok</v>
      </c>
      <c r="O102" s="113"/>
      <c r="P102" s="87"/>
      <c r="Q102" s="436"/>
      <c r="R102" s="541"/>
      <c r="S102" s="200"/>
      <c r="T102" s="200"/>
      <c r="U102" s="116"/>
      <c r="V102" s="200"/>
      <c r="W102" s="190"/>
      <c r="X102" s="200"/>
      <c r="Y102" s="116"/>
      <c r="Z102" s="200"/>
      <c r="AA102" s="116"/>
      <c r="AB102" s="113"/>
      <c r="AC102" s="113"/>
      <c r="AD102" s="113"/>
      <c r="AE102" s="113"/>
      <c r="AF102" s="113"/>
    </row>
    <row r="103" spans="4:32" x14ac:dyDescent="0.25">
      <c r="D103" s="113"/>
      <c r="E103" s="199" t="s">
        <v>154</v>
      </c>
      <c r="F103" s="576">
        <f>SUM(F104:F107)</f>
        <v>62339.199999999997</v>
      </c>
      <c r="G103" s="577">
        <f>IFERROR(F103/$F$123,0)</f>
        <v>9.5718393939235522E-2</v>
      </c>
      <c r="H103" s="577"/>
      <c r="I103" s="576">
        <f>SUM(I104:I107)</f>
        <v>170953.47739734198</v>
      </c>
      <c r="J103" s="583">
        <f>IFERROR(I103/$I$123,0)</f>
        <v>0.17803934946559272</v>
      </c>
      <c r="K103" s="113"/>
      <c r="L103" s="120" t="s">
        <v>591</v>
      </c>
      <c r="M103" s="87"/>
      <c r="N103" s="87"/>
      <c r="O103" s="113"/>
      <c r="P103" s="87"/>
      <c r="Q103" s="436"/>
      <c r="R103" s="541"/>
      <c r="S103" s="200"/>
      <c r="T103" s="200"/>
      <c r="U103" s="116"/>
      <c r="V103" s="200"/>
      <c r="W103" s="190"/>
      <c r="X103" s="200"/>
      <c r="Y103" s="116"/>
      <c r="Z103" s="200"/>
      <c r="AA103" s="116"/>
      <c r="AB103" s="113"/>
      <c r="AC103" s="113"/>
      <c r="AD103" s="113"/>
      <c r="AE103" s="113"/>
      <c r="AF103" s="113"/>
    </row>
    <row r="104" spans="4:32" x14ac:dyDescent="0.25">
      <c r="D104" s="113"/>
      <c r="E104" s="195" t="s">
        <v>155</v>
      </c>
      <c r="F104" s="151">
        <f>SUMIF(col_tipoWBS,E104,col_custoTotal)</f>
        <v>17459.2</v>
      </c>
      <c r="G104" s="196">
        <f>IFERROR(F104/$F$103,0)</f>
        <v>0.2800677583286279</v>
      </c>
      <c r="H104" s="196"/>
      <c r="I104" s="151">
        <f>SUMIF(col_tipoWBS,E104,col_PLcomMN)</f>
        <v>51513.023366499554</v>
      </c>
      <c r="J104" s="197">
        <f>IFERROR(I104/$I$103,0)</f>
        <v>0.30132773050746081</v>
      </c>
      <c r="K104" s="113"/>
      <c r="L104" s="120" t="s">
        <v>78</v>
      </c>
      <c r="M104" s="87">
        <f>ipi_total</f>
        <v>631.26606354624096</v>
      </c>
      <c r="N104" s="87"/>
      <c r="O104" s="113"/>
      <c r="P104" s="87"/>
      <c r="Q104" s="436"/>
      <c r="R104" s="541"/>
      <c r="S104" s="200"/>
      <c r="T104" s="200"/>
      <c r="U104" s="116"/>
      <c r="V104" s="200"/>
      <c r="W104" s="190"/>
      <c r="X104" s="200"/>
      <c r="Y104" s="116"/>
      <c r="Z104" s="200"/>
      <c r="AA104" s="116"/>
      <c r="AB104" s="113"/>
      <c r="AC104" s="113"/>
      <c r="AD104" s="113"/>
      <c r="AE104" s="113"/>
      <c r="AF104" s="113"/>
    </row>
    <row r="105" spans="4:32" x14ac:dyDescent="0.25">
      <c r="D105" s="113"/>
      <c r="E105" s="195" t="s">
        <v>156</v>
      </c>
      <c r="F105" s="151">
        <f>SUMIF(col_tipoWBS,E105,col_custoTotal)</f>
        <v>18744</v>
      </c>
      <c r="G105" s="196">
        <f>IFERROR(F105/$F$103,0)</f>
        <v>0.30067758328627897</v>
      </c>
      <c r="H105" s="196"/>
      <c r="I105" s="151">
        <f>SUMIF(col_tipoWBS,E105,col_PLcomMN)</f>
        <v>55303.800287623009</v>
      </c>
      <c r="J105" s="197">
        <f>IFERROR(I105/$I$103,0)</f>
        <v>0.32350204938553001</v>
      </c>
      <c r="K105" s="113"/>
      <c r="L105" s="120" t="s">
        <v>635</v>
      </c>
      <c r="M105" s="122">
        <f>M102+M104</f>
        <v>1052788.7099949375</v>
      </c>
      <c r="N105" s="596" t="str">
        <f>IFERROR(IF(ABS(bruto-M105)&lt;0.01,"ok","ERRO"),"ERRO")</f>
        <v>ok</v>
      </c>
      <c r="O105" s="188" t="str">
        <f>IF(AND(comissao_check,risco_check,cf_check,frete_check,nopat_check),"","&lt; forçar macros !!")</f>
        <v/>
      </c>
      <c r="P105" s="87"/>
      <c r="Q105" s="436"/>
      <c r="R105" s="541"/>
      <c r="S105" s="200"/>
      <c r="T105" s="200"/>
      <c r="U105" s="116"/>
      <c r="V105" s="200"/>
      <c r="W105" s="190"/>
      <c r="X105" s="200"/>
      <c r="Y105" s="116"/>
      <c r="Z105" s="200"/>
      <c r="AA105" s="116"/>
      <c r="AB105" s="113"/>
      <c r="AC105" s="113"/>
      <c r="AD105" s="113"/>
      <c r="AE105" s="113"/>
      <c r="AF105" s="113"/>
    </row>
    <row r="106" spans="4:32" x14ac:dyDescent="0.25">
      <c r="D106" s="113"/>
      <c r="E106" s="195" t="s">
        <v>158</v>
      </c>
      <c r="F106" s="151">
        <f>SUMIF(col_tipoWBS,E106,col_custoTotal)</f>
        <v>7392.0000000000009</v>
      </c>
      <c r="G106" s="196">
        <f>IFERROR(F106/$F$103,0)</f>
        <v>0.11857707509881425</v>
      </c>
      <c r="H106" s="196"/>
      <c r="I106" s="151">
        <f>SUMIF(col_tipoWBS,E106,col_PLcomMN)</f>
        <v>8832.8534555964106</v>
      </c>
      <c r="J106" s="197">
        <f>IFERROR(I106/$I$103,0)</f>
        <v>5.1668170721479258E-2</v>
      </c>
      <c r="K106" s="113"/>
      <c r="L106" s="113" t="s">
        <v>591</v>
      </c>
      <c r="M106" s="87"/>
      <c r="N106" s="87"/>
      <c r="O106" s="113"/>
      <c r="P106" s="87"/>
      <c r="Q106" s="436"/>
      <c r="R106" s="541"/>
      <c r="S106" s="200"/>
      <c r="T106" s="200"/>
      <c r="U106" s="116"/>
      <c r="V106" s="200"/>
      <c r="W106" s="190"/>
      <c r="X106" s="200"/>
      <c r="Y106" s="116"/>
      <c r="Z106" s="200"/>
      <c r="AA106" s="116"/>
      <c r="AB106" s="113"/>
      <c r="AC106" s="113"/>
      <c r="AD106" s="113"/>
      <c r="AE106" s="113"/>
      <c r="AF106" s="113"/>
    </row>
    <row r="107" spans="4:32" x14ac:dyDescent="0.25">
      <c r="D107" s="113"/>
      <c r="E107" s="195" t="s">
        <v>784</v>
      </c>
      <c r="F107" s="151">
        <f>SUMIF(col_tipoWBS,E107,col_custoTotal)</f>
        <v>18744</v>
      </c>
      <c r="G107" s="196">
        <f>IFERROR(F107/$F$103,0)</f>
        <v>0.30067758328627897</v>
      </c>
      <c r="H107" s="196"/>
      <c r="I107" s="151">
        <f>SUMIF(col_tipoWBS,E107,col_PLcomMN)</f>
        <v>55303.800287623009</v>
      </c>
      <c r="J107" s="197">
        <f>IFERROR(I107/$I$103,0)</f>
        <v>0.32350204938553001</v>
      </c>
      <c r="K107" s="113"/>
      <c r="L107" s="120" t="s">
        <v>79</v>
      </c>
      <c r="M107" s="87">
        <f>difal_total</f>
        <v>0</v>
      </c>
      <c r="N107" s="202">
        <f>M107/$M$109</f>
        <v>0</v>
      </c>
      <c r="O107" s="113"/>
      <c r="P107" s="87"/>
      <c r="Q107" s="436"/>
      <c r="R107" s="541"/>
      <c r="S107" s="200"/>
      <c r="T107" s="200"/>
      <c r="U107" s="116"/>
      <c r="V107" s="200"/>
      <c r="W107" s="190"/>
      <c r="X107" s="200"/>
      <c r="Y107" s="116"/>
      <c r="Z107" s="200"/>
      <c r="AA107" s="116"/>
      <c r="AB107" s="113"/>
      <c r="AC107" s="113"/>
      <c r="AD107" s="113"/>
      <c r="AE107" s="113"/>
      <c r="AF107" s="113"/>
    </row>
    <row r="108" spans="4:32" x14ac:dyDescent="0.25">
      <c r="D108" s="113"/>
      <c r="E108" s="199" t="s">
        <v>153</v>
      </c>
      <c r="F108" s="576">
        <f>SUM(F109:F113)</f>
        <v>27632</v>
      </c>
      <c r="G108" s="577">
        <f>IFERROR(F108/$F$123,0)</f>
        <v>4.2427407816092534E-2</v>
      </c>
      <c r="H108" s="577"/>
      <c r="I108" s="576">
        <f>SUM(I109:I113)</f>
        <v>81527.668029641442</v>
      </c>
      <c r="J108" s="583">
        <f t="shared" ref="J108:J113" si="6">IFERROR(I108/$I$123,0)</f>
        <v>8.4906918539639192E-2</v>
      </c>
      <c r="K108" s="113"/>
      <c r="L108" s="120" t="s">
        <v>80</v>
      </c>
      <c r="M108" s="87">
        <f>st_total</f>
        <v>0</v>
      </c>
      <c r="N108" s="202">
        <f>M108/$M$109</f>
        <v>0</v>
      </c>
      <c r="O108" s="113"/>
      <c r="P108" s="87"/>
      <c r="Q108" s="436"/>
      <c r="R108" s="541"/>
      <c r="S108" s="200"/>
      <c r="T108" s="200"/>
      <c r="U108" s="116"/>
      <c r="V108" s="200"/>
      <c r="W108" s="190"/>
      <c r="X108" s="200"/>
      <c r="Y108" s="116"/>
      <c r="Z108" s="200"/>
      <c r="AA108" s="116"/>
      <c r="AB108" s="113"/>
      <c r="AC108" s="113"/>
      <c r="AD108" s="113"/>
      <c r="AE108" s="113"/>
      <c r="AF108" s="113"/>
    </row>
    <row r="109" spans="4:32" x14ac:dyDescent="0.25">
      <c r="D109" s="113"/>
      <c r="E109" s="195" t="s">
        <v>149</v>
      </c>
      <c r="F109" s="151">
        <f t="shared" ref="F109:F116" si="7">SUMIF(col_tipoWBS,E109,col_custoTotal)</f>
        <v>2640</v>
      </c>
      <c r="G109" s="196">
        <f>IFERROR(F109/$F$108,0)</f>
        <v>9.5541401273885357E-2</v>
      </c>
      <c r="H109" s="196"/>
      <c r="I109" s="151">
        <f t="shared" ref="I109:I116" si="8">SUMIF(col_tipoWBS,E109,col_PLcomMN)</f>
        <v>7789.267646144086</v>
      </c>
      <c r="J109" s="197">
        <f t="shared" si="6"/>
        <v>8.1121259751247617E-3</v>
      </c>
      <c r="K109" s="113"/>
      <c r="L109" s="120" t="s">
        <v>663</v>
      </c>
      <c r="M109" s="122">
        <f>SUM(M105,M107:M108)</f>
        <v>1052788.7099949375</v>
      </c>
      <c r="N109" s="596" t="str">
        <f>IFERROR(IF(ABS(bruto_com_st+bruto_com_difal-2*bruto-M107-M108)&lt;0.01,"ok","ERRO"),"ERRO")</f>
        <v>ok</v>
      </c>
      <c r="O109" s="113"/>
      <c r="P109" s="87"/>
      <c r="Q109" s="436"/>
      <c r="R109" s="541"/>
      <c r="S109" s="200"/>
      <c r="T109" s="200"/>
      <c r="U109" s="116"/>
      <c r="V109" s="200"/>
      <c r="W109" s="190"/>
      <c r="X109" s="200"/>
      <c r="Y109" s="116"/>
      <c r="Z109" s="200"/>
      <c r="AA109" s="116"/>
      <c r="AB109" s="113"/>
      <c r="AC109" s="113"/>
      <c r="AD109" s="113"/>
      <c r="AE109" s="113"/>
      <c r="AF109" s="113"/>
    </row>
    <row r="110" spans="4:32" x14ac:dyDescent="0.25">
      <c r="D110" s="113"/>
      <c r="E110" s="195" t="s">
        <v>152</v>
      </c>
      <c r="F110" s="151">
        <f t="shared" si="7"/>
        <v>0</v>
      </c>
      <c r="G110" s="196">
        <f>IFERROR(F110/$F$108,0)</f>
        <v>0</v>
      </c>
      <c r="H110" s="196"/>
      <c r="I110" s="151">
        <f t="shared" si="8"/>
        <v>0</v>
      </c>
      <c r="J110" s="197">
        <f t="shared" si="6"/>
        <v>0</v>
      </c>
      <c r="K110" s="113"/>
      <c r="L110" s="120" t="s">
        <v>591</v>
      </c>
      <c r="M110" s="87"/>
      <c r="N110" s="87"/>
      <c r="O110" s="113"/>
      <c r="P110" s="87"/>
      <c r="Q110" s="436"/>
      <c r="R110" s="541"/>
      <c r="S110" s="200"/>
      <c r="T110" s="200"/>
      <c r="U110" s="116"/>
      <c r="V110" s="200"/>
      <c r="W110" s="190"/>
      <c r="X110" s="200"/>
      <c r="Y110" s="116"/>
      <c r="Z110" s="200"/>
      <c r="AA110" s="116"/>
      <c r="AB110" s="113"/>
      <c r="AC110" s="113"/>
      <c r="AD110" s="113"/>
      <c r="AE110" s="113"/>
      <c r="AF110" s="113"/>
    </row>
    <row r="111" spans="4:32" x14ac:dyDescent="0.25">
      <c r="D111" s="113"/>
      <c r="E111" s="195" t="s">
        <v>670</v>
      </c>
      <c r="F111" s="151">
        <f t="shared" si="7"/>
        <v>0</v>
      </c>
      <c r="G111" s="196">
        <f>IFERROR(F111/$F$108,0)</f>
        <v>0</v>
      </c>
      <c r="H111" s="196"/>
      <c r="I111" s="151">
        <f t="shared" si="8"/>
        <v>0</v>
      </c>
      <c r="J111" s="197">
        <f t="shared" si="6"/>
        <v>0</v>
      </c>
      <c r="K111" s="113"/>
      <c r="L111" s="438" t="s">
        <v>664</v>
      </c>
      <c r="M111" s="533">
        <f>fd_com_mn</f>
        <v>0</v>
      </c>
      <c r="N111" s="202">
        <f>M111/M112</f>
        <v>0</v>
      </c>
      <c r="O111" s="113"/>
      <c r="P111" s="815" t="s">
        <v>752</v>
      </c>
      <c r="Q111" s="816">
        <f>M91</f>
        <v>308923.407529513</v>
      </c>
      <c r="R111" s="823">
        <f>Q111/Q112</f>
        <v>0.32172801248969418</v>
      </c>
      <c r="S111" s="200"/>
      <c r="T111" s="200"/>
      <c r="U111" s="116"/>
      <c r="V111" s="200"/>
      <c r="W111" s="190"/>
      <c r="X111" s="200"/>
      <c r="Y111" s="116"/>
      <c r="Z111" s="200"/>
      <c r="AA111" s="116"/>
      <c r="AB111" s="113"/>
      <c r="AC111" s="113"/>
      <c r="AD111" s="113"/>
      <c r="AE111" s="113"/>
      <c r="AF111" s="113"/>
    </row>
    <row r="112" spans="4:32" x14ac:dyDescent="0.25">
      <c r="D112" s="113"/>
      <c r="E112" s="195" t="s">
        <v>150</v>
      </c>
      <c r="F112" s="151">
        <f t="shared" si="7"/>
        <v>0</v>
      </c>
      <c r="G112" s="196">
        <f>IFERROR(F112/$F$108,0)</f>
        <v>0</v>
      </c>
      <c r="H112" s="196"/>
      <c r="I112" s="151">
        <f t="shared" si="8"/>
        <v>0</v>
      </c>
      <c r="J112" s="197">
        <f t="shared" si="6"/>
        <v>0</v>
      </c>
      <c r="K112" s="113"/>
      <c r="L112" s="120" t="s">
        <v>665</v>
      </c>
      <c r="M112" s="122">
        <f>M109+M111</f>
        <v>1052788.7099949375</v>
      </c>
      <c r="N112" s="87"/>
      <c r="O112" s="113"/>
      <c r="P112" s="815" t="s">
        <v>1024</v>
      </c>
      <c r="Q112" s="816">
        <f>M96</f>
        <v>960200.52820053604</v>
      </c>
      <c r="R112" s="541"/>
      <c r="S112" s="200"/>
      <c r="T112" s="200"/>
      <c r="U112" s="116"/>
      <c r="V112" s="200"/>
      <c r="W112" s="190"/>
      <c r="X112" s="200"/>
      <c r="Y112" s="116"/>
      <c r="Z112" s="200"/>
      <c r="AA112" s="116"/>
      <c r="AB112" s="113"/>
      <c r="AC112" s="113"/>
      <c r="AD112" s="113"/>
      <c r="AE112" s="113"/>
      <c r="AF112" s="113"/>
    </row>
    <row r="113" spans="4:32" x14ac:dyDescent="0.25">
      <c r="D113" s="113"/>
      <c r="E113" s="195" t="s">
        <v>151</v>
      </c>
      <c r="F113" s="151">
        <f t="shared" si="7"/>
        <v>24992</v>
      </c>
      <c r="G113" s="196">
        <f>IFERROR(F113/$F$108,0)</f>
        <v>0.90445859872611467</v>
      </c>
      <c r="H113" s="196"/>
      <c r="I113" s="151">
        <f t="shared" si="8"/>
        <v>73738.400383497356</v>
      </c>
      <c r="J113" s="197">
        <f t="shared" si="6"/>
        <v>7.6794792564514422E-2</v>
      </c>
      <c r="K113" s="113"/>
      <c r="L113" s="120"/>
      <c r="M113" s="87"/>
      <c r="N113" s="87"/>
      <c r="O113" s="113"/>
      <c r="P113" s="815" t="s">
        <v>1025</v>
      </c>
      <c r="Q113" s="816">
        <f>M109</f>
        <v>1052788.7099949375</v>
      </c>
      <c r="R113" s="541"/>
      <c r="S113" s="200"/>
      <c r="T113" s="200"/>
      <c r="U113" s="116"/>
      <c r="V113" s="811"/>
      <c r="W113" s="811"/>
      <c r="X113" s="811"/>
      <c r="Y113" s="813"/>
      <c r="Z113" s="200"/>
      <c r="AA113" s="116"/>
      <c r="AB113" s="113"/>
      <c r="AC113" s="113"/>
      <c r="AD113" s="113"/>
      <c r="AE113" s="113"/>
      <c r="AF113" s="113"/>
    </row>
    <row r="114" spans="4:32" x14ac:dyDescent="0.25">
      <c r="D114" s="113"/>
      <c r="E114" s="199" t="s">
        <v>30</v>
      </c>
      <c r="F114" s="576">
        <f t="shared" si="7"/>
        <v>3124</v>
      </c>
      <c r="G114" s="577">
        <f>IFERROR(F114/$F$123,0)</f>
        <v>4.7967292276155579E-3</v>
      </c>
      <c r="H114" s="577"/>
      <c r="I114" s="576">
        <f t="shared" si="8"/>
        <v>12161.526280681121</v>
      </c>
      <c r="J114" s="583">
        <f>I114/$I$123</f>
        <v>1.2665610904705946E-2</v>
      </c>
      <c r="K114" s="113"/>
      <c r="L114" s="120"/>
      <c r="M114" s="87"/>
      <c r="N114" s="87"/>
      <c r="O114" s="113"/>
      <c r="P114" s="815" t="s">
        <v>1136</v>
      </c>
      <c r="Q114" s="816">
        <f>M111</f>
        <v>0</v>
      </c>
      <c r="R114" s="823">
        <f>Q114/Q115</f>
        <v>0</v>
      </c>
      <c r="S114" s="200"/>
      <c r="T114" s="200"/>
      <c r="U114" s="116"/>
      <c r="V114" s="811"/>
      <c r="W114" s="811"/>
      <c r="X114" s="812"/>
      <c r="Y114" s="814"/>
      <c r="Z114" s="200"/>
      <c r="AA114" s="116"/>
      <c r="AB114" s="113"/>
      <c r="AC114" s="113"/>
      <c r="AD114" s="113"/>
      <c r="AE114" s="113"/>
      <c r="AF114" s="113"/>
    </row>
    <row r="115" spans="4:32" x14ac:dyDescent="0.25">
      <c r="D115" s="113"/>
      <c r="E115" s="199" t="s">
        <v>29</v>
      </c>
      <c r="F115" s="576">
        <f t="shared" si="7"/>
        <v>32650</v>
      </c>
      <c r="G115" s="577">
        <f>IFERROR(F115/$F$123,0)</f>
        <v>5.0132269296302163E-2</v>
      </c>
      <c r="H115" s="577"/>
      <c r="I115" s="576">
        <f t="shared" si="8"/>
        <v>55633.590957775967</v>
      </c>
      <c r="J115" s="583">
        <f>I115/$I$123</f>
        <v>5.7939554628277594E-2</v>
      </c>
      <c r="K115" s="113"/>
      <c r="L115" s="120" t="s">
        <v>636</v>
      </c>
      <c r="M115" s="514" t="s">
        <v>665</v>
      </c>
      <c r="N115" s="87"/>
      <c r="O115" s="113"/>
      <c r="P115" s="815" t="s">
        <v>1137</v>
      </c>
      <c r="Q115" s="817">
        <f>SUM(Q113:Q114)</f>
        <v>1052788.7099949375</v>
      </c>
      <c r="R115" s="541"/>
      <c r="S115" s="200"/>
      <c r="T115" s="200"/>
      <c r="U115" s="116"/>
      <c r="V115" s="200"/>
      <c r="W115" s="190"/>
      <c r="X115" s="200"/>
      <c r="Y115" s="116"/>
      <c r="Z115" s="200"/>
      <c r="AA115" s="116"/>
      <c r="AB115" s="113"/>
      <c r="AC115" s="113"/>
      <c r="AD115" s="113"/>
      <c r="AE115" s="113"/>
      <c r="AF115" s="113"/>
    </row>
    <row r="116" spans="4:32" x14ac:dyDescent="0.25">
      <c r="D116" s="113"/>
      <c r="E116" s="199" t="s">
        <v>28</v>
      </c>
      <c r="F116" s="576">
        <f t="shared" si="7"/>
        <v>0</v>
      </c>
      <c r="G116" s="577">
        <f>IFERROR(F116/$F$123,0)</f>
        <v>0</v>
      </c>
      <c r="H116" s="577"/>
      <c r="I116" s="576">
        <f t="shared" si="8"/>
        <v>0</v>
      </c>
      <c r="J116" s="583">
        <f>I116/$I$123</f>
        <v>0</v>
      </c>
      <c r="K116" s="113"/>
      <c r="L116" s="120" t="str">
        <f>A10</f>
        <v xml:space="preserve">Ref. Alternativa </v>
      </c>
      <c r="M116" s="597"/>
      <c r="N116" s="87"/>
      <c r="O116" s="113"/>
      <c r="P116" s="87"/>
      <c r="Q116" s="536"/>
      <c r="R116" s="541"/>
      <c r="S116" s="200"/>
      <c r="T116" s="200"/>
      <c r="U116" s="116"/>
      <c r="V116" s="200"/>
      <c r="W116" s="190"/>
      <c r="X116" s="200"/>
      <c r="Y116" s="116"/>
      <c r="Z116" s="200"/>
      <c r="AA116" s="116"/>
      <c r="AB116" s="113"/>
      <c r="AC116" s="113"/>
      <c r="AD116" s="113"/>
      <c r="AE116" s="113"/>
      <c r="AF116" s="113"/>
    </row>
    <row r="117" spans="4:32" x14ac:dyDescent="0.25">
      <c r="D117" s="113"/>
      <c r="E117" s="203" t="s">
        <v>42</v>
      </c>
      <c r="F117" s="576">
        <f>Escopo!AF273</f>
        <v>12602.005302768144</v>
      </c>
      <c r="G117" s="577">
        <f>IFERROR(F117/$F$123,0)</f>
        <v>1.9349682190254226E-2</v>
      </c>
      <c r="H117" s="577"/>
      <c r="I117" s="578"/>
      <c r="J117" s="579"/>
      <c r="K117" s="113"/>
      <c r="L117" s="120" t="s">
        <v>637</v>
      </c>
      <c r="M117" s="287">
        <f>VLOOKUP(M115,L86:M116,2,FALSE)</f>
        <v>1052788.7099949375</v>
      </c>
      <c r="N117" s="87"/>
      <c r="O117" s="113"/>
      <c r="P117" s="87"/>
      <c r="Q117" s="537"/>
      <c r="R117" s="541"/>
      <c r="S117" s="200"/>
      <c r="T117" s="200"/>
      <c r="U117" s="116"/>
      <c r="V117" s="200"/>
      <c r="W117" s="190"/>
      <c r="X117" s="200"/>
      <c r="Y117" s="116"/>
      <c r="Z117" s="200"/>
      <c r="AA117" s="116"/>
      <c r="AB117" s="113"/>
      <c r="AC117" s="113"/>
      <c r="AD117" s="113"/>
      <c r="AE117" s="113"/>
      <c r="AF117" s="113"/>
    </row>
    <row r="118" spans="4:32" x14ac:dyDescent="0.25">
      <c r="D118" s="113"/>
      <c r="E118" s="205" t="s">
        <v>43</v>
      </c>
      <c r="F118" s="151">
        <f>IFERROR((frete_seguro_pc/cobertura_pc)*F117,0)</f>
        <v>3000.0000135833125</v>
      </c>
      <c r="G118" s="196">
        <f>IFERROR(F118/$F$117,0)</f>
        <v>0.23805735210445716</v>
      </c>
      <c r="H118" s="196"/>
      <c r="I118" s="151"/>
      <c r="J118" s="206"/>
      <c r="K118" s="113"/>
      <c r="L118" s="120" t="s">
        <v>354</v>
      </c>
      <c r="M118" s="322">
        <v>1052788.71</v>
      </c>
      <c r="N118" s="87"/>
      <c r="O118" s="113"/>
      <c r="P118" s="87"/>
      <c r="Q118" s="436"/>
      <c r="R118" s="541"/>
      <c r="S118" s="200"/>
      <c r="T118" s="200"/>
      <c r="U118" s="116"/>
      <c r="V118" s="200"/>
      <c r="W118" s="190"/>
      <c r="X118" s="200"/>
      <c r="Y118" s="116"/>
      <c r="Z118" s="200"/>
      <c r="AA118" s="116"/>
      <c r="AB118" s="113"/>
      <c r="AC118" s="113"/>
      <c r="AD118" s="113"/>
      <c r="AE118" s="113"/>
      <c r="AF118" s="113"/>
    </row>
    <row r="119" spans="4:32" ht="13.8" x14ac:dyDescent="0.25">
      <c r="D119" s="113"/>
      <c r="E119" s="205" t="s">
        <v>44</v>
      </c>
      <c r="F119" s="151">
        <f>IFERROR((garantia_pc/cobertura_pc)*F117,0)</f>
        <v>9602.0052820053606</v>
      </c>
      <c r="G119" s="196">
        <f>IFERROR(F119/$F$117,0)</f>
        <v>0.76194264732583417</v>
      </c>
      <c r="H119" s="196"/>
      <c r="I119" s="151"/>
      <c r="J119" s="206"/>
      <c r="K119" s="113"/>
      <c r="L119" s="532" t="s">
        <v>675</v>
      </c>
      <c r="M119" s="534">
        <f>M117-target_valor</f>
        <v>-5.0624366849660873E-6</v>
      </c>
      <c r="N119" s="87"/>
      <c r="O119" s="113"/>
      <c r="P119" s="87"/>
      <c r="Q119" s="436"/>
      <c r="R119" s="541"/>
      <c r="S119" s="200"/>
      <c r="T119" s="200"/>
      <c r="U119" s="116"/>
      <c r="V119" s="200"/>
      <c r="W119" s="190"/>
      <c r="X119" s="200"/>
      <c r="Y119" s="116"/>
      <c r="Z119" s="200"/>
      <c r="AA119" s="116"/>
      <c r="AB119" s="113"/>
      <c r="AC119" s="113"/>
      <c r="AD119" s="113"/>
      <c r="AE119" s="113"/>
      <c r="AF119" s="113"/>
    </row>
    <row r="120" spans="4:32" x14ac:dyDescent="0.25">
      <c r="D120" s="113"/>
      <c r="E120" s="205" t="s">
        <v>41</v>
      </c>
      <c r="F120" s="151">
        <f>IFERROR((cf_pc/cobertura_pc)*F117,0)</f>
        <v>9.8262399388642805E-7</v>
      </c>
      <c r="G120" s="196">
        <f>IFERROR(F120/$F$117,0)</f>
        <v>7.7973621679923096E-11</v>
      </c>
      <c r="H120" s="196"/>
      <c r="I120" s="151"/>
      <c r="J120" s="206"/>
      <c r="K120" s="113"/>
      <c r="L120" s="120"/>
      <c r="M120" s="602" t="b">
        <f>IF(ABS(target_delta)&lt;0.005,TRUE,FALSE)</f>
        <v>1</v>
      </c>
      <c r="N120" s="87"/>
      <c r="O120" s="113"/>
      <c r="P120" s="87"/>
      <c r="Q120" s="436"/>
      <c r="R120" s="541"/>
      <c r="S120" s="200"/>
      <c r="T120" s="200"/>
      <c r="U120" s="116"/>
      <c r="V120" s="200"/>
      <c r="W120" s="190"/>
      <c r="X120" s="200"/>
      <c r="Y120" s="116"/>
      <c r="Z120" s="200"/>
      <c r="AA120" s="116"/>
      <c r="AB120" s="113"/>
      <c r="AC120" s="113"/>
      <c r="AD120" s="113"/>
      <c r="AE120" s="113"/>
      <c r="AF120" s="113"/>
    </row>
    <row r="121" spans="4:32" x14ac:dyDescent="0.25">
      <c r="D121" s="113"/>
      <c r="E121" s="205" t="s">
        <v>45</v>
      </c>
      <c r="F121" s="151">
        <f>IFERROR((risco_pc/cobertura_pc)*F117,0)</f>
        <v>6.1968484011391635E-6</v>
      </c>
      <c r="G121" s="196">
        <f>IFERROR(F121/$F$117,0)</f>
        <v>4.9173510502951226E-10</v>
      </c>
      <c r="H121" s="196"/>
      <c r="I121" s="151"/>
      <c r="J121" s="206"/>
      <c r="K121" s="113"/>
      <c r="L121" s="120"/>
      <c r="M121" s="87"/>
      <c r="N121" s="87"/>
      <c r="O121" s="113"/>
      <c r="P121" s="87"/>
      <c r="Q121" s="538"/>
      <c r="R121" s="542"/>
      <c r="S121" s="201"/>
      <c r="T121" s="201"/>
      <c r="U121" s="116"/>
      <c r="V121" s="201"/>
      <c r="W121" s="190"/>
      <c r="X121" s="201"/>
      <c r="Y121" s="116"/>
      <c r="Z121" s="201"/>
      <c r="AA121" s="116"/>
      <c r="AB121" s="113"/>
      <c r="AC121" s="113"/>
      <c r="AD121" s="113"/>
      <c r="AE121" s="113"/>
      <c r="AF121" s="113"/>
    </row>
    <row r="122" spans="4:32" x14ac:dyDescent="0.25">
      <c r="D122" s="113"/>
      <c r="E122" s="207" t="s">
        <v>26</v>
      </c>
      <c r="F122" s="580">
        <f>SUMIF(col_tipoWBS,E122,col_custoTotal)</f>
        <v>14403.004055612413</v>
      </c>
      <c r="G122" s="581">
        <f>IFERROR(F122/$F$123,0)</f>
        <v>2.2115016171261676E-2</v>
      </c>
      <c r="H122" s="581"/>
      <c r="I122" s="580">
        <f>SUMIF(col_tipoWBS,E122,col_PLcomMN)</f>
        <v>42495.77784002418</v>
      </c>
      <c r="J122" s="582">
        <f>I122/$I$123</f>
        <v>4.4257190651273016E-2</v>
      </c>
      <c r="K122" s="113"/>
      <c r="L122" s="120" t="s">
        <v>631</v>
      </c>
      <c r="M122" s="784">
        <v>0.2958955375187991</v>
      </c>
      <c r="N122" s="87"/>
      <c r="O122" s="113"/>
      <c r="P122" s="87"/>
      <c r="Q122" s="436"/>
      <c r="R122" s="541"/>
      <c r="S122" s="200"/>
      <c r="T122" s="200"/>
      <c r="U122" s="116"/>
      <c r="V122" s="200"/>
      <c r="W122" s="190"/>
      <c r="X122" s="200"/>
      <c r="Y122" s="116"/>
      <c r="Z122" s="200"/>
      <c r="AA122" s="116"/>
      <c r="AB122" s="113"/>
      <c r="AC122" s="113"/>
      <c r="AD122" s="113"/>
      <c r="AE122" s="113"/>
      <c r="AF122" s="113"/>
    </row>
    <row r="123" spans="4:32" x14ac:dyDescent="0.25">
      <c r="D123" s="113"/>
      <c r="E123" s="113"/>
      <c r="F123" s="141">
        <f>SUM(F85,F103,F108,F114:F117,F122:F122)</f>
        <v>651277.12067102292</v>
      </c>
      <c r="G123" s="141"/>
      <c r="H123" s="141"/>
      <c r="I123" s="141">
        <f>SUM(I85,I103,I108,I114:I117,I122:I122)</f>
        <v>960200.52820053615</v>
      </c>
      <c r="J123" s="575"/>
      <c r="K123" s="113"/>
      <c r="L123" s="113"/>
      <c r="M123" s="113"/>
      <c r="N123" s="113"/>
      <c r="O123" s="113"/>
      <c r="P123" s="87"/>
      <c r="Q123" s="436"/>
      <c r="R123" s="541"/>
      <c r="S123" s="200"/>
      <c r="T123" s="200"/>
      <c r="U123" s="116"/>
      <c r="V123" s="200"/>
      <c r="W123" s="190"/>
      <c r="X123" s="200"/>
      <c r="Y123" s="116"/>
      <c r="Z123" s="200"/>
      <c r="AA123" s="116"/>
      <c r="AB123" s="113"/>
      <c r="AC123" s="113"/>
      <c r="AD123" s="113"/>
      <c r="AE123" s="113"/>
      <c r="AF123" s="113"/>
    </row>
    <row r="124" spans="4:32" x14ac:dyDescent="0.25">
      <c r="D124" s="113"/>
      <c r="E124" s="113"/>
      <c r="F124" s="595" t="str">
        <f>IFERROR(IF(ABS(custo_total+cobertura_total-F123)&lt;0.01,"ok","ERRO"),"ERRO")</f>
        <v>ok</v>
      </c>
      <c r="G124" s="120"/>
      <c r="H124" s="120"/>
      <c r="I124" s="595" t="str">
        <f>IFERROR(IF(ABS(liquido_com_MN_total-I123)&lt;0.01,"ok","ERRO"),"ERRO")</f>
        <v>ok</v>
      </c>
      <c r="J124" s="120"/>
      <c r="K124" s="113"/>
      <c r="L124" s="120"/>
      <c r="M124" s="87"/>
      <c r="N124" s="503"/>
      <c r="O124" s="113"/>
      <c r="P124" s="87"/>
      <c r="Q124" s="436"/>
      <c r="R124" s="541"/>
      <c r="S124" s="200"/>
      <c r="T124" s="200"/>
      <c r="U124" s="116"/>
      <c r="V124" s="200"/>
      <c r="W124" s="190"/>
      <c r="X124" s="200"/>
      <c r="Y124" s="116"/>
      <c r="Z124" s="200"/>
      <c r="AA124" s="116"/>
      <c r="AB124" s="113"/>
      <c r="AC124" s="113"/>
      <c r="AD124" s="113"/>
      <c r="AE124" s="113"/>
      <c r="AF124" s="113"/>
    </row>
    <row r="125" spans="4:32" x14ac:dyDescent="0.25">
      <c r="D125" s="113"/>
      <c r="E125" s="113"/>
      <c r="F125" s="113"/>
      <c r="G125" s="113"/>
      <c r="H125" s="113"/>
      <c r="I125" s="113"/>
      <c r="J125" s="120"/>
      <c r="K125" s="113"/>
      <c r="L125" s="120"/>
      <c r="M125" s="830"/>
      <c r="N125" s="807"/>
      <c r="O125" s="113"/>
      <c r="P125" s="87"/>
      <c r="Q125" s="436"/>
      <c r="R125" s="541"/>
      <c r="S125" s="200"/>
      <c r="T125" s="200"/>
      <c r="U125" s="116"/>
      <c r="V125" s="200"/>
      <c r="W125" s="190"/>
      <c r="X125" s="200"/>
      <c r="Y125" s="116"/>
      <c r="Z125" s="200"/>
      <c r="AA125" s="116"/>
      <c r="AB125" s="113"/>
      <c r="AC125" s="113"/>
      <c r="AD125" s="113"/>
      <c r="AE125" s="113"/>
      <c r="AF125" s="113"/>
    </row>
    <row r="126" spans="4:32" x14ac:dyDescent="0.25">
      <c r="D126" s="113"/>
      <c r="E126" s="113"/>
      <c r="F126" s="120"/>
      <c r="G126" s="120"/>
      <c r="H126" s="120"/>
      <c r="I126" s="120"/>
      <c r="J126" s="120"/>
      <c r="K126" s="120"/>
      <c r="L126" s="120"/>
      <c r="M126" s="87"/>
      <c r="N126" s="503"/>
      <c r="O126" s="113"/>
      <c r="P126" s="87"/>
      <c r="Q126" s="436"/>
      <c r="R126" s="543"/>
      <c r="S126" s="190"/>
      <c r="T126" s="190"/>
      <c r="U126" s="116"/>
      <c r="V126" s="190"/>
      <c r="W126" s="190"/>
      <c r="X126" s="190"/>
      <c r="Y126" s="116"/>
      <c r="Z126" s="190"/>
      <c r="AA126" s="116"/>
      <c r="AB126" s="113"/>
      <c r="AC126" s="113"/>
      <c r="AD126" s="113"/>
      <c r="AE126" s="113"/>
      <c r="AF126" s="113"/>
    </row>
    <row r="127" spans="4:32" x14ac:dyDescent="0.25">
      <c r="D127" s="113"/>
      <c r="E127" s="113"/>
      <c r="F127" s="113"/>
      <c r="G127" s="113"/>
      <c r="H127" s="113"/>
      <c r="I127" s="113"/>
      <c r="J127" s="120"/>
      <c r="K127" s="113"/>
      <c r="L127" s="120"/>
      <c r="M127" s="87"/>
      <c r="N127" s="503"/>
      <c r="O127" s="113"/>
      <c r="P127" s="87"/>
      <c r="Q127" s="436"/>
      <c r="R127" s="541"/>
      <c r="S127" s="200"/>
      <c r="T127" s="200"/>
      <c r="U127" s="116"/>
      <c r="V127" s="200"/>
      <c r="W127" s="190"/>
      <c r="X127" s="200"/>
      <c r="Y127" s="116"/>
      <c r="Z127" s="200"/>
      <c r="AA127" s="116"/>
      <c r="AB127" s="113"/>
      <c r="AC127" s="113"/>
      <c r="AD127" s="113"/>
      <c r="AE127" s="113"/>
      <c r="AF127" s="113"/>
    </row>
    <row r="128" spans="4:32" x14ac:dyDescent="0.25">
      <c r="D128" s="113"/>
      <c r="E128" s="602">
        <f>F122-F81</f>
        <v>-3.8673956260026898E-3</v>
      </c>
      <c r="F128" s="113"/>
      <c r="G128" s="177"/>
      <c r="H128" s="113"/>
      <c r="I128" s="113"/>
      <c r="J128" s="120"/>
      <c r="K128" s="113"/>
      <c r="L128" s="113"/>
      <c r="M128" s="113"/>
      <c r="N128" s="113"/>
      <c r="O128" s="113"/>
      <c r="P128" s="87"/>
      <c r="Q128" s="436"/>
      <c r="R128" s="541"/>
      <c r="S128" s="200"/>
      <c r="T128" s="200"/>
      <c r="U128" s="116"/>
      <c r="V128" s="200"/>
      <c r="W128" s="190"/>
      <c r="X128" s="200"/>
      <c r="Y128" s="116"/>
      <c r="Z128" s="200"/>
      <c r="AA128" s="116"/>
      <c r="AB128" s="113"/>
      <c r="AC128" s="113"/>
      <c r="AD128" s="113"/>
      <c r="AE128" s="113"/>
      <c r="AF128" s="113"/>
    </row>
    <row r="129" spans="1:32" x14ac:dyDescent="0.25">
      <c r="D129" s="113"/>
      <c r="E129" s="178">
        <v>14403.004055612413</v>
      </c>
      <c r="F129" s="113"/>
      <c r="G129" s="177"/>
      <c r="H129" s="113"/>
      <c r="I129" s="113"/>
      <c r="J129" s="120"/>
      <c r="K129" s="113"/>
      <c r="L129" s="120" t="s">
        <v>672</v>
      </c>
      <c r="M129" s="213" t="s">
        <v>52</v>
      </c>
      <c r="N129" s="113"/>
      <c r="O129" s="113"/>
      <c r="P129" s="87"/>
      <c r="Q129" s="436"/>
      <c r="R129" s="541"/>
      <c r="S129" s="200"/>
      <c r="T129" s="200"/>
      <c r="U129" s="116"/>
      <c r="V129" s="200"/>
      <c r="W129" s="190"/>
      <c r="X129" s="200"/>
      <c r="Y129" s="116"/>
      <c r="Z129" s="200"/>
      <c r="AA129" s="116"/>
      <c r="AB129" s="113"/>
      <c r="AC129" s="113"/>
      <c r="AD129" s="113"/>
      <c r="AE129" s="113"/>
      <c r="AF129" s="113"/>
    </row>
    <row r="130" spans="1:32" x14ac:dyDescent="0.25">
      <c r="D130" s="113"/>
      <c r="E130" s="602" t="b">
        <f>IF(ABS(comissao_delta)&lt;0.01,TRUE,FALSE)</f>
        <v>1</v>
      </c>
      <c r="F130" s="113"/>
      <c r="G130" s="177"/>
      <c r="H130" s="113"/>
      <c r="I130" s="113"/>
      <c r="J130" s="120"/>
      <c r="K130" s="113"/>
      <c r="L130" s="120" t="s">
        <v>671</v>
      </c>
      <c r="M130" s="216">
        <v>3000</v>
      </c>
      <c r="N130" s="87"/>
      <c r="O130" s="113"/>
      <c r="P130" s="87"/>
      <c r="Q130" s="436"/>
      <c r="R130" s="543"/>
      <c r="S130" s="190"/>
      <c r="T130" s="190"/>
      <c r="U130" s="116"/>
      <c r="V130" s="190"/>
      <c r="W130" s="190"/>
      <c r="X130" s="190"/>
      <c r="Y130" s="116"/>
      <c r="Z130" s="190"/>
      <c r="AA130" s="116"/>
      <c r="AB130" s="113"/>
      <c r="AC130" s="113"/>
      <c r="AD130" s="113"/>
      <c r="AE130" s="113"/>
      <c r="AF130" s="113"/>
    </row>
    <row r="131" spans="1:32" ht="13.8" x14ac:dyDescent="0.25">
      <c r="D131" s="113"/>
      <c r="E131" s="113"/>
      <c r="F131" s="113"/>
      <c r="G131" s="177"/>
      <c r="H131" s="113"/>
      <c r="I131" s="113"/>
      <c r="J131" s="120"/>
      <c r="K131" s="113"/>
      <c r="L131" s="532" t="s">
        <v>675</v>
      </c>
      <c r="M131" s="288">
        <f>F74-M130</f>
        <v>1.3583312465925701E-5</v>
      </c>
      <c r="N131" s="87"/>
      <c r="O131" s="113"/>
      <c r="P131" s="87"/>
      <c r="Q131" s="436"/>
      <c r="R131" s="541"/>
      <c r="S131" s="200"/>
      <c r="T131" s="200"/>
      <c r="U131" s="116"/>
      <c r="V131" s="200"/>
      <c r="W131" s="190"/>
      <c r="X131" s="200"/>
      <c r="Y131" s="116"/>
      <c r="Z131" s="200"/>
      <c r="AA131" s="116"/>
      <c r="AB131" s="113"/>
      <c r="AC131" s="113"/>
      <c r="AD131" s="113"/>
      <c r="AE131" s="113"/>
      <c r="AF131" s="113"/>
    </row>
    <row r="132" spans="1:32" x14ac:dyDescent="0.25">
      <c r="D132" s="113"/>
      <c r="E132" s="602">
        <f>exposicao-F77</f>
        <v>-6.1968484011391635E-6</v>
      </c>
      <c r="F132" s="113"/>
      <c r="G132" s="177"/>
      <c r="H132" s="113"/>
      <c r="I132" s="113"/>
      <c r="J132" s="120"/>
      <c r="K132" s="113"/>
      <c r="L132" s="120"/>
      <c r="M132" s="603" t="b">
        <f>IF(AND(ForcarFrete=TRUE,ABS(frete_delta)&gt;0.1),FALSE,TRUE)</f>
        <v>1</v>
      </c>
      <c r="N132" s="113"/>
      <c r="O132" s="113"/>
      <c r="P132" s="87"/>
      <c r="Q132" s="436"/>
      <c r="R132" s="541"/>
      <c r="S132" s="200"/>
      <c r="T132" s="200"/>
      <c r="U132" s="116"/>
      <c r="V132" s="200"/>
      <c r="W132" s="190"/>
      <c r="X132" s="200"/>
      <c r="Y132" s="116"/>
      <c r="Z132" s="200"/>
      <c r="AA132" s="116"/>
      <c r="AB132" s="113"/>
      <c r="AC132" s="113"/>
      <c r="AD132" s="113"/>
      <c r="AE132" s="113"/>
      <c r="AF132" s="113"/>
    </row>
    <row r="133" spans="1:32" x14ac:dyDescent="0.25">
      <c r="D133" s="113"/>
      <c r="E133" s="183">
        <v>6.4537023456468724E-12</v>
      </c>
      <c r="F133" s="113"/>
      <c r="G133" s="177"/>
      <c r="H133" s="113"/>
      <c r="I133" s="113"/>
      <c r="J133" s="120"/>
      <c r="K133" s="113"/>
      <c r="L133" s="120"/>
      <c r="M133" s="113"/>
      <c r="N133" s="113"/>
      <c r="O133" s="113"/>
      <c r="P133" s="87"/>
      <c r="Q133" s="436"/>
      <c r="R133" s="541"/>
      <c r="S133" s="200"/>
      <c r="T133" s="200"/>
      <c r="U133" s="116"/>
      <c r="V133" s="200"/>
      <c r="W133" s="190"/>
      <c r="X133" s="200"/>
      <c r="Y133" s="116"/>
      <c r="Z133" s="200"/>
      <c r="AA133" s="116"/>
      <c r="AB133" s="113"/>
      <c r="AC133" s="113"/>
      <c r="AD133" s="113"/>
      <c r="AE133" s="113"/>
      <c r="AF133" s="113"/>
    </row>
    <row r="134" spans="1:32" x14ac:dyDescent="0.25">
      <c r="D134" s="113"/>
      <c r="E134" s="602" t="b">
        <f>IF(ABS(risco_delta)&lt;0.01,TRUE,FALSE)</f>
        <v>1</v>
      </c>
      <c r="F134" s="113"/>
      <c r="G134" s="177"/>
      <c r="H134" s="113"/>
      <c r="I134" s="113"/>
      <c r="J134" s="120"/>
      <c r="K134" s="113"/>
      <c r="L134" s="120" t="s">
        <v>673</v>
      </c>
      <c r="M134" s="213" t="s">
        <v>53</v>
      </c>
      <c r="N134" s="113"/>
      <c r="O134" s="113"/>
      <c r="P134" s="87"/>
      <c r="Q134" s="436"/>
      <c r="R134" s="543"/>
      <c r="S134" s="190"/>
      <c r="T134" s="190"/>
      <c r="U134" s="116"/>
      <c r="V134" s="190"/>
      <c r="W134" s="190"/>
      <c r="X134" s="190"/>
      <c r="Y134" s="116"/>
      <c r="Z134" s="190"/>
      <c r="AA134" s="116"/>
      <c r="AB134" s="113"/>
      <c r="AC134" s="113"/>
      <c r="AD134" s="113"/>
      <c r="AE134" s="113"/>
      <c r="AF134" s="113"/>
    </row>
    <row r="135" spans="1:32" x14ac:dyDescent="0.25">
      <c r="D135" s="113"/>
      <c r="E135" s="113"/>
      <c r="F135" s="113"/>
      <c r="G135" s="177"/>
      <c r="H135" s="113"/>
      <c r="I135" s="113"/>
      <c r="J135" s="120"/>
      <c r="K135" s="113"/>
      <c r="L135" s="120" t="s">
        <v>674</v>
      </c>
      <c r="M135" s="211"/>
      <c r="N135" s="87"/>
      <c r="O135" s="113"/>
      <c r="P135" s="87"/>
      <c r="Q135" s="115"/>
      <c r="R135" s="540"/>
      <c r="S135" s="116"/>
      <c r="T135" s="116"/>
      <c r="U135" s="116"/>
      <c r="V135" s="116"/>
      <c r="W135" s="116"/>
      <c r="X135" s="116"/>
      <c r="Y135" s="116"/>
      <c r="Z135" s="116"/>
      <c r="AA135" s="116"/>
      <c r="AB135" s="113"/>
      <c r="AC135" s="113"/>
      <c r="AD135" s="113"/>
      <c r="AE135" s="113"/>
      <c r="AF135" s="113"/>
    </row>
    <row r="136" spans="1:32" s="531" customFormat="1" ht="12.75" customHeight="1" x14ac:dyDescent="0.25">
      <c r="A136" s="689"/>
      <c r="B136" s="689"/>
      <c r="C136" s="689"/>
      <c r="D136" s="113"/>
      <c r="E136" s="819">
        <f>F120-1.2%*3*F87</f>
        <v>9.8262399388642805E-7</v>
      </c>
      <c r="F136" s="113"/>
      <c r="G136" s="177"/>
      <c r="H136" s="113"/>
      <c r="I136" s="113"/>
      <c r="J136" s="120"/>
      <c r="K136" s="113"/>
      <c r="L136" s="532" t="s">
        <v>675</v>
      </c>
      <c r="M136" s="287">
        <f>IFERROR((R91/M135-1)*1000,0)</f>
        <v>0</v>
      </c>
      <c r="N136" s="113"/>
      <c r="O136" s="113"/>
      <c r="P136" s="87"/>
      <c r="Q136" s="115"/>
      <c r="R136" s="540"/>
      <c r="S136" s="116"/>
      <c r="T136" s="116"/>
      <c r="U136" s="116"/>
      <c r="V136" s="116"/>
      <c r="W136" s="116"/>
      <c r="X136" s="116"/>
      <c r="Y136" s="116"/>
      <c r="Z136" s="116"/>
      <c r="AA136" s="116"/>
      <c r="AB136" s="113"/>
      <c r="AC136" s="113"/>
      <c r="AD136" s="113"/>
      <c r="AE136" s="113"/>
      <c r="AF136" s="113"/>
    </row>
    <row r="137" spans="1:32" ht="12.75" customHeight="1" x14ac:dyDescent="0.25">
      <c r="D137" s="113"/>
      <c r="E137" s="183">
        <v>1.0233528987199317E-12</v>
      </c>
      <c r="F137" s="113"/>
      <c r="G137" s="177"/>
      <c r="H137" s="113"/>
      <c r="I137" s="113"/>
      <c r="J137" s="120"/>
      <c r="K137" s="113"/>
      <c r="L137" s="113"/>
      <c r="M137" s="603" t="b">
        <f>IF(AND(ForcarNOPAT=TRUE,ABS(nopat_delta)&gt;0.1),FALSE,TRUE)</f>
        <v>1</v>
      </c>
      <c r="N137" s="113"/>
      <c r="O137" s="113"/>
      <c r="P137" s="87"/>
      <c r="Q137" s="115"/>
      <c r="R137" s="540"/>
      <c r="S137" s="116"/>
      <c r="T137" s="116"/>
      <c r="U137" s="116"/>
      <c r="V137" s="116"/>
      <c r="W137" s="116"/>
      <c r="X137" s="116"/>
      <c r="Y137" s="116"/>
      <c r="Z137" s="116"/>
      <c r="AA137" s="116"/>
      <c r="AB137" s="113"/>
      <c r="AC137" s="113"/>
      <c r="AD137" s="113"/>
      <c r="AE137" s="113"/>
      <c r="AF137" s="113"/>
    </row>
    <row r="138" spans="1:32" ht="12.75" customHeight="1" x14ac:dyDescent="0.25">
      <c r="D138" s="113"/>
      <c r="E138" s="602" t="b">
        <f>IF(ABS(cf_delta)&lt;0.01,TRUE,FALSE)</f>
        <v>1</v>
      </c>
      <c r="F138" s="113"/>
      <c r="G138" s="177"/>
      <c r="H138" s="113"/>
      <c r="I138" s="113"/>
      <c r="J138" s="120"/>
      <c r="K138" s="113"/>
      <c r="L138" s="113"/>
      <c r="M138" s="113"/>
      <c r="N138" s="113"/>
      <c r="O138" s="113"/>
      <c r="P138" s="87"/>
      <c r="Q138" s="115"/>
      <c r="R138" s="540"/>
      <c r="S138" s="116"/>
      <c r="T138" s="116"/>
      <c r="U138" s="116"/>
      <c r="V138" s="116"/>
      <c r="W138" s="116"/>
      <c r="X138" s="116"/>
      <c r="Y138" s="116"/>
      <c r="Z138" s="116"/>
      <c r="AA138" s="116"/>
      <c r="AB138" s="113"/>
      <c r="AC138" s="113"/>
      <c r="AD138" s="113"/>
      <c r="AE138" s="113"/>
      <c r="AF138" s="113"/>
    </row>
    <row r="139" spans="1:32" ht="12.75" customHeight="1" x14ac:dyDescent="0.25">
      <c r="D139" s="113"/>
      <c r="E139" s="113"/>
      <c r="F139" s="113"/>
      <c r="G139" s="113"/>
      <c r="H139" s="113"/>
      <c r="I139" s="113"/>
      <c r="J139" s="120"/>
      <c r="K139" s="113"/>
      <c r="L139" s="113"/>
      <c r="M139" s="113"/>
      <c r="N139" s="113"/>
      <c r="O139" s="113"/>
      <c r="P139" s="87"/>
      <c r="Q139" s="115"/>
      <c r="R139" s="540"/>
      <c r="S139" s="116"/>
      <c r="T139" s="116"/>
      <c r="U139" s="116"/>
      <c r="V139" s="116"/>
      <c r="W139" s="116"/>
      <c r="X139" s="116"/>
      <c r="Y139" s="116"/>
      <c r="Z139" s="116"/>
      <c r="AA139" s="116"/>
      <c r="AB139" s="113"/>
      <c r="AC139" s="113"/>
      <c r="AD139" s="113"/>
      <c r="AE139" s="113"/>
      <c r="AF139" s="113"/>
    </row>
    <row r="140" spans="1:32" ht="12.75" customHeight="1" x14ac:dyDescent="0.25">
      <c r="D140" s="113"/>
      <c r="E140" s="113"/>
      <c r="F140" s="113"/>
      <c r="G140" s="113"/>
      <c r="H140" s="113"/>
      <c r="I140" s="113"/>
      <c r="J140" s="120"/>
      <c r="K140" s="113"/>
      <c r="L140" s="113"/>
      <c r="M140" s="113"/>
      <c r="N140" s="113"/>
      <c r="O140" s="113"/>
      <c r="P140" s="87"/>
      <c r="Q140" s="115"/>
      <c r="R140" s="540"/>
      <c r="S140" s="116"/>
      <c r="T140" s="116"/>
      <c r="U140" s="116"/>
      <c r="V140" s="116"/>
      <c r="W140" s="116"/>
      <c r="X140" s="116"/>
      <c r="Y140" s="116"/>
      <c r="Z140" s="116"/>
      <c r="AA140" s="116"/>
      <c r="AB140" s="113"/>
      <c r="AC140" s="113"/>
      <c r="AD140" s="113"/>
      <c r="AE140" s="113"/>
      <c r="AF140" s="113"/>
    </row>
    <row r="141" spans="1:32" ht="12.75" customHeight="1" x14ac:dyDescent="0.25">
      <c r="D141" s="113"/>
      <c r="E141" s="113"/>
      <c r="F141" s="113"/>
      <c r="G141" s="113"/>
      <c r="H141" s="113"/>
      <c r="I141" s="113"/>
      <c r="J141" s="120"/>
      <c r="K141" s="113"/>
      <c r="L141" s="113"/>
      <c r="M141" s="113"/>
      <c r="N141" s="113"/>
      <c r="O141" s="113"/>
      <c r="P141" s="87"/>
      <c r="Q141" s="115"/>
      <c r="R141" s="540"/>
      <c r="S141" s="116"/>
      <c r="T141" s="116"/>
      <c r="U141" s="116"/>
      <c r="V141" s="116"/>
      <c r="W141" s="116"/>
      <c r="X141" s="116"/>
      <c r="Y141" s="116"/>
      <c r="Z141" s="116"/>
      <c r="AA141" s="116"/>
      <c r="AB141" s="113"/>
      <c r="AC141" s="113"/>
      <c r="AD141" s="113"/>
      <c r="AE141" s="113"/>
      <c r="AF141" s="113"/>
    </row>
    <row r="142" spans="1:32" s="113" customFormat="1" ht="12.75" customHeight="1" x14ac:dyDescent="0.25">
      <c r="J142" s="120"/>
      <c r="P142" s="87"/>
      <c r="Q142" s="115"/>
      <c r="R142" s="540"/>
      <c r="S142" s="116"/>
      <c r="T142" s="116"/>
      <c r="U142" s="116"/>
      <c r="V142" s="116"/>
      <c r="W142" s="116"/>
      <c r="X142" s="116"/>
      <c r="Y142" s="116"/>
      <c r="Z142" s="116"/>
      <c r="AA142" s="116"/>
    </row>
    <row r="143" spans="1:32" s="113" customFormat="1" ht="12.75" customHeight="1" x14ac:dyDescent="0.25">
      <c r="J143" s="120"/>
      <c r="P143" s="87"/>
      <c r="Q143" s="115"/>
      <c r="R143" s="540"/>
      <c r="S143" s="116"/>
      <c r="T143" s="116"/>
      <c r="U143" s="116"/>
      <c r="V143" s="116"/>
      <c r="W143" s="116"/>
      <c r="X143" s="116"/>
      <c r="Y143" s="116"/>
      <c r="Z143" s="116"/>
      <c r="AA143" s="116"/>
    </row>
    <row r="144" spans="1:32" s="113" customFormat="1" ht="12.75" customHeight="1" x14ac:dyDescent="0.25">
      <c r="J144" s="120"/>
      <c r="P144" s="87"/>
      <c r="Q144" s="115"/>
      <c r="R144" s="540"/>
      <c r="S144" s="116"/>
      <c r="T144" s="116"/>
      <c r="U144" s="116"/>
      <c r="V144" s="116"/>
      <c r="W144" s="116"/>
      <c r="X144" s="116"/>
      <c r="Y144" s="116"/>
      <c r="Z144" s="116"/>
      <c r="AA144" s="116"/>
    </row>
    <row r="145" spans="10:27" s="113" customFormat="1" ht="12.75" customHeight="1" x14ac:dyDescent="0.25">
      <c r="J145" s="120"/>
      <c r="P145" s="87"/>
      <c r="Q145" s="115"/>
      <c r="R145" s="540"/>
      <c r="S145" s="116"/>
      <c r="T145" s="116"/>
      <c r="U145" s="116"/>
      <c r="V145" s="116"/>
      <c r="W145" s="116"/>
      <c r="X145" s="116"/>
      <c r="Y145" s="116"/>
      <c r="Z145" s="116"/>
      <c r="AA145" s="116"/>
    </row>
    <row r="146" spans="10:27" s="113" customFormat="1" ht="12.75" customHeight="1" x14ac:dyDescent="0.25">
      <c r="J146" s="120"/>
      <c r="P146" s="87"/>
      <c r="Q146" s="115"/>
      <c r="R146" s="540"/>
      <c r="S146" s="116"/>
      <c r="T146" s="116"/>
      <c r="U146" s="116"/>
      <c r="V146" s="116"/>
      <c r="W146" s="116"/>
      <c r="X146" s="116"/>
      <c r="Y146" s="116"/>
      <c r="Z146" s="116"/>
      <c r="AA146" s="116"/>
    </row>
    <row r="147" spans="10:27" s="113" customFormat="1" ht="12.75" customHeight="1" x14ac:dyDescent="0.25">
      <c r="J147" s="120"/>
      <c r="P147" s="87"/>
      <c r="Q147" s="115"/>
      <c r="R147" s="540"/>
      <c r="S147" s="116"/>
      <c r="T147" s="116"/>
      <c r="U147" s="116"/>
      <c r="V147" s="116"/>
      <c r="W147" s="116"/>
      <c r="X147" s="116"/>
      <c r="Y147" s="116"/>
      <c r="Z147" s="116"/>
      <c r="AA147" s="116"/>
    </row>
    <row r="148" spans="10:27" s="113" customFormat="1" ht="12.75" customHeight="1" x14ac:dyDescent="0.25">
      <c r="J148" s="120"/>
      <c r="P148" s="87"/>
      <c r="Q148" s="115"/>
      <c r="R148" s="540"/>
      <c r="S148" s="116"/>
      <c r="T148" s="116"/>
      <c r="U148" s="116"/>
      <c r="V148" s="116"/>
      <c r="W148" s="116"/>
      <c r="X148" s="116"/>
      <c r="Y148" s="116"/>
      <c r="Z148" s="116"/>
      <c r="AA148" s="116"/>
    </row>
    <row r="149" spans="10:27" s="113" customFormat="1" ht="12.75" customHeight="1" x14ac:dyDescent="0.25">
      <c r="J149" s="120"/>
      <c r="P149" s="87"/>
      <c r="Q149" s="115"/>
      <c r="R149" s="540"/>
      <c r="S149" s="116"/>
      <c r="T149" s="116"/>
      <c r="U149" s="116"/>
      <c r="V149" s="116"/>
      <c r="W149" s="116"/>
      <c r="X149" s="116"/>
      <c r="Y149" s="116"/>
      <c r="Z149" s="116"/>
      <c r="AA149" s="116"/>
    </row>
    <row r="150" spans="10:27" s="113" customFormat="1" ht="12.75" customHeight="1" x14ac:dyDescent="0.25">
      <c r="J150" s="120"/>
      <c r="P150" s="87"/>
      <c r="Q150" s="115"/>
      <c r="R150" s="540"/>
      <c r="S150" s="116"/>
      <c r="T150" s="116"/>
      <c r="U150" s="116"/>
      <c r="V150" s="116"/>
      <c r="W150" s="116"/>
      <c r="X150" s="116"/>
      <c r="Y150" s="116"/>
      <c r="Z150" s="116"/>
      <c r="AA150" s="116"/>
    </row>
    <row r="151" spans="10:27" s="113" customFormat="1" x14ac:dyDescent="0.25">
      <c r="J151" s="120"/>
      <c r="P151" s="87"/>
      <c r="Q151" s="115"/>
      <c r="R151" s="540"/>
      <c r="S151" s="116"/>
      <c r="T151" s="116"/>
      <c r="U151" s="116"/>
      <c r="V151" s="116"/>
      <c r="W151" s="116"/>
      <c r="X151" s="116"/>
      <c r="Y151" s="116"/>
      <c r="Z151" s="116"/>
      <c r="AA151" s="116"/>
    </row>
    <row r="152" spans="10:27" s="113" customFormat="1" x14ac:dyDescent="0.25">
      <c r="J152" s="120"/>
      <c r="P152" s="87"/>
      <c r="Q152" s="115"/>
      <c r="R152" s="540"/>
      <c r="S152" s="116"/>
      <c r="T152" s="116"/>
      <c r="U152" s="116"/>
      <c r="V152" s="116"/>
      <c r="W152" s="116"/>
      <c r="X152" s="116"/>
      <c r="Y152" s="116"/>
      <c r="Z152" s="116"/>
      <c r="AA152" s="116"/>
    </row>
    <row r="153" spans="10:27" s="113" customFormat="1" x14ac:dyDescent="0.25">
      <c r="J153" s="120"/>
      <c r="P153" s="87"/>
      <c r="Q153" s="115"/>
      <c r="R153" s="540"/>
      <c r="S153" s="116"/>
      <c r="T153" s="116"/>
      <c r="U153" s="116"/>
      <c r="V153" s="116"/>
      <c r="W153" s="116"/>
      <c r="X153" s="116"/>
      <c r="Y153" s="116"/>
      <c r="Z153" s="116"/>
      <c r="AA153" s="116"/>
    </row>
    <row r="154" spans="10:27" s="113" customFormat="1" x14ac:dyDescent="0.25">
      <c r="J154" s="120"/>
      <c r="L154" s="120"/>
      <c r="M154" s="87"/>
      <c r="N154" s="87"/>
      <c r="P154" s="87"/>
      <c r="Q154" s="115"/>
      <c r="R154" s="540"/>
      <c r="S154" s="116"/>
      <c r="T154" s="116"/>
      <c r="U154" s="116"/>
      <c r="V154" s="116"/>
      <c r="W154" s="116"/>
      <c r="X154" s="116"/>
      <c r="Y154" s="116"/>
      <c r="Z154" s="116"/>
      <c r="AA154" s="116"/>
    </row>
    <row r="155" spans="10:27" s="113" customFormat="1" x14ac:dyDescent="0.25">
      <c r="J155" s="120"/>
      <c r="L155" s="120"/>
      <c r="M155" s="87"/>
      <c r="N155" s="87"/>
      <c r="P155" s="87"/>
      <c r="Q155" s="115"/>
      <c r="R155" s="540"/>
      <c r="S155" s="116"/>
      <c r="T155" s="116"/>
      <c r="U155" s="116"/>
      <c r="V155" s="116"/>
      <c r="W155" s="116"/>
      <c r="X155" s="116"/>
      <c r="Y155" s="116"/>
      <c r="Z155" s="116"/>
      <c r="AA155" s="116"/>
    </row>
    <row r="156" spans="10:27" s="113" customFormat="1" x14ac:dyDescent="0.25">
      <c r="J156" s="120"/>
      <c r="L156" s="120"/>
      <c r="M156" s="87"/>
      <c r="N156" s="87"/>
      <c r="P156" s="87"/>
      <c r="Q156" s="115"/>
      <c r="R156" s="540"/>
      <c r="S156" s="116"/>
      <c r="T156" s="116"/>
      <c r="U156" s="116"/>
      <c r="V156" s="116"/>
      <c r="W156" s="116"/>
      <c r="X156" s="116"/>
      <c r="Y156" s="116"/>
      <c r="Z156" s="116"/>
      <c r="AA156" s="116"/>
    </row>
    <row r="157" spans="10:27" s="113" customFormat="1" x14ac:dyDescent="0.25">
      <c r="J157" s="120"/>
      <c r="L157" s="120"/>
      <c r="M157" s="87"/>
      <c r="N157" s="87"/>
      <c r="P157" s="87"/>
      <c r="Q157" s="115"/>
      <c r="R157" s="540"/>
      <c r="S157" s="116"/>
      <c r="T157" s="116"/>
      <c r="U157" s="116"/>
      <c r="V157" s="116"/>
      <c r="W157" s="116"/>
      <c r="X157" s="116"/>
      <c r="Y157" s="116"/>
      <c r="Z157" s="116"/>
      <c r="AA157" s="116"/>
    </row>
    <row r="158" spans="10:27" s="113" customFormat="1" x14ac:dyDescent="0.25">
      <c r="J158" s="120"/>
      <c r="L158" s="120"/>
      <c r="M158" s="87"/>
      <c r="N158" s="87"/>
      <c r="P158" s="87"/>
      <c r="Q158" s="115"/>
      <c r="R158" s="540"/>
      <c r="S158" s="116"/>
      <c r="T158" s="116"/>
      <c r="U158" s="116"/>
      <c r="V158" s="116"/>
      <c r="W158" s="116"/>
      <c r="X158" s="116"/>
      <c r="Y158" s="116"/>
      <c r="Z158" s="116"/>
      <c r="AA158" s="116"/>
    </row>
    <row r="159" spans="10:27" s="113" customFormat="1" x14ac:dyDescent="0.25">
      <c r="J159" s="120"/>
      <c r="L159" s="120"/>
      <c r="M159" s="87"/>
      <c r="N159" s="87"/>
      <c r="P159" s="87"/>
      <c r="Q159" s="115"/>
      <c r="R159" s="540"/>
      <c r="S159" s="116"/>
      <c r="T159" s="116"/>
      <c r="U159" s="116"/>
      <c r="V159" s="116"/>
      <c r="W159" s="116"/>
      <c r="X159" s="116"/>
      <c r="Y159" s="116"/>
      <c r="Z159" s="116"/>
      <c r="AA159" s="116"/>
    </row>
    <row r="160" spans="10:27" s="113" customFormat="1" x14ac:dyDescent="0.25">
      <c r="J160" s="120"/>
      <c r="L160" s="120"/>
      <c r="M160" s="87"/>
      <c r="N160" s="87"/>
      <c r="P160" s="87"/>
      <c r="Q160" s="115"/>
      <c r="R160" s="540"/>
      <c r="S160" s="116"/>
      <c r="T160" s="116"/>
      <c r="U160" s="116"/>
      <c r="V160" s="116"/>
      <c r="W160" s="116"/>
      <c r="X160" s="116"/>
      <c r="Y160" s="116"/>
      <c r="Z160" s="116"/>
      <c r="AA160" s="116"/>
    </row>
    <row r="161" spans="10:27" s="113" customFormat="1" x14ac:dyDescent="0.25">
      <c r="J161" s="120"/>
      <c r="L161" s="120"/>
      <c r="M161" s="87"/>
      <c r="N161" s="87"/>
      <c r="P161" s="87"/>
      <c r="Q161" s="115"/>
      <c r="R161" s="540"/>
      <c r="S161" s="116"/>
      <c r="T161" s="116"/>
      <c r="U161" s="116"/>
      <c r="V161" s="116"/>
      <c r="W161" s="116"/>
      <c r="X161" s="116"/>
      <c r="Y161" s="116"/>
      <c r="Z161" s="116"/>
      <c r="AA161" s="116"/>
    </row>
    <row r="162" spans="10:27" s="113" customFormat="1" x14ac:dyDescent="0.25">
      <c r="J162" s="120"/>
      <c r="L162" s="120"/>
      <c r="M162" s="87"/>
      <c r="N162" s="87"/>
      <c r="P162" s="87"/>
      <c r="Q162" s="115"/>
      <c r="R162" s="540"/>
      <c r="S162" s="116"/>
      <c r="T162" s="116"/>
      <c r="U162" s="116"/>
      <c r="V162" s="116"/>
      <c r="W162" s="116"/>
      <c r="X162" s="116"/>
      <c r="Y162" s="116"/>
      <c r="Z162" s="116"/>
      <c r="AA162" s="116"/>
    </row>
    <row r="163" spans="10:27" s="113" customFormat="1" x14ac:dyDescent="0.25">
      <c r="J163" s="120"/>
      <c r="L163" s="120"/>
      <c r="M163" s="87"/>
      <c r="N163" s="87"/>
      <c r="P163" s="87"/>
      <c r="Q163" s="115"/>
      <c r="R163" s="540"/>
      <c r="S163" s="116"/>
      <c r="T163" s="116"/>
      <c r="U163" s="116"/>
      <c r="V163" s="116"/>
      <c r="W163" s="116"/>
      <c r="X163" s="116"/>
      <c r="Y163" s="116"/>
      <c r="Z163" s="116"/>
      <c r="AA163" s="116"/>
    </row>
    <row r="164" spans="10:27" s="113" customFormat="1" x14ac:dyDescent="0.25">
      <c r="J164" s="120"/>
      <c r="L164" s="120"/>
      <c r="M164" s="87"/>
      <c r="N164" s="87"/>
      <c r="P164" s="87"/>
      <c r="Q164" s="115"/>
      <c r="R164" s="540"/>
      <c r="S164" s="116"/>
      <c r="T164" s="116"/>
      <c r="U164" s="116"/>
      <c r="V164" s="116"/>
      <c r="W164" s="116"/>
      <c r="X164" s="116"/>
      <c r="Y164" s="116"/>
      <c r="Z164" s="116"/>
      <c r="AA164" s="116"/>
    </row>
    <row r="165" spans="10:27" s="113" customFormat="1" x14ac:dyDescent="0.25">
      <c r="J165" s="120"/>
      <c r="L165" s="120"/>
      <c r="M165" s="87"/>
      <c r="N165" s="87"/>
      <c r="P165" s="87"/>
      <c r="Q165" s="115"/>
      <c r="R165" s="540"/>
      <c r="S165" s="116"/>
      <c r="T165" s="116"/>
      <c r="U165" s="116"/>
      <c r="V165" s="116"/>
      <c r="W165" s="116"/>
      <c r="X165" s="116"/>
      <c r="Y165" s="116"/>
      <c r="Z165" s="116"/>
      <c r="AA165" s="116"/>
    </row>
    <row r="166" spans="10:27" s="113" customFormat="1" x14ac:dyDescent="0.25">
      <c r="J166" s="120"/>
      <c r="L166" s="120"/>
      <c r="M166" s="87"/>
      <c r="N166" s="87"/>
      <c r="P166" s="87"/>
      <c r="Q166" s="115"/>
      <c r="R166" s="540"/>
      <c r="S166" s="116"/>
      <c r="T166" s="116"/>
      <c r="U166" s="116"/>
      <c r="V166" s="116"/>
      <c r="W166" s="116"/>
      <c r="X166" s="116"/>
      <c r="Y166" s="116"/>
      <c r="Z166" s="116"/>
      <c r="AA166" s="116"/>
    </row>
    <row r="167" spans="10:27" s="113" customFormat="1" x14ac:dyDescent="0.25">
      <c r="J167" s="120"/>
      <c r="L167" s="120"/>
      <c r="M167" s="87"/>
      <c r="N167" s="87"/>
      <c r="P167" s="87"/>
      <c r="Q167" s="115"/>
      <c r="R167" s="540"/>
      <c r="S167" s="116"/>
      <c r="T167" s="116"/>
      <c r="U167" s="116"/>
      <c r="V167" s="116"/>
      <c r="W167" s="116"/>
      <c r="X167" s="116"/>
      <c r="Y167" s="116"/>
      <c r="Z167" s="116"/>
      <c r="AA167" s="116"/>
    </row>
    <row r="168" spans="10:27" s="113" customFormat="1" x14ac:dyDescent="0.25">
      <c r="J168" s="120"/>
      <c r="L168" s="120"/>
      <c r="M168" s="87"/>
      <c r="N168" s="87"/>
      <c r="P168" s="87"/>
      <c r="Q168" s="115"/>
      <c r="R168" s="540"/>
      <c r="S168" s="116"/>
      <c r="T168" s="116"/>
      <c r="U168" s="116"/>
      <c r="V168" s="116"/>
      <c r="W168" s="116"/>
      <c r="X168" s="116"/>
      <c r="Y168" s="116"/>
      <c r="Z168" s="116"/>
      <c r="AA168" s="116"/>
    </row>
    <row r="169" spans="10:27" s="113" customFormat="1" x14ac:dyDescent="0.25">
      <c r="J169" s="120"/>
      <c r="L169" s="120"/>
      <c r="M169" s="87"/>
      <c r="N169" s="87"/>
      <c r="P169" s="87"/>
      <c r="Q169" s="115"/>
      <c r="R169" s="540"/>
      <c r="S169" s="116"/>
      <c r="T169" s="116"/>
      <c r="U169" s="116"/>
      <c r="V169" s="116"/>
      <c r="W169" s="116"/>
      <c r="X169" s="116"/>
      <c r="Y169" s="116"/>
      <c r="Z169" s="116"/>
      <c r="AA169" s="116"/>
    </row>
    <row r="170" spans="10:27" s="113" customFormat="1" x14ac:dyDescent="0.25">
      <c r="J170" s="120"/>
      <c r="L170" s="120"/>
      <c r="M170" s="87"/>
      <c r="N170" s="87"/>
      <c r="P170" s="87"/>
      <c r="Q170" s="115"/>
      <c r="R170" s="540"/>
      <c r="S170" s="116"/>
      <c r="T170" s="116"/>
      <c r="U170" s="116"/>
      <c r="V170" s="116"/>
      <c r="W170" s="116"/>
      <c r="X170" s="116"/>
      <c r="Y170" s="116"/>
      <c r="Z170" s="116"/>
      <c r="AA170" s="116"/>
    </row>
    <row r="171" spans="10:27" s="113" customFormat="1" x14ac:dyDescent="0.25">
      <c r="J171" s="120"/>
      <c r="L171" s="120"/>
      <c r="M171" s="87"/>
      <c r="N171" s="87"/>
      <c r="P171" s="87"/>
      <c r="Q171" s="115"/>
      <c r="R171" s="540"/>
      <c r="S171" s="116"/>
      <c r="T171" s="116"/>
      <c r="U171" s="116"/>
      <c r="V171" s="116"/>
      <c r="W171" s="116"/>
      <c r="X171" s="116"/>
      <c r="Y171" s="116"/>
      <c r="Z171" s="116"/>
      <c r="AA171" s="116"/>
    </row>
    <row r="172" spans="10:27" s="113" customFormat="1" x14ac:dyDescent="0.25">
      <c r="J172" s="120"/>
      <c r="L172" s="120"/>
      <c r="M172" s="87"/>
      <c r="N172" s="87"/>
      <c r="P172" s="87"/>
      <c r="Q172" s="115"/>
      <c r="R172" s="540"/>
      <c r="S172" s="116"/>
      <c r="T172" s="116"/>
      <c r="U172" s="116"/>
      <c r="V172" s="116"/>
      <c r="W172" s="116"/>
      <c r="X172" s="116"/>
      <c r="Y172" s="116"/>
      <c r="Z172" s="116"/>
      <c r="AA172" s="116"/>
    </row>
    <row r="173" spans="10:27" s="113" customFormat="1" x14ac:dyDescent="0.25">
      <c r="J173" s="120"/>
      <c r="L173" s="120"/>
      <c r="M173" s="87"/>
      <c r="N173" s="87"/>
      <c r="P173" s="87"/>
      <c r="Q173" s="115"/>
      <c r="R173" s="540"/>
      <c r="S173" s="116"/>
      <c r="T173" s="116"/>
      <c r="U173" s="116"/>
      <c r="V173" s="116"/>
      <c r="W173" s="116"/>
      <c r="X173" s="116"/>
      <c r="Y173" s="116"/>
      <c r="Z173" s="116"/>
      <c r="AA173" s="116"/>
    </row>
    <row r="174" spans="10:27" s="113" customFormat="1" x14ac:dyDescent="0.25">
      <c r="J174" s="120"/>
      <c r="L174" s="120"/>
      <c r="M174" s="87"/>
      <c r="N174" s="87"/>
      <c r="P174" s="87"/>
      <c r="Q174" s="115"/>
      <c r="R174" s="540"/>
      <c r="S174" s="116"/>
      <c r="T174" s="116"/>
      <c r="U174" s="116"/>
      <c r="V174" s="116"/>
      <c r="W174" s="116"/>
      <c r="X174" s="116"/>
      <c r="Y174" s="116"/>
      <c r="Z174" s="116"/>
      <c r="AA174" s="116"/>
    </row>
    <row r="175" spans="10:27" s="113" customFormat="1" x14ac:dyDescent="0.25">
      <c r="J175" s="120"/>
      <c r="L175" s="120"/>
      <c r="M175" s="87"/>
      <c r="N175" s="87"/>
      <c r="P175" s="87"/>
      <c r="Q175" s="115"/>
      <c r="R175" s="540"/>
      <c r="S175" s="116"/>
      <c r="T175" s="116"/>
      <c r="U175" s="116"/>
      <c r="V175" s="116"/>
      <c r="W175" s="116"/>
      <c r="X175" s="116"/>
      <c r="Y175" s="116"/>
      <c r="Z175" s="116"/>
      <c r="AA175" s="116"/>
    </row>
    <row r="176" spans="10:27" s="113" customFormat="1" x14ac:dyDescent="0.25">
      <c r="J176" s="120"/>
      <c r="L176" s="120"/>
      <c r="M176" s="87"/>
      <c r="N176" s="87"/>
      <c r="P176" s="87"/>
      <c r="Q176" s="115"/>
      <c r="R176" s="540"/>
      <c r="S176" s="116"/>
      <c r="T176" s="116"/>
      <c r="U176" s="116"/>
      <c r="V176" s="116"/>
      <c r="W176" s="116"/>
      <c r="X176" s="116"/>
      <c r="Y176" s="116"/>
      <c r="Z176" s="116"/>
      <c r="AA176" s="116"/>
    </row>
    <row r="177" spans="10:27" s="113" customFormat="1" x14ac:dyDescent="0.25">
      <c r="J177" s="120"/>
      <c r="L177" s="120"/>
      <c r="M177" s="87"/>
      <c r="N177" s="87"/>
      <c r="P177" s="87"/>
      <c r="Q177" s="115"/>
      <c r="R177" s="540"/>
      <c r="S177" s="116"/>
      <c r="T177" s="116"/>
      <c r="U177" s="116"/>
      <c r="V177" s="116"/>
      <c r="W177" s="116"/>
      <c r="X177" s="116"/>
      <c r="Y177" s="116"/>
      <c r="Z177" s="116"/>
      <c r="AA177" s="116"/>
    </row>
    <row r="178" spans="10:27" s="113" customFormat="1" x14ac:dyDescent="0.25">
      <c r="J178" s="120"/>
      <c r="L178" s="120"/>
      <c r="M178" s="87"/>
      <c r="N178" s="87"/>
      <c r="P178" s="87"/>
      <c r="Q178" s="115"/>
      <c r="R178" s="540"/>
      <c r="S178" s="116"/>
      <c r="T178" s="116"/>
      <c r="U178" s="116"/>
      <c r="V178" s="116"/>
      <c r="W178" s="116"/>
      <c r="X178" s="116"/>
      <c r="Y178" s="116"/>
      <c r="Z178" s="116"/>
      <c r="AA178" s="116"/>
    </row>
    <row r="179" spans="10:27" s="113" customFormat="1" x14ac:dyDescent="0.25">
      <c r="J179" s="120"/>
      <c r="L179" s="120"/>
      <c r="M179" s="87"/>
      <c r="N179" s="87"/>
      <c r="P179" s="87"/>
      <c r="Q179" s="115"/>
      <c r="R179" s="540"/>
      <c r="S179" s="116"/>
      <c r="T179" s="116"/>
      <c r="U179" s="116"/>
      <c r="V179" s="116"/>
      <c r="W179" s="116"/>
      <c r="X179" s="116"/>
      <c r="Y179" s="116"/>
      <c r="Z179" s="116"/>
      <c r="AA179" s="116"/>
    </row>
    <row r="180" spans="10:27" s="113" customFormat="1" x14ac:dyDescent="0.25">
      <c r="J180" s="120"/>
      <c r="L180" s="120"/>
      <c r="M180" s="87"/>
      <c r="N180" s="87"/>
      <c r="P180" s="87"/>
      <c r="Q180" s="115"/>
      <c r="R180" s="540"/>
      <c r="S180" s="116"/>
      <c r="T180" s="116"/>
      <c r="U180" s="116"/>
      <c r="V180" s="116"/>
      <c r="W180" s="116"/>
      <c r="X180" s="116"/>
      <c r="Y180" s="116"/>
      <c r="Z180" s="116"/>
      <c r="AA180" s="116"/>
    </row>
    <row r="181" spans="10:27" s="113" customFormat="1" x14ac:dyDescent="0.25">
      <c r="J181" s="120"/>
      <c r="L181" s="120"/>
      <c r="M181" s="87"/>
      <c r="N181" s="87"/>
      <c r="P181" s="87"/>
      <c r="Q181" s="115"/>
      <c r="R181" s="540"/>
      <c r="S181" s="116"/>
      <c r="T181" s="116"/>
      <c r="U181" s="116"/>
      <c r="V181" s="116"/>
      <c r="W181" s="116"/>
      <c r="X181" s="116"/>
      <c r="Y181" s="116"/>
      <c r="Z181" s="116"/>
      <c r="AA181" s="116"/>
    </row>
    <row r="182" spans="10:27" s="113" customFormat="1" x14ac:dyDescent="0.25">
      <c r="J182" s="120"/>
      <c r="L182" s="120"/>
      <c r="M182" s="87"/>
      <c r="N182" s="87"/>
      <c r="P182" s="87"/>
      <c r="Q182" s="115"/>
      <c r="R182" s="540"/>
      <c r="S182" s="116"/>
      <c r="T182" s="116"/>
      <c r="U182" s="116"/>
      <c r="V182" s="116"/>
      <c r="W182" s="116"/>
      <c r="X182" s="116"/>
      <c r="Y182" s="116"/>
      <c r="Z182" s="116"/>
      <c r="AA182" s="116"/>
    </row>
    <row r="183" spans="10:27" s="113" customFormat="1" x14ac:dyDescent="0.25">
      <c r="J183" s="120"/>
      <c r="L183" s="120"/>
      <c r="M183" s="87"/>
      <c r="N183" s="87"/>
      <c r="P183" s="87"/>
      <c r="Q183" s="115"/>
      <c r="R183" s="540"/>
      <c r="S183" s="116"/>
      <c r="T183" s="116"/>
      <c r="U183" s="116"/>
      <c r="V183" s="116"/>
      <c r="W183" s="116"/>
      <c r="X183" s="116"/>
      <c r="Y183" s="116"/>
      <c r="Z183" s="116"/>
      <c r="AA183" s="116"/>
    </row>
    <row r="184" spans="10:27" s="113" customFormat="1" x14ac:dyDescent="0.25">
      <c r="J184" s="120"/>
      <c r="L184" s="120"/>
      <c r="M184" s="87"/>
      <c r="N184" s="87"/>
      <c r="P184" s="87"/>
      <c r="Q184" s="115"/>
      <c r="R184" s="540"/>
      <c r="S184" s="116"/>
      <c r="T184" s="116"/>
      <c r="U184" s="116"/>
      <c r="V184" s="116"/>
      <c r="W184" s="116"/>
      <c r="X184" s="116"/>
      <c r="Y184" s="116"/>
      <c r="Z184" s="116"/>
      <c r="AA184" s="116"/>
    </row>
    <row r="185" spans="10:27" s="113" customFormat="1" x14ac:dyDescent="0.25">
      <c r="J185" s="120"/>
      <c r="L185" s="120"/>
      <c r="M185" s="87"/>
      <c r="N185" s="87"/>
      <c r="P185" s="87"/>
      <c r="Q185" s="115"/>
      <c r="R185" s="540"/>
      <c r="S185" s="116"/>
      <c r="T185" s="116"/>
      <c r="U185" s="116"/>
      <c r="V185" s="116"/>
      <c r="W185" s="116"/>
      <c r="X185" s="116"/>
      <c r="Y185" s="116"/>
      <c r="Z185" s="116"/>
      <c r="AA185" s="116"/>
    </row>
    <row r="186" spans="10:27" s="113" customFormat="1" x14ac:dyDescent="0.25">
      <c r="J186" s="120"/>
      <c r="L186" s="120"/>
      <c r="M186" s="87"/>
      <c r="N186" s="87"/>
      <c r="P186" s="87"/>
      <c r="Q186" s="115"/>
      <c r="R186" s="540"/>
      <c r="S186" s="116"/>
      <c r="T186" s="116"/>
      <c r="U186" s="116"/>
      <c r="V186" s="116"/>
      <c r="W186" s="116"/>
      <c r="X186" s="116"/>
      <c r="Y186" s="116"/>
      <c r="Z186" s="116"/>
      <c r="AA186" s="116"/>
    </row>
    <row r="187" spans="10:27" s="113" customFormat="1" x14ac:dyDescent="0.25">
      <c r="J187" s="120"/>
      <c r="L187" s="120"/>
      <c r="M187" s="87"/>
      <c r="N187" s="87"/>
      <c r="P187" s="87"/>
      <c r="Q187" s="115"/>
      <c r="R187" s="540"/>
      <c r="S187" s="116"/>
      <c r="T187" s="116"/>
      <c r="U187" s="116"/>
      <c r="V187" s="116"/>
      <c r="W187" s="116"/>
      <c r="X187" s="116"/>
      <c r="Y187" s="116"/>
      <c r="Z187" s="116"/>
      <c r="AA187" s="116"/>
    </row>
    <row r="188" spans="10:27" s="113" customFormat="1" x14ac:dyDescent="0.25">
      <c r="J188" s="120"/>
      <c r="L188" s="120"/>
      <c r="M188" s="87"/>
      <c r="N188" s="87"/>
      <c r="P188" s="87"/>
      <c r="Q188" s="115"/>
      <c r="R188" s="540"/>
      <c r="S188" s="116"/>
      <c r="T188" s="116"/>
      <c r="U188" s="116"/>
      <c r="V188" s="116"/>
      <c r="W188" s="116"/>
      <c r="X188" s="116"/>
      <c r="Y188" s="116"/>
      <c r="Z188" s="116"/>
      <c r="AA188" s="116"/>
    </row>
    <row r="189" spans="10:27" s="113" customFormat="1" x14ac:dyDescent="0.25">
      <c r="J189" s="120"/>
      <c r="L189" s="120"/>
      <c r="M189" s="87"/>
      <c r="N189" s="87"/>
      <c r="P189" s="87"/>
      <c r="Q189" s="115"/>
      <c r="R189" s="540"/>
      <c r="S189" s="116"/>
      <c r="T189" s="116"/>
      <c r="U189" s="116"/>
      <c r="V189" s="116"/>
      <c r="W189" s="116"/>
      <c r="X189" s="116"/>
      <c r="Y189" s="116"/>
      <c r="Z189" s="116"/>
      <c r="AA189" s="116"/>
    </row>
    <row r="190" spans="10:27" s="113" customFormat="1" ht="12.75" customHeight="1" x14ac:dyDescent="0.25">
      <c r="J190" s="120"/>
      <c r="L190" s="120"/>
      <c r="M190" s="87"/>
      <c r="N190" s="87"/>
      <c r="P190" s="87"/>
      <c r="Q190" s="115"/>
      <c r="R190" s="540"/>
      <c r="S190" s="116"/>
      <c r="T190" s="116"/>
      <c r="U190" s="116"/>
      <c r="V190" s="116"/>
      <c r="W190" s="116"/>
      <c r="X190" s="116"/>
      <c r="Y190" s="116"/>
      <c r="Z190" s="116"/>
      <c r="AA190" s="116"/>
    </row>
    <row r="191" spans="10:27" s="113" customFormat="1" ht="12.75" customHeight="1" x14ac:dyDescent="0.25">
      <c r="J191" s="120"/>
      <c r="L191" s="120"/>
      <c r="M191" s="87"/>
      <c r="N191" s="87"/>
      <c r="P191" s="87"/>
      <c r="Q191" s="115"/>
      <c r="R191" s="540"/>
      <c r="S191" s="116"/>
      <c r="T191" s="116"/>
      <c r="U191" s="116"/>
      <c r="V191" s="116"/>
      <c r="W191" s="116"/>
      <c r="X191" s="116"/>
      <c r="Y191" s="116"/>
      <c r="Z191" s="116"/>
      <c r="AA191" s="116"/>
    </row>
    <row r="192" spans="10:27" s="113" customFormat="1" ht="12.75" customHeight="1" x14ac:dyDescent="0.25">
      <c r="J192" s="120"/>
      <c r="L192" s="120"/>
      <c r="M192" s="87"/>
      <c r="N192" s="87"/>
      <c r="P192" s="87"/>
      <c r="Q192" s="115"/>
      <c r="R192" s="540"/>
      <c r="S192" s="116"/>
      <c r="T192" s="116"/>
      <c r="U192" s="116"/>
      <c r="V192" s="116"/>
      <c r="W192" s="116"/>
      <c r="X192" s="116"/>
      <c r="Y192" s="116"/>
      <c r="Z192" s="116"/>
      <c r="AA192" s="116"/>
    </row>
    <row r="193" spans="10:27" s="113" customFormat="1" ht="12.75" customHeight="1" x14ac:dyDescent="0.25">
      <c r="J193" s="120"/>
      <c r="L193" s="120"/>
      <c r="M193" s="87"/>
      <c r="N193" s="87"/>
      <c r="P193" s="87"/>
      <c r="Q193" s="115"/>
      <c r="R193" s="540"/>
      <c r="S193" s="116"/>
      <c r="T193" s="116"/>
      <c r="U193" s="116"/>
      <c r="V193" s="116"/>
      <c r="W193" s="116"/>
      <c r="X193" s="116"/>
      <c r="Y193" s="116"/>
      <c r="Z193" s="116"/>
      <c r="AA193" s="116"/>
    </row>
    <row r="194" spans="10:27" s="113" customFormat="1" ht="12.75" customHeight="1" x14ac:dyDescent="0.25">
      <c r="J194" s="120"/>
      <c r="L194" s="120"/>
      <c r="M194" s="87"/>
      <c r="N194" s="87"/>
      <c r="P194" s="87"/>
      <c r="Q194" s="115"/>
      <c r="R194" s="540"/>
      <c r="S194" s="116"/>
      <c r="T194" s="116"/>
      <c r="U194" s="116"/>
      <c r="V194" s="116"/>
      <c r="W194" s="116"/>
      <c r="X194" s="116"/>
      <c r="Y194" s="116"/>
      <c r="Z194" s="116"/>
      <c r="AA194" s="116"/>
    </row>
    <row r="195" spans="10:27" s="113" customFormat="1" x14ac:dyDescent="0.25">
      <c r="J195" s="120"/>
      <c r="L195" s="120"/>
      <c r="M195" s="87"/>
      <c r="N195" s="87"/>
      <c r="P195" s="87"/>
      <c r="Q195" s="115"/>
      <c r="R195" s="540"/>
      <c r="S195" s="116"/>
      <c r="T195" s="116"/>
      <c r="U195" s="116"/>
      <c r="V195" s="116"/>
      <c r="W195" s="116"/>
      <c r="X195" s="116"/>
      <c r="Y195" s="116"/>
      <c r="Z195" s="116"/>
      <c r="AA195" s="116"/>
    </row>
    <row r="196" spans="10:27" s="113" customFormat="1" x14ac:dyDescent="0.25">
      <c r="J196" s="120"/>
      <c r="L196" s="120"/>
      <c r="M196" s="87"/>
      <c r="N196" s="87"/>
      <c r="P196" s="87"/>
      <c r="Q196" s="115"/>
      <c r="R196" s="540"/>
      <c r="S196" s="116"/>
      <c r="T196" s="116"/>
      <c r="U196" s="116"/>
      <c r="V196" s="116"/>
      <c r="W196" s="116"/>
      <c r="X196" s="116"/>
      <c r="Y196" s="116"/>
      <c r="Z196" s="116"/>
      <c r="AA196" s="116"/>
    </row>
    <row r="197" spans="10:27" s="113" customFormat="1" x14ac:dyDescent="0.25">
      <c r="J197" s="120"/>
      <c r="L197" s="120"/>
      <c r="M197" s="87"/>
      <c r="N197" s="87"/>
      <c r="P197" s="87"/>
      <c r="Q197" s="115"/>
      <c r="R197" s="540"/>
      <c r="S197" s="116"/>
      <c r="T197" s="116"/>
      <c r="U197" s="116"/>
      <c r="V197" s="116"/>
      <c r="W197" s="116"/>
      <c r="X197" s="116"/>
      <c r="Y197" s="116"/>
      <c r="Z197" s="116"/>
      <c r="AA197" s="116"/>
    </row>
    <row r="198" spans="10:27" s="113" customFormat="1" x14ac:dyDescent="0.25">
      <c r="J198" s="120"/>
      <c r="L198" s="120"/>
      <c r="M198" s="87"/>
      <c r="N198" s="87"/>
      <c r="P198" s="87"/>
      <c r="Q198" s="115"/>
      <c r="R198" s="540"/>
      <c r="S198" s="116"/>
      <c r="T198" s="116"/>
      <c r="U198" s="116"/>
      <c r="V198" s="116"/>
      <c r="W198" s="116"/>
      <c r="X198" s="116"/>
      <c r="Y198" s="116"/>
      <c r="Z198" s="116"/>
      <c r="AA198" s="116"/>
    </row>
    <row r="199" spans="10:27" s="113" customFormat="1" x14ac:dyDescent="0.25">
      <c r="J199" s="120"/>
      <c r="L199" s="120"/>
      <c r="M199" s="87"/>
      <c r="N199" s="87"/>
      <c r="P199" s="87"/>
      <c r="Q199" s="115"/>
      <c r="R199" s="540"/>
      <c r="S199" s="116"/>
      <c r="T199" s="116"/>
      <c r="U199" s="116"/>
      <c r="V199" s="116"/>
      <c r="W199" s="116"/>
      <c r="X199" s="116"/>
      <c r="Y199" s="116"/>
      <c r="Z199" s="116"/>
      <c r="AA199" s="116"/>
    </row>
    <row r="200" spans="10:27" s="113" customFormat="1" x14ac:dyDescent="0.25">
      <c r="J200" s="120"/>
      <c r="L200" s="120"/>
      <c r="M200" s="87"/>
      <c r="N200" s="87"/>
      <c r="P200" s="87"/>
      <c r="Q200" s="115"/>
      <c r="R200" s="540"/>
      <c r="S200" s="116"/>
      <c r="T200" s="116"/>
      <c r="U200" s="116"/>
      <c r="V200" s="116"/>
      <c r="W200" s="116"/>
      <c r="X200" s="116"/>
      <c r="Y200" s="116"/>
      <c r="Z200" s="116"/>
      <c r="AA200" s="116"/>
    </row>
    <row r="201" spans="10:27" s="113" customFormat="1" x14ac:dyDescent="0.25">
      <c r="J201" s="120"/>
      <c r="L201" s="120"/>
      <c r="M201" s="87"/>
      <c r="N201" s="87"/>
      <c r="P201" s="87"/>
      <c r="Q201" s="115"/>
      <c r="R201" s="540"/>
      <c r="S201" s="116"/>
      <c r="T201" s="116"/>
      <c r="U201" s="116"/>
      <c r="V201" s="116"/>
      <c r="W201" s="116"/>
      <c r="X201" s="116"/>
      <c r="Y201" s="116"/>
      <c r="Z201" s="116"/>
      <c r="AA201" s="116"/>
    </row>
    <row r="202" spans="10:27" s="113" customFormat="1" x14ac:dyDescent="0.25">
      <c r="J202" s="120"/>
      <c r="L202" s="598"/>
      <c r="M202" s="599"/>
      <c r="N202" s="87"/>
      <c r="P202" s="87"/>
      <c r="Q202" s="115"/>
      <c r="R202" s="540"/>
      <c r="S202" s="116"/>
      <c r="T202" s="116"/>
      <c r="U202" s="116"/>
      <c r="V202" s="116"/>
      <c r="W202" s="116"/>
      <c r="X202" s="116"/>
      <c r="Y202" s="116"/>
      <c r="Z202" s="116"/>
      <c r="AA202" s="116"/>
    </row>
    <row r="203" spans="10:27" s="113" customFormat="1" x14ac:dyDescent="0.25">
      <c r="J203" s="120"/>
      <c r="L203" s="598"/>
      <c r="M203" s="599"/>
      <c r="N203" s="87"/>
      <c r="P203" s="87"/>
      <c r="Q203" s="115"/>
      <c r="R203" s="540"/>
      <c r="S203" s="116"/>
      <c r="T203" s="116"/>
      <c r="U203" s="116"/>
      <c r="V203" s="116"/>
      <c r="W203" s="116"/>
      <c r="X203" s="116"/>
      <c r="Y203" s="116"/>
      <c r="Z203" s="116"/>
      <c r="AA203" s="116"/>
    </row>
  </sheetData>
  <mergeCells count="15">
    <mergeCell ref="F84:G84"/>
    <mergeCell ref="I84:J84"/>
    <mergeCell ref="F57:I57"/>
    <mergeCell ref="F55:I55"/>
    <mergeCell ref="F80:G80"/>
    <mergeCell ref="F73:G73"/>
    <mergeCell ref="F68:G68"/>
    <mergeCell ref="F61:I61"/>
    <mergeCell ref="F62:H62"/>
    <mergeCell ref="L60:L61"/>
    <mergeCell ref="F53:I53"/>
    <mergeCell ref="M53:O53"/>
    <mergeCell ref="M56:O56"/>
    <mergeCell ref="M55:O55"/>
    <mergeCell ref="M57:N57"/>
  </mergeCells>
  <conditionalFormatting sqref="G103:H103 G85:H85 G108:H108 G122:H122 G114:H117">
    <cfRule type="colorScale" priority="8">
      <colorScale>
        <cfvo type="min"/>
        <cfvo type="percentile" val="50"/>
        <cfvo type="max"/>
        <color rgb="FF63BE7B"/>
        <color rgb="FFFFEB84"/>
        <color rgb="FFF8696B"/>
      </colorScale>
    </cfRule>
  </conditionalFormatting>
  <conditionalFormatting sqref="J114:J116 J103 J85 J108 J122">
    <cfRule type="colorScale" priority="7">
      <colorScale>
        <cfvo type="min"/>
        <cfvo type="percentile" val="50"/>
        <cfvo type="max"/>
        <color rgb="FF63BE7B"/>
        <color rgb="FFFFEB84"/>
        <color rgb="FFF8696B"/>
      </colorScale>
    </cfRule>
  </conditionalFormatting>
  <conditionalFormatting sqref="M119">
    <cfRule type="cellIs" dxfId="40" priority="5" operator="lessThanOrEqual">
      <formula>0</formula>
    </cfRule>
  </conditionalFormatting>
  <conditionalFormatting sqref="H69:O69 A116:K116 N116:R116 A13:A18 D69:E69 D73:P80 D63:O68 D53:P62 A189:C190 C1:C49 B1:B18 A19:B20 A2:A11 B21:B49 A168:B188 B140:B167 A21:A34 A36:A46 B117:R122 P63:P72 D70:O72 B127:K132 A191:K1048576 A133:K137 D138:K190 S85:XFD122 A50:XFD52 D81:XFD84 B123:XFD126 L127:XFD1048576 S53:XFD80 A103:R115 D85:R102">
    <cfRule type="cellIs" dxfId="39" priority="4" operator="equal">
      <formula>0</formula>
    </cfRule>
  </conditionalFormatting>
  <conditionalFormatting sqref="G69">
    <cfRule type="cellIs" dxfId="38" priority="2" operator="equal">
      <formula>0</formula>
    </cfRule>
  </conditionalFormatting>
  <dataValidations count="6">
    <dataValidation type="list" allowBlank="1" showInputMessage="1" showErrorMessage="1" sqref="M56" xr:uid="{00000000-0002-0000-0200-000000000000}">
      <formula1>tbl_incoterms2010</formula1>
    </dataValidation>
    <dataValidation type="list" allowBlank="1" showInputMessage="1" showErrorMessage="1" sqref="M69 M129 M134" xr:uid="{00000000-0002-0000-0200-000001000000}">
      <formula1>tblSimNao</formula1>
    </dataValidation>
    <dataValidation type="list" allowBlank="1" showInputMessage="1" showErrorMessage="1" sqref="F61:I61" xr:uid="{00000000-0002-0000-0200-000002000000}">
      <formula1>$C$17:$C$19</formula1>
    </dataValidation>
    <dataValidation type="list" allowBlank="1" showInputMessage="1" showErrorMessage="1" sqref="F62" xr:uid="{00000000-0002-0000-0200-000003000000}">
      <formula1>$C$22:$C$49</formula1>
    </dataValidation>
    <dataValidation type="list" allowBlank="1" showInputMessage="1" showErrorMessage="1" sqref="M115" xr:uid="{00000000-0002-0000-0200-000004000000}">
      <formula1>$A$2:$A$10</formula1>
    </dataValidation>
    <dataValidation type="list" allowBlank="1" showInputMessage="1" showErrorMessage="1" sqref="O57" xr:uid="{00000000-0002-0000-0200-000005000000}">
      <formula1>$A$36:$A$38</formula1>
    </dataValidation>
  </dataValidations>
  <pageMargins left="0.7" right="0.7" top="0.75" bottom="0.75" header="0.3" footer="0.3"/>
  <pageSetup paperSize="9" orientation="portrait" r:id="rId1"/>
  <ignoredErrors>
    <ignoredError sqref="F103 F108 I103 I108" formula="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9" tint="0.39997558519241921"/>
  </sheetPr>
  <dimension ref="A1:EE277"/>
  <sheetViews>
    <sheetView view="pageBreakPreview" zoomScale="80" zoomScaleNormal="90" zoomScaleSheetLayoutView="80" workbookViewId="0">
      <pane xSplit="14" ySplit="12" topLeftCell="O18" activePane="bottomRight" state="frozen"/>
      <selection activeCell="H1" sqref="H1"/>
      <selection pane="topRight" activeCell="Q1" sqref="Q1"/>
      <selection pane="bottomLeft" activeCell="H13" sqref="H13"/>
      <selection pane="bottomRight" activeCell="H32" sqref="H32"/>
    </sheetView>
  </sheetViews>
  <sheetFormatPr defaultColWidth="9.109375" defaultRowHeight="13.2" outlineLevelRow="1" outlineLevelCol="1" x14ac:dyDescent="0.25"/>
  <cols>
    <col min="1" max="1" width="10.6640625" style="290" customWidth="1" outlineLevel="1"/>
    <col min="2" max="2" width="12.44140625" style="2" customWidth="1" outlineLevel="1"/>
    <col min="3" max="3" width="13.6640625" style="2" customWidth="1" outlineLevel="1"/>
    <col min="4" max="4" width="10.6640625" style="2" customWidth="1" outlineLevel="1"/>
    <col min="5" max="5" width="11.5546875" style="290" customWidth="1" outlineLevel="1"/>
    <col min="6" max="6" width="10.6640625" style="2" customWidth="1" outlineLevel="1"/>
    <col min="7" max="7" width="12.6640625" style="65" customWidth="1"/>
    <col min="8" max="8" width="14.6640625" style="255" customWidth="1"/>
    <col min="9" max="9" width="12.6640625" style="3" customWidth="1"/>
    <col min="10" max="10" width="2.6640625" style="2" customWidth="1"/>
    <col min="11" max="11" width="7.6640625" style="321" customWidth="1"/>
    <col min="12" max="12" width="25.6640625" style="7" customWidth="1" outlineLevel="1"/>
    <col min="13" max="13" width="65.6640625" style="48" customWidth="1"/>
    <col min="14" max="14" width="8.6640625" style="5" customWidth="1"/>
    <col min="15" max="15" width="16.5546875" style="5" customWidth="1" outlineLevel="1"/>
    <col min="16" max="16" width="8.88671875" style="4" customWidth="1" outlineLevel="1"/>
    <col min="17" max="19" width="7.6640625" style="4" customWidth="1" outlineLevel="1"/>
    <col min="20" max="20" width="9.33203125" style="4" customWidth="1" outlineLevel="1"/>
    <col min="21" max="22" width="9.33203125" style="4" customWidth="1"/>
    <col min="23" max="23" width="13.6640625" style="4" customWidth="1"/>
    <col min="24" max="24" width="9.6640625" style="4" customWidth="1"/>
    <col min="25" max="25" width="2.6640625" style="2" customWidth="1"/>
    <col min="26" max="27" width="15.6640625" style="2" customWidth="1"/>
    <col min="28" max="28" width="2.6640625" style="2" customWidth="1"/>
    <col min="29" max="30" width="10.6640625" style="2" customWidth="1"/>
    <col min="31" max="31" width="2.6640625" style="2" customWidth="1"/>
    <col min="32" max="33" width="15.6640625" style="2" customWidth="1"/>
    <col min="34" max="34" width="2.6640625" style="2" customWidth="1"/>
    <col min="35" max="35" width="15.6640625" style="2" customWidth="1"/>
    <col min="36" max="36" width="2.6640625" style="2" customWidth="1"/>
    <col min="37" max="37" width="10.6640625" style="2" customWidth="1"/>
    <col min="38" max="39" width="15.6640625" style="2" customWidth="1"/>
    <col min="40" max="40" width="2.6640625" style="2" customWidth="1"/>
    <col min="41" max="41" width="9.109375" style="2" customWidth="1"/>
    <col min="42" max="42" width="2.6640625" style="2" customWidth="1"/>
    <col min="43" max="44" width="15.6640625" style="6" customWidth="1"/>
    <col min="45" max="45" width="2.6640625" style="2" customWidth="1"/>
    <col min="46" max="47" width="15.6640625" style="6" customWidth="1"/>
    <col min="48" max="48" width="2.6640625" style="2" customWidth="1"/>
    <col min="49" max="49" width="15.6640625" style="6" customWidth="1"/>
    <col min="50" max="50" width="20.6640625" style="6" customWidth="1"/>
    <col min="51" max="51" width="20.6640625" style="2" customWidth="1"/>
    <col min="52" max="52" width="27.6640625" style="2" customWidth="1"/>
    <col min="53" max="53" width="2.6640625" style="2" customWidth="1"/>
    <col min="54" max="58" width="12.6640625" style="2" customWidth="1"/>
    <col min="59" max="59" width="2.6640625" style="2" customWidth="1"/>
    <col min="60" max="60" width="17.6640625" style="2" customWidth="1"/>
    <col min="61" max="61" width="2.6640625" style="2" customWidth="1" collapsed="1"/>
    <col min="62" max="63" width="12.6640625" style="2" customWidth="1"/>
    <col min="64" max="64" width="15.6640625" style="2" customWidth="1"/>
    <col min="65" max="65" width="2.6640625" style="2" customWidth="1"/>
    <col min="66" max="66" width="12.6640625" style="2" customWidth="1"/>
    <col min="67" max="67" width="15.6640625" style="2" customWidth="1"/>
    <col min="68" max="68" width="12.6640625" style="2" customWidth="1"/>
    <col min="69" max="69" width="15.6640625" style="2" customWidth="1"/>
    <col min="70" max="70" width="2.6640625" style="2" customWidth="1"/>
    <col min="71" max="71" width="15.6640625" style="6" customWidth="1"/>
    <col min="72" max="72" width="15.6640625" style="2" customWidth="1"/>
    <col min="73" max="73" width="9.109375" style="2" customWidth="1"/>
    <col min="74" max="74" width="2.6640625" style="2" customWidth="1"/>
    <col min="75" max="75" width="10.6640625" style="2" customWidth="1"/>
    <col min="76" max="76" width="15.6640625" style="2" customWidth="1"/>
    <col min="77" max="77" width="10.6640625" style="2" customWidth="1"/>
    <col min="78" max="78" width="15.6640625" style="2" customWidth="1"/>
    <col min="79" max="79" width="3.6640625" style="2" customWidth="1"/>
    <col min="80" max="80" width="16.33203125" style="102" customWidth="1"/>
    <col min="81" max="81" width="2.6640625" style="2" customWidth="1"/>
    <col min="82" max="85" width="9.33203125" style="2" customWidth="1"/>
    <col min="86" max="86" width="2.6640625" style="2" customWidth="1"/>
    <col min="87" max="90" width="12.6640625" style="2" customWidth="1"/>
    <col min="91" max="91" width="2.6640625" style="2" customWidth="1"/>
    <col min="92" max="92" width="10.6640625" style="2" customWidth="1"/>
    <col min="93" max="93" width="12.6640625" style="2" customWidth="1"/>
    <col min="94" max="94" width="2.6640625" style="2" customWidth="1"/>
    <col min="95" max="95" width="9.6640625" style="2" customWidth="1"/>
    <col min="96" max="97" width="10.6640625" style="2" customWidth="1"/>
    <col min="98" max="98" width="2.6640625" style="2" customWidth="1"/>
    <col min="99" max="99" width="15.6640625" style="2" customWidth="1"/>
    <col min="100" max="102" width="15.6640625" style="102" customWidth="1"/>
    <col min="103" max="103" width="9.6640625" style="102" customWidth="1"/>
    <col min="104" max="104" width="12.6640625" style="102" customWidth="1"/>
    <col min="105" max="105" width="9.6640625" style="102" customWidth="1"/>
    <col min="106" max="106" width="12.6640625" style="102" customWidth="1"/>
    <col min="107" max="107" width="9.6640625" style="102" customWidth="1"/>
    <col min="108" max="108" width="12.6640625" style="102" customWidth="1"/>
    <col min="109" max="109" width="9.6640625" style="102" customWidth="1"/>
    <col min="110" max="110" width="12.6640625" style="102" customWidth="1"/>
    <col min="111" max="111" width="11.6640625" style="102" customWidth="1"/>
    <col min="112" max="113" width="12.6640625" style="102" customWidth="1"/>
    <col min="114" max="114" width="2.6640625" style="2" customWidth="1"/>
    <col min="115" max="119" width="9.109375" style="2"/>
    <col min="120" max="120" width="2.6640625" style="2" customWidth="1"/>
    <col min="121" max="125" width="9.109375" style="2"/>
    <col min="126" max="126" width="2.6640625" style="2" customWidth="1"/>
    <col min="127" max="129" width="15.6640625" style="2" customWidth="1"/>
    <col min="130" max="132" width="2.6640625" style="2" customWidth="1"/>
    <col min="133" max="133" width="15.6640625" style="2" customWidth="1"/>
    <col min="134" max="16384" width="9.109375" style="2"/>
  </cols>
  <sheetData>
    <row r="1" spans="1:131" x14ac:dyDescent="0.25">
      <c r="K1" s="616"/>
      <c r="L1" s="744"/>
      <c r="M1" s="172"/>
      <c r="N1" s="171"/>
      <c r="O1" s="173"/>
      <c r="P1" s="173"/>
      <c r="Q1" s="173"/>
      <c r="R1" s="173"/>
      <c r="S1" s="173"/>
      <c r="T1" s="173"/>
      <c r="EA1" s="638"/>
    </row>
    <row r="2" spans="1:131" ht="26.4" x14ac:dyDescent="0.25">
      <c r="B2" s="102"/>
      <c r="K2" s="616"/>
      <c r="L2" s="745" t="str">
        <f>" "&amp;Dados!F53</f>
        <v xml:space="preserve"> WS4616407356 SAGE Água Vermelha</v>
      </c>
      <c r="M2" s="546"/>
      <c r="N2" s="171"/>
      <c r="O2" s="173"/>
      <c r="P2" s="173"/>
      <c r="Q2" s="173"/>
      <c r="R2" s="173"/>
      <c r="S2" s="173"/>
      <c r="T2" s="173"/>
      <c r="EA2" s="638"/>
    </row>
    <row r="3" spans="1:131" ht="26.4" x14ac:dyDescent="0.25">
      <c r="K3" s="616"/>
      <c r="L3" s="746" t="str">
        <f>" Proposta: "&amp;Dados!M53</f>
        <v xml:space="preserve"> Proposta: 23_139_CONSOLIDADA</v>
      </c>
      <c r="M3" s="172"/>
      <c r="N3" s="171"/>
      <c r="O3" s="173"/>
      <c r="P3" s="173"/>
      <c r="Q3" s="173"/>
      <c r="R3" s="173"/>
      <c r="S3" s="173"/>
      <c r="T3" s="173"/>
      <c r="EA3" s="638"/>
    </row>
    <row r="4" spans="1:131" x14ac:dyDescent="0.25">
      <c r="K4" s="616"/>
      <c r="L4" s="746" t="str">
        <f>" Data: "&amp;DAY(Dados!F65)&amp;"/"&amp;MONTH(Dados!F65)&amp;"/"&amp;YEAR(Dados!F65)</f>
        <v xml:space="preserve"> Data: 12/8/2024</v>
      </c>
      <c r="M4" s="172"/>
      <c r="N4" s="171"/>
      <c r="O4" s="171"/>
      <c r="P4" s="173"/>
      <c r="Q4" s="173"/>
      <c r="R4" s="173"/>
      <c r="S4" s="173"/>
      <c r="T4" s="173"/>
      <c r="DK4" s="647" t="s">
        <v>775</v>
      </c>
      <c r="DL4" s="380"/>
      <c r="DM4" s="380"/>
      <c r="DN4" s="380"/>
      <c r="DO4" s="380"/>
      <c r="DP4" s="380"/>
      <c r="DQ4" s="380"/>
      <c r="DR4" s="380"/>
      <c r="DS4" s="380"/>
      <c r="DT4" s="380"/>
      <c r="DU4" s="380"/>
      <c r="EA4" s="638"/>
    </row>
    <row r="5" spans="1:131" s="17" customFormat="1" ht="15" customHeight="1" x14ac:dyDescent="0.25">
      <c r="A5" s="255"/>
      <c r="E5" s="255"/>
      <c r="G5" s="65"/>
      <c r="H5" s="255"/>
      <c r="I5" s="65"/>
      <c r="K5" s="616"/>
      <c r="L5" s="859" t="s">
        <v>284</v>
      </c>
      <c r="M5" s="859"/>
      <c r="N5" s="859"/>
      <c r="O5" s="859" t="s">
        <v>285</v>
      </c>
      <c r="P5" s="859"/>
      <c r="Q5" s="859"/>
      <c r="R5" s="859"/>
      <c r="S5" s="859"/>
      <c r="T5" s="859"/>
      <c r="U5" s="5"/>
      <c r="V5" s="5"/>
      <c r="W5" s="5"/>
      <c r="X5" s="5"/>
      <c r="Z5" s="685" t="s">
        <v>328</v>
      </c>
      <c r="AA5" s="68"/>
      <c r="AC5" s="686" t="s">
        <v>57</v>
      </c>
      <c r="AD5" s="686"/>
      <c r="AF5" s="685" t="s">
        <v>58</v>
      </c>
      <c r="AG5" s="685"/>
      <c r="AI5" s="711"/>
      <c r="AK5" s="686" t="s">
        <v>59</v>
      </c>
      <c r="AL5" s="686"/>
      <c r="AM5" s="686"/>
      <c r="AQ5" s="688" t="s">
        <v>1024</v>
      </c>
      <c r="AR5" s="688"/>
      <c r="AT5" s="688" t="s">
        <v>1025</v>
      </c>
      <c r="AU5" s="687"/>
      <c r="AW5" s="66"/>
      <c r="AX5" s="66"/>
      <c r="BB5" s="688" t="s">
        <v>23</v>
      </c>
      <c r="BC5" s="688"/>
      <c r="BD5" s="688"/>
      <c r="BE5" s="688"/>
      <c r="BF5" s="688"/>
      <c r="BJ5" s="688" t="s">
        <v>258</v>
      </c>
      <c r="BK5" s="688"/>
      <c r="BL5" s="688"/>
      <c r="BN5" s="688" t="s">
        <v>257</v>
      </c>
      <c r="BO5" s="688"/>
      <c r="BP5" s="688"/>
      <c r="BQ5" s="688"/>
      <c r="BS5" s="687" t="s">
        <v>21</v>
      </c>
      <c r="BT5" s="687"/>
      <c r="BU5" s="687"/>
      <c r="BW5" s="67" t="s">
        <v>202</v>
      </c>
      <c r="BX5" s="680"/>
      <c r="BY5" s="680"/>
      <c r="BZ5" s="68"/>
      <c r="CB5" s="589"/>
      <c r="CD5" s="69" t="s">
        <v>250</v>
      </c>
      <c r="CE5" s="68"/>
      <c r="CF5" s="68"/>
      <c r="CG5" s="68"/>
      <c r="CI5" s="70" t="s">
        <v>260</v>
      </c>
      <c r="CJ5" s="68"/>
      <c r="CK5" s="68"/>
      <c r="CL5" s="68"/>
      <c r="CN5" s="68" t="s">
        <v>361</v>
      </c>
      <c r="CO5" s="68"/>
      <c r="CQ5" s="380" t="s">
        <v>377</v>
      </c>
      <c r="CR5" s="68"/>
      <c r="CS5" s="68"/>
      <c r="CU5" s="69" t="s">
        <v>27</v>
      </c>
      <c r="CV5" s="505"/>
      <c r="CW5" s="505"/>
      <c r="CX5" s="505"/>
      <c r="CY5" s="505"/>
      <c r="CZ5" s="505"/>
      <c r="DA5" s="505"/>
      <c r="DB5" s="505"/>
      <c r="DC5" s="505"/>
      <c r="DD5" s="505"/>
      <c r="DE5" s="68"/>
      <c r="DF5" s="68"/>
      <c r="DG5" s="591" t="s">
        <v>757</v>
      </c>
      <c r="DH5" s="651" t="s">
        <v>181</v>
      </c>
      <c r="DI5" s="505"/>
      <c r="DK5" s="647" t="s">
        <v>772</v>
      </c>
      <c r="DL5" s="380"/>
      <c r="DM5" s="380"/>
      <c r="DN5" s="380"/>
      <c r="DO5" s="380"/>
      <c r="DP5" s="2"/>
      <c r="DQ5" s="648" t="s">
        <v>27</v>
      </c>
      <c r="DR5" s="380"/>
      <c r="DS5" s="380"/>
      <c r="DT5" s="380"/>
      <c r="DU5" s="380"/>
      <c r="DV5" s="2"/>
      <c r="DW5" s="648" t="s">
        <v>1009</v>
      </c>
      <c r="DX5" s="380"/>
      <c r="DY5" s="380"/>
      <c r="DZ5" s="2"/>
      <c r="EA5" s="639"/>
    </row>
    <row r="6" spans="1:131" s="66" customFormat="1" ht="45" customHeight="1" x14ac:dyDescent="0.25">
      <c r="A6" s="256" t="s">
        <v>346</v>
      </c>
      <c r="B6" s="66" t="s">
        <v>178</v>
      </c>
      <c r="C6" s="66" t="s">
        <v>55</v>
      </c>
      <c r="D6" s="66" t="s">
        <v>56</v>
      </c>
      <c r="E6" s="256" t="s">
        <v>1016</v>
      </c>
      <c r="F6" s="66" t="s">
        <v>662</v>
      </c>
      <c r="G6" s="71" t="s">
        <v>337</v>
      </c>
      <c r="H6" s="256" t="s">
        <v>338</v>
      </c>
      <c r="I6" s="71" t="s">
        <v>253</v>
      </c>
      <c r="K6" s="617"/>
      <c r="L6" s="101" t="s">
        <v>13</v>
      </c>
      <c r="M6" s="504" t="s">
        <v>648</v>
      </c>
      <c r="N6" s="101" t="s">
        <v>12</v>
      </c>
      <c r="O6" s="101" t="s">
        <v>22</v>
      </c>
      <c r="P6" s="101" t="s">
        <v>16</v>
      </c>
      <c r="Q6" s="101" t="s">
        <v>17</v>
      </c>
      <c r="R6" s="101" t="s">
        <v>18</v>
      </c>
      <c r="S6" s="101" t="s">
        <v>19</v>
      </c>
      <c r="T6" s="101" t="s">
        <v>20</v>
      </c>
      <c r="U6" s="7" t="s">
        <v>14</v>
      </c>
      <c r="V6" s="7" t="s">
        <v>15</v>
      </c>
      <c r="W6" s="7" t="s">
        <v>24</v>
      </c>
      <c r="X6" s="7" t="s">
        <v>25</v>
      </c>
      <c r="Z6" s="72" t="s">
        <v>1013</v>
      </c>
      <c r="AA6" s="72" t="s">
        <v>776</v>
      </c>
      <c r="AC6" s="72" t="s">
        <v>48</v>
      </c>
      <c r="AD6" s="72" t="s">
        <v>660</v>
      </c>
      <c r="AF6" s="72" t="s">
        <v>50</v>
      </c>
      <c r="AG6" s="72" t="s">
        <v>661</v>
      </c>
      <c r="AI6" s="72" t="s">
        <v>1026</v>
      </c>
      <c r="AK6" s="72" t="s">
        <v>49</v>
      </c>
      <c r="AL6" s="72" t="s">
        <v>51</v>
      </c>
      <c r="AM6" s="72" t="s">
        <v>1027</v>
      </c>
      <c r="AO6" s="72" t="s">
        <v>64</v>
      </c>
      <c r="AQ6" s="73" t="s">
        <v>1013</v>
      </c>
      <c r="AR6" s="73" t="s">
        <v>776</v>
      </c>
      <c r="AT6" s="73" t="s">
        <v>1013</v>
      </c>
      <c r="AU6" s="73" t="s">
        <v>776</v>
      </c>
      <c r="AW6" s="73" t="s">
        <v>1028</v>
      </c>
      <c r="AX6" s="73" t="s">
        <v>1029</v>
      </c>
      <c r="AY6" s="73" t="s">
        <v>1030</v>
      </c>
      <c r="AZ6" s="73" t="s">
        <v>1031</v>
      </c>
      <c r="BB6" s="73" t="s">
        <v>0</v>
      </c>
      <c r="BC6" s="73" t="s">
        <v>1</v>
      </c>
      <c r="BD6" s="73" t="s">
        <v>2</v>
      </c>
      <c r="BE6" s="73" t="s">
        <v>3</v>
      </c>
      <c r="BF6" s="73" t="s">
        <v>4</v>
      </c>
      <c r="BH6" s="73" t="s">
        <v>5</v>
      </c>
      <c r="BJ6" s="73" t="s">
        <v>6</v>
      </c>
      <c r="BK6" s="73" t="s">
        <v>7</v>
      </c>
      <c r="BL6" s="73" t="s">
        <v>1032</v>
      </c>
      <c r="BN6" s="73" t="s">
        <v>10</v>
      </c>
      <c r="BO6" s="73" t="s">
        <v>11</v>
      </c>
      <c r="BP6" s="73" t="s">
        <v>8</v>
      </c>
      <c r="BQ6" s="73" t="s">
        <v>1033</v>
      </c>
      <c r="BS6" s="73" t="s">
        <v>1035</v>
      </c>
      <c r="BT6" s="73" t="s">
        <v>1034</v>
      </c>
      <c r="BU6" s="73" t="s">
        <v>64</v>
      </c>
      <c r="BW6" s="73" t="s">
        <v>163</v>
      </c>
      <c r="BX6" s="73" t="s">
        <v>343</v>
      </c>
      <c r="BY6" s="73" t="s">
        <v>205</v>
      </c>
      <c r="BZ6" s="73" t="s">
        <v>204</v>
      </c>
      <c r="CB6" s="506" t="s">
        <v>193</v>
      </c>
      <c r="CD6" s="66" t="s">
        <v>273</v>
      </c>
      <c r="CE6" s="66" t="s">
        <v>248</v>
      </c>
      <c r="CF6" s="66" t="s">
        <v>247</v>
      </c>
      <c r="CG6" s="66" t="s">
        <v>249</v>
      </c>
      <c r="CI6" s="66" t="s">
        <v>16</v>
      </c>
      <c r="CJ6" s="66" t="s">
        <v>17</v>
      </c>
      <c r="CK6" s="66" t="s">
        <v>271</v>
      </c>
      <c r="CL6" s="66" t="s">
        <v>272</v>
      </c>
      <c r="CN6" s="66" t="s">
        <v>363</v>
      </c>
      <c r="CO6" s="66" t="s">
        <v>29</v>
      </c>
      <c r="CQ6" s="17" t="s">
        <v>378</v>
      </c>
      <c r="CR6" s="66" t="s">
        <v>379</v>
      </c>
      <c r="CS6" s="66" t="s">
        <v>627</v>
      </c>
      <c r="CU6" s="66" t="s">
        <v>628</v>
      </c>
      <c r="CV6" s="506" t="s">
        <v>629</v>
      </c>
      <c r="CW6" s="506" t="s">
        <v>783</v>
      </c>
      <c r="CX6" s="506" t="s">
        <v>630</v>
      </c>
      <c r="CY6" s="506" t="s">
        <v>753</v>
      </c>
      <c r="CZ6" s="506" t="s">
        <v>1</v>
      </c>
      <c r="DA6" s="506" t="s">
        <v>758</v>
      </c>
      <c r="DB6" s="506" t="s">
        <v>2</v>
      </c>
      <c r="DC6" s="506" t="s">
        <v>754</v>
      </c>
      <c r="DD6" s="506" t="s">
        <v>0</v>
      </c>
      <c r="DE6" s="506" t="s">
        <v>755</v>
      </c>
      <c r="DF6" s="589" t="s">
        <v>3</v>
      </c>
      <c r="DG6" s="102" t="s">
        <v>756</v>
      </c>
      <c r="DH6" s="506" t="s">
        <v>4</v>
      </c>
      <c r="DI6" s="506" t="s">
        <v>1027</v>
      </c>
      <c r="DK6" s="17" t="s">
        <v>16</v>
      </c>
      <c r="DL6" s="17" t="s">
        <v>18</v>
      </c>
      <c r="DM6" s="17" t="s">
        <v>17</v>
      </c>
      <c r="DN6" s="17" t="s">
        <v>19</v>
      </c>
      <c r="DO6" s="17" t="s">
        <v>20</v>
      </c>
      <c r="DP6" s="17"/>
      <c r="DQ6" s="649" t="s">
        <v>16</v>
      </c>
      <c r="DR6" s="17" t="s">
        <v>18</v>
      </c>
      <c r="DS6" s="17" t="s">
        <v>17</v>
      </c>
      <c r="DT6" s="17" t="s">
        <v>19</v>
      </c>
      <c r="DU6" s="17" t="s">
        <v>20</v>
      </c>
      <c r="DV6" s="17"/>
      <c r="DW6" s="66" t="s">
        <v>62</v>
      </c>
      <c r="DX6" s="66" t="s">
        <v>1007</v>
      </c>
      <c r="DY6" s="66" t="s">
        <v>1008</v>
      </c>
      <c r="DZ6" s="17"/>
      <c r="EA6" s="640"/>
    </row>
    <row r="7" spans="1:131" s="225" customFormat="1" ht="24.9" hidden="1" customHeight="1" outlineLevel="1" x14ac:dyDescent="0.25">
      <c r="A7" s="291" t="s">
        <v>347</v>
      </c>
      <c r="E7" s="291"/>
      <c r="G7" s="252"/>
      <c r="H7" s="257"/>
      <c r="I7" s="226"/>
      <c r="K7" s="618"/>
      <c r="L7" s="860" t="s">
        <v>282</v>
      </c>
      <c r="M7" s="860"/>
      <c r="N7" s="861"/>
      <c r="O7" s="227"/>
      <c r="P7" s="228"/>
      <c r="Q7" s="228"/>
      <c r="R7" s="228"/>
      <c r="S7" s="228"/>
      <c r="T7" s="229"/>
      <c r="U7" s="230"/>
      <c r="V7" s="228"/>
      <c r="W7" s="228"/>
      <c r="X7" s="229"/>
      <c r="AG7" s="231"/>
      <c r="AQ7" s="232"/>
      <c r="AR7" s="232"/>
      <c r="AT7" s="232"/>
      <c r="AU7" s="232"/>
      <c r="AW7" s="232"/>
      <c r="AX7" s="232"/>
      <c r="BS7" s="232"/>
      <c r="CB7" s="507"/>
      <c r="CE7" s="233"/>
      <c r="CV7" s="507"/>
      <c r="CW7" s="507"/>
      <c r="CX7" s="507"/>
      <c r="CY7" s="507"/>
      <c r="CZ7" s="507"/>
      <c r="DA7" s="507"/>
      <c r="DB7" s="507"/>
      <c r="DC7" s="507"/>
      <c r="DD7" s="507"/>
      <c r="DE7" s="507"/>
      <c r="DF7" s="507"/>
      <c r="DG7" s="507"/>
      <c r="DH7" s="507"/>
      <c r="DI7" s="507"/>
      <c r="EA7" s="641"/>
    </row>
    <row r="8" spans="1:131" s="234" customFormat="1" ht="20.100000000000001" hidden="1" customHeight="1" outlineLevel="1" x14ac:dyDescent="0.25">
      <c r="A8" s="292" t="s">
        <v>348</v>
      </c>
      <c r="E8" s="292"/>
      <c r="G8" s="253"/>
      <c r="H8" s="258"/>
      <c r="I8" s="235"/>
      <c r="K8" s="619"/>
      <c r="L8" s="862" t="s">
        <v>681</v>
      </c>
      <c r="M8" s="862"/>
      <c r="N8" s="863"/>
      <c r="O8" s="236"/>
      <c r="P8" s="237"/>
      <c r="Q8" s="237"/>
      <c r="R8" s="237"/>
      <c r="S8" s="237"/>
      <c r="T8" s="238"/>
      <c r="U8" s="239"/>
      <c r="V8" s="237"/>
      <c r="W8" s="237"/>
      <c r="X8" s="238"/>
      <c r="AG8" s="240"/>
      <c r="AQ8" s="241"/>
      <c r="AR8" s="241"/>
      <c r="AT8" s="241"/>
      <c r="AU8" s="241"/>
      <c r="AW8" s="241"/>
      <c r="AX8" s="241"/>
      <c r="BS8" s="241"/>
      <c r="CB8" s="508"/>
      <c r="CE8" s="242"/>
      <c r="CV8" s="508"/>
      <c r="CW8" s="508"/>
      <c r="CX8" s="508"/>
      <c r="CY8" s="508"/>
      <c r="CZ8" s="508"/>
      <c r="DA8" s="508"/>
      <c r="DB8" s="508"/>
      <c r="DC8" s="508"/>
      <c r="DD8" s="508"/>
      <c r="DE8" s="508"/>
      <c r="DF8" s="508"/>
      <c r="DG8" s="508"/>
      <c r="DH8" s="508"/>
      <c r="DI8" s="508"/>
      <c r="EA8" s="642"/>
    </row>
    <row r="9" spans="1:131" s="243" customFormat="1" ht="20.100000000000001" hidden="1" customHeight="1" outlineLevel="1" x14ac:dyDescent="0.25">
      <c r="A9" s="293" t="s">
        <v>349</v>
      </c>
      <c r="E9" s="293"/>
      <c r="G9" s="253"/>
      <c r="H9" s="258"/>
      <c r="I9" s="244"/>
      <c r="K9" s="620"/>
      <c r="L9" s="864" t="s">
        <v>283</v>
      </c>
      <c r="M9" s="864"/>
      <c r="N9" s="865"/>
      <c r="O9" s="245"/>
      <c r="P9" s="246"/>
      <c r="Q9" s="246"/>
      <c r="R9" s="246"/>
      <c r="S9" s="246"/>
      <c r="T9" s="247"/>
      <c r="U9" s="248"/>
      <c r="V9" s="246"/>
      <c r="W9" s="246"/>
      <c r="X9" s="247"/>
      <c r="AG9" s="249"/>
      <c r="AQ9" s="250"/>
      <c r="AR9" s="250"/>
      <c r="AT9" s="250"/>
      <c r="AU9" s="250"/>
      <c r="AW9" s="250"/>
      <c r="AX9" s="250"/>
      <c r="BS9" s="250"/>
      <c r="CB9" s="509"/>
      <c r="CE9" s="251"/>
      <c r="CV9" s="509"/>
      <c r="CW9" s="509"/>
      <c r="CX9" s="509"/>
      <c r="CY9" s="509"/>
      <c r="CZ9" s="509"/>
      <c r="DA9" s="509"/>
      <c r="DB9" s="509"/>
      <c r="DC9" s="509"/>
      <c r="DD9" s="509"/>
      <c r="DE9" s="509"/>
      <c r="DF9" s="509"/>
      <c r="DG9" s="509"/>
      <c r="DH9" s="509"/>
      <c r="DI9" s="509"/>
      <c r="EA9" s="643"/>
    </row>
    <row r="10" spans="1:131" s="56" customFormat="1" ht="20.100000000000001" hidden="1" customHeight="1" outlineLevel="1" x14ac:dyDescent="0.25">
      <c r="A10" s="294" t="s">
        <v>350</v>
      </c>
      <c r="E10" s="294"/>
      <c r="G10" s="253"/>
      <c r="H10" s="258"/>
      <c r="I10" s="57"/>
      <c r="K10" s="319"/>
      <c r="L10" s="866" t="s">
        <v>281</v>
      </c>
      <c r="M10" s="866"/>
      <c r="N10" s="867"/>
      <c r="O10" s="58"/>
      <c r="P10" s="59"/>
      <c r="Q10" s="59"/>
      <c r="R10" s="59"/>
      <c r="S10" s="59"/>
      <c r="T10" s="60"/>
      <c r="U10" s="61"/>
      <c r="V10" s="59"/>
      <c r="W10" s="59"/>
      <c r="X10" s="60"/>
      <c r="AG10" s="62"/>
      <c r="AQ10" s="63"/>
      <c r="AR10" s="63"/>
      <c r="AT10" s="63"/>
      <c r="AU10" s="63"/>
      <c r="AW10" s="63"/>
      <c r="AX10" s="63"/>
      <c r="BS10" s="63"/>
      <c r="CB10" s="510"/>
      <c r="CE10" s="64"/>
      <c r="CV10" s="510"/>
      <c r="CW10" s="510"/>
      <c r="CX10" s="510"/>
      <c r="CY10" s="510"/>
      <c r="CZ10" s="510"/>
      <c r="DA10" s="510"/>
      <c r="DB10" s="510"/>
      <c r="DC10" s="510"/>
      <c r="DD10" s="510"/>
      <c r="DE10" s="510"/>
      <c r="DF10" s="510"/>
      <c r="DG10" s="510"/>
      <c r="DH10" s="510"/>
      <c r="DI10" s="510"/>
      <c r="EA10" s="643"/>
    </row>
    <row r="11" spans="1:131" ht="20.100000000000001" hidden="1" customHeight="1" outlineLevel="1" x14ac:dyDescent="0.25">
      <c r="A11" s="18"/>
      <c r="B11" s="2" t="s">
        <v>268</v>
      </c>
      <c r="C11" s="2" t="s">
        <v>256</v>
      </c>
      <c r="D11" s="2" t="s">
        <v>53</v>
      </c>
      <c r="E11" s="18" t="s">
        <v>38</v>
      </c>
      <c r="F11" s="2" t="s">
        <v>53</v>
      </c>
      <c r="I11" s="18" t="s">
        <v>1910</v>
      </c>
      <c r="K11" s="318"/>
      <c r="L11" s="502"/>
      <c r="M11" s="50" t="str">
        <f>IFERROR(IFERROR(VLOOKUP(L11,tbl_materiais,COLUMN(head_mat_descricao)-COLUMN(head_mat_item)+1,FALSE),VLOOKUP(L11,tbl_servicos,COLUMN(head_serv_descricao)-COLUMN(head_serv_item)+1,FALSE)),"?")</f>
        <v>?</v>
      </c>
      <c r="N11" s="51"/>
      <c r="O11" s="83">
        <f>IF(CQ11,std_ncm,IF(I11="Serviço","NA",IF(I11="Material",IFERROR(VLOOKUP(L11,tbl_materiais,COLUMN(head_mat_NCM)-COLUMN(head_mat_item)+1,FALSE),"?"),IFERROR(VLOOKUP(I11,tbl_TipoLinha,2,FALSE),"?"))))</f>
        <v>85372090</v>
      </c>
      <c r="P11" s="84">
        <f>IF(AND(D11="Não",I11&lt;&gt;"Serviço",CD11="Não"),IFERROR(IF(flag_interestadual,CE11,IF(CF11,CF11,CE11)),"?"),0)</f>
        <v>0.12</v>
      </c>
      <c r="Q11" s="84">
        <f>IF(AND(D11="Não",I11&lt;&gt;"Serviço"),IF(I11="Material",IFERROR(VLOOKUP(L11,tbl_materiais,COLUMN(head_mat_IPI)-COLUMN(head_mat_item)+1,FALSE),"?"),IFERROR(VLOOKUP(O11,tbl_NCM_info,COLUMN(head_porNCM_IPI)-COLUMN(head_porNCM_NCM)+1,FALSE),"?")),0)</f>
        <v>0</v>
      </c>
      <c r="R11" s="84">
        <f>IF(AND(D11="Não",I11="Serviço"),IFERROR(VLOOKUP(CB11,tbl_ISS,5,FALSE),"?"),0)</f>
        <v>0</v>
      </c>
      <c r="S11" s="85">
        <f>IF(D11="Não",IF(reidi="Sim",0,IF(B11="Real",pis_naocum,pis_cum)),0)</f>
        <v>0</v>
      </c>
      <c r="T11" s="86">
        <f>IF(D11="Não",IF(reidi="Sim",0,IF(B11="Real",cofins_naocum,cofins_cum)),0)</f>
        <v>0</v>
      </c>
      <c r="U11" s="53" t="str" cm="1">
        <f t="array" ref="U11">IFERROR(IF(I11&lt;&gt;"Serviço",IF(AND(mlookup(tbl_DIFAL_data,UFdestino,tbl_DIFAL_UF,O11,tbl_DIFAL_NCM)&lt;&gt;"",C11="Consumo"),"Sim",""),""),"?")</f>
        <v/>
      </c>
      <c r="V11" s="54" t="str">
        <f>IFERROR(IF(I11&lt;&gt;"Serviço",IF(AND(D11="Não",mlookup(tbl_ST_data,UFdestino,tbl_ST_UF,O11,tbl_ST_NCM)&lt;&gt;"",C11="Revenda",CD11="Não"),"Sim",""),""),"?")</f>
        <v/>
      </c>
      <c r="W11" s="52">
        <f>IF(OR(U11="Sim",V11="Sim"),CG11,0)</f>
        <v>0</v>
      </c>
      <c r="X11" s="55">
        <f>IF(V11="Sim",mlookup(tbl_ST_data,UFdestino,tbl_ST_UF,O11,tbl_ST_NCM),0)</f>
        <v>0</v>
      </c>
      <c r="Z11" s="102">
        <f>IF(AND(N11&gt;0,CQ11=FALSE),IFERROR(VLOOKUP(L11,tbl_servicos,COLUMN(head_serv_CL)-COLUMN(head_serv_item)+1,FALSE),IF(D11="Sim",0,IF(B11="Real",VLOOKUP(L11,tbl_materiais,COLUMN(head_mat_CLreal)-COLUMN(head_mat_item)+1,FALSE),VLOOKUP(L11,tbl_materiais,COLUMN(head_mat_CLpresumido)-COLUMN(head_mat_item)+1,FALSE)))),0)</f>
        <v>0</v>
      </c>
      <c r="AA11" s="2">
        <f t="shared" ref="AA11" si="0">Z11*N11</f>
        <v>0</v>
      </c>
      <c r="AC11" s="8">
        <f>cobertura_pc</f>
        <v>1.31243473968765E-2</v>
      </c>
      <c r="AD11" s="8">
        <f>IF(F11="Sim",0,VLOOKUP(E11,tbl_mb,2,FALSE))</f>
        <v>0.15</v>
      </c>
      <c r="AF11" s="2">
        <f>AI11*AC11</f>
        <v>0</v>
      </c>
      <c r="AG11" s="2">
        <f>AI11*AD11</f>
        <v>0</v>
      </c>
      <c r="AI11" s="2">
        <f>AA11/(1-AC11-AD11)</f>
        <v>0</v>
      </c>
      <c r="AK11" s="8">
        <f>mn_pc</f>
        <v>0</v>
      </c>
      <c r="AL11" s="2">
        <f t="shared" ref="AL11" si="1">AM11*AK11</f>
        <v>0</v>
      </c>
      <c r="AM11" s="2">
        <f t="shared" ref="AM11" si="2">AI11/(1-AK11)</f>
        <v>0</v>
      </c>
      <c r="AO11" s="2" t="b">
        <f>IF(ABS(SUM(AA11,AF11:AG11,AL11)-AM11)&lt;0.01,TRUE,FALSE)</f>
        <v>1</v>
      </c>
      <c r="AQ11" s="6">
        <f>IFERROR(AR11/N11,0)</f>
        <v>0</v>
      </c>
      <c r="AR11" s="6">
        <f t="shared" ref="AR11" si="3">AM11</f>
        <v>0</v>
      </c>
      <c r="AT11" s="6">
        <f>IFERROR(AU11/N11,0)</f>
        <v>0</v>
      </c>
      <c r="AU11" s="6">
        <f>IF(AND(N11&gt;0,CQ11=FALSE),IF(C11="Consumo",AR11*(1+Q11)/(1-P11*(1+Q11)-R11-S11-T11),AR11*(1+Q11)/(1-P11-R11-S11-T11)),0)</f>
        <v>0</v>
      </c>
      <c r="AW11" s="6">
        <f>IF(AU11&gt;0,AU11/(1+Q11),0)</f>
        <v>0</v>
      </c>
      <c r="AX11" s="6">
        <f>IF(AU11&gt;0,IF(C11="Consumo",AW11-AU11*P11,AW11*(1-P11)),0)</f>
        <v>0</v>
      </c>
      <c r="AY11" s="6">
        <f>AX11-AW11*R11</f>
        <v>0</v>
      </c>
      <c r="AZ11" s="6">
        <f>AY11-AW11*(S11+T11)</f>
        <v>0</v>
      </c>
      <c r="BB11" s="2">
        <f>IF(AW11&gt;0,AW11*Q11,0)</f>
        <v>0</v>
      </c>
      <c r="BC11" s="2">
        <f>IF(AW11&gt;0,IF(C11="Consumo",AU11*P11,AW11*P11),0)</f>
        <v>0</v>
      </c>
      <c r="BD11" s="2">
        <f>AW11*R11</f>
        <v>0</v>
      </c>
      <c r="BE11" s="2">
        <f>AW11*S11</f>
        <v>0</v>
      </c>
      <c r="BF11" s="2">
        <f>AW11*T11</f>
        <v>0</v>
      </c>
      <c r="BH11" s="3">
        <f>W11</f>
        <v>0</v>
      </c>
      <c r="BJ11" s="10">
        <f>IF(AND(U11&lt;&gt;"",C11="Consumo"),BH11-P11,0)</f>
        <v>0</v>
      </c>
      <c r="BK11" s="2">
        <f>BJ11*AU11</f>
        <v>0</v>
      </c>
      <c r="BL11" s="2">
        <f>AU11+BK11</f>
        <v>0</v>
      </c>
      <c r="BN11" s="8">
        <f>X11</f>
        <v>0</v>
      </c>
      <c r="BO11" s="2">
        <f>AU11*(1+BN11)</f>
        <v>0</v>
      </c>
      <c r="BP11" s="2">
        <f>IF(AND(V11&lt;&gt;"",C11="Revenda"),BO11*BH11-BC11,0)</f>
        <v>0</v>
      </c>
      <c r="BQ11" s="2">
        <f>AU11+BP11</f>
        <v>0</v>
      </c>
      <c r="BS11" s="6">
        <f>AU11-SUM(BB11:BF11)</f>
        <v>0</v>
      </c>
      <c r="BT11" s="2">
        <f>AR11+SUM(BB11:BF11)</f>
        <v>0</v>
      </c>
      <c r="BU11" s="2" t="b">
        <f t="shared" ref="BU11" si="4">IF(ABS(BT11-BS11-SUM(BB11:BF11))&lt;0.01,TRUE,FALSE)</f>
        <v>1</v>
      </c>
      <c r="BW11" s="102" t="str">
        <f>IF(AND(N11&gt;0,CQ11=FALSE),IF(D11="Sim","Fat. Direto",VLOOKUP(CB11,tbl_IRPJaux,2,FALSE)),"")</f>
        <v/>
      </c>
      <c r="BX11" s="2">
        <f>IF(AND(BW11&lt;&gt;"NA",D11="Não"),MAX(BL11,BQ11),0)</f>
        <v>0</v>
      </c>
      <c r="BY11" s="18">
        <f>IF(BX11&gt;0,VLOOKUP(CB11,tbl_IRPJaux,3,FALSE),0)</f>
        <v>0</v>
      </c>
      <c r="BZ11" s="102">
        <f>IF(BX11&gt;0,AA11*BY11+AG11*recuperavel_MB_ir_real+AF11*recuperavel_coberturas_ir_real+SUM(BB11:BF11,BK11,BP11),0)</f>
        <v>0</v>
      </c>
      <c r="CA11" s="102"/>
      <c r="CB11" s="102" t="str">
        <f>IFERROR(VLOOKUP(L11,tbl_materiais,COLUMN(head_mat_WBS)-COLUMN(head_mat_item)+1,FALSE),IFERROR(VLOOKUP(L11,tbl_servicos,COLUMN(head_serv_WBS)-COLUMN(head_serv_item)+1,FALSE),"?"))</f>
        <v>?</v>
      </c>
      <c r="CD11" s="2" t="str">
        <f>IFERROR(VLOOKUP(L11,tbl_materiais,COLUMN(head_mat_st)-COLUMN(head_mat_item)+1,FALSE),"Não")</f>
        <v>Não</v>
      </c>
      <c r="CE11" s="3">
        <f>ifzero(mlookup(tbl_ICMSinterest_data,UFdestino,tbl_ICMSinterest_ufdest,UForigem,tbl_ICMSinterest_uforig))</f>
        <v>0.12</v>
      </c>
      <c r="CF11" s="3">
        <f>IF(N11&gt;0,IF(I11&lt;&gt;"Serviço",ifzero(mlookup(tbl_ICMSinterno_data,UForigem,tbl_ICMSinterno_UF,O11,tbl_ICMSinterno_NCM),mlookup(tbl_ICMSinterest_data,UForigem,tbl_ICMSinterest_ufdest,UForigem,tbl_ICMSinterest_uforig)),""),0)</f>
        <v>0</v>
      </c>
      <c r="CG11" s="3">
        <f>IF(N11&gt;0,IF(I11&lt;&gt;"Serviço",ifzero(mlookup(tbl_ICMSinterno_data,UFdestino,tbl_ICMSinterno_UF,O11,tbl_ICMSinterno_NCM),mlookup(tbl_ICMSinterest_data,UFdestino,tbl_ICMSinterest_ufdest,UFdestino,tbl_ICMSinterest_uforig)),""),0)</f>
        <v>0</v>
      </c>
      <c r="CI11" s="2">
        <f>IFERROR(IF(AND(I11&lt;&gt;"Serviço",D11="Não"),N11*VLOOKUP(L11,tbl_materiais,COLUMN(head_mat_credito_ICMS)-COLUMN(head_mat_item)+1,FALSE),0),0)</f>
        <v>0</v>
      </c>
      <c r="CJ11" s="2">
        <f>IFERROR(IF(AND(I11&lt;&gt;"Serviço",D11="Não"),N11*VLOOKUP(L11,tbl_materiais,COLUMN(head_mat_credito_IPI)-COLUMN(head_mat_item)+1,FALSE),0),0)</f>
        <v>0</v>
      </c>
      <c r="CK11" s="2">
        <f>IFERROR(IF(AND(I11&lt;&gt;"Serviço",D11="Não",B11="Real"),N11*VLOOKUP(L11,tbl_materiais,COLUMN(head_mat_credito_PIS)-COLUMN(head_mat_item)+1,FALSE),0),0)</f>
        <v>0</v>
      </c>
      <c r="CL11" s="2">
        <f>IFERROR(IF(AND(I11&lt;&gt;"Serviço",D11="Não",B11="Real"),N11*VLOOKUP(L11,tbl_materiais,COLUMN(head_mat_credito_COFINS)-COLUMN(head_mat_item)+1,FALSE),0),0)</f>
        <v>0</v>
      </c>
      <c r="CN11" s="326">
        <f>IFERROR(SUMIF(serv_col_item,"="&amp;L11,serv_col_totalhh),0)</f>
        <v>1540</v>
      </c>
      <c r="CO11" s="2">
        <f>IFERROR(SUMIF(serv_col_item,"="&amp;L11,serv_col_gdv),0)</f>
        <v>0</v>
      </c>
      <c r="CQ11" s="2" t="b">
        <f>IF(N11&gt;0,IF(ISERROR(HLOOKUP(L11,std_tbl4,1,FALSE)),FALSE,TRUE),FALSE)</f>
        <v>0</v>
      </c>
      <c r="CR11" s="2" t="b">
        <f>IF(AND(CQ11,I11&lt;&gt;std_tiponcm),FALSE,TRUE)</f>
        <v>1</v>
      </c>
      <c r="CS11" s="2" t="b">
        <f>IF(AND(CQ11,D11="Sim"),TRUE,FALSE)</f>
        <v>0</v>
      </c>
      <c r="CU11" s="2">
        <f>IF(D11="Sim",VLOOKUP(L11,tbl_materiais,COLUMN(head_mat_fatdir)-COLUMN(head_mat_item)+1,FALSE),0)</f>
        <v>0</v>
      </c>
      <c r="CV11" s="102">
        <f>CU11*N11</f>
        <v>0</v>
      </c>
      <c r="CW11" s="102">
        <f>CX11*(1-CY11-DA11-DE11-DG11)/(1+DC11)</f>
        <v>0</v>
      </c>
      <c r="CX11" s="102">
        <f>CV11/(1-AK11)</f>
        <v>0</v>
      </c>
      <c r="CY11" s="290">
        <f>IF(D11="Sim",VLOOKUP(L11,tbl_materiais,COLUMN(head_mat_ICMS_input)-COLUMN(head_mat_item)+1,FALSE),0)</f>
        <v>0</v>
      </c>
      <c r="CZ11" s="102">
        <f>CX11*CY11</f>
        <v>0</v>
      </c>
      <c r="DA11" s="290">
        <f>IF(D11="Sim",VLOOKUP(L11,tbl_materiais,COLUMN(head_mat_ISS_input)-COLUMN(head_mat_item)+1,FALSE),0)</f>
        <v>0</v>
      </c>
      <c r="DB11" s="102">
        <f>CX11*DA11</f>
        <v>0</v>
      </c>
      <c r="DC11" s="290">
        <f>IF(D11="Sim",VLOOKUP(L11,tbl_materiais,COLUMN(head_mat_IPI_input)-COLUMN(head_mat_item)+1,FALSE),0)</f>
        <v>0</v>
      </c>
      <c r="DD11" s="102">
        <f>CX11*DC11/(1+DC11)</f>
        <v>0</v>
      </c>
      <c r="DE11" s="592">
        <f>IF(D11="Sim",HLOOKUP($DH$5,Parametrização!$G$2:$H$4,2,FALSE),0)</f>
        <v>0</v>
      </c>
      <c r="DF11" s="102">
        <f>(CX11-DD11)*DE11</f>
        <v>0</v>
      </c>
      <c r="DG11" s="592">
        <f>IF(D11="Sim",HLOOKUP($DH$5,Parametrização!$G$2:$H$4,3,FALSE),0)</f>
        <v>0</v>
      </c>
      <c r="DH11" s="102">
        <f>(CX11-DD11)*DG11</f>
        <v>0</v>
      </c>
      <c r="DI11" s="102">
        <f>CX11-CZ11-DD11-DF11-DH11</f>
        <v>0</v>
      </c>
      <c r="DK11" s="3" t="str">
        <f>IF(AND(I11&lt;&gt;"Serviço",Z11&gt;0),P11,"NA")</f>
        <v>NA</v>
      </c>
      <c r="DL11" s="2" t="str">
        <f>IF(AND(I11="Serviço",Z11&gt;0),R11,"NA")</f>
        <v>NA</v>
      </c>
      <c r="DM11" s="3" t="str">
        <f>IF(AND(I11&lt;&gt;"Serviço",Z11&gt;0),Q11,"NA")</f>
        <v>NA</v>
      </c>
      <c r="DN11" s="9" t="str">
        <f>IF(Z11&gt;0,S11,"NA")</f>
        <v>NA</v>
      </c>
      <c r="DO11" s="637" t="str">
        <f>IF(Z11&gt;0,T11,"NA")</f>
        <v>NA</v>
      </c>
      <c r="DP11" s="637"/>
      <c r="DQ11" s="3" t="str">
        <f>IF(AND(I11&lt;&gt;"Serviço",CU11&gt;0),CY11,"NA")</f>
        <v>NA</v>
      </c>
      <c r="DR11" s="2" t="str">
        <f>IF(AND(I11="Serviço",CU11&gt;0),DA11,"NA")</f>
        <v>NA</v>
      </c>
      <c r="DS11" s="3" t="str">
        <f>IF(AND(I11&lt;&gt;"Serviço",CU11&gt;0),DC11,"NA")</f>
        <v>NA</v>
      </c>
      <c r="DT11" s="9" t="str">
        <f>IF(CU11&gt;0,DE11,"NA")</f>
        <v>NA</v>
      </c>
      <c r="DU11" s="637" t="str">
        <f>IF(CU11&gt;0,DG11,"NA")</f>
        <v>NA</v>
      </c>
      <c r="DV11" s="637"/>
      <c r="DW11" s="2">
        <f>IF(CQ11,N11*HLOOKUP(L11,std_tbl6,ROW(std_PL_real)-ROW(row_std_head)+1,FALSE),AA11)</f>
        <v>0</v>
      </c>
      <c r="DX11" s="2">
        <f>IF(CQ11,DW11/(1-AC11-AD11)/(1-AK11),AM11)</f>
        <v>0</v>
      </c>
      <c r="DY11" s="2">
        <f>IF(CQ11,IF(C11="Industrialização",DX11/(1-P11-S11-T11)*(1+Q11),DX11/(1-P11*(1+Q11)-S11-T11)*(1+Q11)),AU11)</f>
        <v>0</v>
      </c>
      <c r="DZ11" s="637"/>
      <c r="EA11" s="643"/>
    </row>
    <row r="12" spans="1:131" s="295" customFormat="1" ht="20.100000000000001" hidden="1" customHeight="1" outlineLevel="1" x14ac:dyDescent="0.25">
      <c r="A12" s="297" t="s">
        <v>66</v>
      </c>
      <c r="E12" s="297"/>
      <c r="G12" s="298"/>
      <c r="H12" s="299"/>
      <c r="I12" s="296"/>
      <c r="K12" s="621" t="s">
        <v>66</v>
      </c>
      <c r="L12" s="747" t="s">
        <v>382</v>
      </c>
      <c r="M12" s="300"/>
      <c r="N12" s="301"/>
      <c r="O12" s="302"/>
      <c r="P12" s="303"/>
      <c r="Q12" s="303"/>
      <c r="R12" s="303"/>
      <c r="S12" s="303"/>
      <c r="T12" s="304"/>
      <c r="U12" s="305"/>
      <c r="V12" s="303"/>
      <c r="W12" s="303"/>
      <c r="X12" s="304"/>
      <c r="AG12" s="306"/>
      <c r="AQ12" s="307"/>
      <c r="AR12" s="307"/>
      <c r="AT12" s="307"/>
      <c r="AU12" s="307"/>
      <c r="AW12" s="307"/>
      <c r="AX12" s="307"/>
      <c r="BS12" s="307"/>
      <c r="CB12" s="511"/>
      <c r="CE12" s="308"/>
      <c r="CV12" s="511"/>
      <c r="CW12" s="511"/>
      <c r="CX12" s="511"/>
      <c r="CY12" s="511"/>
      <c r="CZ12" s="511"/>
      <c r="DA12" s="511"/>
      <c r="DB12" s="511"/>
      <c r="DC12" s="511"/>
      <c r="DD12" s="511"/>
      <c r="DE12" s="511"/>
      <c r="DF12" s="511"/>
      <c r="DG12" s="511"/>
      <c r="DH12" s="511"/>
      <c r="DI12" s="511"/>
      <c r="EA12" s="643"/>
    </row>
    <row r="13" spans="1:131" s="225" customFormat="1" ht="25.65" customHeight="1" collapsed="1" x14ac:dyDescent="0.25">
      <c r="A13" s="291" t="s">
        <v>347</v>
      </c>
      <c r="B13"/>
      <c r="C13"/>
      <c r="D13"/>
      <c r="E13"/>
      <c r="F13"/>
      <c r="G13"/>
      <c r="H13"/>
      <c r="I13"/>
      <c r="K13" s="614" t="s">
        <v>2791</v>
      </c>
      <c r="L13" s="828"/>
      <c r="M13" s="870" t="s">
        <v>3030</v>
      </c>
      <c r="N13" s="869"/>
      <c r="O13" s="227"/>
      <c r="P13" s="228"/>
      <c r="Q13" s="228"/>
      <c r="R13" s="228"/>
      <c r="S13" s="228"/>
      <c r="T13" s="229"/>
      <c r="U13" s="230"/>
      <c r="V13" s="228"/>
      <c r="W13" s="228"/>
      <c r="X13" s="229"/>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s="643"/>
    </row>
    <row r="14" spans="1:131" s="234" customFormat="1" ht="19.649999999999999" customHeight="1" x14ac:dyDescent="0.25">
      <c r="A14" s="292" t="s">
        <v>348</v>
      </c>
      <c r="B14"/>
      <c r="C14"/>
      <c r="D14"/>
      <c r="E14"/>
      <c r="F14"/>
      <c r="G14"/>
      <c r="H14"/>
      <c r="I14"/>
      <c r="K14" s="615" t="s">
        <v>764</v>
      </c>
      <c r="L14" s="825"/>
      <c r="M14" s="871" t="s">
        <v>278</v>
      </c>
      <c r="N14" s="869"/>
      <c r="O14" s="236"/>
      <c r="P14" s="237"/>
      <c r="Q14" s="237"/>
      <c r="R14" s="237"/>
      <c r="S14" s="237"/>
      <c r="T14" s="238"/>
      <c r="U14" s="239"/>
      <c r="V14" s="237"/>
      <c r="W14" s="237"/>
      <c r="X14" s="238"/>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s="643"/>
    </row>
    <row r="15" spans="1:131" s="243" customFormat="1" ht="19.649999999999999" customHeight="1" x14ac:dyDescent="0.25">
      <c r="A15" s="293" t="s">
        <v>349</v>
      </c>
      <c r="B15"/>
      <c r="C15"/>
      <c r="D15"/>
      <c r="E15"/>
      <c r="F15"/>
      <c r="G15"/>
      <c r="H15"/>
      <c r="I15"/>
      <c r="K15" s="612" t="s">
        <v>765</v>
      </c>
      <c r="L15" s="826"/>
      <c r="M15" s="868" t="s">
        <v>695</v>
      </c>
      <c r="N15" s="869"/>
      <c r="O15" s="245"/>
      <c r="P15" s="246"/>
      <c r="Q15" s="246"/>
      <c r="R15" s="246"/>
      <c r="S15" s="246"/>
      <c r="T15" s="247"/>
      <c r="U15" s="248"/>
      <c r="V15" s="246"/>
      <c r="W15" s="246"/>
      <c r="X15" s="247"/>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s="643"/>
    </row>
    <row r="16" spans="1:131" s="56" customFormat="1" ht="19.649999999999999" customHeight="1" x14ac:dyDescent="0.25">
      <c r="A16" s="294" t="s">
        <v>350</v>
      </c>
      <c r="B16"/>
      <c r="C16"/>
      <c r="D16"/>
      <c r="E16"/>
      <c r="F16"/>
      <c r="G16"/>
      <c r="H16"/>
      <c r="I16"/>
      <c r="K16" s="613" t="s">
        <v>1984</v>
      </c>
      <c r="L16" s="824"/>
      <c r="M16" s="872" t="s">
        <v>2380</v>
      </c>
      <c r="N16" s="869"/>
      <c r="O16" s="58"/>
      <c r="P16" s="59"/>
      <c r="Q16" s="59"/>
      <c r="R16" s="59"/>
      <c r="S16" s="59"/>
      <c r="T16" s="60"/>
      <c r="U16" s="61"/>
      <c r="V16" s="59"/>
      <c r="W16" s="59"/>
      <c r="X16" s="60"/>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s="643"/>
    </row>
    <row r="17" spans="1:135" s="753" customFormat="1" ht="99.15" customHeight="1" x14ac:dyDescent="0.25">
      <c r="A17" s="752"/>
      <c r="B17" s="753" t="s">
        <v>268</v>
      </c>
      <c r="C17" s="753" t="s">
        <v>255</v>
      </c>
      <c r="D17" s="757" t="s">
        <v>53</v>
      </c>
      <c r="E17" s="752" t="s">
        <v>38</v>
      </c>
      <c r="F17" s="753" t="s">
        <v>53</v>
      </c>
      <c r="G17" s="781" t="s">
        <v>695</v>
      </c>
      <c r="H17" s="781" t="s">
        <v>357</v>
      </c>
      <c r="I17" s="752" t="s">
        <v>1910</v>
      </c>
      <c r="K17" s="318" t="s">
        <v>2358</v>
      </c>
      <c r="L17" s="502" t="s">
        <v>3093</v>
      </c>
      <c r="M17" s="50" t="str">
        <f t="shared" ref="M17:M18" si="5">IFERROR(IFERROR(VLOOKUP(L17,tbl_materiais,COLUMN(head_mat_descricao)-COLUMN(head_mat_item)+1,FALSE),VLOOKUP(L17,tbl_servicos,COLUMN(head_serv_descricao)-COLUMN(head_serv_item)+1,FALSE)),"?")</f>
        <v>Chaparia completa para automação e rede com seus acessórios (bandejamento interno, canaletas, organizadores), medidas 800x800x2300 (LxPxA), chapa de bitola 14/16, grau de proteção IP54 (abrigado), chapas frontais com recuo e trilho DIN para instalação dos equipamentos, portas frontal e traseira do tipo "colméia" para facilitar a dissipação de calor dos equipamentos com o ambiente, venezianas, limitador de porta, olhal de içamento, cinza Munsell. Fabricante: PSI.</v>
      </c>
      <c r="N17" s="51">
        <v>1</v>
      </c>
      <c r="O17" s="83">
        <f t="shared" ref="O17:O18" si="6">IF(CQ17,std_ncm,IF(I17="Serviço","NA",IF(I17="Material",IFERROR(VLOOKUP(L17,tbl_materiais,COLUMN(head_mat_NCM)-COLUMN(head_mat_item)+1,FALSE),"?"),IFERROR(VLOOKUP(I17,tbl_TipoLinha,2,FALSE),"?"))))</f>
        <v>85372090</v>
      </c>
      <c r="P17" s="84">
        <f t="shared" ref="P17:P18" si="7">IF(AND(D17="Não",I17&lt;&gt;"Serviço",CD17="Não"),IFERROR(IF(flag_interestadual,CE17,IF(CF17,CF17,CE17)),"?"),0)</f>
        <v>0.12</v>
      </c>
      <c r="Q17" s="84">
        <f t="shared" ref="Q17:Q18" si="8">IF(AND(D17="Não",I17&lt;&gt;"Serviço"),IF(I17="Material",IFERROR(VLOOKUP(L17,tbl_materiais,COLUMN(head_mat_IPI)-COLUMN(head_mat_item)+1,FALSE),"?"),IFERROR(VLOOKUP(O17,tbl_NCM_info,COLUMN(head_porNCM_IPI)-COLUMN(head_porNCM_NCM)+1,FALSE),"?")),0)</f>
        <v>0</v>
      </c>
      <c r="R17" s="84">
        <f t="shared" ref="R17:R18" si="9">IF(AND(D17="Não",I17="Serviço"),IFERROR(VLOOKUP(CB17,tbl_ISS,5,FALSE),"?"),0)</f>
        <v>0</v>
      </c>
      <c r="S17" s="85">
        <f t="shared" ref="S17:S18" si="10">IF(D17="Não",IF(reidi="Sim",0,IF(B17="Real",pis_naocum,pis_cum)),0)</f>
        <v>0</v>
      </c>
      <c r="T17" s="86">
        <f t="shared" ref="T17:T18" si="11">IF(D17="Não",IF(reidi="Sim",0,IF(B17="Real",cofins_naocum,cofins_cum)),0)</f>
        <v>0</v>
      </c>
      <c r="U17" s="754" t="str" cm="1">
        <f t="array" ref="U17">IFERROR(IF(I17&lt;&gt;"Serviço",IF(AND(mlookup(tbl_DIFAL_data,UFdestino,tbl_DIFAL_UF,O17,tbl_DIFAL_NCM)&lt;&gt;"",C17="Consumo"),"Sim",""),""),"?")</f>
        <v/>
      </c>
      <c r="V17" s="755" t="str">
        <f>IFERROR(IF(I17&lt;&gt;"Serviço",IF(AND(D17="Não",mlookup(tbl_ST_data,UFdestino,tbl_ST_UF,O17,tbl_ST_NCM)&lt;&gt;"",C17="Revenda",CD17="Não"),"Sim",""),""),"?")</f>
        <v/>
      </c>
      <c r="W17" s="84">
        <f t="shared" ref="W17:W20" si="12">IF(OR(U17="Sim",V17="Sim"),CG17,0)</f>
        <v>0</v>
      </c>
      <c r="X17" s="756">
        <f>IF(V17="Sim",mlookup(tbl_ST_data,UFdestino,tbl_ST_UF,O17,tbl_ST_NCM),0)</f>
        <v>0</v>
      </c>
      <c r="Z17" s="757">
        <f t="shared" ref="Z17:Z18" si="13">IF(AND(N17&gt;0,CQ17=FALSE),IFERROR(VLOOKUP(L17,tbl_servicos,COLUMN(head_serv_CL)-COLUMN(head_serv_item)+1,FALSE),IF(D17="Sim",0,IF(B17="Real",VLOOKUP(L17,tbl_materiais,COLUMN(head_mat_CLreal)-COLUMN(head_mat_item)+1,FALSE),VLOOKUP(L17,tbl_materiais,COLUMN(head_mat_CLpresumido)-COLUMN(head_mat_item)+1,FALSE)))),0)</f>
        <v>10432.7124</v>
      </c>
      <c r="AA17" s="753">
        <f t="shared" ref="AA17:AA20" si="14">Z17*N17</f>
        <v>10432.7124</v>
      </c>
      <c r="AC17" s="758">
        <f t="shared" ref="AC17:AC18" si="15">cobertura_pc</f>
        <v>1.31243473968765E-2</v>
      </c>
      <c r="AD17" s="758">
        <f t="shared" ref="AD17:AD18" si="16">IF(F17="Sim",0,VLOOKUP(E17,tbl_mb,2,FALSE))</f>
        <v>0.15</v>
      </c>
      <c r="AF17" s="753">
        <f t="shared" ref="AF17:AF20" si="17">AI17*AC17</f>
        <v>163.61157288230345</v>
      </c>
      <c r="AG17" s="753">
        <f t="shared" ref="AG17:AG20" si="18">AI17*AD17</f>
        <v>1869.9395246262889</v>
      </c>
      <c r="AI17" s="753">
        <f t="shared" ref="AI17:AI20" si="19">AA17/(1-AC17-AD17)</f>
        <v>12466.263497508593</v>
      </c>
      <c r="AK17" s="758">
        <f t="shared" ref="AK17:AK18" si="20">mn_pc</f>
        <v>0</v>
      </c>
      <c r="AL17" s="753">
        <f t="shared" ref="AL17:AL20" si="21">AM17*AK17</f>
        <v>0</v>
      </c>
      <c r="AM17" s="753">
        <f t="shared" ref="AM17:AM20" si="22">AI17/(1-AK17)</f>
        <v>12466.263497508593</v>
      </c>
      <c r="AO17" s="753" t="b">
        <f t="shared" ref="AO17:AO20" si="23">IF(ABS(SUM(AA17,AF17:AG17,AL17)-AM17)&lt;0.01,TRUE,FALSE)</f>
        <v>1</v>
      </c>
      <c r="AQ17" s="759">
        <f t="shared" ref="AQ17:AQ20" si="24">IFERROR(AR17/N17,0)</f>
        <v>12466.263497508593</v>
      </c>
      <c r="AR17" s="759">
        <f t="shared" ref="AR17:AR20" si="25">AM17</f>
        <v>12466.263497508593</v>
      </c>
      <c r="AT17" s="759">
        <f t="shared" ref="AT17:AT20" si="26">IFERROR(AU17/N17,0)</f>
        <v>14166.208519896129</v>
      </c>
      <c r="AU17" s="759">
        <f t="shared" ref="AU17:AU20" si="27">IF(AND(N17&gt;0,CQ17=FALSE),IF(C17="Consumo",AR17*(1+Q17)/(1-P17*(1+Q17)-R17-S17-T17),AR17*(1+Q17)/(1-P17-R17-S17-T17)),0)</f>
        <v>14166.208519896129</v>
      </c>
      <c r="AW17" s="759">
        <f t="shared" ref="AW17:AW20" si="28">IF(AU17&gt;0,AU17/(1+Q17),0)</f>
        <v>14166.208519896129</v>
      </c>
      <c r="AX17" s="759">
        <f t="shared" ref="AX17:AX20" si="29">IF(AU17&gt;0,IF(C17="Consumo",AW17-AU17*P17,AW17*(1-P17)),0)</f>
        <v>12466.263497508593</v>
      </c>
      <c r="AY17" s="759">
        <f t="shared" ref="AY17:AY20" si="30">AX17-AW17*R17</f>
        <v>12466.263497508593</v>
      </c>
      <c r="AZ17" s="759">
        <f t="shared" ref="AZ17:AZ20" si="31">AY17-AW17*(S17+T17)</f>
        <v>12466.263497508593</v>
      </c>
      <c r="BB17" s="753">
        <f t="shared" ref="BB17:BB20" si="32">IF(AW17&gt;0,AW17*Q17,0)</f>
        <v>0</v>
      </c>
      <c r="BC17" s="753">
        <f t="shared" ref="BC17:BC20" si="33">IF(AW17&gt;0,IF(C17="Consumo",AU17*P17,AW17*P17),0)</f>
        <v>1699.9450223875353</v>
      </c>
      <c r="BD17" s="753">
        <f t="shared" ref="BD17:BD20" si="34">AW17*R17</f>
        <v>0</v>
      </c>
      <c r="BE17" s="753">
        <f t="shared" ref="BE17:BE20" si="35">AW17*S17</f>
        <v>0</v>
      </c>
      <c r="BF17" s="753">
        <f t="shared" ref="BF17:BF20" si="36">AW17*T17</f>
        <v>0</v>
      </c>
      <c r="BH17" s="760">
        <f t="shared" ref="BH17:BH20" si="37">W17</f>
        <v>0</v>
      </c>
      <c r="BJ17" s="761">
        <f t="shared" ref="BJ17:BJ20" si="38">IF(AND(U17&lt;&gt;"",C17="Consumo"),BH17-P17,0)</f>
        <v>0</v>
      </c>
      <c r="BK17" s="753">
        <f t="shared" ref="BK17:BK20" si="39">BJ17*AU17</f>
        <v>0</v>
      </c>
      <c r="BL17" s="753">
        <f t="shared" ref="BL17:BL20" si="40">AU17+BK17</f>
        <v>14166.208519896129</v>
      </c>
      <c r="BN17" s="758">
        <f t="shared" ref="BN17:BN20" si="41">X17</f>
        <v>0</v>
      </c>
      <c r="BO17" s="753">
        <f t="shared" ref="BO17:BO20" si="42">AU17*(1+BN17)</f>
        <v>14166.208519896129</v>
      </c>
      <c r="BP17" s="753">
        <f t="shared" ref="BP17:BP20" si="43">IF(AND(V17&lt;&gt;"",C17="Revenda"),BO17*BH17-BC17,0)</f>
        <v>0</v>
      </c>
      <c r="BQ17" s="753">
        <f t="shared" ref="BQ17:BQ20" si="44">AU17+BP17</f>
        <v>14166.208519896129</v>
      </c>
      <c r="BS17" s="759">
        <f t="shared" ref="BS17:BS20" si="45">AU17-SUM(BB17:BF17)</f>
        <v>12466.263497508593</v>
      </c>
      <c r="BT17" s="753">
        <f t="shared" ref="BT17:BT20" si="46">AR17+SUM(BB17:BF17)</f>
        <v>14166.208519896129</v>
      </c>
      <c r="BU17" s="753" t="b">
        <f t="shared" ref="BU17:BU20" si="47">IF(ABS(BT17-BS17-SUM(BB17:BF17))&lt;0.01,TRUE,FALSE)</f>
        <v>1</v>
      </c>
      <c r="BW17" s="757" t="str">
        <f t="shared" ref="BW17:BW18" si="48">IF(AND(N17&gt;0,CQ17=FALSE),IF(D17="Sim","Fat. Direto",VLOOKUP(CB17,tbl_IRPJaux,2,FALSE)),"")</f>
        <v>Material</v>
      </c>
      <c r="BX17" s="753">
        <f t="shared" ref="BX17:BX20" si="49">IF(AND(BW17&lt;&gt;"NA",D17="Não"),MAX(BL17,BQ17),0)</f>
        <v>14166.208519896129</v>
      </c>
      <c r="BY17" s="752">
        <f t="shared" ref="BY17:BY18" si="50">IF(BX17&gt;0,VLOOKUP(CB17,tbl_IRPJaux,3,FALSE),0)</f>
        <v>1</v>
      </c>
      <c r="BZ17" s="757">
        <f t="shared" ref="BZ17:BZ18" si="51">IF(BX17&gt;0,AA17*BY17+AG17*recuperavel_MB_ir_real+AF17*recuperavel_coberturas_ir_real+SUM(BB17:BF17,BK17,BP17),0)</f>
        <v>12296.26899526984</v>
      </c>
      <c r="CA17" s="757"/>
      <c r="CB17" s="757" t="str">
        <f t="shared" ref="CB17:CB18" si="52">IFERROR(VLOOKUP(L17,tbl_materiais,COLUMN(head_mat_WBS)-COLUMN(head_mat_item)+1,FALSE),IFERROR(VLOOKUP(L17,tbl_servicos,COLUMN(head_serv_WBS)-COLUMN(head_serv_item)+1,FALSE),"?"))</f>
        <v xml:space="preserve">  Chaparia</v>
      </c>
      <c r="CD17" s="753" t="str">
        <f t="shared" ref="CD17:CD18" si="53">IFERROR(VLOOKUP(L17,tbl_materiais,COLUMN(head_mat_st)-COLUMN(head_mat_item)+1,FALSE),"Não")</f>
        <v>Não</v>
      </c>
      <c r="CE17" s="760">
        <f>ifzero(mlookup(tbl_ICMSinterest_data,UFdestino,tbl_ICMSinterest_ufdest,UForigem,tbl_ICMSinterest_uforig))</f>
        <v>0.12</v>
      </c>
      <c r="CF17" s="760">
        <f>IF(N17&gt;0,IF(I17&lt;&gt;"Serviço",ifzero(mlookup(tbl_ICMSinterno_data,UForigem,tbl_ICMSinterno_UF,O17,tbl_ICMSinterno_NCM),mlookup(tbl_ICMSinterest_data,UForigem,tbl_ICMSinterest_ufdest,UForigem,tbl_ICMSinterest_uforig)),""),0)</f>
        <v>0.12</v>
      </c>
      <c r="CG17" s="760">
        <f>IF(N17&gt;0,IF(I17&lt;&gt;"Serviço",ifzero(mlookup(tbl_ICMSinterno_data,UFdestino,tbl_ICMSinterno_UF,O17,tbl_ICMSinterno_NCM),mlookup(tbl_ICMSinterest_data,UFdestino,tbl_ICMSinterest_ufdest,UFdestino,tbl_ICMSinterest_uforig)),""),0)</f>
        <v>0.18</v>
      </c>
      <c r="CI17" s="753">
        <f t="shared" ref="CI17:CI18" si="54">IFERROR(IF(AND(I17&lt;&gt;"Serviço",D17="Não"),N17*VLOOKUP(L17,tbl_materiais,COLUMN(head_mat_credito_ICMS)-COLUMN(head_mat_item)+1,FALSE),0),0)</f>
        <v>1589.7466514285711</v>
      </c>
      <c r="CJ17" s="753">
        <f t="shared" ref="CJ17:CJ18" si="55">IFERROR(IF(AND(I17&lt;&gt;"Serviço",D17="Não"),N17*VLOOKUP(L17,tbl_materiais,COLUMN(head_mat_credito_IPI)-COLUMN(head_mat_item)+1,FALSE),0),0)</f>
        <v>0</v>
      </c>
      <c r="CK17" s="753">
        <f t="shared" ref="CK17:CK18" si="56">IFERROR(IF(AND(I17&lt;&gt;"Serviço",D17="Não",B17="Real"),N17*VLOOKUP(L17,tbl_materiais,COLUMN(head_mat_credito_PIS)-COLUMN(head_mat_item)+1,FALSE),0),0)</f>
        <v>218.59016457142855</v>
      </c>
      <c r="CL17" s="753">
        <f t="shared" ref="CL17:CL18" si="57">IFERROR(IF(AND(I17&lt;&gt;"Serviço",D17="Não",B17="Real"),N17*VLOOKUP(L17,tbl_materiais,COLUMN(head_mat_credito_COFINS)-COLUMN(head_mat_item)+1,FALSE),0),0)</f>
        <v>1006.8395459047617</v>
      </c>
      <c r="CN17" s="762">
        <f t="shared" ref="CN17:CN18" si="58">IFERROR(SUMIF(serv_col_item,"="&amp;L17,serv_col_totalhh),0)</f>
        <v>0</v>
      </c>
      <c r="CO17" s="753">
        <f t="shared" ref="CO17:CO18" si="59">IFERROR(SUMIF(serv_col_item,"="&amp;L17,serv_col_gdv),0)</f>
        <v>0</v>
      </c>
      <c r="CQ17" s="753" t="b">
        <f t="shared" ref="CQ17:CQ18" si="60">IF(N17&gt;0,IF(ISERROR(HLOOKUP(L17,std_tbl4,1,FALSE)),FALSE,TRUE),FALSE)</f>
        <v>0</v>
      </c>
      <c r="CR17" s="753" t="b">
        <f t="shared" ref="CR17:CR18" si="61">IF(AND(CQ17,I17&lt;&gt;std_tiponcm),FALSE,TRUE)</f>
        <v>1</v>
      </c>
      <c r="CS17" s="753" t="b">
        <f t="shared" ref="CS17:CS20" si="62">IF(AND(CQ17,D17="Sim"),TRUE,FALSE)</f>
        <v>0</v>
      </c>
      <c r="CU17" s="753">
        <f t="shared" ref="CU17:CU18" si="63">IF(D17="Sim",VLOOKUP(L17,tbl_materiais,COLUMN(head_mat_fatdir)-COLUMN(head_mat_item)+1,FALSE),0)</f>
        <v>0</v>
      </c>
      <c r="CV17" s="757">
        <f t="shared" ref="CV17:CV20" si="64">CU17*N17</f>
        <v>0</v>
      </c>
      <c r="CW17" s="757">
        <f t="shared" ref="CW17:CW20" si="65">CX17*(1-CY17-DA17-DE17-DG17)/(1+DC17)</f>
        <v>0</v>
      </c>
      <c r="CX17" s="757">
        <f t="shared" ref="CX17:CX20" si="66">CV17/(1-AK17)</f>
        <v>0</v>
      </c>
      <c r="CY17" s="763">
        <f t="shared" ref="CY17:CY18" si="67">IF(D17="Sim",VLOOKUP(L17,tbl_materiais,COLUMN(head_mat_ICMS_input)-COLUMN(head_mat_item)+1,FALSE),0)</f>
        <v>0</v>
      </c>
      <c r="CZ17" s="757">
        <f t="shared" ref="CZ17:CZ20" si="68">CX17*CY17</f>
        <v>0</v>
      </c>
      <c r="DA17" s="763">
        <f t="shared" ref="DA17:DA18" si="69">IF(D17="Sim",VLOOKUP(L17,tbl_materiais,COLUMN(head_mat_ISS_input)-COLUMN(head_mat_item)+1,FALSE),0)</f>
        <v>0</v>
      </c>
      <c r="DB17" s="757">
        <f t="shared" ref="DB17:DB20" si="70">CX17*DA17</f>
        <v>0</v>
      </c>
      <c r="DC17" s="763">
        <f t="shared" ref="DC17:DC18" si="71">IF(D17="Sim",VLOOKUP(L17,tbl_materiais,COLUMN(head_mat_IPI_input)-COLUMN(head_mat_item)+1,FALSE),0)</f>
        <v>0</v>
      </c>
      <c r="DD17" s="757">
        <f t="shared" ref="DD17:DD20" si="72">CX17*DC17/(1+DC17)</f>
        <v>0</v>
      </c>
      <c r="DE17" s="764">
        <v>0</v>
      </c>
      <c r="DF17" s="757">
        <f t="shared" ref="DF17:DF20" si="73">(CX17-DD17)*DE17</f>
        <v>0</v>
      </c>
      <c r="DG17" s="764">
        <v>0</v>
      </c>
      <c r="DH17" s="757">
        <f t="shared" ref="DH17:DH20" si="74">(CX17-DD17)*DG17</f>
        <v>0</v>
      </c>
      <c r="DI17" s="757">
        <f t="shared" ref="DI17:DI20" si="75">CX17-CZ17-DD17-DF17-DH17</f>
        <v>0</v>
      </c>
      <c r="DK17" s="760">
        <f t="shared" ref="DK17:DK20" si="76">IF(AND(I17&lt;&gt;"Serviço",Z17&gt;0),P17,"NA")</f>
        <v>0.12</v>
      </c>
      <c r="DL17" s="753" t="str">
        <f t="shared" ref="DL17:DL20" si="77">IF(AND(I17="Serviço",Z17&gt;0),R17,"NA")</f>
        <v>NA</v>
      </c>
      <c r="DM17" s="760">
        <f t="shared" ref="DM17:DM20" si="78">IF(AND(I17&lt;&gt;"Serviço",Z17&gt;0),Q17,"NA")</f>
        <v>0</v>
      </c>
      <c r="DN17" s="765">
        <f t="shared" ref="DN17:DN20" si="79">IF(Z17&gt;0,S17,"NA")</f>
        <v>0</v>
      </c>
      <c r="DO17" s="766">
        <f t="shared" ref="DO17:DO20" si="80">IF(Z17&gt;0,T17,"NA")</f>
        <v>0</v>
      </c>
      <c r="DP17" s="766"/>
      <c r="DQ17" s="760" t="str">
        <f t="shared" ref="DQ17:DQ20" si="81">IF(AND(I17&lt;&gt;"Serviço",CU17&gt;0),CY17,"NA")</f>
        <v>NA</v>
      </c>
      <c r="DR17" s="753" t="str">
        <f t="shared" ref="DR17:DR20" si="82">IF(AND(I17="Serviço",CU17&gt;0),DA17,"NA")</f>
        <v>NA</v>
      </c>
      <c r="DS17" s="760" t="str">
        <f t="shared" ref="DS17:DS20" si="83">IF(AND(I17&lt;&gt;"Serviço",CU17&gt;0),DC17,"NA")</f>
        <v>NA</v>
      </c>
      <c r="DT17" s="765" t="str">
        <f t="shared" ref="DT17:DT20" si="84">IF(CU17&gt;0,DE17,"NA")</f>
        <v>NA</v>
      </c>
      <c r="DU17" s="766" t="str">
        <f t="shared" ref="DU17:DU20" si="85">IF(CU17&gt;0,DG17,"NA")</f>
        <v>NA</v>
      </c>
      <c r="DV17" s="766"/>
      <c r="DW17" s="753">
        <f t="shared" ref="DW17:DW18" si="86">IF(CQ17,N17*HLOOKUP(L17,std_tbl6,ROW(std_PL_real)-ROW(row_std_head)+1,FALSE),AA17)</f>
        <v>10432.7124</v>
      </c>
      <c r="DX17" s="753">
        <f t="shared" ref="DX17:DX20" si="87">IF(CQ17,DW17/(1-AC17-AD17)/(1-AK17),AM17)</f>
        <v>12466.263497508593</v>
      </c>
      <c r="DY17" s="753">
        <f t="shared" ref="DY17:DY20" si="88">IF(CQ17,IF(C17="Industrialização",DX17/(1-P17-S17-T17)*(1+Q17),DX17/(1-P17*(1+Q17)-S17-T17)*(1+Q17)),AU17)</f>
        <v>14166.208519896129</v>
      </c>
      <c r="DZ17" s="766"/>
      <c r="EA17" s="767"/>
      <c r="EC17" s="753" t="s">
        <v>53</v>
      </c>
      <c r="ED17" s="753" t="s">
        <v>53</v>
      </c>
      <c r="EE17" s="753" t="s">
        <v>53</v>
      </c>
    </row>
    <row r="18" spans="1:135" s="91" customFormat="1" ht="35.4" customHeight="1" outlineLevel="1" x14ac:dyDescent="0.25">
      <c r="A18" s="92"/>
      <c r="B18" s="91" t="s">
        <v>268</v>
      </c>
      <c r="C18" s="91" t="s">
        <v>255</v>
      </c>
      <c r="D18" s="757" t="s">
        <v>53</v>
      </c>
      <c r="E18" s="18" t="s">
        <v>38</v>
      </c>
      <c r="F18" s="2" t="s">
        <v>53</v>
      </c>
      <c r="G18" s="781" t="s">
        <v>695</v>
      </c>
      <c r="H18" s="255" t="s">
        <v>357</v>
      </c>
      <c r="I18" s="18" t="s">
        <v>1910</v>
      </c>
      <c r="K18" s="320" t="s">
        <v>2359</v>
      </c>
      <c r="L18" s="523" t="s">
        <v>942</v>
      </c>
      <c r="M18" s="93" t="str">
        <f t="shared" si="5"/>
        <v>Relé auxiliar (&lt; 20 ms), 8 contatos reversíveis, com base (JN-DE), 125VCC. Fabricante: Arteche.</v>
      </c>
      <c r="N18" s="94">
        <f>N17</f>
        <v>1</v>
      </c>
      <c r="O18" s="95">
        <f t="shared" si="6"/>
        <v>85372090</v>
      </c>
      <c r="P18" s="96">
        <f t="shared" si="7"/>
        <v>0.12</v>
      </c>
      <c r="Q18" s="96">
        <f t="shared" si="8"/>
        <v>0</v>
      </c>
      <c r="R18" s="96">
        <f t="shared" si="9"/>
        <v>0</v>
      </c>
      <c r="S18" s="97">
        <f t="shared" si="10"/>
        <v>0</v>
      </c>
      <c r="T18" s="98">
        <f t="shared" si="11"/>
        <v>0</v>
      </c>
      <c r="U18" s="740" t="str" cm="1">
        <f t="array" ref="U18">IFERROR(IF(I18&lt;&gt;"Serviço",IF(AND(mlookup(tbl_DIFAL_data,UFdestino,tbl_DIFAL_UF,O18,tbl_DIFAL_NCM)&lt;&gt;"",C18="Consumo"),"Sim",""),""),"?")</f>
        <v/>
      </c>
      <c r="V18" s="99" t="str">
        <f>IFERROR(IF(I18&lt;&gt;"Serviço",IF(AND(D18="Não",mlookup(tbl_ST_data,UFdestino,tbl_ST_UF,O18,tbl_ST_NCM)&lt;&gt;"",C18="Revenda",CD18="Não"),"Sim",""),""),"?")</f>
        <v/>
      </c>
      <c r="W18" s="96">
        <f t="shared" si="12"/>
        <v>0</v>
      </c>
      <c r="X18" s="100">
        <f>IF(V18="Sim",mlookup(tbl_ST_data,UFdestino,tbl_ST_UF,O18,tbl_ST_NCM),0)</f>
        <v>0</v>
      </c>
      <c r="Z18" s="516">
        <f t="shared" si="13"/>
        <v>819.20627500000001</v>
      </c>
      <c r="AA18" s="91">
        <f t="shared" si="14"/>
        <v>819.20627500000001</v>
      </c>
      <c r="AC18" s="517">
        <f t="shared" si="15"/>
        <v>1.31243473968765E-2</v>
      </c>
      <c r="AD18" s="517">
        <f t="shared" si="16"/>
        <v>0.15</v>
      </c>
      <c r="AF18" s="91">
        <f t="shared" si="17"/>
        <v>12.847246433037185</v>
      </c>
      <c r="AG18" s="91">
        <f t="shared" si="18"/>
        <v>146.83297437053596</v>
      </c>
      <c r="AI18" s="91">
        <f t="shared" si="19"/>
        <v>978.88649580357321</v>
      </c>
      <c r="AK18" s="517">
        <f t="shared" si="20"/>
        <v>0</v>
      </c>
      <c r="AL18" s="91">
        <f t="shared" si="21"/>
        <v>0</v>
      </c>
      <c r="AM18" s="91">
        <f t="shared" si="22"/>
        <v>978.88649580357321</v>
      </c>
      <c r="AO18" s="91" t="b">
        <f t="shared" si="23"/>
        <v>1</v>
      </c>
      <c r="AQ18" s="518">
        <f t="shared" si="24"/>
        <v>978.88649580357321</v>
      </c>
      <c r="AR18" s="518">
        <f t="shared" si="25"/>
        <v>978.88649580357321</v>
      </c>
      <c r="AT18" s="518">
        <f t="shared" si="26"/>
        <v>1112.371017958606</v>
      </c>
      <c r="AU18" s="518">
        <f t="shared" si="27"/>
        <v>1112.371017958606</v>
      </c>
      <c r="AW18" s="518">
        <f t="shared" si="28"/>
        <v>1112.371017958606</v>
      </c>
      <c r="AX18" s="518">
        <f t="shared" si="29"/>
        <v>978.88649580357333</v>
      </c>
      <c r="AY18" s="518">
        <f t="shared" si="30"/>
        <v>978.88649580357333</v>
      </c>
      <c r="AZ18" s="518">
        <f t="shared" si="31"/>
        <v>978.88649580357333</v>
      </c>
      <c r="BB18" s="91">
        <f t="shared" si="32"/>
        <v>0</v>
      </c>
      <c r="BC18" s="91">
        <f t="shared" si="33"/>
        <v>133.48452215503272</v>
      </c>
      <c r="BD18" s="91">
        <f t="shared" si="34"/>
        <v>0</v>
      </c>
      <c r="BE18" s="91">
        <f t="shared" si="35"/>
        <v>0</v>
      </c>
      <c r="BF18" s="91">
        <f t="shared" si="36"/>
        <v>0</v>
      </c>
      <c r="BH18" s="519">
        <f t="shared" si="37"/>
        <v>0</v>
      </c>
      <c r="BJ18" s="520">
        <f t="shared" si="38"/>
        <v>0</v>
      </c>
      <c r="BK18" s="91">
        <f t="shared" si="39"/>
        <v>0</v>
      </c>
      <c r="BL18" s="91">
        <f t="shared" si="40"/>
        <v>1112.371017958606</v>
      </c>
      <c r="BN18" s="517">
        <f t="shared" si="41"/>
        <v>0</v>
      </c>
      <c r="BO18" s="91">
        <f t="shared" si="42"/>
        <v>1112.371017958606</v>
      </c>
      <c r="BP18" s="91">
        <f t="shared" si="43"/>
        <v>0</v>
      </c>
      <c r="BQ18" s="91">
        <f t="shared" si="44"/>
        <v>1112.371017958606</v>
      </c>
      <c r="BS18" s="518">
        <f t="shared" si="45"/>
        <v>978.88649580357333</v>
      </c>
      <c r="BT18" s="91">
        <f t="shared" si="46"/>
        <v>1112.371017958606</v>
      </c>
      <c r="BU18" s="91" t="b">
        <f t="shared" si="47"/>
        <v>1</v>
      </c>
      <c r="BW18" s="516" t="str">
        <f t="shared" si="48"/>
        <v>Material</v>
      </c>
      <c r="BX18" s="91">
        <f t="shared" si="49"/>
        <v>1112.371017958606</v>
      </c>
      <c r="BY18" s="92">
        <f t="shared" si="50"/>
        <v>1</v>
      </c>
      <c r="BZ18" s="516">
        <f t="shared" si="51"/>
        <v>965.53804358806997</v>
      </c>
      <c r="CA18" s="516"/>
      <c r="CB18" s="516" t="str">
        <f t="shared" si="52"/>
        <v xml:space="preserve">  Relé auxiliar</v>
      </c>
      <c r="CD18" s="91" t="str">
        <f t="shared" si="53"/>
        <v>Não</v>
      </c>
      <c r="CE18" s="519">
        <f>ifzero(mlookup(tbl_ICMSinterest_data,UFdestino,tbl_ICMSinterest_ufdest,UForigem,tbl_ICMSinterest_uforig))</f>
        <v>0.12</v>
      </c>
      <c r="CF18" s="519">
        <f>IF(N18&gt;0,IF(I18&lt;&gt;"Serviço",ifzero(mlookup(tbl_ICMSinterno_data,UForigem,tbl_ICMSinterno_UF,O18,tbl_ICMSinterno_NCM),mlookup(tbl_ICMSinterest_data,UForigem,tbl_ICMSinterest_ufdest,UForigem,tbl_ICMSinterest_uforig)),""),0)</f>
        <v>0.12</v>
      </c>
      <c r="CG18" s="519">
        <f>IF(N18&gt;0,IF(I18&lt;&gt;"Serviço",ifzero(mlookup(tbl_ICMSinterno_data,UFdestino,tbl_ICMSinterno_UF,O18,tbl_ICMSinterno_NCM),mlookup(tbl_ICMSinterest_data,UFdestino,tbl_ICMSinterest_ufdest,UFdestino,tbl_ICMSinterest_uforig)),""),0)</f>
        <v>0.18</v>
      </c>
      <c r="CI18" s="91">
        <f t="shared" si="54"/>
        <v>36.584213075060532</v>
      </c>
      <c r="CJ18" s="91">
        <f t="shared" si="55"/>
        <v>29.724673123486696</v>
      </c>
      <c r="CK18" s="91">
        <f t="shared" si="56"/>
        <v>15.090987893462469</v>
      </c>
      <c r="CL18" s="91">
        <f t="shared" si="57"/>
        <v>69.510004842615004</v>
      </c>
      <c r="CN18" s="521">
        <f t="shared" si="58"/>
        <v>0</v>
      </c>
      <c r="CO18" s="91">
        <f t="shared" si="59"/>
        <v>0</v>
      </c>
      <c r="CQ18" s="91" t="b">
        <f t="shared" si="60"/>
        <v>0</v>
      </c>
      <c r="CR18" s="91" t="b">
        <f t="shared" si="61"/>
        <v>1</v>
      </c>
      <c r="CS18" s="91" t="b">
        <f t="shared" si="62"/>
        <v>0</v>
      </c>
      <c r="CU18" s="91">
        <f t="shared" si="63"/>
        <v>0</v>
      </c>
      <c r="CV18" s="516">
        <f t="shared" si="64"/>
        <v>0</v>
      </c>
      <c r="CW18" s="516">
        <f t="shared" si="65"/>
        <v>0</v>
      </c>
      <c r="CX18" s="516">
        <f t="shared" si="66"/>
        <v>0</v>
      </c>
      <c r="CY18" s="610">
        <f t="shared" si="67"/>
        <v>0</v>
      </c>
      <c r="CZ18" s="516">
        <f t="shared" si="68"/>
        <v>0</v>
      </c>
      <c r="DA18" s="610">
        <f t="shared" si="69"/>
        <v>0</v>
      </c>
      <c r="DB18" s="516">
        <f t="shared" si="70"/>
        <v>0</v>
      </c>
      <c r="DC18" s="610">
        <f t="shared" si="71"/>
        <v>0</v>
      </c>
      <c r="DD18" s="516">
        <f t="shared" si="72"/>
        <v>0</v>
      </c>
      <c r="DE18" s="611">
        <v>0</v>
      </c>
      <c r="DF18" s="516">
        <f t="shared" si="73"/>
        <v>0</v>
      </c>
      <c r="DG18" s="611">
        <v>0</v>
      </c>
      <c r="DH18" s="516">
        <f t="shared" si="74"/>
        <v>0</v>
      </c>
      <c r="DI18" s="516">
        <f t="shared" si="75"/>
        <v>0</v>
      </c>
      <c r="DK18" s="519">
        <f t="shared" si="76"/>
        <v>0.12</v>
      </c>
      <c r="DL18" s="91" t="str">
        <f t="shared" si="77"/>
        <v>NA</v>
      </c>
      <c r="DM18" s="519">
        <f t="shared" si="78"/>
        <v>0</v>
      </c>
      <c r="DN18" s="741">
        <f t="shared" si="79"/>
        <v>0</v>
      </c>
      <c r="DO18" s="742">
        <f t="shared" si="80"/>
        <v>0</v>
      </c>
      <c r="DP18" s="742"/>
      <c r="DQ18" s="519" t="str">
        <f t="shared" si="81"/>
        <v>NA</v>
      </c>
      <c r="DR18" s="91" t="str">
        <f t="shared" si="82"/>
        <v>NA</v>
      </c>
      <c r="DS18" s="519" t="str">
        <f t="shared" si="83"/>
        <v>NA</v>
      </c>
      <c r="DT18" s="741" t="str">
        <f t="shared" si="84"/>
        <v>NA</v>
      </c>
      <c r="DU18" s="742" t="str">
        <f t="shared" si="85"/>
        <v>NA</v>
      </c>
      <c r="DV18" s="742"/>
      <c r="DW18" s="91">
        <f t="shared" si="86"/>
        <v>819.20627500000001</v>
      </c>
      <c r="DX18" s="91">
        <f t="shared" si="87"/>
        <v>978.88649580357321</v>
      </c>
      <c r="DY18" s="91">
        <f t="shared" si="88"/>
        <v>1112.371017958606</v>
      </c>
      <c r="DZ18" s="742"/>
      <c r="EA18" s="743"/>
    </row>
    <row r="19" spans="1:135" s="56" customFormat="1" ht="19.649999999999999" customHeight="1" x14ac:dyDescent="0.25">
      <c r="A19" s="294" t="s">
        <v>350</v>
      </c>
      <c r="B19"/>
      <c r="C19"/>
      <c r="D19"/>
      <c r="E19"/>
      <c r="F19"/>
      <c r="G19"/>
      <c r="H19"/>
      <c r="I19"/>
      <c r="K19" s="613" t="s">
        <v>2301</v>
      </c>
      <c r="L19" s="824"/>
      <c r="M19" s="872" t="s">
        <v>2381</v>
      </c>
      <c r="N19" s="869"/>
      <c r="O19" s="58"/>
      <c r="P19" s="59"/>
      <c r="Q19" s="59"/>
      <c r="R19" s="59"/>
      <c r="S19" s="59"/>
      <c r="T19" s="60"/>
      <c r="U19" s="61"/>
      <c r="V19" s="59"/>
      <c r="W19" s="59"/>
      <c r="X19" s="60"/>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s="643"/>
    </row>
    <row r="20" spans="1:135" s="753" customFormat="1" ht="60.9" customHeight="1" x14ac:dyDescent="0.25">
      <c r="A20" s="752"/>
      <c r="B20" s="753" t="s">
        <v>268</v>
      </c>
      <c r="C20" s="753" t="s">
        <v>255</v>
      </c>
      <c r="D20" s="757" t="s">
        <v>53</v>
      </c>
      <c r="E20" s="752" t="s">
        <v>38</v>
      </c>
      <c r="F20" s="753" t="s">
        <v>53</v>
      </c>
      <c r="G20" s="781" t="s">
        <v>695</v>
      </c>
      <c r="H20" s="781" t="s">
        <v>357</v>
      </c>
      <c r="I20" s="752" t="s">
        <v>1910</v>
      </c>
      <c r="K20" s="318" t="s">
        <v>2302</v>
      </c>
      <c r="L20" s="502" t="s">
        <v>2416</v>
      </c>
      <c r="M20" s="50" t="str">
        <f t="shared" ref="M20" si="89">IFERROR(IFERROR(VLOOKUP(L20,tbl_materiais,COLUMN(head_mat_descricao)-COLUMN(head_mat_item)+1,FALSE),VLOOKUP(L20,tbl_servicos,COLUMN(head_serv_descricao)-COLUMN(head_serv_item)+1,FALSE)),"?")</f>
        <v>Computador industrial sem partes móveis modelo 3355, processador Xeon E3-1505L c/ Intel HD Graphics P630, IEC-61850-3 2.0 certified, 2x 128 GB SSD SLC configurados em RAID 0, 16 GB DDR4 ECC, 2x FO MM, 6x GbE RJ45, fonte redundante. Fabricante: SEL.</v>
      </c>
      <c r="N20" s="51">
        <v>2</v>
      </c>
      <c r="O20" s="83">
        <f t="shared" ref="O20" si="90">IF(CQ20,std_ncm,IF(I20="Serviço","NA",IF(I20="Material",IFERROR(VLOOKUP(L20,tbl_materiais,COLUMN(head_mat_NCM)-COLUMN(head_mat_item)+1,FALSE),"?"),IFERROR(VLOOKUP(I20,tbl_TipoLinha,2,FALSE),"?"))))</f>
        <v>85372090</v>
      </c>
      <c r="P20" s="84">
        <f t="shared" ref="P20" si="91">IF(AND(D20="Não",I20&lt;&gt;"Serviço",CD20="Não"),IFERROR(IF(flag_interestadual,CE20,IF(CF20,CF20,CE20)),"?"),0)</f>
        <v>0.12</v>
      </c>
      <c r="Q20" s="84">
        <f t="shared" ref="Q20" si="92">IF(AND(D20="Não",I20&lt;&gt;"Serviço"),IF(I20="Material",IFERROR(VLOOKUP(L20,tbl_materiais,COLUMN(head_mat_IPI)-COLUMN(head_mat_item)+1,FALSE),"?"),IFERROR(VLOOKUP(O20,tbl_NCM_info,COLUMN(head_porNCM_IPI)-COLUMN(head_porNCM_NCM)+1,FALSE),"?")),0)</f>
        <v>0</v>
      </c>
      <c r="R20" s="84">
        <f t="shared" ref="R20" si="93">IF(AND(D20="Não",I20="Serviço"),IFERROR(VLOOKUP(CB20,tbl_ISS,5,FALSE),"?"),0)</f>
        <v>0</v>
      </c>
      <c r="S20" s="85">
        <f t="shared" ref="S20" si="94">IF(D20="Não",IF(reidi="Sim",0,IF(B20="Real",pis_naocum,pis_cum)),0)</f>
        <v>0</v>
      </c>
      <c r="T20" s="86">
        <f t="shared" ref="T20" si="95">IF(D20="Não",IF(reidi="Sim",0,IF(B20="Real",cofins_naocum,cofins_cum)),0)</f>
        <v>0</v>
      </c>
      <c r="U20" s="754" t="str" cm="1">
        <f t="array" ref="U20">IFERROR(IF(I20&lt;&gt;"Serviço",IF(AND(mlookup(tbl_DIFAL_data,UFdestino,tbl_DIFAL_UF,O20,tbl_DIFAL_NCM)&lt;&gt;"",C20="Consumo"),"Sim",""),""),"?")</f>
        <v/>
      </c>
      <c r="V20" s="755" t="str">
        <f>IFERROR(IF(I20&lt;&gt;"Serviço",IF(AND(D20="Não",mlookup(tbl_ST_data,UFdestino,tbl_ST_UF,O20,tbl_ST_NCM)&lt;&gt;"",C20="Revenda",CD20="Não"),"Sim",""),""),"?")</f>
        <v/>
      </c>
      <c r="W20" s="84">
        <f t="shared" si="12"/>
        <v>0</v>
      </c>
      <c r="X20" s="756">
        <f>IF(V20="Sim",mlookup(tbl_ST_data,UFdestino,tbl_ST_UF,O20,tbl_ST_NCM),0)</f>
        <v>0</v>
      </c>
      <c r="Z20" s="757">
        <f t="shared" ref="Z20" si="96">IF(AND(N20&gt;0,CQ20=FALSE),IFERROR(VLOOKUP(L20,tbl_servicos,COLUMN(head_serv_CL)-COLUMN(head_serv_item)+1,FALSE),IF(D20="Sim",0,IF(B20="Real",VLOOKUP(L20,tbl_materiais,COLUMN(head_mat_CLreal)-COLUMN(head_mat_item)+1,FALSE),VLOOKUP(L20,tbl_materiais,COLUMN(head_mat_CLpresumido)-COLUMN(head_mat_item)+1,FALSE)))),0)</f>
        <v>71059.793781321205</v>
      </c>
      <c r="AA20" s="753">
        <f t="shared" si="14"/>
        <v>142119.58756264241</v>
      </c>
      <c r="AC20" s="758">
        <f t="shared" ref="AC20" si="97">cobertura_pc</f>
        <v>1.31243473968765E-2</v>
      </c>
      <c r="AD20" s="758">
        <f t="shared" ref="AD20" si="98">IF(F20="Sim",0,VLOOKUP(E20,tbl_mb,2,FALSE))</f>
        <v>0.15</v>
      </c>
      <c r="AF20" s="753">
        <f t="shared" si="17"/>
        <v>2228.7980696667314</v>
      </c>
      <c r="AG20" s="753">
        <f t="shared" si="18"/>
        <v>25473.244523348672</v>
      </c>
      <c r="AI20" s="753">
        <f t="shared" si="19"/>
        <v>169821.63015565783</v>
      </c>
      <c r="AK20" s="758">
        <f t="shared" ref="AK20" si="99">mn_pc</f>
        <v>0</v>
      </c>
      <c r="AL20" s="753">
        <f t="shared" si="21"/>
        <v>0</v>
      </c>
      <c r="AM20" s="753">
        <f t="shared" si="22"/>
        <v>169821.63015565783</v>
      </c>
      <c r="AO20" s="753" t="b">
        <f t="shared" si="23"/>
        <v>1</v>
      </c>
      <c r="AQ20" s="759">
        <f t="shared" si="24"/>
        <v>84910.815077828913</v>
      </c>
      <c r="AR20" s="759">
        <f t="shared" si="25"/>
        <v>169821.63015565783</v>
      </c>
      <c r="AT20" s="759">
        <f t="shared" si="26"/>
        <v>96489.562588441942</v>
      </c>
      <c r="AU20" s="759">
        <f t="shared" si="27"/>
        <v>192979.12517688388</v>
      </c>
      <c r="AW20" s="759">
        <f t="shared" si="28"/>
        <v>192979.12517688388</v>
      </c>
      <c r="AX20" s="759">
        <f t="shared" si="29"/>
        <v>169821.63015565783</v>
      </c>
      <c r="AY20" s="759">
        <f t="shared" si="30"/>
        <v>169821.63015565783</v>
      </c>
      <c r="AZ20" s="759">
        <f t="shared" si="31"/>
        <v>169821.63015565783</v>
      </c>
      <c r="BB20" s="753">
        <f t="shared" si="32"/>
        <v>0</v>
      </c>
      <c r="BC20" s="753">
        <f t="shared" si="33"/>
        <v>23157.495021226066</v>
      </c>
      <c r="BD20" s="753">
        <f t="shared" si="34"/>
        <v>0</v>
      </c>
      <c r="BE20" s="753">
        <f t="shared" si="35"/>
        <v>0</v>
      </c>
      <c r="BF20" s="753">
        <f t="shared" si="36"/>
        <v>0</v>
      </c>
      <c r="BH20" s="760">
        <f t="shared" si="37"/>
        <v>0</v>
      </c>
      <c r="BJ20" s="761">
        <f t="shared" si="38"/>
        <v>0</v>
      </c>
      <c r="BK20" s="753">
        <f t="shared" si="39"/>
        <v>0</v>
      </c>
      <c r="BL20" s="753">
        <f t="shared" si="40"/>
        <v>192979.12517688388</v>
      </c>
      <c r="BN20" s="758">
        <f t="shared" si="41"/>
        <v>0</v>
      </c>
      <c r="BO20" s="753">
        <f t="shared" si="42"/>
        <v>192979.12517688388</v>
      </c>
      <c r="BP20" s="753">
        <f t="shared" si="43"/>
        <v>0</v>
      </c>
      <c r="BQ20" s="753">
        <f t="shared" si="44"/>
        <v>192979.12517688388</v>
      </c>
      <c r="BS20" s="759">
        <f t="shared" si="45"/>
        <v>169821.63015565783</v>
      </c>
      <c r="BT20" s="753">
        <f t="shared" si="46"/>
        <v>192979.12517688388</v>
      </c>
      <c r="BU20" s="753" t="b">
        <f t="shared" si="47"/>
        <v>1</v>
      </c>
      <c r="BW20" s="757" t="str">
        <f t="shared" ref="BW20" si="100">IF(AND(N20&gt;0,CQ20=FALSE),IF(D20="Sim","Fat. Direto",VLOOKUP(CB20,tbl_IRPJaux,2,FALSE)),"")</f>
        <v>Material</v>
      </c>
      <c r="BX20" s="753">
        <f t="shared" si="49"/>
        <v>192979.12517688388</v>
      </c>
      <c r="BY20" s="752">
        <f t="shared" ref="BY20" si="101">IF(BX20&gt;0,VLOOKUP(CB20,tbl_IRPJaux,3,FALSE),0)</f>
        <v>1</v>
      </c>
      <c r="BZ20" s="757">
        <f t="shared" ref="BZ20" si="102">IF(BX20&gt;0,AA20*BY20+AG20*recuperavel_MB_ir_real+AF20*recuperavel_coberturas_ir_real+SUM(BB20:BF20,BK20,BP20),0)</f>
        <v>167505.88065353519</v>
      </c>
      <c r="CA20" s="757"/>
      <c r="CB20" s="757" t="str">
        <f t="shared" ref="CB20" si="103">IFERROR(VLOOKUP(L20,tbl_materiais,COLUMN(head_mat_WBS)-COLUMN(head_mat_item)+1,FALSE),IFERROR(VLOOKUP(L20,tbl_servicos,COLUMN(head_serv_WBS)-COLUMN(head_serv_item)+1,FALSE),"?"))</f>
        <v xml:space="preserve">  Informática</v>
      </c>
      <c r="CD20" s="753" t="str">
        <f t="shared" ref="CD20" si="104">IFERROR(VLOOKUP(L20,tbl_materiais,COLUMN(head_mat_st)-COLUMN(head_mat_item)+1,FALSE),"Não")</f>
        <v>Não</v>
      </c>
      <c r="CE20" s="760">
        <f>ifzero(mlookup(tbl_ICMSinterest_data,UFdestino,tbl_ICMSinterest_ufdest,UForigem,tbl_ICMSinterest_uforig))</f>
        <v>0.12</v>
      </c>
      <c r="CF20" s="760">
        <f>IF(N20&gt;0,IF(I20&lt;&gt;"Serviço",ifzero(mlookup(tbl_ICMSinterno_data,UForigem,tbl_ICMSinterno_UF,O20,tbl_ICMSinterno_NCM),mlookup(tbl_ICMSinterest_data,UForigem,tbl_ICMSinterest_ufdest,UForigem,tbl_ICMSinterest_uforig)),""),0)</f>
        <v>0.12</v>
      </c>
      <c r="CG20" s="760">
        <f>IF(N20&gt;0,IF(I20&lt;&gt;"Serviço",ifzero(mlookup(tbl_ICMSinterno_data,UFdestino,tbl_ICMSinterno_UF,O20,tbl_ICMSinterno_NCM),mlookup(tbl_ICMSinterest_data,UFdestino,tbl_ICMSinterest_ufdest,UFdestino,tbl_ICMSinterest_uforig)),""),0)</f>
        <v>0.18</v>
      </c>
      <c r="CI20" s="753">
        <f t="shared" ref="CI20" si="105">IFERROR(IF(AND(I20&lt;&gt;"Serviço",D20="Não"),N20*VLOOKUP(L20,tbl_materiais,COLUMN(head_mat_credito_ICMS)-COLUMN(head_mat_item)+1,FALSE),0),0)</f>
        <v>32039.735119680783</v>
      </c>
      <c r="CJ20" s="753">
        <f t="shared" ref="CJ20" si="106">IFERROR(IF(AND(I20&lt;&gt;"Serviço",D20="Não"),N20*VLOOKUP(L20,tbl_materiais,COLUMN(head_mat_credito_IPI)-COLUMN(head_mat_item)+1,FALSE),0),0)</f>
        <v>17354.856523160415</v>
      </c>
      <c r="CK20" s="753">
        <f t="shared" ref="CK20" si="107">IFERROR(IF(AND(I20&lt;&gt;"Serviço",D20="Não",B20="Real"),N20*VLOOKUP(L20,tbl_materiais,COLUMN(head_mat_credito_PIS)-COLUMN(head_mat_item)+1,FALSE),0),0)</f>
        <v>2936.9757193040723</v>
      </c>
      <c r="CL20" s="753">
        <f t="shared" ref="CL20" si="108">IFERROR(IF(AND(I20&lt;&gt;"Serviço",D20="Não",B20="Real"),N20*VLOOKUP(L20,tbl_materiais,COLUMN(head_mat_credito_COFINS)-COLUMN(head_mat_item)+1,FALSE),0),0)</f>
        <v>13527.888161642997</v>
      </c>
      <c r="CN20" s="762">
        <f t="shared" ref="CN20" si="109">IFERROR(SUMIF(serv_col_item,"="&amp;L20,serv_col_totalhh),0)</f>
        <v>0</v>
      </c>
      <c r="CO20" s="753">
        <f t="shared" ref="CO20" si="110">IFERROR(SUMIF(serv_col_item,"="&amp;L20,serv_col_gdv),0)</f>
        <v>0</v>
      </c>
      <c r="CQ20" s="753" t="b">
        <f t="shared" ref="CQ20" si="111">IF(N20&gt;0,IF(ISERROR(HLOOKUP(L20,std_tbl4,1,FALSE)),FALSE,TRUE),FALSE)</f>
        <v>0</v>
      </c>
      <c r="CR20" s="753" t="b">
        <f t="shared" ref="CR20" si="112">IF(AND(CQ20,I20&lt;&gt;std_tiponcm),FALSE,TRUE)</f>
        <v>1</v>
      </c>
      <c r="CS20" s="753" t="b">
        <f t="shared" si="62"/>
        <v>0</v>
      </c>
      <c r="CU20" s="753">
        <f t="shared" ref="CU20" si="113">IF(D20="Sim",VLOOKUP(L20,tbl_materiais,COLUMN(head_mat_fatdir)-COLUMN(head_mat_item)+1,FALSE),0)</f>
        <v>0</v>
      </c>
      <c r="CV20" s="757">
        <f t="shared" si="64"/>
        <v>0</v>
      </c>
      <c r="CW20" s="757">
        <f t="shared" si="65"/>
        <v>0</v>
      </c>
      <c r="CX20" s="757">
        <f t="shared" si="66"/>
        <v>0</v>
      </c>
      <c r="CY20" s="763">
        <f t="shared" ref="CY20" si="114">IF(D20="Sim",VLOOKUP(L20,tbl_materiais,COLUMN(head_mat_ICMS_input)-COLUMN(head_mat_item)+1,FALSE),0)</f>
        <v>0</v>
      </c>
      <c r="CZ20" s="757">
        <f t="shared" si="68"/>
        <v>0</v>
      </c>
      <c r="DA20" s="763">
        <f t="shared" ref="DA20" si="115">IF(D20="Sim",VLOOKUP(L20,tbl_materiais,COLUMN(head_mat_ISS_input)-COLUMN(head_mat_item)+1,FALSE),0)</f>
        <v>0</v>
      </c>
      <c r="DB20" s="757">
        <f t="shared" si="70"/>
        <v>0</v>
      </c>
      <c r="DC20" s="763">
        <f t="shared" ref="DC20" si="116">IF(D20="Sim",VLOOKUP(L20,tbl_materiais,COLUMN(head_mat_IPI_input)-COLUMN(head_mat_item)+1,FALSE),0)</f>
        <v>0</v>
      </c>
      <c r="DD20" s="757">
        <f t="shared" si="72"/>
        <v>0</v>
      </c>
      <c r="DE20" s="764">
        <v>0</v>
      </c>
      <c r="DF20" s="757">
        <f t="shared" si="73"/>
        <v>0</v>
      </c>
      <c r="DG20" s="764">
        <v>0</v>
      </c>
      <c r="DH20" s="757">
        <f t="shared" si="74"/>
        <v>0</v>
      </c>
      <c r="DI20" s="757">
        <f t="shared" si="75"/>
        <v>0</v>
      </c>
      <c r="DK20" s="760">
        <f t="shared" si="76"/>
        <v>0.12</v>
      </c>
      <c r="DL20" s="753" t="str">
        <f t="shared" si="77"/>
        <v>NA</v>
      </c>
      <c r="DM20" s="760">
        <f t="shared" si="78"/>
        <v>0</v>
      </c>
      <c r="DN20" s="765">
        <f t="shared" si="79"/>
        <v>0</v>
      </c>
      <c r="DO20" s="766">
        <f t="shared" si="80"/>
        <v>0</v>
      </c>
      <c r="DP20" s="766"/>
      <c r="DQ20" s="760" t="str">
        <f t="shared" si="81"/>
        <v>NA</v>
      </c>
      <c r="DR20" s="753" t="str">
        <f t="shared" si="82"/>
        <v>NA</v>
      </c>
      <c r="DS20" s="760" t="str">
        <f t="shared" si="83"/>
        <v>NA</v>
      </c>
      <c r="DT20" s="765" t="str">
        <f t="shared" si="84"/>
        <v>NA</v>
      </c>
      <c r="DU20" s="766" t="str">
        <f t="shared" si="85"/>
        <v>NA</v>
      </c>
      <c r="DV20" s="766"/>
      <c r="DW20" s="753">
        <f t="shared" ref="DW20" si="117">IF(CQ20,N20*HLOOKUP(L20,std_tbl6,ROW(std_PL_real)-ROW(row_std_head)+1,FALSE),AA20)</f>
        <v>142119.58756264241</v>
      </c>
      <c r="DX20" s="753">
        <f t="shared" si="87"/>
        <v>169821.63015565783</v>
      </c>
      <c r="DY20" s="753">
        <f t="shared" si="88"/>
        <v>192979.12517688388</v>
      </c>
      <c r="DZ20" s="766"/>
      <c r="EA20" s="767"/>
      <c r="EC20" s="753" t="s">
        <v>53</v>
      </c>
      <c r="ED20" s="753" t="s">
        <v>53</v>
      </c>
      <c r="EE20" s="753" t="s">
        <v>53</v>
      </c>
    </row>
    <row r="21" spans="1:135" s="753" customFormat="1" ht="22.65" customHeight="1" x14ac:dyDescent="0.25">
      <c r="A21" s="752"/>
      <c r="B21" s="753" t="s">
        <v>268</v>
      </c>
      <c r="C21" s="753" t="s">
        <v>255</v>
      </c>
      <c r="D21" s="757" t="s">
        <v>53</v>
      </c>
      <c r="E21" s="18" t="s">
        <v>38</v>
      </c>
      <c r="F21" s="753" t="s">
        <v>53</v>
      </c>
      <c r="G21" s="781" t="s">
        <v>695</v>
      </c>
      <c r="H21" s="255" t="s">
        <v>357</v>
      </c>
      <c r="I21" s="752" t="s">
        <v>1910</v>
      </c>
      <c r="K21" s="318" t="s">
        <v>2303</v>
      </c>
      <c r="L21" s="502" t="s">
        <v>1149</v>
      </c>
      <c r="M21" s="50" t="str">
        <f>IFERROR(IFERROR(VLOOKUP(L21,tbl_materiais,COLUMN(head_mat_descricao)-COLUMN(head_mat_item)+1,FALSE),VLOOKUP(L21,tbl_servicos,COLUMN(head_serv_descricao)-COLUMN(head_serv_item)+1,FALSE)),"?")</f>
        <v>Monitor 27'' LED Full HD.</v>
      </c>
      <c r="N21" s="51">
        <v>4</v>
      </c>
      <c r="O21" s="83">
        <f>IF(CQ21,std_ncm,IF(I21="Serviço","NA",IF(I21="Material",IFERROR(VLOOKUP(L21,tbl_materiais,COLUMN(head_mat_NCM)-COLUMN(head_mat_item)+1,FALSE),"?"),IFERROR(VLOOKUP(I21,tbl_TipoLinha,2,FALSE),"?"))))</f>
        <v>85372090</v>
      </c>
      <c r="P21" s="84">
        <f>IF(AND(D21="Não",I21&lt;&gt;"Serviço",CD21="Não"),IFERROR(IF(flag_interestadual,CE21,IF(CF21,CF21,CE21)),"?"),0)</f>
        <v>0.12</v>
      </c>
      <c r="Q21" s="84">
        <f>IF(AND(D21="Não",I21&lt;&gt;"Serviço"),IF(I21="Material",IFERROR(VLOOKUP(L21,tbl_materiais,COLUMN(head_mat_IPI)-COLUMN(head_mat_item)+1,FALSE),"?"),IFERROR(VLOOKUP(O21,tbl_NCM_info,COLUMN(head_porNCM_IPI)-COLUMN(head_porNCM_NCM)+1,FALSE),"?")),0)</f>
        <v>0</v>
      </c>
      <c r="R21" s="84">
        <f>IF(AND(D21="Não",I21="Serviço"),IFERROR(VLOOKUP(CB21,tbl_ISS,5,FALSE),"?"),0)</f>
        <v>0</v>
      </c>
      <c r="S21" s="85">
        <f>IF(D21="Não",IF(reidi="Sim",0,IF(B21="Real",pis_naocum,pis_cum)),0)</f>
        <v>0</v>
      </c>
      <c r="T21" s="86">
        <f>IF(D21="Não",IF(reidi="Sim",0,IF(B21="Real",cofins_naocum,cofins_cum)),0)</f>
        <v>0</v>
      </c>
      <c r="U21" s="754" t="str" cm="1">
        <f t="array" ref="U21">IFERROR(IF(I21&lt;&gt;"Serviço",IF(AND(mlookup(tbl_DIFAL_data,UFdestino,tbl_DIFAL_UF,O21,tbl_DIFAL_NCM)&lt;&gt;"",C21="Consumo"),"Sim",""),""),"?")</f>
        <v/>
      </c>
      <c r="V21" s="755" t="str">
        <f>IFERROR(IF(I21&lt;&gt;"Serviço",IF(AND(D21="Não",mlookup(tbl_ST_data,UFdestino,tbl_ST_UF,O21,tbl_ST_NCM)&lt;&gt;"",C21="Revenda",CD21="Não"),"Sim",""),""),"?")</f>
        <v/>
      </c>
      <c r="W21" s="84">
        <f>IF(OR(U21="Sim",V21="Sim"),CG21,0)</f>
        <v>0</v>
      </c>
      <c r="X21" s="756">
        <f>IF(V21="Sim",mlookup(tbl_ST_data,UFdestino,tbl_ST_UF,O21,tbl_ST_NCM),0)</f>
        <v>0</v>
      </c>
      <c r="Z21" s="757">
        <f>IF(AND(N21&gt;0,CQ21=FALSE),IFERROR(VLOOKUP(L21,tbl_servicos,COLUMN(head_serv_CL)-COLUMN(head_serv_item)+1,FALSE),IF(D21="Sim",0,IF(B21="Real",VLOOKUP(L21,tbl_materiais,COLUMN(head_mat_CLreal)-COLUMN(head_mat_item)+1,FALSE),VLOOKUP(L21,tbl_materiais,COLUMN(head_mat_CLpresumido)-COLUMN(head_mat_item)+1,FALSE)))),0)</f>
        <v>862.52400000000023</v>
      </c>
      <c r="AA21" s="753">
        <f>Z21*N21</f>
        <v>3450.0960000000009</v>
      </c>
      <c r="AC21" s="758">
        <f t="shared" ref="AC21:AC22" si="118">cobertura_pc</f>
        <v>1.31243473968765E-2</v>
      </c>
      <c r="AD21" s="758">
        <f>IF(F21="Sim",0,VLOOKUP(E21,tbl_mb,2,FALSE))</f>
        <v>0.15</v>
      </c>
      <c r="AF21" s="753">
        <f>AI21*AC21</f>
        <v>54.106315933231677</v>
      </c>
      <c r="AG21" s="753">
        <f>AI21*AD21</f>
        <v>618.3886439882175</v>
      </c>
      <c r="AI21" s="753">
        <f>AA21/(1-AC21-AD21)</f>
        <v>4122.5909599214501</v>
      </c>
      <c r="AK21" s="758">
        <f t="shared" ref="AK21:AK22" si="119">mn_pc</f>
        <v>0</v>
      </c>
      <c r="AL21" s="753">
        <f>AM21*AK21</f>
        <v>0</v>
      </c>
      <c r="AM21" s="753">
        <f>AI21/(1-AK21)</f>
        <v>4122.5909599214501</v>
      </c>
      <c r="AO21" s="753" t="b">
        <f>IF(ABS(SUM(AA21,AF21:AG21,AL21)-AM21)&lt;0.01,TRUE,FALSE)</f>
        <v>1</v>
      </c>
      <c r="AQ21" s="759">
        <f>IFERROR(AR21/N21,0)</f>
        <v>1030.6477399803625</v>
      </c>
      <c r="AR21" s="759">
        <f>AM21</f>
        <v>4122.5909599214501</v>
      </c>
      <c r="AT21" s="759">
        <f>IFERROR(AU21/N21,0)</f>
        <v>1171.1906136140483</v>
      </c>
      <c r="AU21" s="759">
        <f>IF(AND(N21&gt;0,CQ21=FALSE),IF(C21="Consumo",AR21*(1+Q21)/(1-P21*(1+Q21)-R21-S21-T21),AR21*(1+Q21)/(1-P21-R21-S21-T21)),0)</f>
        <v>4684.7624544561932</v>
      </c>
      <c r="AW21" s="759">
        <f>IF(AU21&gt;0,AU21/(1+Q21),0)</f>
        <v>4684.7624544561932</v>
      </c>
      <c r="AX21" s="759">
        <f>IF(AU21&gt;0,IF(C21="Consumo",AW21-AU21*P21,AW21*(1-P21)),0)</f>
        <v>4122.5909599214501</v>
      </c>
      <c r="AY21" s="759">
        <f>AX21-AW21*R21</f>
        <v>4122.5909599214501</v>
      </c>
      <c r="AZ21" s="759">
        <f>AY21-AW21*(S21+T21)</f>
        <v>4122.5909599214501</v>
      </c>
      <c r="BB21" s="753">
        <f>IF(AW21&gt;0,AW21*Q21,0)</f>
        <v>0</v>
      </c>
      <c r="BC21" s="753">
        <f>IF(AW21&gt;0,IF(C21="Consumo",AU21*P21,AW21*P21),0)</f>
        <v>562.17149453474315</v>
      </c>
      <c r="BD21" s="753">
        <f>AW21*R21</f>
        <v>0</v>
      </c>
      <c r="BE21" s="753">
        <f>AW21*S21</f>
        <v>0</v>
      </c>
      <c r="BF21" s="753">
        <f>AW21*T21</f>
        <v>0</v>
      </c>
      <c r="BH21" s="760">
        <f>W21</f>
        <v>0</v>
      </c>
      <c r="BJ21" s="761">
        <f>IF(AND(U21&lt;&gt;"",C21="Consumo"),BH21-P21,0)</f>
        <v>0</v>
      </c>
      <c r="BK21" s="753">
        <f>BJ21*AU21</f>
        <v>0</v>
      </c>
      <c r="BL21" s="753">
        <f>AU21+BK21</f>
        <v>4684.7624544561932</v>
      </c>
      <c r="BN21" s="758">
        <f>X21</f>
        <v>0</v>
      </c>
      <c r="BO21" s="753">
        <f>AU21*(1+BN21)</f>
        <v>4684.7624544561932</v>
      </c>
      <c r="BP21" s="753">
        <f>IF(AND(V21&lt;&gt;"",C21="Revenda"),BO21*BH21-BC21,0)</f>
        <v>0</v>
      </c>
      <c r="BQ21" s="753">
        <f>AU21+BP21</f>
        <v>4684.7624544561932</v>
      </c>
      <c r="BS21" s="759">
        <f>AU21-SUM(BB21:BF21)</f>
        <v>4122.5909599214501</v>
      </c>
      <c r="BT21" s="753">
        <f>AR21+SUM(BB21:BF21)</f>
        <v>4684.7624544561932</v>
      </c>
      <c r="BU21" s="753" t="b">
        <f>IF(ABS(BT21-BS21-SUM(BB21:BF21))&lt;0.01,TRUE,FALSE)</f>
        <v>1</v>
      </c>
      <c r="BW21" s="757" t="str">
        <f>IF(AND(N21&gt;0,CQ21=FALSE),IF(D21="Sim","Fat. Direto",VLOOKUP(CB21,tbl_IRPJaux,2,FALSE)),"")</f>
        <v>Material</v>
      </c>
      <c r="BX21" s="753">
        <f>IF(AND(BW21&lt;&gt;"NA",D21="Não"),MAX(BL21,BQ21),0)</f>
        <v>4684.7624544561932</v>
      </c>
      <c r="BY21" s="752">
        <f>IF(BX21&gt;0,VLOOKUP(CB21,tbl_IRPJaux,3,FALSE),0)</f>
        <v>1</v>
      </c>
      <c r="BZ21" s="757">
        <f>IF(BX21&gt;0,AA21*BY21+AG21*recuperavel_MB_ir_real+AF21*recuperavel_coberturas_ir_real+SUM(BB21:BF21,BK21,BP21),0)</f>
        <v>4066.3738104679755</v>
      </c>
      <c r="CA21" s="757"/>
      <c r="CB21" s="757" t="str">
        <f>IFERROR(VLOOKUP(L21,tbl_materiais,COLUMN(head_mat_WBS)-COLUMN(head_mat_item)+1,FALSE),IFERROR(VLOOKUP(L21,tbl_servicos,COLUMN(head_serv_WBS)-COLUMN(head_serv_item)+1,FALSE),"?"))</f>
        <v xml:space="preserve">  Informática</v>
      </c>
      <c r="CD21" s="753" t="str">
        <f>IFERROR(VLOOKUP(L21,tbl_materiais,COLUMN(head_mat_st)-COLUMN(head_mat_item)+1,FALSE),"Não")</f>
        <v>Não</v>
      </c>
      <c r="CE21" s="760">
        <f>ifzero(mlookup(tbl_ICMSinterest_data,UFdestino,tbl_ICMSinterest_ufdest,UForigem,tbl_ICMSinterest_uforig))</f>
        <v>0.12</v>
      </c>
      <c r="CF21" s="760">
        <f>IF(N21&gt;0,IF(I21&lt;&gt;"Serviço",ifzero(mlookup(tbl_ICMSinterno_data,UForigem,tbl_ICMSinterno_UF,O21,tbl_ICMSinterno_NCM),mlookup(tbl_ICMSinterest_data,UForigem,tbl_ICMSinterest_ufdest,UForigem,tbl_ICMSinterest_uforig)),""),0)</f>
        <v>0.12</v>
      </c>
      <c r="CG21" s="760">
        <f>IF(N21&gt;0,IF(I21&lt;&gt;"Serviço",ifzero(mlookup(tbl_ICMSinterno_data,UFdestino,tbl_ICMSinterno_UF,O21,tbl_ICMSinterno_NCM),mlookup(tbl_ICMSinterest_data,UFdestino,tbl_ICMSinterest_ufdest,UFdestino,tbl_ICMSinterest_uforig)),""),0)</f>
        <v>0.18</v>
      </c>
      <c r="CI21" s="753">
        <f>IFERROR(IF(AND(I21&lt;&gt;"Serviço",D21="Não"),N21*VLOOKUP(L21,tbl_materiais,COLUMN(head_mat_credito_ICMS)-COLUMN(head_mat_item)+1,FALSE),0),0)</f>
        <v>853.63200000000006</v>
      </c>
      <c r="CJ21" s="753">
        <f>IFERROR(IF(AND(I21&lt;&gt;"Serviço",D21="Não"),N21*VLOOKUP(L21,tbl_materiais,COLUMN(head_mat_credito_IPI)-COLUMN(head_mat_item)+1,FALSE),0),0)</f>
        <v>0</v>
      </c>
      <c r="CK21" s="753">
        <f>IFERROR(IF(AND(I21&lt;&gt;"Serviço",D21="Não",B21="Real"),N21*VLOOKUP(L21,tbl_materiais,COLUMN(head_mat_credito_PIS)-COLUMN(head_mat_item)+1,FALSE),0),0)</f>
        <v>78.249600000000015</v>
      </c>
      <c r="CL21" s="753">
        <f>IFERROR(IF(AND(I21&lt;&gt;"Serviço",D21="Não",B21="Real"),N21*VLOOKUP(L21,tbl_materiais,COLUMN(head_mat_credito_COFINS)-COLUMN(head_mat_item)+1,FALSE),0),0)</f>
        <v>360.42240000000004</v>
      </c>
      <c r="CN21" s="762">
        <f>IFERROR(SUMIF(serv_col_item,"="&amp;L21,serv_col_totalhh),0)</f>
        <v>0</v>
      </c>
      <c r="CO21" s="753">
        <f>IFERROR(SUMIF(serv_col_item,"="&amp;L21,serv_col_gdv),0)</f>
        <v>0</v>
      </c>
      <c r="CQ21" s="753" t="b">
        <f>IF(N21&gt;0,IF(ISERROR(HLOOKUP(L21,std_tbl4,1,FALSE)),FALSE,TRUE),FALSE)</f>
        <v>0</v>
      </c>
      <c r="CR21" s="753" t="b">
        <f>IF(AND(CQ21,I21&lt;&gt;std_tiponcm),FALSE,TRUE)</f>
        <v>1</v>
      </c>
      <c r="CS21" s="753" t="b">
        <f>IF(AND(CQ21,D21="Sim"),TRUE,FALSE)</f>
        <v>0</v>
      </c>
      <c r="CU21" s="753">
        <f>IF(D21="Sim",VLOOKUP(L21,tbl_materiais,COLUMN(head_mat_fatdir)-COLUMN(head_mat_item)+1,FALSE),0)</f>
        <v>0</v>
      </c>
      <c r="CV21" s="757">
        <f>CU21*N21</f>
        <v>0</v>
      </c>
      <c r="CW21" s="757">
        <f>CX21*(1-CY21-DA21-DE21-DG21)/(1+DC21)</f>
        <v>0</v>
      </c>
      <c r="CX21" s="757">
        <f>CV21/(1-AK21)</f>
        <v>0</v>
      </c>
      <c r="CY21" s="763">
        <f>IF(D21="Sim",VLOOKUP(L21,tbl_materiais,COLUMN(head_mat_ICMS_input)-COLUMN(head_mat_item)+1,FALSE),0)</f>
        <v>0</v>
      </c>
      <c r="CZ21" s="757">
        <f>CX21*CY21</f>
        <v>0</v>
      </c>
      <c r="DA21" s="763">
        <f>IF(D21="Sim",VLOOKUP(L21,tbl_materiais,COLUMN(head_mat_ISS_input)-COLUMN(head_mat_item)+1,FALSE),0)</f>
        <v>0</v>
      </c>
      <c r="DB21" s="757">
        <f>CX21*DA21</f>
        <v>0</v>
      </c>
      <c r="DC21" s="763">
        <f>IF(D21="Sim",VLOOKUP(L21,tbl_materiais,COLUMN(head_mat_IPI_input)-COLUMN(head_mat_item)+1,FALSE),0)</f>
        <v>0</v>
      </c>
      <c r="DD21" s="757">
        <f>CX21*DC21/(1+DC21)</f>
        <v>0</v>
      </c>
      <c r="DE21" s="764">
        <v>0</v>
      </c>
      <c r="DF21" s="757">
        <f>(CX21-DD21)*DE21</f>
        <v>0</v>
      </c>
      <c r="DG21" s="764">
        <v>0</v>
      </c>
      <c r="DH21" s="757">
        <f>(CX21-DD21)*DG21</f>
        <v>0</v>
      </c>
      <c r="DI21" s="757">
        <f>CX21-CZ21-DD21-DF21-DH21</f>
        <v>0</v>
      </c>
      <c r="DK21" s="760">
        <f>IF(AND(I21&lt;&gt;"Serviço",Z21&gt;0),P21,"NA")</f>
        <v>0.12</v>
      </c>
      <c r="DL21" s="753" t="str">
        <f>IF(AND(I21="Serviço",Z21&gt;0),R21,"NA")</f>
        <v>NA</v>
      </c>
      <c r="DM21" s="760">
        <f>IF(AND(I21&lt;&gt;"Serviço",Z21&gt;0),Q21,"NA")</f>
        <v>0</v>
      </c>
      <c r="DN21" s="765">
        <f>IF(Z21&gt;0,S21,"NA")</f>
        <v>0</v>
      </c>
      <c r="DO21" s="766">
        <f>IF(Z21&gt;0,T21,"NA")</f>
        <v>0</v>
      </c>
      <c r="DP21" s="766"/>
      <c r="DQ21" s="760" t="str">
        <f>IF(AND(I21&lt;&gt;"Serviço",CU21&gt;0),CY21,"NA")</f>
        <v>NA</v>
      </c>
      <c r="DR21" s="753" t="str">
        <f>IF(AND(I21="Serviço",CU21&gt;0),DA21,"NA")</f>
        <v>NA</v>
      </c>
      <c r="DS21" s="760" t="str">
        <f>IF(AND(I21&lt;&gt;"Serviço",CU21&gt;0),DC21,"NA")</f>
        <v>NA</v>
      </c>
      <c r="DT21" s="765" t="str">
        <f>IF(CU21&gt;0,DE21,"NA")</f>
        <v>NA</v>
      </c>
      <c r="DU21" s="766" t="str">
        <f>IF(CU21&gt;0,DG21,"NA")</f>
        <v>NA</v>
      </c>
      <c r="DV21" s="766"/>
      <c r="DW21" s="753">
        <f>IF(CQ21,N21*HLOOKUP(L21,std_tbl6,ROW(std_PL_real)-ROW(row_std_head)+1,FALSE),AA21)</f>
        <v>3450.0960000000009</v>
      </c>
      <c r="DX21" s="753">
        <f>IF(CQ21,DW21/(1-AC21-AD21)/(1-AK21),AM21)</f>
        <v>4122.5909599214501</v>
      </c>
      <c r="DY21" s="753">
        <f>IF(CQ21,IF(C21="Industrialização",DX21/(1-P21-S21-T21)*(1+Q21),DX21/(1-P21*(1+Q21)-S21-T21)*(1+Q21)),AU21)</f>
        <v>4684.7624544561932</v>
      </c>
      <c r="DZ21" s="766"/>
      <c r="EA21" s="767"/>
      <c r="EC21" s="753" t="s">
        <v>53</v>
      </c>
      <c r="ED21" s="753" t="s">
        <v>53</v>
      </c>
      <c r="EE21" s="753" t="s">
        <v>53</v>
      </c>
    </row>
    <row r="22" spans="1:135" ht="22.65" customHeight="1" x14ac:dyDescent="0.25">
      <c r="A22" s="18"/>
      <c r="B22" s="2" t="s">
        <v>268</v>
      </c>
      <c r="C22" s="2" t="s">
        <v>255</v>
      </c>
      <c r="D22" s="757" t="s">
        <v>53</v>
      </c>
      <c r="E22" s="18" t="s">
        <v>38</v>
      </c>
      <c r="F22" s="2" t="s">
        <v>53</v>
      </c>
      <c r="G22" s="781" t="s">
        <v>695</v>
      </c>
      <c r="H22" s="255" t="s">
        <v>357</v>
      </c>
      <c r="I22" s="18" t="s">
        <v>1910</v>
      </c>
      <c r="K22" s="318" t="s">
        <v>2796</v>
      </c>
      <c r="L22" s="502" t="s">
        <v>1144</v>
      </c>
      <c r="M22" s="50" t="str">
        <f>IFERROR(IFERROR(VLOOKUP(L22,tbl_materiais,COLUMN(head_mat_descricao)-COLUMN(head_mat_item)+1,FALSE),VLOOKUP(L22,tbl_servicos,COLUMN(head_serv_descricao)-COLUMN(head_serv_item)+1,FALSE)),"?")</f>
        <v>Mouse, teclado, caixa de som.</v>
      </c>
      <c r="N22" s="51">
        <v>2</v>
      </c>
      <c r="O22" s="83">
        <f>IF(CQ22,std_ncm,IF(I22="Serviço","NA",IF(I22="Material",IFERROR(VLOOKUP(L22,tbl_materiais,COLUMN(head_mat_NCM)-COLUMN(head_mat_item)+1,FALSE),"?"),IFERROR(VLOOKUP(I22,tbl_TipoLinha,2,FALSE),"?"))))</f>
        <v>85372090</v>
      </c>
      <c r="P22" s="84">
        <f>IF(AND(D22="Não",I22&lt;&gt;"Serviço",CD22="Não"),IFERROR(IF(flag_interestadual,CE22,IF(CF22,CF22,CE22)),"?"),0)</f>
        <v>0.12</v>
      </c>
      <c r="Q22" s="84">
        <f>IF(AND(D22="Não",I22&lt;&gt;"Serviço"),IF(I22="Material",IFERROR(VLOOKUP(L22,tbl_materiais,COLUMN(head_mat_IPI)-COLUMN(head_mat_item)+1,FALSE),"?"),IFERROR(VLOOKUP(O22,tbl_NCM_info,COLUMN(head_porNCM_IPI)-COLUMN(head_porNCM_NCM)+1,FALSE),"?")),0)</f>
        <v>0</v>
      </c>
      <c r="R22" s="84">
        <f>IF(AND(D22="Não",I22="Serviço"),IFERROR(VLOOKUP(CB22,tbl_ISS,5,FALSE),"?"),0)</f>
        <v>0</v>
      </c>
      <c r="S22" s="85">
        <f>IF(D22="Não",IF(reidi="Sim",0,IF(B22="Real",pis_naocum,pis_cum)),0)</f>
        <v>0</v>
      </c>
      <c r="T22" s="86">
        <f>IF(D22="Não",IF(reidi="Sim",0,IF(B22="Real",cofins_naocum,cofins_cum)),0)</f>
        <v>0</v>
      </c>
      <c r="U22" s="53" t="str" cm="1">
        <f t="array" ref="U22">IFERROR(IF(I22&lt;&gt;"Serviço",IF(AND(mlookup(tbl_DIFAL_data,UFdestino,tbl_DIFAL_UF,O22,tbl_DIFAL_NCM)&lt;&gt;"",C22="Consumo"),"Sim",""),""),"?")</f>
        <v/>
      </c>
      <c r="V22" s="54" t="str">
        <f>IFERROR(IF(I22&lt;&gt;"Serviço",IF(AND(D22="Não",mlookup(tbl_ST_data,UFdestino,tbl_ST_UF,O22,tbl_ST_NCM)&lt;&gt;"",C22="Revenda",CD22="Não"),"Sim",""),""),"?")</f>
        <v/>
      </c>
      <c r="W22" s="52">
        <f>IF(OR(U22="Sim",V22="Sim"),CG22,0)</f>
        <v>0</v>
      </c>
      <c r="X22" s="55">
        <f>IF(V22="Sim",mlookup(tbl_ST_data,UFdestino,tbl_ST_UF,O22,tbl_ST_NCM),0)</f>
        <v>0</v>
      </c>
      <c r="Z22" s="102">
        <f>IF(AND(N22&gt;0,CQ22=FALSE),IFERROR(VLOOKUP(L22,tbl_servicos,COLUMN(head_serv_CL)-COLUMN(head_serv_item)+1,FALSE),IF(D22="Sim",0,IF(B22="Real",VLOOKUP(L22,tbl_materiais,COLUMN(head_mat_CLreal)-COLUMN(head_mat_item)+1,FALSE),VLOOKUP(L22,tbl_materiais,COLUMN(head_mat_CLpresumido)-COLUMN(head_mat_item)+1,FALSE)))),0)</f>
        <v>363.75000000000006</v>
      </c>
      <c r="AA22" s="2">
        <f>Z22*N22</f>
        <v>727.50000000000011</v>
      </c>
      <c r="AC22" s="8">
        <f t="shared" si="118"/>
        <v>1.31243473968765E-2</v>
      </c>
      <c r="AD22" s="8">
        <f>IF(F22="Sim",0,VLOOKUP(E22,tbl_mb,2,FALSE))</f>
        <v>0.15</v>
      </c>
      <c r="AF22" s="2">
        <f>AI22*AC22</f>
        <v>11.409057846919634</v>
      </c>
      <c r="AG22" s="2">
        <f>AI22*AD22</f>
        <v>130.3957160906329</v>
      </c>
      <c r="AI22" s="2">
        <f>AA22/(1-AC22-AD22)</f>
        <v>869.30477393755268</v>
      </c>
      <c r="AK22" s="8">
        <f t="shared" si="119"/>
        <v>0</v>
      </c>
      <c r="AL22" s="2">
        <f>AM22*AK22</f>
        <v>0</v>
      </c>
      <c r="AM22" s="2">
        <f>AI22/(1-AK22)</f>
        <v>869.30477393755268</v>
      </c>
      <c r="AO22" s="2" t="b">
        <f>IF(ABS(SUM(AA22,AF22:AG22,AL22)-AM22)&lt;0.01,TRUE,FALSE)</f>
        <v>1</v>
      </c>
      <c r="AQ22" s="6">
        <f>IFERROR(AR22/N22,0)</f>
        <v>434.65238696877634</v>
      </c>
      <c r="AR22" s="6">
        <f>AM22</f>
        <v>869.30477393755268</v>
      </c>
      <c r="AT22" s="6">
        <f>IFERROR(AU22/N22,0)</f>
        <v>493.9231670099731</v>
      </c>
      <c r="AU22" s="6">
        <f>IF(AND(N22&gt;0,CQ22=FALSE),IF(C22="Consumo",AR22*(1+Q22)/(1-P22*(1+Q22)-R22-S22-T22),AR22*(1+Q22)/(1-P22-R22-S22-T22)),0)</f>
        <v>987.8463340199462</v>
      </c>
      <c r="AW22" s="6">
        <f>IF(AU22&gt;0,AU22/(1+Q22),0)</f>
        <v>987.8463340199462</v>
      </c>
      <c r="AX22" s="6">
        <f>IF(AU22&gt;0,IF(C22="Consumo",AW22-AU22*P22,AW22*(1-P22)),0)</f>
        <v>869.30477393755268</v>
      </c>
      <c r="AY22" s="6">
        <f>AX22-AW22*R22</f>
        <v>869.30477393755268</v>
      </c>
      <c r="AZ22" s="6">
        <f>AY22-AW22*(S22+T22)</f>
        <v>869.30477393755268</v>
      </c>
      <c r="BB22" s="2">
        <f>IF(AW22&gt;0,AW22*Q22,0)</f>
        <v>0</v>
      </c>
      <c r="BC22" s="2">
        <f>IF(AW22&gt;0,IF(C22="Consumo",AU22*P22,AW22*P22),0)</f>
        <v>118.54156008239354</v>
      </c>
      <c r="BD22" s="2">
        <f>AW22*R22</f>
        <v>0</v>
      </c>
      <c r="BE22" s="2">
        <f>AW22*S22</f>
        <v>0</v>
      </c>
      <c r="BF22" s="2">
        <f>AW22*T22</f>
        <v>0</v>
      </c>
      <c r="BH22" s="3">
        <f>W22</f>
        <v>0</v>
      </c>
      <c r="BJ22" s="10">
        <f>IF(AND(U22&lt;&gt;"",C22="Consumo"),BH22-P22,0)</f>
        <v>0</v>
      </c>
      <c r="BK22" s="2">
        <f>BJ22*AU22</f>
        <v>0</v>
      </c>
      <c r="BL22" s="2">
        <f>AU22+BK22</f>
        <v>987.8463340199462</v>
      </c>
      <c r="BN22" s="8">
        <f>X22</f>
        <v>0</v>
      </c>
      <c r="BO22" s="2">
        <f>AU22*(1+BN22)</f>
        <v>987.8463340199462</v>
      </c>
      <c r="BP22" s="2">
        <f>IF(AND(V22&lt;&gt;"",C22="Revenda"),BO22*BH22-BC22,0)</f>
        <v>0</v>
      </c>
      <c r="BQ22" s="2">
        <f>AU22+BP22</f>
        <v>987.8463340199462</v>
      </c>
      <c r="BS22" s="6">
        <f>AU22-SUM(BB22:BF22)</f>
        <v>869.30477393755268</v>
      </c>
      <c r="BT22" s="2">
        <f>AR22+SUM(BB22:BF22)</f>
        <v>987.8463340199462</v>
      </c>
      <c r="BU22" s="2" t="b">
        <f>IF(ABS(BT22-BS22-SUM(BB22:BF22))&lt;0.01,TRUE,FALSE)</f>
        <v>1</v>
      </c>
      <c r="BW22" s="102" t="str">
        <f>IF(AND(N22&gt;0,CQ22=FALSE),IF(D22="Sim","Fat. Direto",VLOOKUP(CB22,tbl_IRPJaux,2,FALSE)),"")</f>
        <v>Material</v>
      </c>
      <c r="BX22" s="2">
        <f>IF(AND(BW22&lt;&gt;"NA",D22="Não"),MAX(BL22,BQ22),0)</f>
        <v>987.8463340199462</v>
      </c>
      <c r="BY22" s="18">
        <f>IF(BX22&gt;0,VLOOKUP(CB22,tbl_IRPJaux,3,FALSE),0)</f>
        <v>1</v>
      </c>
      <c r="BZ22" s="102">
        <f>IF(BX22&gt;0,AA22*BY22+AG22*recuperavel_MB_ir_real+AF22*recuperavel_coberturas_ir_real+SUM(BB22:BF22,BK22,BP22),0)</f>
        <v>857.45061792931324</v>
      </c>
      <c r="CA22" s="102"/>
      <c r="CB22" s="102" t="str">
        <f>IFERROR(VLOOKUP(L22,tbl_materiais,COLUMN(head_mat_WBS)-COLUMN(head_mat_item)+1,FALSE),IFERROR(VLOOKUP(L22,tbl_servicos,COLUMN(head_serv_WBS)-COLUMN(head_serv_item)+1,FALSE),"?"))</f>
        <v xml:space="preserve">  Informática</v>
      </c>
      <c r="CD22" s="2" t="str">
        <f>IFERROR(VLOOKUP(L22,tbl_materiais,COLUMN(head_mat_st)-COLUMN(head_mat_item)+1,FALSE),"Não")</f>
        <v>Não</v>
      </c>
      <c r="CE22" s="3">
        <f>ifzero(mlookup(tbl_ICMSinterest_data,UFdestino,tbl_ICMSinterest_ufdest,UForigem,tbl_ICMSinterest_uforig))</f>
        <v>0.12</v>
      </c>
      <c r="CF22" s="3">
        <f>IF(N22&gt;0,IF(I22&lt;&gt;"Serviço",ifzero(mlookup(tbl_ICMSinterno_data,UForigem,tbl_ICMSinterno_UF,O22,tbl_ICMSinterno_NCM),mlookup(tbl_ICMSinterest_data,UForigem,tbl_ICMSinterest_ufdest,UForigem,tbl_ICMSinterest_uforig)),""),0)</f>
        <v>0.12</v>
      </c>
      <c r="CG22" s="3">
        <f>IF(N22&gt;0,IF(I22&lt;&gt;"Serviço",ifzero(mlookup(tbl_ICMSinterno_data,UFdestino,tbl_ICMSinterno_UF,O22,tbl_ICMSinterno_NCM),mlookup(tbl_ICMSinterest_data,UFdestino,tbl_ICMSinterest_ufdest,UFdestino,tbl_ICMSinterest_uforig)),""),0)</f>
        <v>0.18</v>
      </c>
      <c r="CI22" s="2">
        <f>IFERROR(IF(AND(I22&lt;&gt;"Serviço",D22="Não"),N22*VLOOKUP(L22,tbl_materiais,COLUMN(head_mat_credito_ICMS)-COLUMN(head_mat_item)+1,FALSE),0),0)</f>
        <v>156.52173913043478</v>
      </c>
      <c r="CJ22" s="2">
        <f>IFERROR(IF(AND(I22&lt;&gt;"Serviço",D22="Não"),N22*VLOOKUP(L22,tbl_materiais,COLUMN(head_mat_credito_IPI)-COLUMN(head_mat_item)+1,FALSE),0),0)</f>
        <v>130.43478260869563</v>
      </c>
      <c r="CK22" s="2">
        <f>IFERROR(IF(AND(I22&lt;&gt;"Serviço",D22="Não",B22="Real"),N22*VLOOKUP(L22,tbl_materiais,COLUMN(head_mat_credito_PIS)-COLUMN(head_mat_item)+1,FALSE),0),0)</f>
        <v>14.347826086956523</v>
      </c>
      <c r="CL22" s="2">
        <f>IFERROR(IF(AND(I22&lt;&gt;"Serviço",D22="Não",B22="Real"),N22*VLOOKUP(L22,tbl_materiais,COLUMN(head_mat_credito_COFINS)-COLUMN(head_mat_item)+1,FALSE),0),0)</f>
        <v>66.086956521739125</v>
      </c>
      <c r="CN22" s="326">
        <f>IFERROR(SUMIF(serv_col_item,"="&amp;L22,serv_col_totalhh),0)</f>
        <v>0</v>
      </c>
      <c r="CO22" s="2">
        <f>IFERROR(SUMIF(serv_col_item,"="&amp;L22,serv_col_gdv),0)</f>
        <v>0</v>
      </c>
      <c r="CQ22" s="2" t="b">
        <f>IF(N22&gt;0,IF(ISERROR(HLOOKUP(L22,std_tbl4,1,FALSE)),FALSE,TRUE),FALSE)</f>
        <v>0</v>
      </c>
      <c r="CR22" s="2" t="b">
        <f>IF(AND(CQ22,I22&lt;&gt;std_tiponcm),FALSE,TRUE)</f>
        <v>1</v>
      </c>
      <c r="CS22" s="2" t="b">
        <f>IF(AND(CQ22,D22="Sim"),TRUE,FALSE)</f>
        <v>0</v>
      </c>
      <c r="CU22" s="2">
        <f>IF(D22="Sim",VLOOKUP(L22,tbl_materiais,COLUMN(head_mat_fatdir)-COLUMN(head_mat_item)+1,FALSE),0)</f>
        <v>0</v>
      </c>
      <c r="CV22" s="102">
        <f>CU22*N22</f>
        <v>0</v>
      </c>
      <c r="CW22" s="102">
        <f>CX22*(1-CY22-DA22-DE22-DG22)/(1+DC22)</f>
        <v>0</v>
      </c>
      <c r="CX22" s="102">
        <f>CV22/(1-AK22)</f>
        <v>0</v>
      </c>
      <c r="CY22" s="290">
        <f>IF(D22="Sim",VLOOKUP(L22,tbl_materiais,COLUMN(head_mat_ICMS_input)-COLUMN(head_mat_item)+1,FALSE),0)</f>
        <v>0</v>
      </c>
      <c r="CZ22" s="102">
        <f>CX22*CY22</f>
        <v>0</v>
      </c>
      <c r="DA22" s="290">
        <f>IF(D22="Sim",VLOOKUP(L22,tbl_materiais,COLUMN(head_mat_ISS_input)-COLUMN(head_mat_item)+1,FALSE),0)</f>
        <v>0</v>
      </c>
      <c r="DB22" s="102">
        <f>CX22*DA22</f>
        <v>0</v>
      </c>
      <c r="DC22" s="290">
        <f>IF(D22="Sim",VLOOKUP(L22,tbl_materiais,COLUMN(head_mat_IPI_input)-COLUMN(head_mat_item)+1,FALSE),0)</f>
        <v>0</v>
      </c>
      <c r="DD22" s="102">
        <f>CX22*DC22/(1+DC22)</f>
        <v>0</v>
      </c>
      <c r="DE22" s="592">
        <v>0</v>
      </c>
      <c r="DF22" s="102">
        <f>(CX22-DD22)*DE22</f>
        <v>0</v>
      </c>
      <c r="DG22" s="592">
        <v>0</v>
      </c>
      <c r="DH22" s="102">
        <f>(CX22-DD22)*DG22</f>
        <v>0</v>
      </c>
      <c r="DI22" s="102">
        <f>CX22-CZ22-DD22-DF22-DH22</f>
        <v>0</v>
      </c>
      <c r="DK22" s="3">
        <f>IF(AND(I22&lt;&gt;"Serviço",Z22&gt;0),P22,"NA")</f>
        <v>0.12</v>
      </c>
      <c r="DL22" s="2" t="str">
        <f>IF(AND(I22="Serviço",Z22&gt;0),R22,"NA")</f>
        <v>NA</v>
      </c>
      <c r="DM22" s="3">
        <f>IF(AND(I22&lt;&gt;"Serviço",Z22&gt;0),Q22,"NA")</f>
        <v>0</v>
      </c>
      <c r="DN22" s="9">
        <f>IF(Z22&gt;0,S22,"NA")</f>
        <v>0</v>
      </c>
      <c r="DO22" s="637">
        <f>IF(Z22&gt;0,T22,"NA")</f>
        <v>0</v>
      </c>
      <c r="DP22" s="637"/>
      <c r="DQ22" s="3" t="str">
        <f>IF(AND(I22&lt;&gt;"Serviço",CU22&gt;0),CY22,"NA")</f>
        <v>NA</v>
      </c>
      <c r="DR22" s="2" t="str">
        <f>IF(AND(I22="Serviço",CU22&gt;0),DA22,"NA")</f>
        <v>NA</v>
      </c>
      <c r="DS22" s="3" t="str">
        <f>IF(AND(I22&lt;&gt;"Serviço",CU22&gt;0),DC22,"NA")</f>
        <v>NA</v>
      </c>
      <c r="DT22" s="9" t="str">
        <f>IF(CU22&gt;0,DE22,"NA")</f>
        <v>NA</v>
      </c>
      <c r="DU22" s="637" t="str">
        <f>IF(CU22&gt;0,DG22,"NA")</f>
        <v>NA</v>
      </c>
      <c r="DV22" s="637"/>
      <c r="DW22" s="2">
        <f>IF(CQ22,N22*HLOOKUP(L22,std_tbl6,ROW(std_PL_real)-ROW(row_std_head)+1,FALSE),AA22)</f>
        <v>727.50000000000011</v>
      </c>
      <c r="DX22" s="2">
        <f>IF(CQ22,DW22/(1-AC22-AD22)/(1-AK22),AM22)</f>
        <v>869.30477393755268</v>
      </c>
      <c r="DY22" s="2">
        <f>IF(CQ22,IF(C22="Industrialização",DX22/(1-P22-S22-T22)*(1+Q22),DX22/(1-P22*(1+Q22)-S22-T22)*(1+Q22)),AU22)</f>
        <v>987.8463340199462</v>
      </c>
      <c r="DZ22" s="637"/>
      <c r="EA22" s="643"/>
      <c r="EC22" s="2" t="s">
        <v>53</v>
      </c>
      <c r="ED22" s="2" t="s">
        <v>53</v>
      </c>
      <c r="EE22" s="2" t="s">
        <v>53</v>
      </c>
    </row>
    <row r="23" spans="1:135" s="753" customFormat="1" ht="35.4" customHeight="1" x14ac:dyDescent="0.25">
      <c r="A23" s="752"/>
      <c r="B23" s="753" t="s">
        <v>268</v>
      </c>
      <c r="C23" s="753" t="s">
        <v>255</v>
      </c>
      <c r="D23" s="757" t="s">
        <v>53</v>
      </c>
      <c r="E23" s="752" t="s">
        <v>38</v>
      </c>
      <c r="F23" s="753" t="s">
        <v>53</v>
      </c>
      <c r="G23" s="781" t="s">
        <v>695</v>
      </c>
      <c r="H23" s="781" t="s">
        <v>357</v>
      </c>
      <c r="I23" s="752" t="s">
        <v>1910</v>
      </c>
      <c r="K23" s="318" t="s">
        <v>2797</v>
      </c>
      <c r="L23" s="502" t="s">
        <v>2434</v>
      </c>
      <c r="M23" s="50" t="str">
        <f>IFERROR(IFERROR(VLOOKUP(L23,tbl_materiais,COLUMN(head_mat_descricao)-COLUMN(head_mat_item)+1,FALSE),VLOOKUP(L23,tbl_servicos,COLUMN(head_serv_descricao)-COLUMN(head_serv_item)+1,FALSE)),"?")</f>
        <v>Extensor KVM via CATx, 2x DVI-I, USB, audio, referência KVXLC-200-R2. Fabricante: Blackbox.</v>
      </c>
      <c r="N23" s="51">
        <v>2</v>
      </c>
      <c r="O23" s="83">
        <f>IF(CQ23,std_ncm,IF(I23="Serviço","NA",IF(I23="Material",IFERROR(VLOOKUP(L23,tbl_materiais,COLUMN(head_mat_NCM)-COLUMN(head_mat_item)+1,FALSE),"?"),IFERROR(VLOOKUP(I23,tbl_TipoLinha,2,FALSE),"?"))))</f>
        <v>85372090</v>
      </c>
      <c r="P23" s="84">
        <f>IF(AND(D23="Não",I23&lt;&gt;"Serviço",CD23="Não"),IFERROR(IF(flag_interestadual,CE23,IF(CF23,CF23,CE23)),"?"),0)</f>
        <v>0.12</v>
      </c>
      <c r="Q23" s="84">
        <f>IF(AND(D23="Não",I23&lt;&gt;"Serviço"),IF(I23="Material",IFERROR(VLOOKUP(L23,tbl_materiais,COLUMN(head_mat_IPI)-COLUMN(head_mat_item)+1,FALSE),"?"),IFERROR(VLOOKUP(O23,tbl_NCM_info,COLUMN(head_porNCM_IPI)-COLUMN(head_porNCM_NCM)+1,FALSE),"?")),0)</f>
        <v>0</v>
      </c>
      <c r="R23" s="84">
        <f>IF(AND(D23="Não",I23="Serviço"),IFERROR(VLOOKUP(CB23,tbl_ISS,5,FALSE),"?"),0)</f>
        <v>0</v>
      </c>
      <c r="S23" s="85">
        <f>IF(D23="Não",IF(reidi="Sim",0,IF(B23="Real",pis_naocum,pis_cum)),0)</f>
        <v>0</v>
      </c>
      <c r="T23" s="86">
        <f>IF(D23="Não",IF(reidi="Sim",0,IF(B23="Real",cofins_naocum,cofins_cum)),0)</f>
        <v>0</v>
      </c>
      <c r="U23" s="754" t="str" cm="1">
        <f t="array" ref="U23">IFERROR(IF(I23&lt;&gt;"Serviço",IF(AND(mlookup(tbl_DIFAL_data,UFdestino,tbl_DIFAL_UF,O23,tbl_DIFAL_NCM)&lt;&gt;"",C23="Consumo"),"Sim",""),""),"?")</f>
        <v/>
      </c>
      <c r="V23" s="755" t="str">
        <f>IFERROR(IF(I23&lt;&gt;"Serviço",IF(AND(D23="Não",mlookup(tbl_ST_data,UFdestino,tbl_ST_UF,O23,tbl_ST_NCM)&lt;&gt;"",C23="Revenda",CD23="Não"),"Sim",""),""),"?")</f>
        <v/>
      </c>
      <c r="W23" s="84">
        <f>IF(OR(U23="Sim",V23="Sim"),CG23,0)</f>
        <v>0</v>
      </c>
      <c r="X23" s="756">
        <f>IF(V23="Sim",mlookup(tbl_ST_data,UFdestino,tbl_ST_UF,O23,tbl_ST_NCM),0)</f>
        <v>0</v>
      </c>
      <c r="Z23" s="757">
        <f>IF(AND(N23&gt;0,CQ23=FALSE),IFERROR(VLOOKUP(L23,tbl_servicos,COLUMN(head_serv_CL)-COLUMN(head_serv_item)+1,FALSE),IF(D23="Sim",0,IF(B23="Real",VLOOKUP(L23,tbl_materiais,COLUMN(head_mat_CLreal)-COLUMN(head_mat_item)+1,FALSE),VLOOKUP(L23,tbl_materiais,COLUMN(head_mat_CLpresumido)-COLUMN(head_mat_item)+1,FALSE)))),0)</f>
        <v>7248.4971750000013</v>
      </c>
      <c r="AA23" s="753">
        <f>Z23*N23</f>
        <v>14496.994350000003</v>
      </c>
      <c r="AC23" s="758">
        <f t="shared" ref="AC23:AC24" si="120">cobertura_pc</f>
        <v>1.31243473968765E-2</v>
      </c>
      <c r="AD23" s="758">
        <f>IF(F23="Sim",0,VLOOKUP(E23,tbl_mb,2,FALSE))</f>
        <v>0.15</v>
      </c>
      <c r="AF23" s="753">
        <f>AI23*AC23</f>
        <v>227.34989298366611</v>
      </c>
      <c r="AG23" s="753">
        <f>AI23*AD23</f>
        <v>2598.4136899382943</v>
      </c>
      <c r="AI23" s="753">
        <f>AA23/(1-AC23-AD23)</f>
        <v>17322.757932921962</v>
      </c>
      <c r="AK23" s="758">
        <f t="shared" ref="AK23:AK24" si="121">mn_pc</f>
        <v>0</v>
      </c>
      <c r="AL23" s="753">
        <f>AM23*AK23</f>
        <v>0</v>
      </c>
      <c r="AM23" s="753">
        <f>AI23/(1-AK23)</f>
        <v>17322.757932921962</v>
      </c>
      <c r="AO23" s="753" t="b">
        <f>IF(ABS(SUM(AA23,AF23:AG23,AL23)-AM23)&lt;0.01,TRUE,FALSE)</f>
        <v>1</v>
      </c>
      <c r="AQ23" s="759">
        <f>IFERROR(AR23/N23,0)</f>
        <v>8661.3789664609812</v>
      </c>
      <c r="AR23" s="759">
        <f>AM23</f>
        <v>17322.757932921962</v>
      </c>
      <c r="AT23" s="759">
        <f>IFERROR(AU23/N23,0)</f>
        <v>9842.4760982511143</v>
      </c>
      <c r="AU23" s="759">
        <f>IF(AND(N23&gt;0,CQ23=FALSE),IF(C23="Consumo",AR23*(1+Q23)/(1-P23*(1+Q23)-R23-S23-T23),AR23*(1+Q23)/(1-P23-R23-S23-T23)),0)</f>
        <v>19684.952196502229</v>
      </c>
      <c r="AW23" s="759">
        <f>IF(AU23&gt;0,AU23/(1+Q23),0)</f>
        <v>19684.952196502229</v>
      </c>
      <c r="AX23" s="759">
        <f>IF(AU23&gt;0,IF(C23="Consumo",AW23-AU23*P23,AW23*(1-P23)),0)</f>
        <v>17322.757932921962</v>
      </c>
      <c r="AY23" s="759">
        <f>AX23-AW23*R23</f>
        <v>17322.757932921962</v>
      </c>
      <c r="AZ23" s="759">
        <f>AY23-AW23*(S23+T23)</f>
        <v>17322.757932921962</v>
      </c>
      <c r="BB23" s="753">
        <f>IF(AW23&gt;0,AW23*Q23,0)</f>
        <v>0</v>
      </c>
      <c r="BC23" s="753">
        <f>IF(AW23&gt;0,IF(C23="Consumo",AU23*P23,AW23*P23),0)</f>
        <v>2362.1942635802675</v>
      </c>
      <c r="BD23" s="753">
        <f>AW23*R23</f>
        <v>0</v>
      </c>
      <c r="BE23" s="753">
        <f>AW23*S23</f>
        <v>0</v>
      </c>
      <c r="BF23" s="753">
        <f>AW23*T23</f>
        <v>0</v>
      </c>
      <c r="BH23" s="760">
        <f>W23</f>
        <v>0</v>
      </c>
      <c r="BJ23" s="761">
        <f>IF(AND(U23&lt;&gt;"",C23="Consumo"),BH23-P23,0)</f>
        <v>0</v>
      </c>
      <c r="BK23" s="753">
        <f>BJ23*AU23</f>
        <v>0</v>
      </c>
      <c r="BL23" s="753">
        <f>AU23+BK23</f>
        <v>19684.952196502229</v>
      </c>
      <c r="BN23" s="758">
        <f>X23</f>
        <v>0</v>
      </c>
      <c r="BO23" s="753">
        <f>AU23*(1+BN23)</f>
        <v>19684.952196502229</v>
      </c>
      <c r="BP23" s="753">
        <f>IF(AND(V23&lt;&gt;"",C23="Revenda"),BO23*BH23-BC23,0)</f>
        <v>0</v>
      </c>
      <c r="BQ23" s="753">
        <f>AU23+BP23</f>
        <v>19684.952196502229</v>
      </c>
      <c r="BS23" s="759">
        <f>AU23-SUM(BB23:BF23)</f>
        <v>17322.757932921962</v>
      </c>
      <c r="BT23" s="753">
        <f>AR23+SUM(BB23:BF23)</f>
        <v>19684.952196502229</v>
      </c>
      <c r="BU23" s="753" t="b">
        <f>IF(ABS(BT23-BS23-SUM(BB23:BF23))&lt;0.01,TRUE,FALSE)</f>
        <v>1</v>
      </c>
      <c r="BW23" s="757" t="str">
        <f>IF(AND(N23&gt;0,CQ23=FALSE),IF(D23="Sim","Fat. Direto",VLOOKUP(CB23,tbl_IRPJaux,2,FALSE)),"")</f>
        <v>Material</v>
      </c>
      <c r="BX23" s="753">
        <f>IF(AND(BW23&lt;&gt;"NA",D23="Não"),MAX(BL23,BQ23),0)</f>
        <v>19684.952196502229</v>
      </c>
      <c r="BY23" s="752">
        <f>IF(BX23&gt;0,VLOOKUP(CB23,tbl_IRPJaux,3,FALSE),0)</f>
        <v>1</v>
      </c>
      <c r="BZ23" s="757">
        <f>IF(BX23&gt;0,AA23*BY23+AG23*recuperavel_MB_ir_real+AF23*recuperavel_coberturas_ir_real+SUM(BB23:BF23,BK23,BP23),0)</f>
        <v>17086.538506563935</v>
      </c>
      <c r="CA23" s="757"/>
      <c r="CB23" s="757" t="str">
        <f>IFERROR(VLOOKUP(L23,tbl_materiais,COLUMN(head_mat_WBS)-COLUMN(head_mat_item)+1,FALSE),IFERROR(VLOOKUP(L23,tbl_servicos,COLUMN(head_serv_WBS)-COLUMN(head_serv_item)+1,FALSE),"?"))</f>
        <v xml:space="preserve">  Informática</v>
      </c>
      <c r="CD23" s="753" t="str">
        <f>IFERROR(VLOOKUP(L23,tbl_materiais,COLUMN(head_mat_st)-COLUMN(head_mat_item)+1,FALSE),"Não")</f>
        <v>Não</v>
      </c>
      <c r="CE23" s="760">
        <f>ifzero(mlookup(tbl_ICMSinterest_data,UFdestino,tbl_ICMSinterest_ufdest,UForigem,tbl_ICMSinterest_uforig))</f>
        <v>0.12</v>
      </c>
      <c r="CF23" s="760">
        <f>IF(N23&gt;0,IF(I23&lt;&gt;"Serviço",ifzero(mlookup(tbl_ICMSinterno_data,UForigem,tbl_ICMSinterno_UF,O23,tbl_ICMSinterno_NCM),mlookup(tbl_ICMSinterest_data,UForigem,tbl_ICMSinterest_ufdest,UForigem,tbl_ICMSinterest_uforig)),""),0)</f>
        <v>0.12</v>
      </c>
      <c r="CG23" s="760">
        <f>IF(N23&gt;0,IF(I23&lt;&gt;"Serviço",ifzero(mlookup(tbl_ICMSinterno_data,UFdestino,tbl_ICMSinterno_UF,O23,tbl_ICMSinterno_NCM),mlookup(tbl_ICMSinterest_data,UFdestino,tbl_ICMSinterest_ufdest,UFdestino,tbl_ICMSinterest_uforig)),""),0)</f>
        <v>0.18</v>
      </c>
      <c r="CI23" s="753">
        <f>IFERROR(IF(AND(I23&lt;&gt;"Serviço",D23="Não"),N23*VLOOKUP(L23,tbl_materiais,COLUMN(head_mat_credito_ICMS)-COLUMN(head_mat_item)+1,FALSE),0),0)</f>
        <v>3367.967323943662</v>
      </c>
      <c r="CJ23" s="753">
        <f>IFERROR(IF(AND(I23&lt;&gt;"Serviço",D23="Não"),N23*VLOOKUP(L23,tbl_materiais,COLUMN(head_mat_credito_IPI)-COLUMN(head_mat_item)+1,FALSE),0),0)</f>
        <v>1216.2104225352086</v>
      </c>
      <c r="CK23" s="753">
        <f>IFERROR(IF(AND(I23&lt;&gt;"Serviço",D23="Não",B23="Real"),N23*VLOOKUP(L23,tbl_materiais,COLUMN(head_mat_credito_PIS)-COLUMN(head_mat_item)+1,FALSE),0),0)</f>
        <v>308.73033802816906</v>
      </c>
      <c r="CL23" s="753">
        <f>IFERROR(IF(AND(I23&lt;&gt;"Serviço",D23="Não",B23="Real"),N23*VLOOKUP(L23,tbl_materiais,COLUMN(head_mat_credito_COFINS)-COLUMN(head_mat_item)+1,FALSE),0),0)</f>
        <v>1422.030647887324</v>
      </c>
      <c r="CN23" s="762">
        <f>IFERROR(SUMIF(serv_col_item,"="&amp;L23,serv_col_totalhh),0)</f>
        <v>0</v>
      </c>
      <c r="CO23" s="753">
        <f>IFERROR(SUMIF(serv_col_item,"="&amp;L23,serv_col_gdv),0)</f>
        <v>0</v>
      </c>
      <c r="CQ23" s="753" t="b">
        <f>IF(N23&gt;0,IF(ISERROR(HLOOKUP(L23,std_tbl4,1,FALSE)),FALSE,TRUE),FALSE)</f>
        <v>0</v>
      </c>
      <c r="CR23" s="753" t="b">
        <f>IF(AND(CQ23,I23&lt;&gt;std_tiponcm),FALSE,TRUE)</f>
        <v>1</v>
      </c>
      <c r="CS23" s="753" t="b">
        <f>IF(AND(CQ23,D23="Sim"),TRUE,FALSE)</f>
        <v>0</v>
      </c>
      <c r="CU23" s="753">
        <f>IF(D23="Sim",VLOOKUP(L23,tbl_materiais,COLUMN(head_mat_fatdir)-COLUMN(head_mat_item)+1,FALSE),0)</f>
        <v>0</v>
      </c>
      <c r="CV23" s="757">
        <f>CU23*N23</f>
        <v>0</v>
      </c>
      <c r="CW23" s="757">
        <f>CX23*(1-CY23-DA23-DE23-DG23)/(1+DC23)</f>
        <v>0</v>
      </c>
      <c r="CX23" s="757">
        <f>CV23/(1-AK23)</f>
        <v>0</v>
      </c>
      <c r="CY23" s="763">
        <f>IF(D23="Sim",VLOOKUP(L23,tbl_materiais,COLUMN(head_mat_ICMS_input)-COLUMN(head_mat_item)+1,FALSE),0)</f>
        <v>0</v>
      </c>
      <c r="CZ23" s="757">
        <f>CX23*CY23</f>
        <v>0</v>
      </c>
      <c r="DA23" s="763">
        <f>IF(D23="Sim",VLOOKUP(L23,tbl_materiais,COLUMN(head_mat_ISS_input)-COLUMN(head_mat_item)+1,FALSE),0)</f>
        <v>0</v>
      </c>
      <c r="DB23" s="757">
        <f>CX23*DA23</f>
        <v>0</v>
      </c>
      <c r="DC23" s="763">
        <f>IF(D23="Sim",VLOOKUP(L23,tbl_materiais,COLUMN(head_mat_IPI_input)-COLUMN(head_mat_item)+1,FALSE),0)</f>
        <v>0</v>
      </c>
      <c r="DD23" s="757">
        <f>CX23*DC23/(1+DC23)</f>
        <v>0</v>
      </c>
      <c r="DE23" s="764">
        <v>0</v>
      </c>
      <c r="DF23" s="757">
        <f>(CX23-DD23)*DE23</f>
        <v>0</v>
      </c>
      <c r="DG23" s="764">
        <v>0</v>
      </c>
      <c r="DH23" s="757">
        <f>(CX23-DD23)*DG23</f>
        <v>0</v>
      </c>
      <c r="DI23" s="757">
        <f>CX23-CZ23-DD23-DF23-DH23</f>
        <v>0</v>
      </c>
      <c r="DK23" s="760">
        <f>IF(AND(I23&lt;&gt;"Serviço",Z23&gt;0),P23,"NA")</f>
        <v>0.12</v>
      </c>
      <c r="DL23" s="753" t="str">
        <f>IF(AND(I23="Serviço",Z23&gt;0),R23,"NA")</f>
        <v>NA</v>
      </c>
      <c r="DM23" s="760">
        <f>IF(AND(I23&lt;&gt;"Serviço",Z23&gt;0),Q23,"NA")</f>
        <v>0</v>
      </c>
      <c r="DN23" s="765">
        <f>IF(Z23&gt;0,S23,"NA")</f>
        <v>0</v>
      </c>
      <c r="DO23" s="766">
        <f>IF(Z23&gt;0,T23,"NA")</f>
        <v>0</v>
      </c>
      <c r="DP23" s="766"/>
      <c r="DQ23" s="760" t="str">
        <f>IF(AND(I23&lt;&gt;"Serviço",CU23&gt;0),CY23,"NA")</f>
        <v>NA</v>
      </c>
      <c r="DR23" s="753" t="str">
        <f>IF(AND(I23="Serviço",CU23&gt;0),DA23,"NA")</f>
        <v>NA</v>
      </c>
      <c r="DS23" s="760" t="str">
        <f>IF(AND(I23&lt;&gt;"Serviço",CU23&gt;0),DC23,"NA")</f>
        <v>NA</v>
      </c>
      <c r="DT23" s="765" t="str">
        <f>IF(CU23&gt;0,DE23,"NA")</f>
        <v>NA</v>
      </c>
      <c r="DU23" s="766" t="str">
        <f>IF(CU23&gt;0,DG23,"NA")</f>
        <v>NA</v>
      </c>
      <c r="DV23" s="766"/>
      <c r="DW23" s="753">
        <f>IF(CQ23,N23*HLOOKUP(L23,std_tbl6,ROW(std_PL_real)-ROW(row_std_head)+1,FALSE),AA23)</f>
        <v>14496.994350000003</v>
      </c>
      <c r="DX23" s="753">
        <f>IF(CQ23,DW23/(1-AC23-AD23)/(1-AK23),AM23)</f>
        <v>17322.757932921962</v>
      </c>
      <c r="DY23" s="753">
        <f>IF(CQ23,IF(C23="Industrialização",DX23/(1-P23-S23-T23)*(1+Q23),DX23/(1-P23*(1+Q23)-S23-T23)*(1+Q23)),AU23)</f>
        <v>19684.952196502229</v>
      </c>
      <c r="DZ23" s="766"/>
      <c r="EA23" s="767"/>
      <c r="EC23" s="753" t="s">
        <v>53</v>
      </c>
      <c r="ED23" s="753" t="s">
        <v>53</v>
      </c>
      <c r="EE23" s="753" t="s">
        <v>53</v>
      </c>
    </row>
    <row r="24" spans="1:135" s="753" customFormat="1" ht="35.4" customHeight="1" x14ac:dyDescent="0.25">
      <c r="A24" s="752"/>
      <c r="B24" s="753" t="s">
        <v>268</v>
      </c>
      <c r="C24" s="753" t="s">
        <v>255</v>
      </c>
      <c r="D24" s="757" t="s">
        <v>53</v>
      </c>
      <c r="E24" s="752" t="s">
        <v>38</v>
      </c>
      <c r="F24" s="753" t="s">
        <v>53</v>
      </c>
      <c r="G24" s="781" t="s">
        <v>695</v>
      </c>
      <c r="H24" s="781" t="s">
        <v>357</v>
      </c>
      <c r="I24" s="752" t="s">
        <v>1910</v>
      </c>
      <c r="K24" s="318" t="s">
        <v>2797</v>
      </c>
      <c r="L24" s="502" t="s">
        <v>2436</v>
      </c>
      <c r="M24" s="50" t="str">
        <f>IFERROR(IFERROR(VLOOKUP(L24,tbl_materiais,COLUMN(head_mat_descricao)-COLUMN(head_mat_item)+1,FALSE),VLOOKUP(L24,tbl_servicos,COLUMN(head_serv_descricao)-COLUMN(head_serv_item)+1,FALSE)),"?")</f>
        <v>Cabo HDMI (macho) - DVI (macho), referência EVHDMI02T-002M. Fabricante: Blackbox.</v>
      </c>
      <c r="N24" s="51">
        <v>4</v>
      </c>
      <c r="O24" s="83">
        <f>IF(CQ24,std_ncm,IF(I24="Serviço","NA",IF(I24="Material",IFERROR(VLOOKUP(L24,tbl_materiais,COLUMN(head_mat_NCM)-COLUMN(head_mat_item)+1,FALSE),"?"),IFERROR(VLOOKUP(I24,tbl_TipoLinha,2,FALSE),"?"))))</f>
        <v>85372090</v>
      </c>
      <c r="P24" s="84">
        <f>IF(AND(D24="Não",I24&lt;&gt;"Serviço",CD24="Não"),IFERROR(IF(flag_interestadual,CE24,IF(CF24,CF24,CE24)),"?"),0)</f>
        <v>0.12</v>
      </c>
      <c r="Q24" s="84">
        <f>IF(AND(D24="Não",I24&lt;&gt;"Serviço"),IF(I24="Material",IFERROR(VLOOKUP(L24,tbl_materiais,COLUMN(head_mat_IPI)-COLUMN(head_mat_item)+1,FALSE),"?"),IFERROR(VLOOKUP(O24,tbl_NCM_info,COLUMN(head_porNCM_IPI)-COLUMN(head_porNCM_NCM)+1,FALSE),"?")),0)</f>
        <v>0</v>
      </c>
      <c r="R24" s="84">
        <f>IF(AND(D24="Não",I24="Serviço"),IFERROR(VLOOKUP(CB24,tbl_ISS,5,FALSE),"?"),0)</f>
        <v>0</v>
      </c>
      <c r="S24" s="85">
        <f>IF(D24="Não",IF(reidi="Sim",0,IF(B24="Real",pis_naocum,pis_cum)),0)</f>
        <v>0</v>
      </c>
      <c r="T24" s="86">
        <f>IF(D24="Não",IF(reidi="Sim",0,IF(B24="Real",cofins_naocum,cofins_cum)),0)</f>
        <v>0</v>
      </c>
      <c r="U24" s="754" t="str" cm="1">
        <f t="array" ref="U24">IFERROR(IF(I24&lt;&gt;"Serviço",IF(AND(mlookup(tbl_DIFAL_data,UFdestino,tbl_DIFAL_UF,O24,tbl_DIFAL_NCM)&lt;&gt;"",C24="Consumo"),"Sim",""),""),"?")</f>
        <v/>
      </c>
      <c r="V24" s="755" t="str">
        <f>IFERROR(IF(I24&lt;&gt;"Serviço",IF(AND(D24="Não",mlookup(tbl_ST_data,UFdestino,tbl_ST_UF,O24,tbl_ST_NCM)&lt;&gt;"",C24="Revenda",CD24="Não"),"Sim",""),""),"?")</f>
        <v/>
      </c>
      <c r="W24" s="84">
        <f>IF(OR(U24="Sim",V24="Sim"),CG24,0)</f>
        <v>0</v>
      </c>
      <c r="X24" s="756">
        <f>IF(V24="Sim",mlookup(tbl_ST_data,UFdestino,tbl_ST_UF,O24,tbl_ST_NCM),0)</f>
        <v>0</v>
      </c>
      <c r="Z24" s="757">
        <f>IF(AND(N24&gt;0,CQ24=FALSE),IFERROR(VLOOKUP(L24,tbl_servicos,COLUMN(head_serv_CL)-COLUMN(head_serv_item)+1,FALSE),IF(D24="Sim",0,IF(B24="Real",VLOOKUP(L24,tbl_materiais,COLUMN(head_mat_CLreal)-COLUMN(head_mat_item)+1,FALSE),VLOOKUP(L24,tbl_materiais,COLUMN(head_mat_CLpresumido)-COLUMN(head_mat_item)+1,FALSE)))),0)</f>
        <v>72.528750000000002</v>
      </c>
      <c r="AA24" s="753">
        <f>Z24*N24</f>
        <v>290.11500000000001</v>
      </c>
      <c r="AC24" s="758">
        <f t="shared" si="120"/>
        <v>1.31243473968765E-2</v>
      </c>
      <c r="AD24" s="758">
        <f>IF(F24="Sim",0,VLOOKUP(E24,tbl_mb,2,FALSE))</f>
        <v>0.15</v>
      </c>
      <c r="AF24" s="753">
        <f>AI24*AC24</f>
        <v>4.5497440787066514</v>
      </c>
      <c r="AG24" s="753">
        <f>AI24*AD24</f>
        <v>51.999660719771761</v>
      </c>
      <c r="AI24" s="753">
        <f>AA24/(1-AC24-AD24)</f>
        <v>346.66440479847842</v>
      </c>
      <c r="AK24" s="758">
        <f t="shared" si="121"/>
        <v>0</v>
      </c>
      <c r="AL24" s="753">
        <f>AM24*AK24</f>
        <v>0</v>
      </c>
      <c r="AM24" s="753">
        <f>AI24/(1-AK24)</f>
        <v>346.66440479847842</v>
      </c>
      <c r="AO24" s="753" t="b">
        <f>IF(ABS(SUM(AA24,AF24:AG24,AL24)-AM24)&lt;0.01,TRUE,FALSE)</f>
        <v>1</v>
      </c>
      <c r="AQ24" s="759">
        <f>IFERROR(AR24/N24,0)</f>
        <v>86.666101199619604</v>
      </c>
      <c r="AR24" s="759">
        <f>AM24</f>
        <v>346.66440479847842</v>
      </c>
      <c r="AT24" s="759">
        <f>IFERROR(AU24/N24,0)</f>
        <v>98.484205908658637</v>
      </c>
      <c r="AU24" s="759">
        <f>IF(AND(N24&gt;0,CQ24=FALSE),IF(C24="Consumo",AR24*(1+Q24)/(1-P24*(1+Q24)-R24-S24-T24),AR24*(1+Q24)/(1-P24-R24-S24-T24)),0)</f>
        <v>393.93682363463455</v>
      </c>
      <c r="AW24" s="759">
        <f>IF(AU24&gt;0,AU24/(1+Q24),0)</f>
        <v>393.93682363463455</v>
      </c>
      <c r="AX24" s="759">
        <f>IF(AU24&gt;0,IF(C24="Consumo",AW24-AU24*P24,AW24*(1-P24)),0)</f>
        <v>346.66440479847842</v>
      </c>
      <c r="AY24" s="759">
        <f>AX24-AW24*R24</f>
        <v>346.66440479847842</v>
      </c>
      <c r="AZ24" s="759">
        <f>AY24-AW24*(S24+T24)</f>
        <v>346.66440479847842</v>
      </c>
      <c r="BB24" s="753">
        <f>IF(AW24&gt;0,AW24*Q24,0)</f>
        <v>0</v>
      </c>
      <c r="BC24" s="753">
        <f>IF(AW24&gt;0,IF(C24="Consumo",AU24*P24,AW24*P24),0)</f>
        <v>47.272418836156142</v>
      </c>
      <c r="BD24" s="753">
        <f>AW24*R24</f>
        <v>0</v>
      </c>
      <c r="BE24" s="753">
        <f>AW24*S24</f>
        <v>0</v>
      </c>
      <c r="BF24" s="753">
        <f>AW24*T24</f>
        <v>0</v>
      </c>
      <c r="BH24" s="760">
        <f>W24</f>
        <v>0</v>
      </c>
      <c r="BJ24" s="761">
        <f>IF(AND(U24&lt;&gt;"",C24="Consumo"),BH24-P24,0)</f>
        <v>0</v>
      </c>
      <c r="BK24" s="753">
        <f>BJ24*AU24</f>
        <v>0</v>
      </c>
      <c r="BL24" s="753">
        <f>AU24+BK24</f>
        <v>393.93682363463455</v>
      </c>
      <c r="BN24" s="758">
        <f>X24</f>
        <v>0</v>
      </c>
      <c r="BO24" s="753">
        <f>AU24*(1+BN24)</f>
        <v>393.93682363463455</v>
      </c>
      <c r="BP24" s="753">
        <f>IF(AND(V24&lt;&gt;"",C24="Revenda"),BO24*BH24-BC24,0)</f>
        <v>0</v>
      </c>
      <c r="BQ24" s="753">
        <f>AU24+BP24</f>
        <v>393.93682363463455</v>
      </c>
      <c r="BS24" s="759">
        <f>AU24-SUM(BB24:BF24)</f>
        <v>346.66440479847842</v>
      </c>
      <c r="BT24" s="753">
        <f>AR24+SUM(BB24:BF24)</f>
        <v>393.93682363463455</v>
      </c>
      <c r="BU24" s="753" t="b">
        <f>IF(ABS(BT24-BS24-SUM(BB24:BF24))&lt;0.01,TRUE,FALSE)</f>
        <v>1</v>
      </c>
      <c r="BW24" s="757" t="str">
        <f>IF(AND(N24&gt;0,CQ24=FALSE),IF(D24="Sim","Fat. Direto",VLOOKUP(CB24,tbl_IRPJaux,2,FALSE)),"")</f>
        <v>Material</v>
      </c>
      <c r="BX24" s="753">
        <f>IF(AND(BW24&lt;&gt;"NA",D24="Não"),MAX(BL24,BQ24),0)</f>
        <v>393.93682363463455</v>
      </c>
      <c r="BY24" s="752">
        <f>IF(BX24&gt;0,VLOOKUP(CB24,tbl_IRPJaux,3,FALSE),0)</f>
        <v>1</v>
      </c>
      <c r="BZ24" s="757">
        <f>IF(BX24&gt;0,AA24*BY24+AG24*recuperavel_MB_ir_real+AF24*recuperavel_coberturas_ir_real+SUM(BB24:BF24,BK24,BP24),0)</f>
        <v>341.93716291486277</v>
      </c>
      <c r="CA24" s="757"/>
      <c r="CB24" s="757" t="str">
        <f>IFERROR(VLOOKUP(L24,tbl_materiais,COLUMN(head_mat_WBS)-COLUMN(head_mat_item)+1,FALSE),IFERROR(VLOOKUP(L24,tbl_servicos,COLUMN(head_serv_WBS)-COLUMN(head_serv_item)+1,FALSE),"?"))</f>
        <v xml:space="preserve">  Informática</v>
      </c>
      <c r="CD24" s="753" t="str">
        <f>IFERROR(VLOOKUP(L24,tbl_materiais,COLUMN(head_mat_st)-COLUMN(head_mat_item)+1,FALSE),"Não")</f>
        <v>Não</v>
      </c>
      <c r="CE24" s="760">
        <f>ifzero(mlookup(tbl_ICMSinterest_data,UFdestino,tbl_ICMSinterest_ufdest,UForigem,tbl_ICMSinterest_uforig))</f>
        <v>0.12</v>
      </c>
      <c r="CF24" s="760">
        <f>IF(N24&gt;0,IF(I24&lt;&gt;"Serviço",ifzero(mlookup(tbl_ICMSinterno_data,UForigem,tbl_ICMSinterno_UF,O24,tbl_ICMSinterno_NCM),mlookup(tbl_ICMSinterest_data,UForigem,tbl_ICMSinterest_ufdest,UForigem,tbl_ICMSinterest_uforig)),""),0)</f>
        <v>0.12</v>
      </c>
      <c r="CG24" s="760">
        <f>IF(N24&gt;0,IF(I24&lt;&gt;"Serviço",ifzero(mlookup(tbl_ICMSinterno_data,UFdestino,tbl_ICMSinterno_UF,O24,tbl_ICMSinterno_NCM),mlookup(tbl_ICMSinterest_data,UFdestino,tbl_ICMSinterest_ufdest,UFdestino,tbl_ICMSinterest_uforig)),""),0)</f>
        <v>0.18</v>
      </c>
      <c r="CI24" s="753">
        <f>IFERROR(IF(AND(I24&lt;&gt;"Serviço",D24="Não"),N24*VLOOKUP(L24,tbl_materiais,COLUMN(head_mat_credito_ICMS)-COLUMN(head_mat_item)+1,FALSE),0),0)</f>
        <v>42.10285714285714</v>
      </c>
      <c r="CJ24" s="753">
        <f>IFERROR(IF(AND(I24&lt;&gt;"Serviço",D24="Não"),N24*VLOOKUP(L24,tbl_materiais,COLUMN(head_mat_credito_IPI)-COLUMN(head_mat_item)+1,FALSE),0),0)</f>
        <v>17.542857142857144</v>
      </c>
      <c r="CK24" s="753">
        <f>IFERROR(IF(AND(I24&lt;&gt;"Serviço",D24="Não",B24="Real"),N24*VLOOKUP(L24,tbl_materiais,COLUMN(head_mat_credito_PIS)-COLUMN(head_mat_item)+1,FALSE),0),0)</f>
        <v>5.7891428571428571</v>
      </c>
      <c r="CL24" s="753">
        <f>IFERROR(IF(AND(I24&lt;&gt;"Serviço",D24="Não",B24="Real"),N24*VLOOKUP(L24,tbl_materiais,COLUMN(head_mat_credito_COFINS)-COLUMN(head_mat_item)+1,FALSE),0),0)</f>
        <v>26.665142857142854</v>
      </c>
      <c r="CN24" s="762">
        <f>IFERROR(SUMIF(serv_col_item,"="&amp;L24,serv_col_totalhh),0)</f>
        <v>0</v>
      </c>
      <c r="CO24" s="753">
        <f>IFERROR(SUMIF(serv_col_item,"="&amp;L24,serv_col_gdv),0)</f>
        <v>0</v>
      </c>
      <c r="CQ24" s="753" t="b">
        <f>IF(N24&gt;0,IF(ISERROR(HLOOKUP(L24,std_tbl4,1,FALSE)),FALSE,TRUE),FALSE)</f>
        <v>0</v>
      </c>
      <c r="CR24" s="753" t="b">
        <f>IF(AND(CQ24,I24&lt;&gt;std_tiponcm),FALSE,TRUE)</f>
        <v>1</v>
      </c>
      <c r="CS24" s="753" t="b">
        <f>IF(AND(CQ24,D24="Sim"),TRUE,FALSE)</f>
        <v>0</v>
      </c>
      <c r="CU24" s="753">
        <f>IF(D24="Sim",VLOOKUP(L24,tbl_materiais,COLUMN(head_mat_fatdir)-COLUMN(head_mat_item)+1,FALSE),0)</f>
        <v>0</v>
      </c>
      <c r="CV24" s="757">
        <f>CU24*N24</f>
        <v>0</v>
      </c>
      <c r="CW24" s="757">
        <f>CX24*(1-CY24-DA24-DE24-DG24)/(1+DC24)</f>
        <v>0</v>
      </c>
      <c r="CX24" s="757">
        <f>CV24/(1-AK24)</f>
        <v>0</v>
      </c>
      <c r="CY24" s="763">
        <f>IF(D24="Sim",VLOOKUP(L24,tbl_materiais,COLUMN(head_mat_ICMS_input)-COLUMN(head_mat_item)+1,FALSE),0)</f>
        <v>0</v>
      </c>
      <c r="CZ24" s="757">
        <f>CX24*CY24</f>
        <v>0</v>
      </c>
      <c r="DA24" s="763">
        <f>IF(D24="Sim",VLOOKUP(L24,tbl_materiais,COLUMN(head_mat_ISS_input)-COLUMN(head_mat_item)+1,FALSE),0)</f>
        <v>0</v>
      </c>
      <c r="DB24" s="757">
        <f>CX24*DA24</f>
        <v>0</v>
      </c>
      <c r="DC24" s="763">
        <f>IF(D24="Sim",VLOOKUP(L24,tbl_materiais,COLUMN(head_mat_IPI_input)-COLUMN(head_mat_item)+1,FALSE),0)</f>
        <v>0</v>
      </c>
      <c r="DD24" s="757">
        <f>CX24*DC24/(1+DC24)</f>
        <v>0</v>
      </c>
      <c r="DE24" s="764">
        <v>0</v>
      </c>
      <c r="DF24" s="757">
        <f>(CX24-DD24)*DE24</f>
        <v>0</v>
      </c>
      <c r="DG24" s="764">
        <v>0</v>
      </c>
      <c r="DH24" s="757">
        <f>(CX24-DD24)*DG24</f>
        <v>0</v>
      </c>
      <c r="DI24" s="757">
        <f>CX24-CZ24-DD24-DF24-DH24</f>
        <v>0</v>
      </c>
      <c r="DK24" s="760">
        <f>IF(AND(I24&lt;&gt;"Serviço",Z24&gt;0),P24,"NA")</f>
        <v>0.12</v>
      </c>
      <c r="DL24" s="753" t="str">
        <f>IF(AND(I24="Serviço",Z24&gt;0),R24,"NA")</f>
        <v>NA</v>
      </c>
      <c r="DM24" s="760">
        <f>IF(AND(I24&lt;&gt;"Serviço",Z24&gt;0),Q24,"NA")</f>
        <v>0</v>
      </c>
      <c r="DN24" s="765">
        <f>IF(Z24&gt;0,S24,"NA")</f>
        <v>0</v>
      </c>
      <c r="DO24" s="766">
        <f>IF(Z24&gt;0,T24,"NA")</f>
        <v>0</v>
      </c>
      <c r="DP24" s="766"/>
      <c r="DQ24" s="760" t="str">
        <f>IF(AND(I24&lt;&gt;"Serviço",CU24&gt;0),CY24,"NA")</f>
        <v>NA</v>
      </c>
      <c r="DR24" s="753" t="str">
        <f>IF(AND(I24="Serviço",CU24&gt;0),DA24,"NA")</f>
        <v>NA</v>
      </c>
      <c r="DS24" s="760" t="str">
        <f>IF(AND(I24&lt;&gt;"Serviço",CU24&gt;0),DC24,"NA")</f>
        <v>NA</v>
      </c>
      <c r="DT24" s="765" t="str">
        <f>IF(CU24&gt;0,DE24,"NA")</f>
        <v>NA</v>
      </c>
      <c r="DU24" s="766" t="str">
        <f>IF(CU24&gt;0,DG24,"NA")</f>
        <v>NA</v>
      </c>
      <c r="DV24" s="766"/>
      <c r="DW24" s="753">
        <f>IF(CQ24,N24*HLOOKUP(L24,std_tbl6,ROW(std_PL_real)-ROW(row_std_head)+1,FALSE),AA24)</f>
        <v>290.11500000000001</v>
      </c>
      <c r="DX24" s="753">
        <f>IF(CQ24,DW24/(1-AC24-AD24)/(1-AK24),AM24)</f>
        <v>346.66440479847842</v>
      </c>
      <c r="DY24" s="753">
        <f>IF(CQ24,IF(C24="Industrialização",DX24/(1-P24-S24-T24)*(1+Q24),DX24/(1-P24*(1+Q24)-S24-T24)*(1+Q24)),AU24)</f>
        <v>393.93682363463455</v>
      </c>
      <c r="DZ24" s="766"/>
      <c r="EA24" s="767"/>
      <c r="EC24" s="753" t="s">
        <v>53</v>
      </c>
      <c r="ED24" s="753" t="s">
        <v>53</v>
      </c>
      <c r="EE24" s="753" t="s">
        <v>53</v>
      </c>
    </row>
    <row r="25" spans="1:135" s="56" customFormat="1" ht="19.649999999999999" customHeight="1" x14ac:dyDescent="0.25">
      <c r="A25" s="294" t="s">
        <v>350</v>
      </c>
      <c r="B25"/>
      <c r="C25"/>
      <c r="D25"/>
      <c r="E25"/>
      <c r="F25"/>
      <c r="G25"/>
      <c r="H25"/>
      <c r="I25"/>
      <c r="K25" s="613" t="s">
        <v>1985</v>
      </c>
      <c r="L25" s="824"/>
      <c r="M25" s="872" t="s">
        <v>1145</v>
      </c>
      <c r="N25" s="869"/>
      <c r="O25" s="58"/>
      <c r="P25" s="59"/>
      <c r="Q25" s="59"/>
      <c r="R25" s="59"/>
      <c r="S25" s="59"/>
      <c r="T25" s="60"/>
      <c r="U25" s="61"/>
      <c r="V25" s="59"/>
      <c r="W25" s="59"/>
      <c r="X25" s="60"/>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s="643"/>
    </row>
    <row r="26" spans="1:135" ht="22.65" customHeight="1" x14ac:dyDescent="0.25">
      <c r="A26" s="18"/>
      <c r="B26" s="2" t="s">
        <v>268</v>
      </c>
      <c r="C26" s="2" t="s">
        <v>255</v>
      </c>
      <c r="D26" s="757" t="s">
        <v>53</v>
      </c>
      <c r="E26" s="18" t="s">
        <v>38</v>
      </c>
      <c r="F26" s="2" t="s">
        <v>53</v>
      </c>
      <c r="G26" s="781" t="s">
        <v>695</v>
      </c>
      <c r="H26" s="831" t="s">
        <v>2794</v>
      </c>
      <c r="I26" s="18" t="s">
        <v>1910</v>
      </c>
      <c r="K26" s="318" t="s">
        <v>2798</v>
      </c>
      <c r="L26" s="502" t="s">
        <v>696</v>
      </c>
      <c r="M26" s="50" t="str">
        <f>IFERROR(IFERROR(VLOOKUP(L26,tbl_materiais,COLUMN(head_mat_descricao)-COLUMN(head_mat_item)+1,FALSE),VLOOKUP(L26,tbl_servicos,COLUMN(head_serv_descricao)-COLUMN(head_serv_item)+1,FALSE)),"?")</f>
        <v>Licença SAGE SCADA/IHM. Fabricante: CEPEL.</v>
      </c>
      <c r="N26" s="51">
        <v>2</v>
      </c>
      <c r="O26" s="83">
        <f>IF(CQ26,std_ncm,IF(I26="Serviço","NA",IF(I26="Material",IFERROR(VLOOKUP(L26,tbl_materiais,COLUMN(head_mat_NCM)-COLUMN(head_mat_item)+1,FALSE),"?"),IFERROR(VLOOKUP(I26,tbl_TipoLinha,2,FALSE),"?"))))</f>
        <v>85372090</v>
      </c>
      <c r="P26" s="84">
        <f>IF(AND(D26="Não",I26&lt;&gt;"Serviço",CD26="Não"),IFERROR(IF(flag_interestadual,CE26,IF(CF26,CF26,CE26)),"?"),0)</f>
        <v>0.12</v>
      </c>
      <c r="Q26" s="84">
        <f>IF(AND(D26="Não",I26&lt;&gt;"Serviço"),IF(I26="Material",IFERROR(VLOOKUP(L26,tbl_materiais,COLUMN(head_mat_IPI)-COLUMN(head_mat_item)+1,FALSE),"?"),IFERROR(VLOOKUP(O26,tbl_NCM_info,COLUMN(head_porNCM_IPI)-COLUMN(head_porNCM_NCM)+1,FALSE),"?")),0)</f>
        <v>0</v>
      </c>
      <c r="R26" s="84">
        <f>IF(AND(D26="Não",I26="Serviço"),IFERROR(VLOOKUP(CB26,tbl_ISS,5,FALSE),"?"),0)</f>
        <v>0</v>
      </c>
      <c r="S26" s="85">
        <f>IF(D26="Não",IF(reidi="Sim",0,IF(B26="Real",pis_naocum,pis_cum)),0)</f>
        <v>0</v>
      </c>
      <c r="T26" s="86">
        <f>IF(D26="Não",IF(reidi="Sim",0,IF(B26="Real",cofins_naocum,cofins_cum)),0)</f>
        <v>0</v>
      </c>
      <c r="U26" s="53" t="str" cm="1">
        <f t="array" ref="U26">IFERROR(IF(I26&lt;&gt;"Serviço",IF(AND(mlookup(tbl_DIFAL_data,UFdestino,tbl_DIFAL_UF,O26,tbl_DIFAL_NCM)&lt;&gt;"",C26="Consumo"),"Sim",""),""),"?")</f>
        <v/>
      </c>
      <c r="V26" s="54" t="str">
        <f>IFERROR(IF(I26&lt;&gt;"Serviço",IF(AND(D26="Não",mlookup(tbl_ST_data,UFdestino,tbl_ST_UF,O26,tbl_ST_NCM)&lt;&gt;"",C26="Revenda",CD26="Não"),"Sim",""),""),"?")</f>
        <v/>
      </c>
      <c r="W26" s="52">
        <f>IF(OR(U26="Sim",V26="Sim"),CG26,0)</f>
        <v>0</v>
      </c>
      <c r="X26" s="55">
        <f>IF(V26="Sim",mlookup(tbl_ST_data,UFdestino,tbl_ST_UF,O26,tbl_ST_NCM),0)</f>
        <v>0</v>
      </c>
      <c r="Z26" s="102">
        <f>IF(AND(N26&gt;0,CQ26=FALSE),IFERROR(VLOOKUP(L26,tbl_servicos,COLUMN(head_serv_CL)-COLUMN(head_serv_item)+1,FALSE),IF(D26="Sim",0,IF(B26="Real",VLOOKUP(L26,tbl_materiais,COLUMN(head_mat_CLreal)-COLUMN(head_mat_item)+1,FALSE),VLOOKUP(L26,tbl_materiais,COLUMN(head_mat_CLpresumido)-COLUMN(head_mat_item)+1,FALSE)))),0)</f>
        <v>32488.500000000004</v>
      </c>
      <c r="AA26" s="2">
        <f>Z26*N26</f>
        <v>64977.000000000007</v>
      </c>
      <c r="AC26" s="8">
        <f t="shared" ref="AC26" si="122">cobertura_pc</f>
        <v>1.31243473968765E-2</v>
      </c>
      <c r="AD26" s="8">
        <f>IF(F26="Sim",0,VLOOKUP(E26,tbl_mb,2,FALSE))</f>
        <v>0.15</v>
      </c>
      <c r="AF26" s="2">
        <f>AI26*AC26</f>
        <v>1019.0052944595149</v>
      </c>
      <c r="AG26" s="2">
        <f>AI26*AD26</f>
        <v>11646.353875492858</v>
      </c>
      <c r="AI26" s="2">
        <f>AA26/(1-AC26-AD26)</f>
        <v>77642.359169952382</v>
      </c>
      <c r="AK26" s="8">
        <f t="shared" ref="AK26" si="123">mn_pc</f>
        <v>0</v>
      </c>
      <c r="AL26" s="2">
        <f>AM26*AK26</f>
        <v>0</v>
      </c>
      <c r="AM26" s="2">
        <f>AI26/(1-AK26)</f>
        <v>77642.359169952382</v>
      </c>
      <c r="AO26" s="2" t="b">
        <f>IF(ABS(SUM(AA26,AF26:AG26,AL26)-AM26)&lt;0.01,TRUE,FALSE)</f>
        <v>1</v>
      </c>
      <c r="AQ26" s="6">
        <f>IFERROR(AR26/N26,0)</f>
        <v>38821.179584976191</v>
      </c>
      <c r="AR26" s="6">
        <f>AM26</f>
        <v>77642.359169952382</v>
      </c>
      <c r="AT26" s="6">
        <f>IFERROR(AU26/N26,0)</f>
        <v>44114.976801109311</v>
      </c>
      <c r="AU26" s="6">
        <f>IF(AND(N26&gt;0,CQ26=FALSE),IF(C26="Consumo",AR26*(1+Q26)/(1-P26*(1+Q26)-R26-S26-T26),AR26*(1+Q26)/(1-P26-R26-S26-T26)),0)</f>
        <v>88229.953602218622</v>
      </c>
      <c r="AW26" s="6">
        <f>IF(AU26&gt;0,AU26/(1+Q26),0)</f>
        <v>88229.953602218622</v>
      </c>
      <c r="AX26" s="6">
        <f>IF(AU26&gt;0,IF(C26="Consumo",AW26-AU26*P26,AW26*(1-P26)),0)</f>
        <v>77642.359169952382</v>
      </c>
      <c r="AY26" s="6">
        <f>AX26-AW26*R26</f>
        <v>77642.359169952382</v>
      </c>
      <c r="AZ26" s="6">
        <f>AY26-AW26*(S26+T26)</f>
        <v>77642.359169952382</v>
      </c>
      <c r="BB26" s="2">
        <f>IF(AW26&gt;0,AW26*Q26,0)</f>
        <v>0</v>
      </c>
      <c r="BC26" s="2">
        <f>IF(AW26&gt;0,IF(C26="Consumo",AU26*P26,AW26*P26),0)</f>
        <v>10587.594432266234</v>
      </c>
      <c r="BD26" s="2">
        <f>AW26*R26</f>
        <v>0</v>
      </c>
      <c r="BE26" s="2">
        <f>AW26*S26</f>
        <v>0</v>
      </c>
      <c r="BF26" s="2">
        <f>AW26*T26</f>
        <v>0</v>
      </c>
      <c r="BH26" s="3">
        <f>W26</f>
        <v>0</v>
      </c>
      <c r="BJ26" s="10">
        <f>IF(AND(U26&lt;&gt;"",C26="Consumo"),BH26-P26,0)</f>
        <v>0</v>
      </c>
      <c r="BK26" s="2">
        <f>BJ26*AU26</f>
        <v>0</v>
      </c>
      <c r="BL26" s="2">
        <f>AU26+BK26</f>
        <v>88229.953602218622</v>
      </c>
      <c r="BN26" s="8">
        <f>X26</f>
        <v>0</v>
      </c>
      <c r="BO26" s="2">
        <f>AU26*(1+BN26)</f>
        <v>88229.953602218622</v>
      </c>
      <c r="BP26" s="2">
        <f>IF(AND(V26&lt;&gt;"",C26="Revenda"),BO26*BH26-BC26,0)</f>
        <v>0</v>
      </c>
      <c r="BQ26" s="2">
        <f>AU26+BP26</f>
        <v>88229.953602218622</v>
      </c>
      <c r="BS26" s="6">
        <f>AU26-SUM(BB26:BF26)</f>
        <v>77642.359169952382</v>
      </c>
      <c r="BT26" s="2">
        <f>AR26+SUM(BB26:BF26)</f>
        <v>88229.953602218622</v>
      </c>
      <c r="BU26" s="2" t="b">
        <f>IF(ABS(BT26-BS26-SUM(BB26:BF26))&lt;0.01,TRUE,FALSE)</f>
        <v>1</v>
      </c>
      <c r="BW26" s="102" t="str">
        <f>IF(AND(N26&gt;0,CQ26=FALSE),IF(D26="Sim","Fat. Direto",VLOOKUP(CB26,tbl_IRPJaux,2,FALSE)),"")</f>
        <v>Serviço</v>
      </c>
      <c r="BX26" s="2">
        <f>IF(AND(BW26&lt;&gt;"NA",D26="Não"),MAX(BL26,BQ26),0)</f>
        <v>88229.953602218622</v>
      </c>
      <c r="BY26" s="18">
        <f>IF(BX26&gt;0,VLOOKUP(CB26,tbl_IRPJaux,3,FALSE),0)</f>
        <v>1</v>
      </c>
      <c r="BZ26" s="102">
        <f>IF(BX26&gt;0,AA26*BY26+AG26*recuperavel_MB_ir_real+AF26*recuperavel_coberturas_ir_real+SUM(BB26:BF26,BK26,BP26),0)</f>
        <v>76583.599726725763</v>
      </c>
      <c r="CA26" s="102"/>
      <c r="CB26" s="102" t="str">
        <f>IFERROR(VLOOKUP(L26,tbl_materiais,COLUMN(head_mat_WBS)-COLUMN(head_mat_item)+1,FALSE),IFERROR(VLOOKUP(L26,tbl_servicos,COLUMN(head_serv_WBS)-COLUMN(head_serv_item)+1,FALSE),"?"))</f>
        <v xml:space="preserve">  Software</v>
      </c>
      <c r="CD26" s="2" t="str">
        <f>IFERROR(VLOOKUP(L26,tbl_materiais,COLUMN(head_mat_st)-COLUMN(head_mat_item)+1,FALSE),"Não")</f>
        <v>Não</v>
      </c>
      <c r="CE26" s="3">
        <f>ifzero(mlookup(tbl_ICMSinterest_data,UFdestino,tbl_ICMSinterest_ufdest,UForigem,tbl_ICMSinterest_uforig))</f>
        <v>0.12</v>
      </c>
      <c r="CF26" s="3">
        <f>IF(N26&gt;0,IF(I26&lt;&gt;"Serviço",ifzero(mlookup(tbl_ICMSinterno_data,UForigem,tbl_ICMSinterno_UF,O26,tbl_ICMSinterno_NCM),mlookup(tbl_ICMSinterest_data,UForigem,tbl_ICMSinterest_ufdest,UForigem,tbl_ICMSinterest_uforig)),""),0)</f>
        <v>0.12</v>
      </c>
      <c r="CG26" s="3">
        <f>IF(N26&gt;0,IF(I26&lt;&gt;"Serviço",ifzero(mlookup(tbl_ICMSinterno_data,UFdestino,tbl_ICMSinterno_UF,O26,tbl_ICMSinterno_NCM),mlookup(tbl_ICMSinterest_data,UFdestino,tbl_ICMSinterest_ufdest,UFdestino,tbl_ICMSinterest_uforig)),""),0)</f>
        <v>0.18</v>
      </c>
      <c r="CI26" s="2">
        <f>IFERROR(IF(AND(I26&lt;&gt;"Serviço",D26="Não"),N26*VLOOKUP(L26,tbl_materiais,COLUMN(head_mat_credito_ICMS)-COLUMN(head_mat_item)+1,FALSE),0),0)</f>
        <v>0</v>
      </c>
      <c r="CJ26" s="2">
        <f>IFERROR(IF(AND(I26&lt;&gt;"Serviço",D26="Não"),N26*VLOOKUP(L26,tbl_materiais,COLUMN(head_mat_credito_IPI)-COLUMN(head_mat_item)+1,FALSE),0),0)</f>
        <v>0</v>
      </c>
      <c r="CK26" s="2">
        <f>IFERROR(IF(AND(I26&lt;&gt;"Serviço",D26="Não",B26="Real"),N26*VLOOKUP(L26,tbl_materiais,COLUMN(head_mat_credito_PIS)-COLUMN(head_mat_item)+1,FALSE),0),0)</f>
        <v>1181.4000000000001</v>
      </c>
      <c r="CL26" s="2">
        <f>IFERROR(IF(AND(I26&lt;&gt;"Serviço",D26="Não",B26="Real"),N26*VLOOKUP(L26,tbl_materiais,COLUMN(head_mat_credito_COFINS)-COLUMN(head_mat_item)+1,FALSE),0),0)</f>
        <v>5441.5999999999995</v>
      </c>
      <c r="CN26" s="326">
        <f>IFERROR(SUMIF(serv_col_item,"="&amp;L26,serv_col_totalhh),0)</f>
        <v>0</v>
      </c>
      <c r="CO26" s="2">
        <f>IFERROR(SUMIF(serv_col_item,"="&amp;L26,serv_col_gdv),0)</f>
        <v>0</v>
      </c>
      <c r="CQ26" s="2" t="b">
        <f>IF(N26&gt;0,IF(ISERROR(HLOOKUP(L26,std_tbl4,1,FALSE)),FALSE,TRUE),FALSE)</f>
        <v>0</v>
      </c>
      <c r="CR26" s="2" t="b">
        <f>IF(AND(CQ26,I26&lt;&gt;std_tiponcm),FALSE,TRUE)</f>
        <v>1</v>
      </c>
      <c r="CS26" s="2" t="b">
        <f>IF(AND(CQ26,D26="Sim"),TRUE,FALSE)</f>
        <v>0</v>
      </c>
      <c r="CU26" s="2">
        <f>IF(D26="Sim",VLOOKUP(L26,tbl_materiais,COLUMN(head_mat_fatdir)-COLUMN(head_mat_item)+1,FALSE),0)</f>
        <v>0</v>
      </c>
      <c r="CV26" s="102">
        <f>CU26*N26</f>
        <v>0</v>
      </c>
      <c r="CW26" s="102">
        <f>CX26*(1-CY26-DA26-DE26-DG26)/(1+DC26)</f>
        <v>0</v>
      </c>
      <c r="CX26" s="779">
        <f>CV26/(1-AK26)</f>
        <v>0</v>
      </c>
      <c r="CY26" s="290">
        <f>IF(D26="Sim",VLOOKUP(L26,tbl_materiais,COLUMN(head_mat_ICMS_input)-COLUMN(head_mat_item)+1,FALSE),0)</f>
        <v>0</v>
      </c>
      <c r="CZ26" s="102">
        <f>CX26*CY26</f>
        <v>0</v>
      </c>
      <c r="DA26" s="290">
        <f>IF(D26="Sim",VLOOKUP(L26,tbl_materiais,COLUMN(head_mat_ISS_input)-COLUMN(head_mat_item)+1,FALSE),0)</f>
        <v>0</v>
      </c>
      <c r="DB26" s="102">
        <f>CX26*DA26</f>
        <v>0</v>
      </c>
      <c r="DC26" s="290">
        <f>IF(D26="Sim",VLOOKUP(L26,tbl_materiais,COLUMN(head_mat_IPI_input)-COLUMN(head_mat_item)+1,FALSE),0)</f>
        <v>0</v>
      </c>
      <c r="DD26" s="102">
        <f>CX26*DC26/(1+DC26)</f>
        <v>0</v>
      </c>
      <c r="DE26" s="592">
        <v>0</v>
      </c>
      <c r="DF26" s="102">
        <f>(CX26-DD26)*DE26</f>
        <v>0</v>
      </c>
      <c r="DG26" s="592">
        <v>0</v>
      </c>
      <c r="DH26" s="102">
        <f>(CX26-DD26)*DG26</f>
        <v>0</v>
      </c>
      <c r="DI26" s="102">
        <f>CX26-CZ26-DD26-DF26-DH26</f>
        <v>0</v>
      </c>
      <c r="DK26" s="3">
        <f>IF(AND(I26&lt;&gt;"Serviço",Z26&gt;0),P26,"NA")</f>
        <v>0.12</v>
      </c>
      <c r="DL26" s="2" t="str">
        <f>IF(AND(I26="Serviço",Z26&gt;0),R26,"NA")</f>
        <v>NA</v>
      </c>
      <c r="DM26" s="3">
        <f>IF(AND(I26&lt;&gt;"Serviço",Z26&gt;0),Q26,"NA")</f>
        <v>0</v>
      </c>
      <c r="DN26" s="9">
        <f>IF(Z26&gt;0,S26,"NA")</f>
        <v>0</v>
      </c>
      <c r="DO26" s="637">
        <f>IF(Z26&gt;0,T26,"NA")</f>
        <v>0</v>
      </c>
      <c r="DP26" s="637"/>
      <c r="DQ26" s="3" t="str">
        <f>IF(AND(I26&lt;&gt;"Serviço",CU26&gt;0),CY26,"NA")</f>
        <v>NA</v>
      </c>
      <c r="DR26" s="2" t="str">
        <f>IF(AND(I26="Serviço",CU26&gt;0),DA26,"NA")</f>
        <v>NA</v>
      </c>
      <c r="DS26" s="3" t="str">
        <f>IF(AND(I26&lt;&gt;"Serviço",CU26&gt;0),DC26,"NA")</f>
        <v>NA</v>
      </c>
      <c r="DT26" s="9" t="str">
        <f>IF(CU26&gt;0,DE26,"NA")</f>
        <v>NA</v>
      </c>
      <c r="DU26" s="637" t="str">
        <f>IF(CU26&gt;0,DG26,"NA")</f>
        <v>NA</v>
      </c>
      <c r="DV26" s="637"/>
      <c r="DW26" s="2">
        <f>IF(CQ26,N26*HLOOKUP(L26,std_tbl6,ROW(std_PL_real)-ROW(row_std_head)+1,FALSE),AA26)</f>
        <v>64977.000000000007</v>
      </c>
      <c r="DX26" s="2">
        <f>IF(CQ26,DW26/(1-AC26-AD26)/(1-AK26),AM26)</f>
        <v>77642.359169952382</v>
      </c>
      <c r="DY26" s="2">
        <f>IF(CQ26,IF(C26="Industrialização",DX26/(1-P26-S26-T26)*(1+Q26),DX26/(1-P26*(1+Q26)-S26-T26)*(1+Q26)),AU26)</f>
        <v>88229.953602218622</v>
      </c>
      <c r="DZ26" s="637"/>
      <c r="EA26" s="643"/>
      <c r="EC26" s="2" t="s">
        <v>53</v>
      </c>
      <c r="ED26" s="2" t="s">
        <v>52</v>
      </c>
      <c r="EE26" s="2" t="s">
        <v>52</v>
      </c>
    </row>
    <row r="27" spans="1:135" ht="22.65" customHeight="1" x14ac:dyDescent="0.25">
      <c r="A27" s="18"/>
      <c r="B27" s="2" t="s">
        <v>268</v>
      </c>
      <c r="C27" s="2" t="s">
        <v>255</v>
      </c>
      <c r="D27" s="757" t="s">
        <v>53</v>
      </c>
      <c r="E27" s="18" t="s">
        <v>38</v>
      </c>
      <c r="F27" s="2" t="s">
        <v>53</v>
      </c>
      <c r="G27" s="781" t="s">
        <v>695</v>
      </c>
      <c r="H27" s="831" t="s">
        <v>2794</v>
      </c>
      <c r="I27" s="18" t="s">
        <v>1910</v>
      </c>
      <c r="K27" s="318" t="s">
        <v>2799</v>
      </c>
      <c r="L27" s="502" t="s">
        <v>698</v>
      </c>
      <c r="M27" s="50" t="str">
        <f>IFERROR(IFERROR(VLOOKUP(L27,tbl_materiais,COLUMN(head_mat_descricao)-COLUMN(head_mat_item)+1,FALSE),VLOOKUP(L27,tbl_servicos,COLUMN(head_serv_descricao)-COLUMN(head_serv_item)+1,FALSE)),"?")</f>
        <v>Licença SAGE IEC 61850. Fabricante: CEPEL.</v>
      </c>
      <c r="N27" s="51">
        <v>2</v>
      </c>
      <c r="O27" s="83">
        <f>IF(CQ27,std_ncm,IF(I27="Serviço","NA",IF(I27="Material",IFERROR(VLOOKUP(L27,tbl_materiais,COLUMN(head_mat_NCM)-COLUMN(head_mat_item)+1,FALSE),"?"),IFERROR(VLOOKUP(I27,tbl_TipoLinha,2,FALSE),"?"))))</f>
        <v>85372090</v>
      </c>
      <c r="P27" s="84">
        <f>IF(AND(D27="Não",I27&lt;&gt;"Serviço",CD27="Não"),IFERROR(IF(flag_interestadual,CE27,IF(CF27,CF27,CE27)),"?"),0)</f>
        <v>0.12</v>
      </c>
      <c r="Q27" s="84">
        <f>IF(AND(D27="Não",I27&lt;&gt;"Serviço"),IF(I27="Material",IFERROR(VLOOKUP(L27,tbl_materiais,COLUMN(head_mat_IPI)-COLUMN(head_mat_item)+1,FALSE),"?"),IFERROR(VLOOKUP(O27,tbl_NCM_info,COLUMN(head_porNCM_IPI)-COLUMN(head_porNCM_NCM)+1,FALSE),"?")),0)</f>
        <v>0</v>
      </c>
      <c r="R27" s="84">
        <f>IF(AND(D27="Não",I27="Serviço"),IFERROR(VLOOKUP(CB27,tbl_ISS,5,FALSE),"?"),0)</f>
        <v>0</v>
      </c>
      <c r="S27" s="85">
        <f>IF(D27="Não",IF(reidi="Sim",0,IF(B27="Real",pis_naocum,pis_cum)),0)</f>
        <v>0</v>
      </c>
      <c r="T27" s="86">
        <f>IF(D27="Não",IF(reidi="Sim",0,IF(B27="Real",cofins_naocum,cofins_cum)),0)</f>
        <v>0</v>
      </c>
      <c r="U27" s="53" t="str" cm="1">
        <f t="array" ref="U27">IFERROR(IF(I27&lt;&gt;"Serviço",IF(AND(mlookup(tbl_DIFAL_data,UFdestino,tbl_DIFAL_UF,O27,tbl_DIFAL_NCM)&lt;&gt;"",C27="Consumo"),"Sim",""),""),"?")</f>
        <v/>
      </c>
      <c r="V27" s="54" t="str">
        <f>IFERROR(IF(I27&lt;&gt;"Serviço",IF(AND(D27="Não",mlookup(tbl_ST_data,UFdestino,tbl_ST_UF,O27,tbl_ST_NCM)&lt;&gt;"",C27="Revenda",CD27="Não"),"Sim",""),""),"?")</f>
        <v/>
      </c>
      <c r="W27" s="52">
        <f>IF(OR(U27="Sim",V27="Sim"),CG27,0)</f>
        <v>0</v>
      </c>
      <c r="X27" s="55">
        <f>IF(V27="Sim",mlookup(tbl_ST_data,UFdestino,tbl_ST_UF,O27,tbl_ST_NCM),0)</f>
        <v>0</v>
      </c>
      <c r="Z27" s="102">
        <f>IF(AND(N27&gt;0,CQ27=FALSE),IFERROR(VLOOKUP(L27,tbl_servicos,COLUMN(head_serv_CL)-COLUMN(head_serv_item)+1,FALSE),IF(D27="Sim",0,IF(B27="Real",VLOOKUP(L27,tbl_materiais,COLUMN(head_mat_CLreal)-COLUMN(head_mat_item)+1,FALSE),VLOOKUP(L27,tbl_materiais,COLUMN(head_mat_CLpresumido)-COLUMN(head_mat_item)+1,FALSE)))),0)</f>
        <v>7350.7500000000009</v>
      </c>
      <c r="AA27" s="2">
        <f>Z27*N27</f>
        <v>14701.500000000002</v>
      </c>
      <c r="AC27" s="8">
        <f t="shared" ref="AC27" si="124">cobertura_pc</f>
        <v>1.31243473968765E-2</v>
      </c>
      <c r="AD27" s="8">
        <f>IF(F27="Sim",0,VLOOKUP(E27,tbl_mb,2,FALSE))</f>
        <v>0.15</v>
      </c>
      <c r="AF27" s="2">
        <f>AI27*AC27</f>
        <v>230.55706383022542</v>
      </c>
      <c r="AG27" s="2">
        <f>AI27*AD27</f>
        <v>2635.0688936170986</v>
      </c>
      <c r="AI27" s="2">
        <f>AA27/(1-AC27-AD27)</f>
        <v>17567.125957447326</v>
      </c>
      <c r="AK27" s="8">
        <f t="shared" ref="AK27" si="125">mn_pc</f>
        <v>0</v>
      </c>
      <c r="AL27" s="2">
        <f>AM27*AK27</f>
        <v>0</v>
      </c>
      <c r="AM27" s="2">
        <f>AI27/(1-AK27)</f>
        <v>17567.125957447326</v>
      </c>
      <c r="AO27" s="2" t="b">
        <f>IF(ABS(SUM(AA27,AF27:AG27,AL27)-AM27)&lt;0.01,TRUE,FALSE)</f>
        <v>1</v>
      </c>
      <c r="AQ27" s="6">
        <f>IFERROR(AR27/N27,0)</f>
        <v>8783.562978723663</v>
      </c>
      <c r="AR27" s="6">
        <f>AM27</f>
        <v>17567.125957447326</v>
      </c>
      <c r="AT27" s="6">
        <f>IFERROR(AU27/N27,0)</f>
        <v>9981.3215667314344</v>
      </c>
      <c r="AU27" s="6">
        <f>IF(AND(N27&gt;0,CQ27=FALSE),IF(C27="Consumo",AR27*(1+Q27)/(1-P27*(1+Q27)-R27-S27-T27),AR27*(1+Q27)/(1-P27-R27-S27-T27)),0)</f>
        <v>19962.643133462869</v>
      </c>
      <c r="AW27" s="6">
        <f>IF(AU27&gt;0,AU27/(1+Q27),0)</f>
        <v>19962.643133462869</v>
      </c>
      <c r="AX27" s="6">
        <f>IF(AU27&gt;0,IF(C27="Consumo",AW27-AU27*P27,AW27*(1-P27)),0)</f>
        <v>17567.125957447326</v>
      </c>
      <c r="AY27" s="6">
        <f>AX27-AW27*R27</f>
        <v>17567.125957447326</v>
      </c>
      <c r="AZ27" s="6">
        <f>AY27-AW27*(S27+T27)</f>
        <v>17567.125957447326</v>
      </c>
      <c r="BB27" s="2">
        <f>IF(AW27&gt;0,AW27*Q27,0)</f>
        <v>0</v>
      </c>
      <c r="BC27" s="2">
        <f>IF(AW27&gt;0,IF(C27="Consumo",AU27*P27,AW27*P27),0)</f>
        <v>2395.517176015544</v>
      </c>
      <c r="BD27" s="2">
        <f>AW27*R27</f>
        <v>0</v>
      </c>
      <c r="BE27" s="2">
        <f>AW27*S27</f>
        <v>0</v>
      </c>
      <c r="BF27" s="2">
        <f>AW27*T27</f>
        <v>0</v>
      </c>
      <c r="BH27" s="3">
        <f>W27</f>
        <v>0</v>
      </c>
      <c r="BJ27" s="10">
        <f>IF(AND(U27&lt;&gt;"",C27="Consumo"),BH27-P27,0)</f>
        <v>0</v>
      </c>
      <c r="BK27" s="2">
        <f>BJ27*AU27</f>
        <v>0</v>
      </c>
      <c r="BL27" s="2">
        <f>AU27+BK27</f>
        <v>19962.643133462869</v>
      </c>
      <c r="BN27" s="8">
        <f>X27</f>
        <v>0</v>
      </c>
      <c r="BO27" s="2">
        <f>AU27*(1+BN27)</f>
        <v>19962.643133462869</v>
      </c>
      <c r="BP27" s="2">
        <f>IF(AND(V27&lt;&gt;"",C27="Revenda"),BO27*BH27-BC27,0)</f>
        <v>0</v>
      </c>
      <c r="BQ27" s="2">
        <f>AU27+BP27</f>
        <v>19962.643133462869</v>
      </c>
      <c r="BS27" s="6">
        <f>AU27-SUM(BB27:BF27)</f>
        <v>17567.125957447326</v>
      </c>
      <c r="BT27" s="2">
        <f>AR27+SUM(BB27:BF27)</f>
        <v>19962.643133462869</v>
      </c>
      <c r="BU27" s="2" t="b">
        <f>IF(ABS(BT27-BS27-SUM(BB27:BF27))&lt;0.01,TRUE,FALSE)</f>
        <v>1</v>
      </c>
      <c r="BW27" s="102" t="str">
        <f>IF(AND(N27&gt;0,CQ27=FALSE),IF(D27="Sim","Fat. Direto",VLOOKUP(CB27,tbl_IRPJaux,2,FALSE)),"")</f>
        <v>Serviço</v>
      </c>
      <c r="BX27" s="2">
        <f>IF(AND(BW27&lt;&gt;"NA",D27="Não"),MAX(BL27,BQ27),0)</f>
        <v>19962.643133462869</v>
      </c>
      <c r="BY27" s="18">
        <f>IF(BX27&gt;0,VLOOKUP(CB27,tbl_IRPJaux,3,FALSE),0)</f>
        <v>1</v>
      </c>
      <c r="BZ27" s="102">
        <f>IF(BX27&gt;0,AA27*BY27+AG27*recuperavel_MB_ir_real+AF27*recuperavel_coberturas_ir_real+SUM(BB27:BF27,BK27,BP27),0)</f>
        <v>17327.57423984577</v>
      </c>
      <c r="CA27" s="102"/>
      <c r="CB27" s="102" t="str">
        <f>IFERROR(VLOOKUP(L27,tbl_materiais,COLUMN(head_mat_WBS)-COLUMN(head_mat_item)+1,FALSE),IFERROR(VLOOKUP(L27,tbl_servicos,COLUMN(head_serv_WBS)-COLUMN(head_serv_item)+1,FALSE),"?"))</f>
        <v xml:space="preserve">  Software</v>
      </c>
      <c r="CD27" s="2" t="str">
        <f>IFERROR(VLOOKUP(L27,tbl_materiais,COLUMN(head_mat_st)-COLUMN(head_mat_item)+1,FALSE),"Não")</f>
        <v>Não</v>
      </c>
      <c r="CE27" s="3">
        <f>ifzero(mlookup(tbl_ICMSinterest_data,UFdestino,tbl_ICMSinterest_ufdest,UForigem,tbl_ICMSinterest_uforig))</f>
        <v>0.12</v>
      </c>
      <c r="CF27" s="3">
        <f>IF(N27&gt;0,IF(I27&lt;&gt;"Serviço",ifzero(mlookup(tbl_ICMSinterno_data,UForigem,tbl_ICMSinterno_UF,O27,tbl_ICMSinterno_NCM),mlookup(tbl_ICMSinterest_data,UForigem,tbl_ICMSinterest_ufdest,UForigem,tbl_ICMSinterest_uforig)),""),0)</f>
        <v>0.12</v>
      </c>
      <c r="CG27" s="3">
        <f>IF(N27&gt;0,IF(I27&lt;&gt;"Serviço",ifzero(mlookup(tbl_ICMSinterno_data,UFdestino,tbl_ICMSinterno_UF,O27,tbl_ICMSinterno_NCM),mlookup(tbl_ICMSinterest_data,UFdestino,tbl_ICMSinterest_ufdest,UFdestino,tbl_ICMSinterest_uforig)),""),0)</f>
        <v>0.18</v>
      </c>
      <c r="CI27" s="2">
        <f>IFERROR(IF(AND(I27&lt;&gt;"Serviço",D27="Não"),N27*VLOOKUP(L27,tbl_materiais,COLUMN(head_mat_credito_ICMS)-COLUMN(head_mat_item)+1,FALSE),0),0)</f>
        <v>0</v>
      </c>
      <c r="CJ27" s="2">
        <f>IFERROR(IF(AND(I27&lt;&gt;"Serviço",D27="Não"),N27*VLOOKUP(L27,tbl_materiais,COLUMN(head_mat_credito_IPI)-COLUMN(head_mat_item)+1,FALSE),0),0)</f>
        <v>0</v>
      </c>
      <c r="CK27" s="2">
        <f>IFERROR(IF(AND(I27&lt;&gt;"Serviço",D27="Não",B27="Real"),N27*VLOOKUP(L27,tbl_materiais,COLUMN(head_mat_credito_PIS)-COLUMN(head_mat_item)+1,FALSE),0),0)</f>
        <v>267.3</v>
      </c>
      <c r="CL27" s="2">
        <f>IFERROR(IF(AND(I27&lt;&gt;"Serviço",D27="Não",B27="Real"),N27*VLOOKUP(L27,tbl_materiais,COLUMN(head_mat_credito_COFINS)-COLUMN(head_mat_item)+1,FALSE),0),0)</f>
        <v>1231.2</v>
      </c>
      <c r="CN27" s="326">
        <f>IFERROR(SUMIF(serv_col_item,"="&amp;L27,serv_col_totalhh),0)</f>
        <v>0</v>
      </c>
      <c r="CO27" s="2">
        <f>IFERROR(SUMIF(serv_col_item,"="&amp;L27,serv_col_gdv),0)</f>
        <v>0</v>
      </c>
      <c r="CQ27" s="2" t="b">
        <f>IF(N27&gt;0,IF(ISERROR(HLOOKUP(L27,std_tbl4,1,FALSE)),FALSE,TRUE),FALSE)</f>
        <v>0</v>
      </c>
      <c r="CR27" s="2" t="b">
        <f>IF(AND(CQ27,I27&lt;&gt;std_tiponcm),FALSE,TRUE)</f>
        <v>1</v>
      </c>
      <c r="CS27" s="2" t="b">
        <f>IF(AND(CQ27,D27="Sim"),TRUE,FALSE)</f>
        <v>0</v>
      </c>
      <c r="CU27" s="2">
        <f>IF(D27="Sim",VLOOKUP(L27,tbl_materiais,COLUMN(head_mat_fatdir)-COLUMN(head_mat_item)+1,FALSE),0)</f>
        <v>0</v>
      </c>
      <c r="CV27" s="102">
        <f>CU27*N27</f>
        <v>0</v>
      </c>
      <c r="CW27" s="102">
        <f>CX27*(1-CY27-DA27-DE27-DG27)/(1+DC27)</f>
        <v>0</v>
      </c>
      <c r="CX27" s="779">
        <f>CV27/(1-AK27)</f>
        <v>0</v>
      </c>
      <c r="CY27" s="290">
        <f>IF(D27="Sim",VLOOKUP(L27,tbl_materiais,COLUMN(head_mat_ICMS_input)-COLUMN(head_mat_item)+1,FALSE),0)</f>
        <v>0</v>
      </c>
      <c r="CZ27" s="102">
        <f>CX27*CY27</f>
        <v>0</v>
      </c>
      <c r="DA27" s="290">
        <f>IF(D27="Sim",VLOOKUP(L27,tbl_materiais,COLUMN(head_mat_ISS_input)-COLUMN(head_mat_item)+1,FALSE),0)</f>
        <v>0</v>
      </c>
      <c r="DB27" s="102">
        <f>CX27*DA27</f>
        <v>0</v>
      </c>
      <c r="DC27" s="290">
        <f>IF(D27="Sim",VLOOKUP(L27,tbl_materiais,COLUMN(head_mat_IPI_input)-COLUMN(head_mat_item)+1,FALSE),0)</f>
        <v>0</v>
      </c>
      <c r="DD27" s="102">
        <f>CX27*DC27/(1+DC27)</f>
        <v>0</v>
      </c>
      <c r="DE27" s="592">
        <v>0</v>
      </c>
      <c r="DF27" s="102">
        <f>(CX27-DD27)*DE27</f>
        <v>0</v>
      </c>
      <c r="DG27" s="592">
        <v>0</v>
      </c>
      <c r="DH27" s="102">
        <f>(CX27-DD27)*DG27</f>
        <v>0</v>
      </c>
      <c r="DI27" s="102">
        <f>CX27-CZ27-DD27-DF27-DH27</f>
        <v>0</v>
      </c>
      <c r="DK27" s="3">
        <f>IF(AND(I27&lt;&gt;"Serviço",Z27&gt;0),P27,"NA")</f>
        <v>0.12</v>
      </c>
      <c r="DL27" s="2" t="str">
        <f>IF(AND(I27="Serviço",Z27&gt;0),R27,"NA")</f>
        <v>NA</v>
      </c>
      <c r="DM27" s="3">
        <f>IF(AND(I27&lt;&gt;"Serviço",Z27&gt;0),Q27,"NA")</f>
        <v>0</v>
      </c>
      <c r="DN27" s="9">
        <f>IF(Z27&gt;0,S27,"NA")</f>
        <v>0</v>
      </c>
      <c r="DO27" s="637">
        <f>IF(Z27&gt;0,T27,"NA")</f>
        <v>0</v>
      </c>
      <c r="DP27" s="637"/>
      <c r="DQ27" s="3" t="str">
        <f>IF(AND(I27&lt;&gt;"Serviço",CU27&gt;0),CY27,"NA")</f>
        <v>NA</v>
      </c>
      <c r="DR27" s="2" t="str">
        <f>IF(AND(I27="Serviço",CU27&gt;0),DA27,"NA")</f>
        <v>NA</v>
      </c>
      <c r="DS27" s="3" t="str">
        <f>IF(AND(I27&lt;&gt;"Serviço",CU27&gt;0),DC27,"NA")</f>
        <v>NA</v>
      </c>
      <c r="DT27" s="9" t="str">
        <f>IF(CU27&gt;0,DE27,"NA")</f>
        <v>NA</v>
      </c>
      <c r="DU27" s="637" t="str">
        <f>IF(CU27&gt;0,DG27,"NA")</f>
        <v>NA</v>
      </c>
      <c r="DV27" s="637"/>
      <c r="DW27" s="2">
        <f>IF(CQ27,N27*HLOOKUP(L27,std_tbl6,ROW(std_PL_real)-ROW(row_std_head)+1,FALSE),AA27)</f>
        <v>14701.500000000002</v>
      </c>
      <c r="DX27" s="2">
        <f>IF(CQ27,DW27/(1-AC27-AD27)/(1-AK27),AM27)</f>
        <v>17567.125957447326</v>
      </c>
      <c r="DY27" s="2">
        <f>IF(CQ27,IF(C27="Industrialização",DX27/(1-P27-S27-T27)*(1+Q27),DX27/(1-P27*(1+Q27)-S27-T27)*(1+Q27)),AU27)</f>
        <v>19962.643133462869</v>
      </c>
      <c r="DZ27" s="637"/>
      <c r="EA27" s="643"/>
      <c r="EC27" s="2" t="s">
        <v>53</v>
      </c>
      <c r="ED27" s="2" t="s">
        <v>52</v>
      </c>
      <c r="EE27" s="2" t="s">
        <v>52</v>
      </c>
    </row>
    <row r="28" spans="1:135" ht="22.65" customHeight="1" x14ac:dyDescent="0.25">
      <c r="A28" s="18"/>
      <c r="B28" s="2" t="s">
        <v>268</v>
      </c>
      <c r="C28" s="2" t="s">
        <v>255</v>
      </c>
      <c r="D28" s="757" t="s">
        <v>53</v>
      </c>
      <c r="E28" s="18" t="s">
        <v>38</v>
      </c>
      <c r="F28" s="2" t="s">
        <v>53</v>
      </c>
      <c r="G28" s="781" t="s">
        <v>695</v>
      </c>
      <c r="H28" s="831" t="s">
        <v>2794</v>
      </c>
      <c r="I28" s="18" t="s">
        <v>1910</v>
      </c>
      <c r="K28" s="318" t="s">
        <v>2800</v>
      </c>
      <c r="L28" s="502" t="s">
        <v>702</v>
      </c>
      <c r="M28" s="50" t="str">
        <f>IFERROR(IFERROR(VLOOKUP(L28,tbl_materiais,COLUMN(head_mat_descricao)-COLUMN(head_mat_item)+1,FALSE),VLOOKUP(L28,tbl_servicos,COLUMN(head_serv_descricao)-COLUMN(head_serv_item)+1,FALSE)),"?")</f>
        <v>Licença SAGE SNMP. Fabricante: CEPEL.</v>
      </c>
      <c r="N28" s="51">
        <v>2</v>
      </c>
      <c r="O28" s="83">
        <f>IF(CQ28,std_ncm,IF(I28="Serviço","NA",IF(I28="Material",IFERROR(VLOOKUP(L28,tbl_materiais,COLUMN(head_mat_NCM)-COLUMN(head_mat_item)+1,FALSE),"?"),IFERROR(VLOOKUP(I28,tbl_TipoLinha,2,FALSE),"?"))))</f>
        <v>85372090</v>
      </c>
      <c r="P28" s="84">
        <f>IF(AND(D28="Não",I28&lt;&gt;"Serviço",CD28="Não"),IFERROR(IF(flag_interestadual,CE28,IF(CF28,CF28,CE28)),"?"),0)</f>
        <v>0.12</v>
      </c>
      <c r="Q28" s="84">
        <f>IF(AND(D28="Não",I28&lt;&gt;"Serviço"),IF(I28="Material",IFERROR(VLOOKUP(L28,tbl_materiais,COLUMN(head_mat_IPI)-COLUMN(head_mat_item)+1,FALSE),"?"),IFERROR(VLOOKUP(O28,tbl_NCM_info,COLUMN(head_porNCM_IPI)-COLUMN(head_porNCM_NCM)+1,FALSE),"?")),0)</f>
        <v>0</v>
      </c>
      <c r="R28" s="84">
        <f>IF(AND(D28="Não",I28="Serviço"),IFERROR(VLOOKUP(CB28,tbl_ISS,5,FALSE),"?"),0)</f>
        <v>0</v>
      </c>
      <c r="S28" s="85">
        <f>IF(D28="Não",IF(reidi="Sim",0,IF(B28="Real",pis_naocum,pis_cum)),0)</f>
        <v>0</v>
      </c>
      <c r="T28" s="86">
        <f>IF(D28="Não",IF(reidi="Sim",0,IF(B28="Real",cofins_naocum,cofins_cum)),0)</f>
        <v>0</v>
      </c>
      <c r="U28" s="53" t="str" cm="1">
        <f t="array" ref="U28">IFERROR(IF(I28&lt;&gt;"Serviço",IF(AND(mlookup(tbl_DIFAL_data,UFdestino,tbl_DIFAL_UF,O28,tbl_DIFAL_NCM)&lt;&gt;"",C28="Consumo"),"Sim",""),""),"?")</f>
        <v/>
      </c>
      <c r="V28" s="54" t="str">
        <f>IFERROR(IF(I28&lt;&gt;"Serviço",IF(AND(D28="Não",mlookup(tbl_ST_data,UFdestino,tbl_ST_UF,O28,tbl_ST_NCM)&lt;&gt;"",C28="Revenda",CD28="Não"),"Sim",""),""),"?")</f>
        <v/>
      </c>
      <c r="W28" s="52">
        <f>IF(OR(U28="Sim",V28="Sim"),CG28,0)</f>
        <v>0</v>
      </c>
      <c r="X28" s="55">
        <f>IF(V28="Sim",mlookup(tbl_ST_data,UFdestino,tbl_ST_UF,O28,tbl_ST_NCM),0)</f>
        <v>0</v>
      </c>
      <c r="Z28" s="102">
        <f>IF(AND(N28&gt;0,CQ28=FALSE),IFERROR(VLOOKUP(L28,tbl_servicos,COLUMN(head_serv_CL)-COLUMN(head_serv_item)+1,FALSE),IF(D28="Sim",0,IF(B28="Real",VLOOKUP(L28,tbl_materiais,COLUMN(head_mat_CLreal)-COLUMN(head_mat_item)+1,FALSE),VLOOKUP(L28,tbl_materiais,COLUMN(head_mat_CLpresumido)-COLUMN(head_mat_item)+1,FALSE)))),0)</f>
        <v>7350.7500000000009</v>
      </c>
      <c r="AA28" s="2">
        <f>Z28*N28</f>
        <v>14701.500000000002</v>
      </c>
      <c r="AC28" s="8">
        <f t="shared" ref="AC28" si="126">cobertura_pc</f>
        <v>1.31243473968765E-2</v>
      </c>
      <c r="AD28" s="8">
        <f>IF(F28="Sim",0,VLOOKUP(E28,tbl_mb,2,FALSE))</f>
        <v>0.15</v>
      </c>
      <c r="AF28" s="2">
        <f>AI28*AC28</f>
        <v>230.55706383022542</v>
      </c>
      <c r="AG28" s="2">
        <f>AI28*AD28</f>
        <v>2635.0688936170986</v>
      </c>
      <c r="AI28" s="2">
        <f>AA28/(1-AC28-AD28)</f>
        <v>17567.125957447326</v>
      </c>
      <c r="AK28" s="8">
        <f t="shared" ref="AK28" si="127">mn_pc</f>
        <v>0</v>
      </c>
      <c r="AL28" s="2">
        <f>AM28*AK28</f>
        <v>0</v>
      </c>
      <c r="AM28" s="2">
        <f>AI28/(1-AK28)</f>
        <v>17567.125957447326</v>
      </c>
      <c r="AO28" s="2" t="b">
        <f>IF(ABS(SUM(AA28,AF28:AG28,AL28)-AM28)&lt;0.01,TRUE,FALSE)</f>
        <v>1</v>
      </c>
      <c r="AQ28" s="6">
        <f>IFERROR(AR28/N28,0)</f>
        <v>8783.562978723663</v>
      </c>
      <c r="AR28" s="6">
        <f>AM28</f>
        <v>17567.125957447326</v>
      </c>
      <c r="AT28" s="6">
        <f>IFERROR(AU28/N28,0)</f>
        <v>9981.3215667314344</v>
      </c>
      <c r="AU28" s="6">
        <f>IF(AND(N28&gt;0,CQ28=FALSE),IF(C28="Consumo",AR28*(1+Q28)/(1-P28*(1+Q28)-R28-S28-T28),AR28*(1+Q28)/(1-P28-R28-S28-T28)),0)</f>
        <v>19962.643133462869</v>
      </c>
      <c r="AW28" s="6">
        <f>IF(AU28&gt;0,AU28/(1+Q28),0)</f>
        <v>19962.643133462869</v>
      </c>
      <c r="AX28" s="6">
        <f>IF(AU28&gt;0,IF(C28="Consumo",AW28-AU28*P28,AW28*(1-P28)),0)</f>
        <v>17567.125957447326</v>
      </c>
      <c r="AY28" s="6">
        <f>AX28-AW28*R28</f>
        <v>17567.125957447326</v>
      </c>
      <c r="AZ28" s="6">
        <f>AY28-AW28*(S28+T28)</f>
        <v>17567.125957447326</v>
      </c>
      <c r="BB28" s="2">
        <f>IF(AW28&gt;0,AW28*Q28,0)</f>
        <v>0</v>
      </c>
      <c r="BC28" s="2">
        <f>IF(AW28&gt;0,IF(C28="Consumo",AU28*P28,AW28*P28),0)</f>
        <v>2395.517176015544</v>
      </c>
      <c r="BD28" s="2">
        <f>AW28*R28</f>
        <v>0</v>
      </c>
      <c r="BE28" s="2">
        <f>AW28*S28</f>
        <v>0</v>
      </c>
      <c r="BF28" s="2">
        <f>AW28*T28</f>
        <v>0</v>
      </c>
      <c r="BH28" s="3">
        <f>W28</f>
        <v>0</v>
      </c>
      <c r="BJ28" s="10">
        <f>IF(AND(U28&lt;&gt;"",C28="Consumo"),BH28-P28,0)</f>
        <v>0</v>
      </c>
      <c r="BK28" s="2">
        <f>BJ28*AU28</f>
        <v>0</v>
      </c>
      <c r="BL28" s="2">
        <f>AU28+BK28</f>
        <v>19962.643133462869</v>
      </c>
      <c r="BN28" s="8">
        <f>X28</f>
        <v>0</v>
      </c>
      <c r="BO28" s="2">
        <f>AU28*(1+BN28)</f>
        <v>19962.643133462869</v>
      </c>
      <c r="BP28" s="2">
        <f>IF(AND(V28&lt;&gt;"",C28="Revenda"),BO28*BH28-BC28,0)</f>
        <v>0</v>
      </c>
      <c r="BQ28" s="2">
        <f>AU28+BP28</f>
        <v>19962.643133462869</v>
      </c>
      <c r="BS28" s="6">
        <f>AU28-SUM(BB28:BF28)</f>
        <v>17567.125957447326</v>
      </c>
      <c r="BT28" s="2">
        <f>AR28+SUM(BB28:BF28)</f>
        <v>19962.643133462869</v>
      </c>
      <c r="BU28" s="2" t="b">
        <f>IF(ABS(BT28-BS28-SUM(BB28:BF28))&lt;0.01,TRUE,FALSE)</f>
        <v>1</v>
      </c>
      <c r="BW28" s="102" t="str">
        <f>IF(AND(N28&gt;0,CQ28=FALSE),IF(D28="Sim","Fat. Direto",VLOOKUP(CB28,tbl_IRPJaux,2,FALSE)),"")</f>
        <v>Serviço</v>
      </c>
      <c r="BX28" s="2">
        <f>IF(AND(BW28&lt;&gt;"NA",D28="Não"),MAX(BL28,BQ28),0)</f>
        <v>19962.643133462869</v>
      </c>
      <c r="BY28" s="18">
        <f>IF(BX28&gt;0,VLOOKUP(CB28,tbl_IRPJaux,3,FALSE),0)</f>
        <v>1</v>
      </c>
      <c r="BZ28" s="102">
        <f>IF(BX28&gt;0,AA28*BY28+AG28*recuperavel_MB_ir_real+AF28*recuperavel_coberturas_ir_real+SUM(BB28:BF28,BK28,BP28),0)</f>
        <v>17327.57423984577</v>
      </c>
      <c r="CA28" s="102"/>
      <c r="CB28" s="102" t="str">
        <f>IFERROR(VLOOKUP(L28,tbl_materiais,COLUMN(head_mat_WBS)-COLUMN(head_mat_item)+1,FALSE),IFERROR(VLOOKUP(L28,tbl_servicos,COLUMN(head_serv_WBS)-COLUMN(head_serv_item)+1,FALSE),"?"))</f>
        <v xml:space="preserve">  Software</v>
      </c>
      <c r="CD28" s="2" t="str">
        <f>IFERROR(VLOOKUP(L28,tbl_materiais,COLUMN(head_mat_st)-COLUMN(head_mat_item)+1,FALSE),"Não")</f>
        <v>Não</v>
      </c>
      <c r="CE28" s="3">
        <f>ifzero(mlookup(tbl_ICMSinterest_data,UFdestino,tbl_ICMSinterest_ufdest,UForigem,tbl_ICMSinterest_uforig))</f>
        <v>0.12</v>
      </c>
      <c r="CF28" s="3">
        <f>IF(N28&gt;0,IF(I28&lt;&gt;"Serviço",ifzero(mlookup(tbl_ICMSinterno_data,UForigem,tbl_ICMSinterno_UF,O28,tbl_ICMSinterno_NCM),mlookup(tbl_ICMSinterest_data,UForigem,tbl_ICMSinterest_ufdest,UForigem,tbl_ICMSinterest_uforig)),""),0)</f>
        <v>0.12</v>
      </c>
      <c r="CG28" s="3">
        <f>IF(N28&gt;0,IF(I28&lt;&gt;"Serviço",ifzero(mlookup(tbl_ICMSinterno_data,UFdestino,tbl_ICMSinterno_UF,O28,tbl_ICMSinterno_NCM),mlookup(tbl_ICMSinterest_data,UFdestino,tbl_ICMSinterest_ufdest,UFdestino,tbl_ICMSinterest_uforig)),""),0)</f>
        <v>0.18</v>
      </c>
      <c r="CI28" s="2">
        <f>IFERROR(IF(AND(I28&lt;&gt;"Serviço",D28="Não"),N28*VLOOKUP(L28,tbl_materiais,COLUMN(head_mat_credito_ICMS)-COLUMN(head_mat_item)+1,FALSE),0),0)</f>
        <v>0</v>
      </c>
      <c r="CJ28" s="2">
        <f>IFERROR(IF(AND(I28&lt;&gt;"Serviço",D28="Não"),N28*VLOOKUP(L28,tbl_materiais,COLUMN(head_mat_credito_IPI)-COLUMN(head_mat_item)+1,FALSE),0),0)</f>
        <v>0</v>
      </c>
      <c r="CK28" s="2">
        <f>IFERROR(IF(AND(I28&lt;&gt;"Serviço",D28="Não",B28="Real"),N28*VLOOKUP(L28,tbl_materiais,COLUMN(head_mat_credito_PIS)-COLUMN(head_mat_item)+1,FALSE),0),0)</f>
        <v>267.3</v>
      </c>
      <c r="CL28" s="2">
        <f>IFERROR(IF(AND(I28&lt;&gt;"Serviço",D28="Não",B28="Real"),N28*VLOOKUP(L28,tbl_materiais,COLUMN(head_mat_credito_COFINS)-COLUMN(head_mat_item)+1,FALSE),0),0)</f>
        <v>1231.2</v>
      </c>
      <c r="CN28" s="326">
        <f>IFERROR(SUMIF(serv_col_item,"="&amp;L28,serv_col_totalhh),0)</f>
        <v>0</v>
      </c>
      <c r="CO28" s="2">
        <f>IFERROR(SUMIF(serv_col_item,"="&amp;L28,serv_col_gdv),0)</f>
        <v>0</v>
      </c>
      <c r="CQ28" s="2" t="b">
        <f>IF(N28&gt;0,IF(ISERROR(HLOOKUP(L28,std_tbl4,1,FALSE)),FALSE,TRUE),FALSE)</f>
        <v>0</v>
      </c>
      <c r="CR28" s="2" t="b">
        <f>IF(AND(CQ28,I28&lt;&gt;std_tiponcm),FALSE,TRUE)</f>
        <v>1</v>
      </c>
      <c r="CS28" s="2" t="b">
        <f>IF(AND(CQ28,D28="Sim"),TRUE,FALSE)</f>
        <v>0</v>
      </c>
      <c r="CU28" s="2">
        <f>IF(D28="Sim",VLOOKUP(L28,tbl_materiais,COLUMN(head_mat_fatdir)-COLUMN(head_mat_item)+1,FALSE),0)</f>
        <v>0</v>
      </c>
      <c r="CV28" s="102">
        <f>CU28*N28</f>
        <v>0</v>
      </c>
      <c r="CW28" s="102">
        <f>CX28*(1-CY28-DA28-DE28-DG28)/(1+DC28)</f>
        <v>0</v>
      </c>
      <c r="CX28" s="779">
        <f>CV28/(1-AK28)</f>
        <v>0</v>
      </c>
      <c r="CY28" s="290">
        <f>IF(D28="Sim",VLOOKUP(L28,tbl_materiais,COLUMN(head_mat_ICMS_input)-COLUMN(head_mat_item)+1,FALSE),0)</f>
        <v>0</v>
      </c>
      <c r="CZ28" s="102">
        <f>CX28*CY28</f>
        <v>0</v>
      </c>
      <c r="DA28" s="290">
        <f>IF(D28="Sim",VLOOKUP(L28,tbl_materiais,COLUMN(head_mat_ISS_input)-COLUMN(head_mat_item)+1,FALSE),0)</f>
        <v>0</v>
      </c>
      <c r="DB28" s="102">
        <f>CX28*DA28</f>
        <v>0</v>
      </c>
      <c r="DC28" s="290">
        <f>IF(D28="Sim",VLOOKUP(L28,tbl_materiais,COLUMN(head_mat_IPI_input)-COLUMN(head_mat_item)+1,FALSE),0)</f>
        <v>0</v>
      </c>
      <c r="DD28" s="102">
        <f>CX28*DC28/(1+DC28)</f>
        <v>0</v>
      </c>
      <c r="DE28" s="592">
        <v>0</v>
      </c>
      <c r="DF28" s="102">
        <f>(CX28-DD28)*DE28</f>
        <v>0</v>
      </c>
      <c r="DG28" s="592">
        <v>0</v>
      </c>
      <c r="DH28" s="102">
        <f>(CX28-DD28)*DG28</f>
        <v>0</v>
      </c>
      <c r="DI28" s="102">
        <f>CX28-CZ28-DD28-DF28-DH28</f>
        <v>0</v>
      </c>
      <c r="DK28" s="3">
        <f>IF(AND(I28&lt;&gt;"Serviço",Z28&gt;0),P28,"NA")</f>
        <v>0.12</v>
      </c>
      <c r="DL28" s="2" t="str">
        <f>IF(AND(I28="Serviço",Z28&gt;0),R28,"NA")</f>
        <v>NA</v>
      </c>
      <c r="DM28" s="3">
        <f>IF(AND(I28&lt;&gt;"Serviço",Z28&gt;0),Q28,"NA")</f>
        <v>0</v>
      </c>
      <c r="DN28" s="9">
        <f>IF(Z28&gt;0,S28,"NA")</f>
        <v>0</v>
      </c>
      <c r="DO28" s="637">
        <f>IF(Z28&gt;0,T28,"NA")</f>
        <v>0</v>
      </c>
      <c r="DP28" s="637"/>
      <c r="DQ28" s="3" t="str">
        <f>IF(AND(I28&lt;&gt;"Serviço",CU28&gt;0),CY28,"NA")</f>
        <v>NA</v>
      </c>
      <c r="DR28" s="2" t="str">
        <f>IF(AND(I28="Serviço",CU28&gt;0),DA28,"NA")</f>
        <v>NA</v>
      </c>
      <c r="DS28" s="3" t="str">
        <f>IF(AND(I28&lt;&gt;"Serviço",CU28&gt;0),DC28,"NA")</f>
        <v>NA</v>
      </c>
      <c r="DT28" s="9" t="str">
        <f>IF(CU28&gt;0,DE28,"NA")</f>
        <v>NA</v>
      </c>
      <c r="DU28" s="637" t="str">
        <f>IF(CU28&gt;0,DG28,"NA")</f>
        <v>NA</v>
      </c>
      <c r="DV28" s="637"/>
      <c r="DW28" s="2">
        <f>IF(CQ28,N28*HLOOKUP(L28,std_tbl6,ROW(std_PL_real)-ROW(row_std_head)+1,FALSE),AA28)</f>
        <v>14701.500000000002</v>
      </c>
      <c r="DX28" s="2">
        <f>IF(CQ28,DW28/(1-AC28-AD28)/(1-AK28),AM28)</f>
        <v>17567.125957447326</v>
      </c>
      <c r="DY28" s="2">
        <f>IF(CQ28,IF(C28="Industrialização",DX28/(1-P28-S28-T28)*(1+Q28),DX28/(1-P28*(1+Q28)-S28-T28)*(1+Q28)),AU28)</f>
        <v>19962.643133462869</v>
      </c>
      <c r="DZ28" s="637"/>
      <c r="EA28" s="643"/>
      <c r="EC28" s="2" t="s">
        <v>53</v>
      </c>
      <c r="ED28" s="2" t="s">
        <v>52</v>
      </c>
      <c r="EE28" s="2" t="s">
        <v>52</v>
      </c>
    </row>
    <row r="29" spans="1:135" s="56" customFormat="1" ht="19.649999999999999" customHeight="1" x14ac:dyDescent="0.25">
      <c r="A29" s="294" t="s">
        <v>350</v>
      </c>
      <c r="B29"/>
      <c r="C29"/>
      <c r="D29"/>
      <c r="E29"/>
      <c r="F29"/>
      <c r="G29"/>
      <c r="H29"/>
      <c r="I29"/>
      <c r="K29" s="613" t="s">
        <v>1986</v>
      </c>
      <c r="L29" s="827"/>
      <c r="M29" s="873" t="s">
        <v>1148</v>
      </c>
      <c r="N29" s="869"/>
      <c r="O29" s="58"/>
      <c r="P29" s="59"/>
      <c r="Q29" s="59"/>
      <c r="R29" s="59"/>
      <c r="S29" s="59"/>
      <c r="T29" s="60"/>
      <c r="U29" s="61"/>
      <c r="V29" s="59"/>
      <c r="W29" s="59"/>
      <c r="X29" s="60"/>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s="643"/>
    </row>
    <row r="30" spans="1:135" s="753" customFormat="1" ht="35.4" customHeight="1" x14ac:dyDescent="0.25">
      <c r="A30" s="752"/>
      <c r="B30" s="753" t="s">
        <v>268</v>
      </c>
      <c r="C30" s="753" t="s">
        <v>255</v>
      </c>
      <c r="D30" s="757" t="s">
        <v>53</v>
      </c>
      <c r="E30" s="752" t="s">
        <v>38</v>
      </c>
      <c r="F30" s="753" t="s">
        <v>53</v>
      </c>
      <c r="G30" s="781" t="s">
        <v>695</v>
      </c>
      <c r="H30" s="781" t="s">
        <v>357</v>
      </c>
      <c r="I30" s="752" t="s">
        <v>1910</v>
      </c>
      <c r="K30" s="318" t="s">
        <v>2360</v>
      </c>
      <c r="L30" s="502" t="s">
        <v>1121</v>
      </c>
      <c r="M30" s="50" t="str">
        <f t="shared" ref="M30:M31" si="128">IFERROR(IFERROR(VLOOKUP(L30,tbl_materiais,COLUMN(head_mat_descricao)-COLUMN(head_mat_item)+1,FALSE),VLOOKUP(L30,tbl_servicos,COLUMN(head_serv_descricao)-COLUMN(head_serv_item)+1,FALSE)),"?")</f>
        <v>RT430 - Relógio Sincronizado por Satélites GPS, com PTP (IEEE 1588), referência RT43033PPA2C08B221. Fabricante: GE/Reason.</v>
      </c>
      <c r="N30" s="51">
        <v>2</v>
      </c>
      <c r="O30" s="83">
        <f t="shared" ref="O30:O31" si="129">IF(CQ30,std_ncm,IF(I30="Serviço","NA",IF(I30="Material",IFERROR(VLOOKUP(L30,tbl_materiais,COLUMN(head_mat_NCM)-COLUMN(head_mat_item)+1,FALSE),"?"),IFERROR(VLOOKUP(I30,tbl_TipoLinha,2,FALSE),"?"))))</f>
        <v>85372090</v>
      </c>
      <c r="P30" s="84">
        <f t="shared" ref="P30:P31" si="130">IF(AND(D30="Não",I30&lt;&gt;"Serviço",CD30="Não"),IFERROR(IF(flag_interestadual,CE30,IF(CF30,CF30,CE30)),"?"),0)</f>
        <v>0.12</v>
      </c>
      <c r="Q30" s="84">
        <f t="shared" ref="Q30:Q31" si="131">IF(AND(D30="Não",I30&lt;&gt;"Serviço"),IF(I30="Material",IFERROR(VLOOKUP(L30,tbl_materiais,COLUMN(head_mat_IPI)-COLUMN(head_mat_item)+1,FALSE),"?"),IFERROR(VLOOKUP(O30,tbl_NCM_info,COLUMN(head_porNCM_IPI)-COLUMN(head_porNCM_NCM)+1,FALSE),"?")),0)</f>
        <v>0</v>
      </c>
      <c r="R30" s="84">
        <f t="shared" ref="R30:R31" si="132">IF(AND(D30="Não",I30="Serviço"),IFERROR(VLOOKUP(CB30,tbl_ISS,5,FALSE),"?"),0)</f>
        <v>0</v>
      </c>
      <c r="S30" s="85">
        <f t="shared" ref="S30:S31" si="133">IF(D30="Não",IF(reidi="Sim",0,IF(B30="Real",pis_naocum,pis_cum)),0)</f>
        <v>0</v>
      </c>
      <c r="T30" s="86">
        <f t="shared" ref="T30:T31" si="134">IF(D30="Não",IF(reidi="Sim",0,IF(B30="Real",cofins_naocum,cofins_cum)),0)</f>
        <v>0</v>
      </c>
      <c r="U30" s="754" t="str" cm="1">
        <f t="array" ref="U30">IFERROR(IF(I30&lt;&gt;"Serviço",IF(AND(mlookup(tbl_DIFAL_data,UFdestino,tbl_DIFAL_UF,O30,tbl_DIFAL_NCM)&lt;&gt;"",C30="Consumo"),"Sim",""),""),"?")</f>
        <v/>
      </c>
      <c r="V30" s="755" t="str">
        <f>IFERROR(IF(I30&lt;&gt;"Serviço",IF(AND(D30="Não",mlookup(tbl_ST_data,UFdestino,tbl_ST_UF,O30,tbl_ST_NCM)&lt;&gt;"",C30="Revenda",CD30="Não"),"Sim",""),""),"?")</f>
        <v/>
      </c>
      <c r="W30" s="84">
        <f>IF(OR(U30="Sim",V30="Sim"),CG30,0)</f>
        <v>0</v>
      </c>
      <c r="X30" s="756">
        <f>IF(V30="Sim",mlookup(tbl_ST_data,UFdestino,tbl_ST_UF,O30,tbl_ST_NCM),0)</f>
        <v>0</v>
      </c>
      <c r="Z30" s="757">
        <f t="shared" ref="Z30:Z31" si="135">IF(AND(N30&gt;0,CQ30=FALSE),IFERROR(VLOOKUP(L30,tbl_servicos,COLUMN(head_serv_CL)-COLUMN(head_serv_item)+1,FALSE),IF(D30="Sim",0,IF(B30="Real",VLOOKUP(L30,tbl_materiais,COLUMN(head_mat_CLreal)-COLUMN(head_mat_item)+1,FALSE),VLOOKUP(L30,tbl_materiais,COLUMN(head_mat_CLpresumido)-COLUMN(head_mat_item)+1,FALSE)))),0)</f>
        <v>22890.790125</v>
      </c>
      <c r="AA30" s="753">
        <f>Z30*N30</f>
        <v>45781.580249999999</v>
      </c>
      <c r="AC30" s="758">
        <f t="shared" ref="AC30:AC37" si="136">cobertura_pc</f>
        <v>1.31243473968765E-2</v>
      </c>
      <c r="AD30" s="758">
        <f t="shared" ref="AD30:AD31" si="137">IF(F30="Sim",0,VLOOKUP(E30,tbl_mb,2,FALSE))</f>
        <v>0.15</v>
      </c>
      <c r="AF30" s="753">
        <f>AI30*AC30</f>
        <v>717.9720926400596</v>
      </c>
      <c r="AG30" s="753">
        <f>AI30*AD30</f>
        <v>8205.8033545835406</v>
      </c>
      <c r="AI30" s="753">
        <f>AA30/(1-AC30-AD30)</f>
        <v>54705.355697223604</v>
      </c>
      <c r="AK30" s="758">
        <f t="shared" ref="AK30:AK37" si="138">mn_pc</f>
        <v>0</v>
      </c>
      <c r="AL30" s="753">
        <f>AM30*AK30</f>
        <v>0</v>
      </c>
      <c r="AM30" s="753">
        <f>AI30/(1-AK30)</f>
        <v>54705.355697223604</v>
      </c>
      <c r="AO30" s="753" t="b">
        <f>IF(ABS(SUM(AA30,AF30:AG30,AL30)-AM30)&lt;0.01,TRUE,FALSE)</f>
        <v>1</v>
      </c>
      <c r="AQ30" s="759">
        <f>IFERROR(AR30/N30,0)</f>
        <v>27352.677848611802</v>
      </c>
      <c r="AR30" s="759">
        <f>AM30</f>
        <v>54705.355697223604</v>
      </c>
      <c r="AT30" s="759">
        <f>IFERROR(AU30/N30,0)</f>
        <v>31082.588464331591</v>
      </c>
      <c r="AU30" s="759">
        <f>IF(AND(N30&gt;0,CQ30=FALSE),IF(C30="Consumo",AR30*(1+Q30)/(1-P30*(1+Q30)-R30-S30-T30),AR30*(1+Q30)/(1-P30-R30-S30-T30)),0)</f>
        <v>62165.176928663182</v>
      </c>
      <c r="AW30" s="759">
        <f>IF(AU30&gt;0,AU30/(1+Q30),0)</f>
        <v>62165.176928663182</v>
      </c>
      <c r="AX30" s="759">
        <f>IF(AU30&gt;0,IF(C30="Consumo",AW30-AU30*P30,AW30*(1-P30)),0)</f>
        <v>54705.355697223604</v>
      </c>
      <c r="AY30" s="759">
        <f>AX30-AW30*R30</f>
        <v>54705.355697223604</v>
      </c>
      <c r="AZ30" s="759">
        <f>AY30-AW30*(S30+T30)</f>
        <v>54705.355697223604</v>
      </c>
      <c r="BB30" s="753">
        <f>IF(AW30&gt;0,AW30*Q30,0)</f>
        <v>0</v>
      </c>
      <c r="BC30" s="753">
        <f>IF(AW30&gt;0,IF(C30="Consumo",AU30*P30,AW30*P30),0)</f>
        <v>7459.8212314395814</v>
      </c>
      <c r="BD30" s="753">
        <f>AW30*R30</f>
        <v>0</v>
      </c>
      <c r="BE30" s="753">
        <f>AW30*S30</f>
        <v>0</v>
      </c>
      <c r="BF30" s="753">
        <f>AW30*T30</f>
        <v>0</v>
      </c>
      <c r="BH30" s="760">
        <f>W30</f>
        <v>0</v>
      </c>
      <c r="BJ30" s="761">
        <f>IF(AND(U30&lt;&gt;"",C30="Consumo"),BH30-P30,0)</f>
        <v>0</v>
      </c>
      <c r="BK30" s="753">
        <f>BJ30*AU30</f>
        <v>0</v>
      </c>
      <c r="BL30" s="753">
        <f>AU30+BK30</f>
        <v>62165.176928663182</v>
      </c>
      <c r="BN30" s="758">
        <f>X30</f>
        <v>0</v>
      </c>
      <c r="BO30" s="753">
        <f>AU30*(1+BN30)</f>
        <v>62165.176928663182</v>
      </c>
      <c r="BP30" s="753">
        <f>IF(AND(V30&lt;&gt;"",C30="Revenda"),BO30*BH30-BC30,0)</f>
        <v>0</v>
      </c>
      <c r="BQ30" s="753">
        <f>AU30+BP30</f>
        <v>62165.176928663182</v>
      </c>
      <c r="BS30" s="759">
        <f>AU30-SUM(BB30:BF30)</f>
        <v>54705.355697223604</v>
      </c>
      <c r="BT30" s="753">
        <f>AR30+SUM(BB30:BF30)</f>
        <v>62165.176928663182</v>
      </c>
      <c r="BU30" s="753" t="b">
        <f>IF(ABS(BT30-BS30-SUM(BB30:BF30))&lt;0.01,TRUE,FALSE)</f>
        <v>1</v>
      </c>
      <c r="BW30" s="757" t="str">
        <f t="shared" ref="BW30:BW31" si="139">IF(AND(N30&gt;0,CQ30=FALSE),IF(D30="Sim","Fat. Direto",VLOOKUP(CB30,tbl_IRPJaux,2,FALSE)),"")</f>
        <v>Material</v>
      </c>
      <c r="BX30" s="753">
        <f>IF(AND(BW30&lt;&gt;"NA",D30="Não"),MAX(BL30,BQ30),0)</f>
        <v>62165.176928663182</v>
      </c>
      <c r="BY30" s="752">
        <f t="shared" ref="BY30:BY31" si="140">IF(BX30&gt;0,VLOOKUP(CB30,tbl_IRPJaux,3,FALSE),0)</f>
        <v>1</v>
      </c>
      <c r="BZ30" s="757">
        <f t="shared" ref="BZ30:BZ31" si="141">IF(BX30&gt;0,AA30*BY30+AG30*recuperavel_MB_ir_real+AF30*recuperavel_coberturas_ir_real+SUM(BB30:BF30,BK30,BP30),0)</f>
        <v>53959.37357407964</v>
      </c>
      <c r="CA30" s="757"/>
      <c r="CB30" s="757" t="str">
        <f t="shared" ref="CB30:CB31" si="142">IFERROR(VLOOKUP(L30,tbl_materiais,COLUMN(head_mat_WBS)-COLUMN(head_mat_item)+1,FALSE),IFERROR(VLOOKUP(L30,tbl_servicos,COLUMN(head_serv_WBS)-COLUMN(head_serv_item)+1,FALSE),"?"))</f>
        <v xml:space="preserve">  Informática</v>
      </c>
      <c r="CD30" s="753" t="str">
        <f t="shared" ref="CD30:CD31" si="143">IFERROR(VLOOKUP(L30,tbl_materiais,COLUMN(head_mat_st)-COLUMN(head_mat_item)+1,FALSE),"Não")</f>
        <v>Não</v>
      </c>
      <c r="CE30" s="760">
        <f>ifzero(mlookup(tbl_ICMSinterest_data,UFdestino,tbl_ICMSinterest_ufdest,UForigem,tbl_ICMSinterest_uforig))</f>
        <v>0.12</v>
      </c>
      <c r="CF30" s="760">
        <f>IF(N30&gt;0,IF(I30&lt;&gt;"Serviço",ifzero(mlookup(tbl_ICMSinterno_data,UForigem,tbl_ICMSinterno_UF,O30,tbl_ICMSinterno_NCM),mlookup(tbl_ICMSinterest_data,UForigem,tbl_ICMSinterest_ufdest,UForigem,tbl_ICMSinterest_uforig)),""),0)</f>
        <v>0.12</v>
      </c>
      <c r="CG30" s="760">
        <f>IF(N30&gt;0,IF(I30&lt;&gt;"Serviço",ifzero(mlookup(tbl_ICMSinterno_data,UFdestino,tbl_ICMSinterno_UF,O30,tbl_ICMSinterno_NCM),mlookup(tbl_ICMSinterest_data,UFdestino,tbl_ICMSinterest_ufdest,UFdestino,tbl_ICMSinterest_uforig)),""),0)</f>
        <v>0.18</v>
      </c>
      <c r="CI30" s="753">
        <f t="shared" ref="CI30:CI31" si="144">IFERROR(IF(AND(I30&lt;&gt;"Serviço",D30="Não"),N30*VLOOKUP(L30,tbl_materiais,COLUMN(head_mat_credito_ICMS)-COLUMN(head_mat_item)+1,FALSE),0),0)</f>
        <v>6550.4608450704218</v>
      </c>
      <c r="CJ30" s="753">
        <f t="shared" ref="CJ30:CJ31" si="145">IFERROR(IF(AND(I30&lt;&gt;"Serviço",D30="Não"),N30*VLOOKUP(L30,tbl_materiais,COLUMN(head_mat_credito_IPI)-COLUMN(head_mat_item)+1,FALSE),0),0)</f>
        <v>3548.1662910798113</v>
      </c>
      <c r="CK30" s="753">
        <f t="shared" ref="CK30:CK31" si="146">IFERROR(IF(AND(I30&lt;&gt;"Serviço",D30="Não",B30="Real"),N30*VLOOKUP(L30,tbl_materiais,COLUMN(head_mat_credito_PIS)-COLUMN(head_mat_item)+1,FALSE),0),0)</f>
        <v>900.68836619718309</v>
      </c>
      <c r="CL30" s="753">
        <f t="shared" ref="CL30:CL31" si="147">IFERROR(IF(AND(I30&lt;&gt;"Serviço",D30="Não",B30="Real"),N30*VLOOKUP(L30,tbl_materiais,COLUMN(head_mat_credito_COFINS)-COLUMN(head_mat_item)+1,FALSE),0),0)</f>
        <v>4148.6252018779342</v>
      </c>
      <c r="CN30" s="762">
        <f t="shared" ref="CN30:CN31" si="148">IFERROR(SUMIF(serv_col_item,"="&amp;L30,serv_col_totalhh),0)</f>
        <v>0</v>
      </c>
      <c r="CO30" s="753">
        <f t="shared" ref="CO30:CO31" si="149">IFERROR(SUMIF(serv_col_item,"="&amp;L30,serv_col_gdv),0)</f>
        <v>0</v>
      </c>
      <c r="CQ30" s="753" t="b">
        <f t="shared" ref="CQ30:CQ31" si="150">IF(N30&gt;0,IF(ISERROR(HLOOKUP(L30,std_tbl4,1,FALSE)),FALSE,TRUE),FALSE)</f>
        <v>0</v>
      </c>
      <c r="CR30" s="753" t="b">
        <f t="shared" ref="CR30:CR31" si="151">IF(AND(CQ30,I30&lt;&gt;std_tiponcm),FALSE,TRUE)</f>
        <v>1</v>
      </c>
      <c r="CS30" s="753" t="b">
        <f>IF(AND(CQ30,D30="Sim"),TRUE,FALSE)</f>
        <v>0</v>
      </c>
      <c r="CU30" s="753">
        <f t="shared" ref="CU30:CU31" si="152">IF(D30="Sim",VLOOKUP(L30,tbl_materiais,COLUMN(head_mat_fatdir)-COLUMN(head_mat_item)+1,FALSE),0)</f>
        <v>0</v>
      </c>
      <c r="CV30" s="757">
        <f>CU30*N30</f>
        <v>0</v>
      </c>
      <c r="CW30" s="757">
        <f>CX30*(1-CY30-DA30-DE30-DG30)/(1+DC30)</f>
        <v>0</v>
      </c>
      <c r="CX30" s="757">
        <f>CV30/(1-AK30)</f>
        <v>0</v>
      </c>
      <c r="CY30" s="763">
        <f t="shared" ref="CY30:CY31" si="153">IF(D30="Sim",VLOOKUP(L30,tbl_materiais,COLUMN(head_mat_ICMS_input)-COLUMN(head_mat_item)+1,FALSE),0)</f>
        <v>0</v>
      </c>
      <c r="CZ30" s="757">
        <f>CX30*CY30</f>
        <v>0</v>
      </c>
      <c r="DA30" s="763">
        <f t="shared" ref="DA30:DA31" si="154">IF(D30="Sim",VLOOKUP(L30,tbl_materiais,COLUMN(head_mat_ISS_input)-COLUMN(head_mat_item)+1,FALSE),0)</f>
        <v>0</v>
      </c>
      <c r="DB30" s="757">
        <f>CX30*DA30</f>
        <v>0</v>
      </c>
      <c r="DC30" s="763">
        <f t="shared" ref="DC30:DC31" si="155">IF(D30="Sim",VLOOKUP(L30,tbl_materiais,COLUMN(head_mat_IPI_input)-COLUMN(head_mat_item)+1,FALSE),0)</f>
        <v>0</v>
      </c>
      <c r="DD30" s="757">
        <f>CX30*DC30/(1+DC30)</f>
        <v>0</v>
      </c>
      <c r="DE30" s="764">
        <v>0</v>
      </c>
      <c r="DF30" s="757">
        <f>(CX30-DD30)*DE30</f>
        <v>0</v>
      </c>
      <c r="DG30" s="764">
        <v>0</v>
      </c>
      <c r="DH30" s="757">
        <f>(CX30-DD30)*DG30</f>
        <v>0</v>
      </c>
      <c r="DI30" s="757">
        <f>CX30-CZ30-DD30-DF30-DH30</f>
        <v>0</v>
      </c>
      <c r="DK30" s="760">
        <f>IF(AND(I30&lt;&gt;"Serviço",Z30&gt;0),P30,"NA")</f>
        <v>0.12</v>
      </c>
      <c r="DL30" s="753" t="str">
        <f>IF(AND(I30="Serviço",Z30&gt;0),R30,"NA")</f>
        <v>NA</v>
      </c>
      <c r="DM30" s="760">
        <f>IF(AND(I30&lt;&gt;"Serviço",Z30&gt;0),Q30,"NA")</f>
        <v>0</v>
      </c>
      <c r="DN30" s="765">
        <f>IF(Z30&gt;0,S30,"NA")</f>
        <v>0</v>
      </c>
      <c r="DO30" s="766">
        <f>IF(Z30&gt;0,T30,"NA")</f>
        <v>0</v>
      </c>
      <c r="DP30" s="766"/>
      <c r="DQ30" s="760" t="str">
        <f>IF(AND(I30&lt;&gt;"Serviço",CU30&gt;0),CY30,"NA")</f>
        <v>NA</v>
      </c>
      <c r="DR30" s="753" t="str">
        <f>IF(AND(I30="Serviço",CU30&gt;0),DA30,"NA")</f>
        <v>NA</v>
      </c>
      <c r="DS30" s="760" t="str">
        <f>IF(AND(I30&lt;&gt;"Serviço",CU30&gt;0),DC30,"NA")</f>
        <v>NA</v>
      </c>
      <c r="DT30" s="765" t="str">
        <f>IF(CU30&gt;0,DE30,"NA")</f>
        <v>NA</v>
      </c>
      <c r="DU30" s="766" t="str">
        <f>IF(CU30&gt;0,DG30,"NA")</f>
        <v>NA</v>
      </c>
      <c r="DV30" s="766"/>
      <c r="DW30" s="753">
        <f t="shared" ref="DW30:DW31" si="156">IF(CQ30,N30*HLOOKUP(L30,std_tbl6,ROW(std_PL_real)-ROW(row_std_head)+1,FALSE),AA30)</f>
        <v>45781.580249999999</v>
      </c>
      <c r="DX30" s="753">
        <f>IF(CQ30,DW30/(1-AC30-AD30)/(1-AK30),AM30)</f>
        <v>54705.355697223604</v>
      </c>
      <c r="DY30" s="753">
        <f>IF(CQ30,IF(C30="Industrialização",DX30/(1-P30-S30-T30)*(1+Q30),DX30/(1-P30*(1+Q30)-S30-T30)*(1+Q30)),AU30)</f>
        <v>62165.176928663182</v>
      </c>
      <c r="DZ30" s="766"/>
      <c r="EA30" s="767"/>
      <c r="EC30" s="753" t="s">
        <v>53</v>
      </c>
      <c r="ED30" s="753" t="s">
        <v>53</v>
      </c>
      <c r="EE30" s="753" t="s">
        <v>52</v>
      </c>
    </row>
    <row r="31" spans="1:135" s="753" customFormat="1" ht="48.15" customHeight="1" x14ac:dyDescent="0.25">
      <c r="A31" s="752"/>
      <c r="B31" s="753" t="s">
        <v>268</v>
      </c>
      <c r="C31" s="753" t="s">
        <v>255</v>
      </c>
      <c r="D31" s="757" t="s">
        <v>53</v>
      </c>
      <c r="E31" s="752" t="s">
        <v>38</v>
      </c>
      <c r="F31" s="753" t="s">
        <v>53</v>
      </c>
      <c r="G31" s="781" t="s">
        <v>695</v>
      </c>
      <c r="H31" s="781" t="s">
        <v>357</v>
      </c>
      <c r="I31" s="752" t="s">
        <v>1910</v>
      </c>
      <c r="K31" s="318" t="s">
        <v>2361</v>
      </c>
      <c r="L31" s="502" t="s">
        <v>3115</v>
      </c>
      <c r="M31" s="50" t="str">
        <f t="shared" si="128"/>
        <v>RST2228 - Switch, 20 portas ópticas MM LC, 4 portas elétricas RJ45, referência 6GK6222-6AB00-5CN0-Z A01+B05+C05+D05+E05+F05+G01. Fabricante: Siemens/RUGGEDCOM.</v>
      </c>
      <c r="N31" s="51">
        <v>2</v>
      </c>
      <c r="O31" s="83">
        <f t="shared" si="129"/>
        <v>85372090</v>
      </c>
      <c r="P31" s="84">
        <f t="shared" si="130"/>
        <v>0.12</v>
      </c>
      <c r="Q31" s="84">
        <f t="shared" si="131"/>
        <v>0</v>
      </c>
      <c r="R31" s="84">
        <f t="shared" si="132"/>
        <v>0</v>
      </c>
      <c r="S31" s="85">
        <f t="shared" si="133"/>
        <v>0</v>
      </c>
      <c r="T31" s="86">
        <f t="shared" si="134"/>
        <v>0</v>
      </c>
      <c r="U31" s="754" t="str" cm="1">
        <f t="array" ref="U31">IFERROR(IF(I31&lt;&gt;"Serviço",IF(AND(mlookup(tbl_DIFAL_data,UFdestino,tbl_DIFAL_UF,O31,tbl_DIFAL_NCM)&lt;&gt;"",C31="Consumo"),"Sim",""),""),"?")</f>
        <v/>
      </c>
      <c r="V31" s="755" t="str">
        <f>IFERROR(IF(I31&lt;&gt;"Serviço",IF(AND(D31="Não",mlookup(tbl_ST_data,UFdestino,tbl_ST_UF,O31,tbl_ST_NCM)&lt;&gt;"",C31="Revenda",CD31="Não"),"Sim",""),""),"?")</f>
        <v/>
      </c>
      <c r="W31" s="84">
        <f t="shared" ref="W31" si="157">IF(OR(U31="Sim",V31="Sim"),CG31,0)</f>
        <v>0</v>
      </c>
      <c r="X31" s="756">
        <f>IF(V31="Sim",mlookup(tbl_ST_data,UFdestino,tbl_ST_UF,O31,tbl_ST_NCM),0)</f>
        <v>0</v>
      </c>
      <c r="Z31" s="757">
        <f t="shared" si="135"/>
        <v>21450.516350000002</v>
      </c>
      <c r="AA31" s="753">
        <f t="shared" ref="AA31" si="158">Z31*N31</f>
        <v>42901.032700000003</v>
      </c>
      <c r="AC31" s="758">
        <f t="shared" si="136"/>
        <v>1.31243473968765E-2</v>
      </c>
      <c r="AD31" s="758">
        <f t="shared" si="137"/>
        <v>0.15</v>
      </c>
      <c r="AF31" s="753">
        <f t="shared" ref="AF31" si="159">AI31*AC31</f>
        <v>672.79775088232407</v>
      </c>
      <c r="AG31" s="753">
        <f t="shared" ref="AG31" si="160">AI31*AD31</f>
        <v>7689.4994913321752</v>
      </c>
      <c r="AI31" s="753">
        <f t="shared" ref="AI31" si="161">AA31/(1-AC31-AD31)</f>
        <v>51263.329942214506</v>
      </c>
      <c r="AK31" s="758">
        <f t="shared" si="138"/>
        <v>0</v>
      </c>
      <c r="AL31" s="753">
        <f t="shared" ref="AL31" si="162">AM31*AK31</f>
        <v>0</v>
      </c>
      <c r="AM31" s="753">
        <f t="shared" ref="AM31" si="163">AI31/(1-AK31)</f>
        <v>51263.329942214506</v>
      </c>
      <c r="AO31" s="753" t="b">
        <f t="shared" ref="AO31" si="164">IF(ABS(SUM(AA31,AF31:AG31,AL31)-AM31)&lt;0.01,TRUE,FALSE)</f>
        <v>1</v>
      </c>
      <c r="AQ31" s="759">
        <f t="shared" ref="AQ31" si="165">IFERROR(AR31/N31,0)</f>
        <v>25631.664971107253</v>
      </c>
      <c r="AR31" s="759">
        <f t="shared" ref="AR31" si="166">AM31</f>
        <v>51263.329942214506</v>
      </c>
      <c r="AT31" s="759">
        <f t="shared" ref="AT31" si="167">IFERROR(AU31/N31,0)</f>
        <v>29126.89201262188</v>
      </c>
      <c r="AU31" s="759">
        <f t="shared" ref="AU31" si="168">IF(AND(N31&gt;0,CQ31=FALSE),IF(C31="Consumo",AR31*(1+Q31)/(1-P31*(1+Q31)-R31-S31-T31),AR31*(1+Q31)/(1-P31-R31-S31-T31)),0)</f>
        <v>58253.78402524376</v>
      </c>
      <c r="AW31" s="759">
        <f t="shared" ref="AW31" si="169">IF(AU31&gt;0,AU31/(1+Q31),0)</f>
        <v>58253.78402524376</v>
      </c>
      <c r="AX31" s="759">
        <f t="shared" ref="AX31" si="170">IF(AU31&gt;0,IF(C31="Consumo",AW31-AU31*P31,AW31*(1-P31)),0)</f>
        <v>51263.329942214506</v>
      </c>
      <c r="AY31" s="759">
        <f t="shared" ref="AY31" si="171">AX31-AW31*R31</f>
        <v>51263.329942214506</v>
      </c>
      <c r="AZ31" s="759">
        <f t="shared" ref="AZ31" si="172">AY31-AW31*(S31+T31)</f>
        <v>51263.329942214506</v>
      </c>
      <c r="BB31" s="753">
        <f t="shared" ref="BB31" si="173">IF(AW31&gt;0,AW31*Q31,0)</f>
        <v>0</v>
      </c>
      <c r="BC31" s="753">
        <f t="shared" ref="BC31" si="174">IF(AW31&gt;0,IF(C31="Consumo",AU31*P31,AW31*P31),0)</f>
        <v>6990.4540830292508</v>
      </c>
      <c r="BD31" s="753">
        <f t="shared" ref="BD31" si="175">AW31*R31</f>
        <v>0</v>
      </c>
      <c r="BE31" s="753">
        <f t="shared" ref="BE31" si="176">AW31*S31</f>
        <v>0</v>
      </c>
      <c r="BF31" s="753">
        <f t="shared" ref="BF31" si="177">AW31*T31</f>
        <v>0</v>
      </c>
      <c r="BH31" s="760">
        <f t="shared" ref="BH31" si="178">W31</f>
        <v>0</v>
      </c>
      <c r="BJ31" s="761">
        <f t="shared" ref="BJ31" si="179">IF(AND(U31&lt;&gt;"",C31="Consumo"),BH31-P31,0)</f>
        <v>0</v>
      </c>
      <c r="BK31" s="753">
        <f t="shared" ref="BK31" si="180">BJ31*AU31</f>
        <v>0</v>
      </c>
      <c r="BL31" s="753">
        <f t="shared" ref="BL31" si="181">AU31+BK31</f>
        <v>58253.78402524376</v>
      </c>
      <c r="BN31" s="758">
        <f t="shared" ref="BN31" si="182">X31</f>
        <v>0</v>
      </c>
      <c r="BO31" s="753">
        <f t="shared" ref="BO31" si="183">AU31*(1+BN31)</f>
        <v>58253.78402524376</v>
      </c>
      <c r="BP31" s="753">
        <f t="shared" ref="BP31" si="184">IF(AND(V31&lt;&gt;"",C31="Revenda"),BO31*BH31-BC31,0)</f>
        <v>0</v>
      </c>
      <c r="BQ31" s="753">
        <f t="shared" ref="BQ31" si="185">AU31+BP31</f>
        <v>58253.78402524376</v>
      </c>
      <c r="BS31" s="759">
        <f t="shared" ref="BS31" si="186">AU31-SUM(BB31:BF31)</f>
        <v>51263.329942214506</v>
      </c>
      <c r="BT31" s="753">
        <f t="shared" ref="BT31" si="187">AR31+SUM(BB31:BF31)</f>
        <v>58253.78402524376</v>
      </c>
      <c r="BU31" s="753" t="b">
        <f t="shared" ref="BU31" si="188">IF(ABS(BT31-BS31-SUM(BB31:BF31))&lt;0.01,TRUE,FALSE)</f>
        <v>1</v>
      </c>
      <c r="BW31" s="757" t="str">
        <f t="shared" si="139"/>
        <v>Material</v>
      </c>
      <c r="BX31" s="753">
        <f t="shared" ref="BX31" si="189">IF(AND(BW31&lt;&gt;"NA",D31="Não"),MAX(BL31,BQ31),0)</f>
        <v>58253.78402524376</v>
      </c>
      <c r="BY31" s="752">
        <f t="shared" si="140"/>
        <v>1</v>
      </c>
      <c r="BZ31" s="757">
        <f t="shared" si="141"/>
        <v>50564.284533911581</v>
      </c>
      <c r="CA31" s="757"/>
      <c r="CB31" s="757" t="str">
        <f t="shared" si="142"/>
        <v xml:space="preserve">  Comunicação</v>
      </c>
      <c r="CD31" s="753" t="str">
        <f t="shared" si="143"/>
        <v>Não</v>
      </c>
      <c r="CE31" s="760">
        <f>ifzero(mlookup(tbl_ICMSinterest_data,UFdestino,tbl_ICMSinterest_ufdest,UForigem,tbl_ICMSinterest_uforig))</f>
        <v>0.12</v>
      </c>
      <c r="CF31" s="760">
        <f>IF(N31&gt;0,IF(I31&lt;&gt;"Serviço",ifzero(mlookup(tbl_ICMSinterno_data,UForigem,tbl_ICMSinterno_UF,O31,tbl_ICMSinterno_NCM),mlookup(tbl_ICMSinterest_data,UForigem,tbl_ICMSinterest_ufdest,UForigem,tbl_ICMSinterest_uforig)),""),0)</f>
        <v>0.12</v>
      </c>
      <c r="CG31" s="760">
        <f>IF(N31&gt;0,IF(I31&lt;&gt;"Serviço",ifzero(mlookup(tbl_ICMSinterno_data,UFdestino,tbl_ICMSinterno_UF,O31,tbl_ICMSinterno_NCM),mlookup(tbl_ICMSinterest_data,UFdestino,tbl_ICMSinterest_ufdest,UFdestino,tbl_ICMSinterest_uforig)),""),0)</f>
        <v>0.18</v>
      </c>
      <c r="CI31" s="753">
        <f t="shared" si="144"/>
        <v>1802.4105694760822</v>
      </c>
      <c r="CJ31" s="753">
        <f t="shared" si="145"/>
        <v>4393.3757630979453</v>
      </c>
      <c r="CK31" s="753">
        <f t="shared" si="146"/>
        <v>743.49435990888389</v>
      </c>
      <c r="CL31" s="753">
        <f t="shared" si="147"/>
        <v>3424.5800820045561</v>
      </c>
      <c r="CN31" s="762">
        <f t="shared" si="148"/>
        <v>0</v>
      </c>
      <c r="CO31" s="753">
        <f t="shared" si="149"/>
        <v>0</v>
      </c>
      <c r="CQ31" s="753" t="b">
        <f t="shared" si="150"/>
        <v>0</v>
      </c>
      <c r="CR31" s="753" t="b">
        <f t="shared" si="151"/>
        <v>1</v>
      </c>
      <c r="CS31" s="753" t="b">
        <f t="shared" ref="CS31" si="190">IF(AND(CQ31,D31="Sim"),TRUE,FALSE)</f>
        <v>0</v>
      </c>
      <c r="CU31" s="753">
        <f t="shared" si="152"/>
        <v>0</v>
      </c>
      <c r="CV31" s="757">
        <f t="shared" ref="CV31" si="191">CU31*N31</f>
        <v>0</v>
      </c>
      <c r="CW31" s="757">
        <f t="shared" ref="CW31" si="192">CX31*(1-CY31-DA31-DE31-DG31)/(1+DC31)</f>
        <v>0</v>
      </c>
      <c r="CX31" s="757">
        <f t="shared" ref="CX31" si="193">CV31/(1-AK31)</f>
        <v>0</v>
      </c>
      <c r="CY31" s="763">
        <f t="shared" si="153"/>
        <v>0</v>
      </c>
      <c r="CZ31" s="757">
        <f t="shared" ref="CZ31" si="194">CX31*CY31</f>
        <v>0</v>
      </c>
      <c r="DA31" s="763">
        <f t="shared" si="154"/>
        <v>0</v>
      </c>
      <c r="DB31" s="757">
        <f t="shared" ref="DB31" si="195">CX31*DA31</f>
        <v>0</v>
      </c>
      <c r="DC31" s="763">
        <f t="shared" si="155"/>
        <v>0</v>
      </c>
      <c r="DD31" s="757">
        <f t="shared" ref="DD31" si="196">CX31*DC31/(1+DC31)</f>
        <v>0</v>
      </c>
      <c r="DE31" s="764">
        <v>1.6500000000000001E-2</v>
      </c>
      <c r="DF31" s="757">
        <f t="shared" ref="DF31" si="197">(CX31-DD31)*DE31</f>
        <v>0</v>
      </c>
      <c r="DG31" s="764">
        <v>7.5999999999999998E-2</v>
      </c>
      <c r="DH31" s="757">
        <f t="shared" ref="DH31" si="198">(CX31-DD31)*DG31</f>
        <v>0</v>
      </c>
      <c r="DI31" s="757">
        <f t="shared" ref="DI31" si="199">CX31-CZ31-DD31-DF31-DH31</f>
        <v>0</v>
      </c>
      <c r="DK31" s="760">
        <f t="shared" ref="DK31" si="200">IF(AND(I31&lt;&gt;"Serviço",Z31&gt;0),P31,"NA")</f>
        <v>0.12</v>
      </c>
      <c r="DL31" s="753" t="str">
        <f t="shared" ref="DL31" si="201">IF(AND(I31="Serviço",Z31&gt;0),R31,"NA")</f>
        <v>NA</v>
      </c>
      <c r="DM31" s="760">
        <f t="shared" ref="DM31" si="202">IF(AND(I31&lt;&gt;"Serviço",Z31&gt;0),Q31,"NA")</f>
        <v>0</v>
      </c>
      <c r="DN31" s="765">
        <f t="shared" ref="DN31" si="203">IF(Z31&gt;0,S31,"NA")</f>
        <v>0</v>
      </c>
      <c r="DO31" s="766">
        <f t="shared" ref="DO31" si="204">IF(Z31&gt;0,T31,"NA")</f>
        <v>0</v>
      </c>
      <c r="DP31" s="766"/>
      <c r="DQ31" s="760" t="str">
        <f t="shared" ref="DQ31" si="205">IF(AND(I31&lt;&gt;"Serviço",CU31&gt;0),CY31,"NA")</f>
        <v>NA</v>
      </c>
      <c r="DR31" s="753" t="str">
        <f t="shared" ref="DR31" si="206">IF(AND(I31="Serviço",CU31&gt;0),DA31,"NA")</f>
        <v>NA</v>
      </c>
      <c r="DS31" s="760" t="str">
        <f t="shared" ref="DS31" si="207">IF(AND(I31&lt;&gt;"Serviço",CU31&gt;0),DC31,"NA")</f>
        <v>NA</v>
      </c>
      <c r="DT31" s="765" t="str">
        <f t="shared" ref="DT31" si="208">IF(CU31&gt;0,DE31,"NA")</f>
        <v>NA</v>
      </c>
      <c r="DU31" s="766" t="str">
        <f t="shared" ref="DU31" si="209">IF(CU31&gt;0,DG31,"NA")</f>
        <v>NA</v>
      </c>
      <c r="DV31" s="766"/>
      <c r="DW31" s="753">
        <f t="shared" si="156"/>
        <v>42901.032700000003</v>
      </c>
      <c r="DX31" s="753">
        <f t="shared" ref="DX31" si="210">IF(CQ31,DW31/(1-AC31-AD31)/(1-AK31),AM31)</f>
        <v>51263.329942214506</v>
      </c>
      <c r="DY31" s="753">
        <f t="shared" ref="DY31" si="211">IF(CQ31,IF(C31="Industrialização",DX31/(1-P31-S31-T31)*(1+Q31),DX31/(1-P31*(1+Q31)-S31-T31)*(1+Q31)),AU31)</f>
        <v>58253.78402524376</v>
      </c>
      <c r="DZ31" s="766"/>
      <c r="EA31" s="767"/>
    </row>
    <row r="32" spans="1:135" s="753" customFormat="1" ht="48.15" customHeight="1" x14ac:dyDescent="0.25">
      <c r="A32" s="752"/>
      <c r="B32" s="753" t="s">
        <v>268</v>
      </c>
      <c r="C32" s="753" t="s">
        <v>255</v>
      </c>
      <c r="D32" s="757" t="s">
        <v>53</v>
      </c>
      <c r="E32" s="18" t="s">
        <v>38</v>
      </c>
      <c r="F32" s="753" t="s">
        <v>53</v>
      </c>
      <c r="G32" s="781" t="s">
        <v>695</v>
      </c>
      <c r="H32" s="255" t="s">
        <v>357</v>
      </c>
      <c r="I32" s="752" t="s">
        <v>1910</v>
      </c>
      <c r="K32" s="318" t="s">
        <v>2362</v>
      </c>
      <c r="L32" s="502" t="s">
        <v>2308</v>
      </c>
      <c r="M32" s="50" t="str">
        <f t="shared" ref="M32" si="212">IFERROR(IFERROR(VLOOKUP(L32,tbl_materiais,COLUMN(head_mat_descricao)-COLUMN(head_mat_item)+1,FALSE),VLOOKUP(L32,tbl_servicos,COLUMN(head_serv_descricao)-COLUMN(head_serv_item)+1,FALSE)),"?")</f>
        <v>RS910 - Terminal server, 2 portas elétricas eth, 2 portas elétricas srl RS485/RS232, alimentação 88-330 Vcc ou 85-264 Vac, referência 6GK6091-0AT23-0AA0-Z A02+B01+C00. Fabricante: Siemens/RUGGEDCOM.</v>
      </c>
      <c r="N32" s="51">
        <v>2</v>
      </c>
      <c r="O32" s="83">
        <f t="shared" ref="O32" si="213">IF(CQ32,std_ncm,IF(I32="Serviço","NA",IF(I32="Material",IFERROR(VLOOKUP(L32,tbl_materiais,COLUMN(head_mat_NCM)-COLUMN(head_mat_item)+1,FALSE),"?"),IFERROR(VLOOKUP(I32,tbl_TipoLinha,2,FALSE),"?"))))</f>
        <v>85372090</v>
      </c>
      <c r="P32" s="84">
        <f t="shared" ref="P32" si="214">IF(AND(D32="Não",I32&lt;&gt;"Serviço",CD32="Não"),IFERROR(IF(flag_interestadual,CE32,IF(CF32,CF32,CE32)),"?"),0)</f>
        <v>0.12</v>
      </c>
      <c r="Q32" s="84">
        <f t="shared" ref="Q32" si="215">IF(AND(D32="Não",I32&lt;&gt;"Serviço"),IF(I32="Material",IFERROR(VLOOKUP(L32,tbl_materiais,COLUMN(head_mat_IPI)-COLUMN(head_mat_item)+1,FALSE),"?"),IFERROR(VLOOKUP(O32,tbl_NCM_info,COLUMN(head_porNCM_IPI)-COLUMN(head_porNCM_NCM)+1,FALSE),"?")),0)</f>
        <v>0</v>
      </c>
      <c r="R32" s="84">
        <f t="shared" ref="R32" si="216">IF(AND(D32="Não",I32="Serviço"),IFERROR(VLOOKUP(CB32,tbl_ISS,5,FALSE),"?"),0)</f>
        <v>0</v>
      </c>
      <c r="S32" s="85">
        <f t="shared" ref="S32" si="217">IF(D32="Não",IF(reidi="Sim",0,IF(B32="Real",pis_naocum,pis_cum)),0)</f>
        <v>0</v>
      </c>
      <c r="T32" s="86">
        <f t="shared" ref="T32" si="218">IF(D32="Não",IF(reidi="Sim",0,IF(B32="Real",cofins_naocum,cofins_cum)),0)</f>
        <v>0</v>
      </c>
      <c r="U32" s="754" t="str" cm="1">
        <f t="array" ref="U32">IFERROR(IF(I32&lt;&gt;"Serviço",IF(AND(mlookup(tbl_DIFAL_data,UFdestino,tbl_DIFAL_UF,O32,tbl_DIFAL_NCM)&lt;&gt;"",C32="Consumo"),"Sim",""),""),"?")</f>
        <v/>
      </c>
      <c r="V32" s="755" t="str">
        <f>IFERROR(IF(I32&lt;&gt;"Serviço",IF(AND(D32="Não",mlookup(tbl_ST_data,UFdestino,tbl_ST_UF,O32,tbl_ST_NCM)&lt;&gt;"",C32="Revenda",CD32="Não"),"Sim",""),""),"?")</f>
        <v/>
      </c>
      <c r="W32" s="84">
        <f t="shared" ref="W32" si="219">IF(OR(U32="Sim",V32="Sim"),CG32,0)</f>
        <v>0</v>
      </c>
      <c r="X32" s="756">
        <f>IF(V32="Sim",mlookup(tbl_ST_data,UFdestino,tbl_ST_UF,O32,tbl_ST_NCM),0)</f>
        <v>0</v>
      </c>
      <c r="Z32" s="757">
        <f t="shared" ref="Z32" si="220">IF(AND(N32&gt;0,CQ32=FALSE),IFERROR(VLOOKUP(L32,tbl_servicos,COLUMN(head_serv_CL)-COLUMN(head_serv_item)+1,FALSE),IF(D32="Sim",0,IF(B32="Real",VLOOKUP(L32,tbl_materiais,COLUMN(head_mat_CLreal)-COLUMN(head_mat_item)+1,FALSE),VLOOKUP(L32,tbl_materiais,COLUMN(head_mat_CLpresumido)-COLUMN(head_mat_item)+1,FALSE)))),0)</f>
        <v>3911.4013500000001</v>
      </c>
      <c r="AA32" s="753">
        <f t="shared" ref="AA32" si="221">Z32*N32</f>
        <v>7822.8027000000002</v>
      </c>
      <c r="AC32" s="758">
        <f t="shared" si="136"/>
        <v>1.31243473968765E-2</v>
      </c>
      <c r="AD32" s="758">
        <f t="shared" ref="AD32" si="222">IF(F32="Sim",0,VLOOKUP(E32,tbl_mb,2,FALSE))</f>
        <v>0.15</v>
      </c>
      <c r="AF32" s="753">
        <f t="shared" ref="AF32" si="223">AI32*AC32</f>
        <v>122.68152375166885</v>
      </c>
      <c r="AG32" s="753">
        <f t="shared" ref="AG32" si="224">AI32*AD32</f>
        <v>1402.1442747797064</v>
      </c>
      <c r="AI32" s="753">
        <f t="shared" ref="AI32" si="225">AA32/(1-AC32-AD32)</f>
        <v>9347.628498531376</v>
      </c>
      <c r="AK32" s="758">
        <f t="shared" si="138"/>
        <v>0</v>
      </c>
      <c r="AL32" s="753">
        <f t="shared" ref="AL32" si="226">AM32*AK32</f>
        <v>0</v>
      </c>
      <c r="AM32" s="753">
        <f t="shared" ref="AM32" si="227">AI32/(1-AK32)</f>
        <v>9347.628498531376</v>
      </c>
      <c r="AO32" s="753" t="b">
        <f t="shared" ref="AO32" si="228">IF(ABS(SUM(AA32,AF32:AG32,AL32)-AM32)&lt;0.01,TRUE,FALSE)</f>
        <v>1</v>
      </c>
      <c r="AQ32" s="759">
        <f t="shared" ref="AQ32" si="229">IFERROR(AR32/N32,0)</f>
        <v>4673.814249265688</v>
      </c>
      <c r="AR32" s="759">
        <f t="shared" ref="AR32" si="230">AM32</f>
        <v>9347.628498531376</v>
      </c>
      <c r="AT32" s="759">
        <f t="shared" ref="AT32" si="231">IFERROR(AU32/N32,0)</f>
        <v>5311.1525559837364</v>
      </c>
      <c r="AU32" s="759">
        <f t="shared" ref="AU32" si="232">IF(AND(N32&gt;0,CQ32=FALSE),IF(C32="Consumo",AR32*(1+Q32)/(1-P32*(1+Q32)-R32-S32-T32),AR32*(1+Q32)/(1-P32-R32-S32-T32)),0)</f>
        <v>10622.305111967473</v>
      </c>
      <c r="AW32" s="759">
        <f t="shared" ref="AW32" si="233">IF(AU32&gt;0,AU32/(1+Q32),0)</f>
        <v>10622.305111967473</v>
      </c>
      <c r="AX32" s="759">
        <f t="shared" ref="AX32" si="234">IF(AU32&gt;0,IF(C32="Consumo",AW32-AU32*P32,AW32*(1-P32)),0)</f>
        <v>9347.628498531376</v>
      </c>
      <c r="AY32" s="759">
        <f t="shared" ref="AY32" si="235">AX32-AW32*R32</f>
        <v>9347.628498531376</v>
      </c>
      <c r="AZ32" s="759">
        <f t="shared" ref="AZ32" si="236">AY32-AW32*(S32+T32)</f>
        <v>9347.628498531376</v>
      </c>
      <c r="BB32" s="753">
        <f t="shared" ref="BB32" si="237">IF(AW32&gt;0,AW32*Q32,0)</f>
        <v>0</v>
      </c>
      <c r="BC32" s="753">
        <f t="shared" ref="BC32" si="238">IF(AW32&gt;0,IF(C32="Consumo",AU32*P32,AW32*P32),0)</f>
        <v>1274.6766134360967</v>
      </c>
      <c r="BD32" s="753">
        <f t="shared" ref="BD32" si="239">AW32*R32</f>
        <v>0</v>
      </c>
      <c r="BE32" s="753">
        <f t="shared" ref="BE32" si="240">AW32*S32</f>
        <v>0</v>
      </c>
      <c r="BF32" s="753">
        <f t="shared" ref="BF32" si="241">AW32*T32</f>
        <v>0</v>
      </c>
      <c r="BH32" s="760">
        <f t="shared" ref="BH32" si="242">W32</f>
        <v>0</v>
      </c>
      <c r="BJ32" s="761">
        <f t="shared" ref="BJ32" si="243">IF(AND(U32&lt;&gt;"",C32="Consumo"),BH32-P32,0)</f>
        <v>0</v>
      </c>
      <c r="BK32" s="753">
        <f t="shared" ref="BK32" si="244">BJ32*AU32</f>
        <v>0</v>
      </c>
      <c r="BL32" s="753">
        <f t="shared" ref="BL32" si="245">AU32+BK32</f>
        <v>10622.305111967473</v>
      </c>
      <c r="BN32" s="758">
        <f t="shared" ref="BN32" si="246">X32</f>
        <v>0</v>
      </c>
      <c r="BO32" s="753">
        <f t="shared" ref="BO32" si="247">AU32*(1+BN32)</f>
        <v>10622.305111967473</v>
      </c>
      <c r="BP32" s="753">
        <f t="shared" ref="BP32" si="248">IF(AND(V32&lt;&gt;"",C32="Revenda"),BO32*BH32-BC32,0)</f>
        <v>0</v>
      </c>
      <c r="BQ32" s="753">
        <f t="shared" ref="BQ32" si="249">AU32+BP32</f>
        <v>10622.305111967473</v>
      </c>
      <c r="BS32" s="759">
        <f t="shared" ref="BS32" si="250">AU32-SUM(BB32:BF32)</f>
        <v>9347.628498531376</v>
      </c>
      <c r="BT32" s="753">
        <f t="shared" ref="BT32" si="251">AR32+SUM(BB32:BF32)</f>
        <v>10622.305111967473</v>
      </c>
      <c r="BU32" s="753" t="b">
        <f t="shared" ref="BU32" si="252">IF(ABS(BT32-BS32-SUM(BB32:BF32))&lt;0.01,TRUE,FALSE)</f>
        <v>1</v>
      </c>
      <c r="BW32" s="757" t="str">
        <f t="shared" ref="BW32" si="253">IF(AND(N32&gt;0,CQ32=FALSE),IF(D32="Sim","Fat. Direto",VLOOKUP(CB32,tbl_IRPJaux,2,FALSE)),"")</f>
        <v>Material</v>
      </c>
      <c r="BX32" s="753">
        <f t="shared" ref="BX32" si="254">IF(AND(BW32&lt;&gt;"NA",D32="Não"),MAX(BL32,BQ32),0)</f>
        <v>10622.305111967473</v>
      </c>
      <c r="BY32" s="752">
        <f t="shared" ref="BY32" si="255">IF(BX32&gt;0,VLOOKUP(CB32,tbl_IRPJaux,3,FALSE),0)</f>
        <v>1</v>
      </c>
      <c r="BZ32" s="757">
        <f t="shared" ref="BZ32" si="256">IF(BX32&gt;0,AA32*BY32+AG32*recuperavel_MB_ir_real+AF32*recuperavel_coberturas_ir_real+SUM(BB32:BF32,BK32,BP32),0)</f>
        <v>9220.1608371877646</v>
      </c>
      <c r="CA32" s="757"/>
      <c r="CB32" s="757" t="str">
        <f t="shared" ref="CB32" si="257">IFERROR(VLOOKUP(L32,tbl_materiais,COLUMN(head_mat_WBS)-COLUMN(head_mat_item)+1,FALSE),IFERROR(VLOOKUP(L32,tbl_servicos,COLUMN(head_serv_WBS)-COLUMN(head_serv_item)+1,FALSE),"?"))</f>
        <v xml:space="preserve">  Comunicação</v>
      </c>
      <c r="CD32" s="753" t="str">
        <f t="shared" ref="CD32" si="258">IFERROR(VLOOKUP(L32,tbl_materiais,COLUMN(head_mat_st)-COLUMN(head_mat_item)+1,FALSE),"Não")</f>
        <v>Não</v>
      </c>
      <c r="CE32" s="760">
        <f>ifzero(mlookup(tbl_ICMSinterest_data,UFdestino,tbl_ICMSinterest_ufdest,UForigem,tbl_ICMSinterest_uforig))</f>
        <v>0.12</v>
      </c>
      <c r="CF32" s="760">
        <f>IF(N32&gt;0,IF(I32&lt;&gt;"Serviço",ifzero(mlookup(tbl_ICMSinterno_data,UForigem,tbl_ICMSinterno_UF,O32,tbl_ICMSinterno_NCM),mlookup(tbl_ICMSinterest_data,UForigem,tbl_ICMSinterest_ufdest,UForigem,tbl_ICMSinterest_uforig)),""),0)</f>
        <v>0.12</v>
      </c>
      <c r="CG32" s="760">
        <f>IF(N32&gt;0,IF(I32&lt;&gt;"Serviço",ifzero(mlookup(tbl_ICMSinterno_data,UFdestino,tbl_ICMSinterno_UF,O32,tbl_ICMSinterno_NCM),mlookup(tbl_ICMSinterest_data,UFdestino,tbl_ICMSinterest_ufdest,UFdestino,tbl_ICMSinterest_uforig)),""),0)</f>
        <v>0.18</v>
      </c>
      <c r="CI32" s="753">
        <f t="shared" ref="CI32" si="259">IFERROR(IF(AND(I32&lt;&gt;"Serviço",D32="Não"),N32*VLOOKUP(L32,tbl_materiais,COLUMN(head_mat_credito_ICMS)-COLUMN(head_mat_item)+1,FALSE),0),0)</f>
        <v>328.66113895216404</v>
      </c>
      <c r="CJ32" s="753">
        <f t="shared" ref="CJ32" si="260">IFERROR(IF(AND(I32&lt;&gt;"Serviço",D32="Não"),N32*VLOOKUP(L32,tbl_materiais,COLUMN(head_mat_credito_IPI)-COLUMN(head_mat_item)+1,FALSE),0),0)</f>
        <v>801.11152619589848</v>
      </c>
      <c r="CK32" s="753">
        <f t="shared" ref="CK32" si="261">IFERROR(IF(AND(I32&lt;&gt;"Serviço",D32="Não",B32="Real"),N32*VLOOKUP(L32,tbl_materiais,COLUMN(head_mat_credito_PIS)-COLUMN(head_mat_item)+1,FALSE),0),0)</f>
        <v>135.57271981776768</v>
      </c>
      <c r="CL32" s="753">
        <f t="shared" ref="CL32" si="262">IFERROR(IF(AND(I32&lt;&gt;"Serviço",D32="Não",B32="Real"),N32*VLOOKUP(L32,tbl_materiais,COLUMN(head_mat_credito_COFINS)-COLUMN(head_mat_item)+1,FALSE),0),0)</f>
        <v>624.4561640091116</v>
      </c>
      <c r="CN32" s="762">
        <f t="shared" ref="CN32" si="263">IFERROR(SUMIF(serv_col_item,"="&amp;L32,serv_col_totalhh),0)</f>
        <v>0</v>
      </c>
      <c r="CO32" s="753">
        <f t="shared" ref="CO32" si="264">IFERROR(SUMIF(serv_col_item,"="&amp;L32,serv_col_gdv),0)</f>
        <v>0</v>
      </c>
      <c r="CQ32" s="753" t="b">
        <f t="shared" ref="CQ32" si="265">IF(N32&gt;0,IF(ISERROR(HLOOKUP(L32,std_tbl4,1,FALSE)),FALSE,TRUE),FALSE)</f>
        <v>0</v>
      </c>
      <c r="CR32" s="753" t="b">
        <f t="shared" ref="CR32" si="266">IF(AND(CQ32,I32&lt;&gt;std_tiponcm),FALSE,TRUE)</f>
        <v>1</v>
      </c>
      <c r="CS32" s="753" t="b">
        <f t="shared" ref="CS32" si="267">IF(AND(CQ32,D32="Sim"),TRUE,FALSE)</f>
        <v>0</v>
      </c>
      <c r="CU32" s="753">
        <f t="shared" ref="CU32" si="268">IF(D32="Sim",VLOOKUP(L32,tbl_materiais,COLUMN(head_mat_fatdir)-COLUMN(head_mat_item)+1,FALSE),0)</f>
        <v>0</v>
      </c>
      <c r="CV32" s="757">
        <f t="shared" ref="CV32" si="269">CU32*N32</f>
        <v>0</v>
      </c>
      <c r="CW32" s="757">
        <f t="shared" ref="CW32" si="270">CX32*(1-CY32-DA32-DE32-DG32)/(1+DC32)</f>
        <v>0</v>
      </c>
      <c r="CX32" s="757">
        <f t="shared" ref="CX32" si="271">CV32/(1-AK32)</f>
        <v>0</v>
      </c>
      <c r="CY32" s="763">
        <f t="shared" ref="CY32" si="272">IF(D32="Sim",VLOOKUP(L32,tbl_materiais,COLUMN(head_mat_ICMS_input)-COLUMN(head_mat_item)+1,FALSE),0)</f>
        <v>0</v>
      </c>
      <c r="CZ32" s="757">
        <f t="shared" ref="CZ32" si="273">CX32*CY32</f>
        <v>0</v>
      </c>
      <c r="DA32" s="763">
        <f t="shared" ref="DA32" si="274">IF(D32="Sim",VLOOKUP(L32,tbl_materiais,COLUMN(head_mat_ISS_input)-COLUMN(head_mat_item)+1,FALSE),0)</f>
        <v>0</v>
      </c>
      <c r="DB32" s="757">
        <f t="shared" ref="DB32" si="275">CX32*DA32</f>
        <v>0</v>
      </c>
      <c r="DC32" s="763">
        <f t="shared" ref="DC32" si="276">IF(D32="Sim",VLOOKUP(L32,tbl_materiais,COLUMN(head_mat_IPI_input)-COLUMN(head_mat_item)+1,FALSE),0)</f>
        <v>0</v>
      </c>
      <c r="DD32" s="757">
        <f t="shared" ref="DD32" si="277">CX32*DC32/(1+DC32)</f>
        <v>0</v>
      </c>
      <c r="DE32" s="764">
        <v>1.6500000000000001E-2</v>
      </c>
      <c r="DF32" s="757">
        <f t="shared" ref="DF32" si="278">(CX32-DD32)*DE32</f>
        <v>0</v>
      </c>
      <c r="DG32" s="764">
        <v>7.5999999999999998E-2</v>
      </c>
      <c r="DH32" s="757">
        <f t="shared" ref="DH32" si="279">(CX32-DD32)*DG32</f>
        <v>0</v>
      </c>
      <c r="DI32" s="757">
        <f t="shared" ref="DI32" si="280">CX32-CZ32-DD32-DF32-DH32</f>
        <v>0</v>
      </c>
      <c r="DK32" s="760">
        <f t="shared" ref="DK32" si="281">IF(AND(I32&lt;&gt;"Serviço",Z32&gt;0),P32,"NA")</f>
        <v>0.12</v>
      </c>
      <c r="DL32" s="753" t="str">
        <f t="shared" ref="DL32" si="282">IF(AND(I32="Serviço",Z32&gt;0),R32,"NA")</f>
        <v>NA</v>
      </c>
      <c r="DM32" s="760">
        <f t="shared" ref="DM32" si="283">IF(AND(I32&lt;&gt;"Serviço",Z32&gt;0),Q32,"NA")</f>
        <v>0</v>
      </c>
      <c r="DN32" s="765">
        <f t="shared" ref="DN32" si="284">IF(Z32&gt;0,S32,"NA")</f>
        <v>0</v>
      </c>
      <c r="DO32" s="766">
        <f t="shared" ref="DO32" si="285">IF(Z32&gt;0,T32,"NA")</f>
        <v>0</v>
      </c>
      <c r="DP32" s="766"/>
      <c r="DQ32" s="760" t="str">
        <f t="shared" ref="DQ32" si="286">IF(AND(I32&lt;&gt;"Serviço",CU32&gt;0),CY32,"NA")</f>
        <v>NA</v>
      </c>
      <c r="DR32" s="753" t="str">
        <f t="shared" ref="DR32" si="287">IF(AND(I32="Serviço",CU32&gt;0),DA32,"NA")</f>
        <v>NA</v>
      </c>
      <c r="DS32" s="760" t="str">
        <f t="shared" ref="DS32" si="288">IF(AND(I32&lt;&gt;"Serviço",CU32&gt;0),DC32,"NA")</f>
        <v>NA</v>
      </c>
      <c r="DT32" s="765" t="str">
        <f t="shared" ref="DT32" si="289">IF(CU32&gt;0,DE32,"NA")</f>
        <v>NA</v>
      </c>
      <c r="DU32" s="766" t="str">
        <f t="shared" ref="DU32" si="290">IF(CU32&gt;0,DG32,"NA")</f>
        <v>NA</v>
      </c>
      <c r="DV32" s="766"/>
      <c r="DW32" s="753">
        <f t="shared" ref="DW32" si="291">IF(CQ32,N32*HLOOKUP(L32,std_tbl6,ROW(std_PL_real)-ROW(row_std_head)+1,FALSE),AA32)</f>
        <v>7822.8027000000002</v>
      </c>
      <c r="DX32" s="753">
        <f t="shared" ref="DX32" si="292">IF(CQ32,DW32/(1-AC32-AD32)/(1-AK32),AM32)</f>
        <v>9347.628498531376</v>
      </c>
      <c r="DY32" s="753">
        <f t="shared" ref="DY32" si="293">IF(CQ32,IF(C32="Industrialização",DX32/(1-P32-S32-T32)*(1+Q32),DX32/(1-P32*(1+Q32)-S32-T32)*(1+Q32)),AU32)</f>
        <v>10622.305111967473</v>
      </c>
      <c r="DZ32" s="766"/>
      <c r="EA32" s="767"/>
    </row>
    <row r="33" spans="1:135" s="56" customFormat="1" ht="19.649999999999999" customHeight="1" x14ac:dyDescent="0.25">
      <c r="A33" s="294" t="s">
        <v>350</v>
      </c>
      <c r="B33"/>
      <c r="C33"/>
      <c r="D33"/>
      <c r="E33"/>
      <c r="F33"/>
      <c r="G33"/>
      <c r="H33"/>
      <c r="I33"/>
      <c r="K33" s="613" t="s">
        <v>2801</v>
      </c>
      <c r="L33" s="827"/>
      <c r="M33" s="873" t="s">
        <v>1916</v>
      </c>
      <c r="N33" s="869"/>
      <c r="O33" s="58"/>
      <c r="P33" s="59"/>
      <c r="Q33" s="59"/>
      <c r="R33" s="59"/>
      <c r="S33" s="59"/>
      <c r="T33" s="60"/>
      <c r="U33" s="61"/>
      <c r="V33" s="59"/>
      <c r="W33" s="59"/>
      <c r="X33" s="60"/>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s="806"/>
    </row>
    <row r="34" spans="1:135" s="753" customFormat="1" ht="48.15" customHeight="1" x14ac:dyDescent="0.25">
      <c r="A34" s="752"/>
      <c r="B34" s="753" t="s">
        <v>268</v>
      </c>
      <c r="C34" s="753" t="s">
        <v>255</v>
      </c>
      <c r="D34" s="757" t="s">
        <v>53</v>
      </c>
      <c r="E34" s="18" t="s">
        <v>38</v>
      </c>
      <c r="F34" s="753" t="s">
        <v>53</v>
      </c>
      <c r="G34" s="781" t="s">
        <v>695</v>
      </c>
      <c r="H34" s="255" t="s">
        <v>357</v>
      </c>
      <c r="I34" s="752" t="s">
        <v>1910</v>
      </c>
      <c r="K34" s="318" t="s">
        <v>2802</v>
      </c>
      <c r="L34" s="502" t="s">
        <v>2309</v>
      </c>
      <c r="M34" s="50" t="str">
        <f t="shared" ref="M34" si="294">IFERROR(IFERROR(VLOOKUP(L34,tbl_materiais,COLUMN(head_mat_descricao)-COLUMN(head_mat_item)+1,FALSE),VLOOKUP(L34,tbl_servicos,COLUMN(head_serv_descricao)-COLUMN(head_serv_item)+1,FALSE)),"?")</f>
        <v>RSG907R - PRP/HSR redundancy box (RedBox), 4 portas ópticas MM LC, 3 portas GbE SFP, alimentação 88-330 Vcc ou 85-264 Vac, referência 6GK6490-7RB00-1CN0. Fabricante: Siemens/RUGGEDCOM.</v>
      </c>
      <c r="N34" s="51">
        <v>2</v>
      </c>
      <c r="O34" s="83">
        <f t="shared" ref="O34" si="295">IF(CQ34,std_ncm,IF(I34="Serviço","NA",IF(I34="Material",IFERROR(VLOOKUP(L34,tbl_materiais,COLUMN(head_mat_NCM)-COLUMN(head_mat_item)+1,FALSE),"?"),IFERROR(VLOOKUP(I34,tbl_TipoLinha,2,FALSE),"?"))))</f>
        <v>85372090</v>
      </c>
      <c r="P34" s="84">
        <f t="shared" ref="P34" si="296">IF(AND(D34="Não",I34&lt;&gt;"Serviço",CD34="Não"),IFERROR(IF(flag_interestadual,CE34,IF(CF34,CF34,CE34)),"?"),0)</f>
        <v>0.12</v>
      </c>
      <c r="Q34" s="84">
        <f t="shared" ref="Q34" si="297">IF(AND(D34="Não",I34&lt;&gt;"Serviço"),IF(I34="Material",IFERROR(VLOOKUP(L34,tbl_materiais,COLUMN(head_mat_IPI)-COLUMN(head_mat_item)+1,FALSE),"?"),IFERROR(VLOOKUP(O34,tbl_NCM_info,COLUMN(head_porNCM_IPI)-COLUMN(head_porNCM_NCM)+1,FALSE),"?")),0)</f>
        <v>0</v>
      </c>
      <c r="R34" s="84">
        <f t="shared" ref="R34" si="298">IF(AND(D34="Não",I34="Serviço"),IFERROR(VLOOKUP(CB34,tbl_ISS,5,FALSE),"?"),0)</f>
        <v>0</v>
      </c>
      <c r="S34" s="85">
        <f t="shared" ref="S34" si="299">IF(D34="Não",IF(reidi="Sim",0,IF(B34="Real",pis_naocum,pis_cum)),0)</f>
        <v>0</v>
      </c>
      <c r="T34" s="86">
        <f t="shared" ref="T34" si="300">IF(D34="Não",IF(reidi="Sim",0,IF(B34="Real",cofins_naocum,cofins_cum)),0)</f>
        <v>0</v>
      </c>
      <c r="U34" s="754" t="str" cm="1">
        <f t="array" ref="U34">IFERROR(IF(I34&lt;&gt;"Serviço",IF(AND(mlookup(tbl_DIFAL_data,UFdestino,tbl_DIFAL_UF,O34,tbl_DIFAL_NCM)&lt;&gt;"",C34="Consumo"),"Sim",""),""),"?")</f>
        <v/>
      </c>
      <c r="V34" s="755" t="str">
        <f>IFERROR(IF(I34&lt;&gt;"Serviço",IF(AND(D34="Não",mlookup(tbl_ST_data,UFdestino,tbl_ST_UF,O34,tbl_ST_NCM)&lt;&gt;"",C34="Revenda",CD34="Não"),"Sim",""),""),"?")</f>
        <v/>
      </c>
      <c r="W34" s="84">
        <f t="shared" ref="W34" si="301">IF(OR(U34="Sim",V34="Sim"),CG34,0)</f>
        <v>0</v>
      </c>
      <c r="X34" s="756">
        <f>IF(V34="Sim",mlookup(tbl_ST_data,UFdestino,tbl_ST_UF,O34,tbl_ST_NCM),0)</f>
        <v>0</v>
      </c>
      <c r="Z34" s="757">
        <f t="shared" ref="Z34" si="302">IF(AND(N34&gt;0,CQ34=FALSE),IFERROR(VLOOKUP(L34,tbl_servicos,COLUMN(head_serv_CL)-COLUMN(head_serv_item)+1,FALSE),IF(D34="Sim",0,IF(B34="Real",VLOOKUP(L34,tbl_materiais,COLUMN(head_mat_CLreal)-COLUMN(head_mat_item)+1,FALSE),VLOOKUP(L34,tbl_materiais,COLUMN(head_mat_CLpresumido)-COLUMN(head_mat_item)+1,FALSE)))),0)</f>
        <v>11405.733850000001</v>
      </c>
      <c r="AA34" s="753">
        <f t="shared" ref="AA34" si="303">Z34*N34</f>
        <v>22811.467700000001</v>
      </c>
      <c r="AC34" s="758">
        <f t="shared" si="136"/>
        <v>1.31243473968765E-2</v>
      </c>
      <c r="AD34" s="758">
        <f t="shared" ref="AD34" si="304">IF(F34="Sim",0,VLOOKUP(E34,tbl_mb,2,FALSE))</f>
        <v>0.15</v>
      </c>
      <c r="AF34" s="753">
        <f t="shared" ref="AF34" si="305">AI34*AC34</f>
        <v>357.74206812706359</v>
      </c>
      <c r="AG34" s="753">
        <f t="shared" ref="AG34" si="306">AI34*AD34</f>
        <v>4088.6840767283056</v>
      </c>
      <c r="AI34" s="753">
        <f t="shared" ref="AI34" si="307">AA34/(1-AC34-AD34)</f>
        <v>27257.893844855371</v>
      </c>
      <c r="AK34" s="758">
        <f t="shared" si="138"/>
        <v>0</v>
      </c>
      <c r="AL34" s="753">
        <f t="shared" ref="AL34" si="308">AM34*AK34</f>
        <v>0</v>
      </c>
      <c r="AM34" s="753">
        <f t="shared" ref="AM34" si="309">AI34/(1-AK34)</f>
        <v>27257.893844855371</v>
      </c>
      <c r="AO34" s="753" t="b">
        <f t="shared" ref="AO34" si="310">IF(ABS(SUM(AA34,AF34:AG34,AL34)-AM34)&lt;0.01,TRUE,FALSE)</f>
        <v>1</v>
      </c>
      <c r="AQ34" s="759">
        <f t="shared" ref="AQ34" si="311">IFERROR(AR34/N34,0)</f>
        <v>13628.946922427685</v>
      </c>
      <c r="AR34" s="759">
        <f t="shared" ref="AR34" si="312">AM34</f>
        <v>27257.893844855371</v>
      </c>
      <c r="AT34" s="759">
        <f t="shared" ref="AT34" si="313">IFERROR(AU34/N34,0)</f>
        <v>15487.439684576915</v>
      </c>
      <c r="AU34" s="759">
        <f t="shared" ref="AU34" si="314">IF(AND(N34&gt;0,CQ34=FALSE),IF(C34="Consumo",AR34*(1+Q34)/(1-P34*(1+Q34)-R34-S34-T34),AR34*(1+Q34)/(1-P34-R34-S34-T34)),0)</f>
        <v>30974.87936915383</v>
      </c>
      <c r="AW34" s="759">
        <f t="shared" ref="AW34" si="315">IF(AU34&gt;0,AU34/(1+Q34),0)</f>
        <v>30974.87936915383</v>
      </c>
      <c r="AX34" s="759">
        <f t="shared" ref="AX34" si="316">IF(AU34&gt;0,IF(C34="Consumo",AW34-AU34*P34,AW34*(1-P34)),0)</f>
        <v>27257.893844855371</v>
      </c>
      <c r="AY34" s="759">
        <f t="shared" ref="AY34" si="317">AX34-AW34*R34</f>
        <v>27257.893844855371</v>
      </c>
      <c r="AZ34" s="759">
        <f t="shared" ref="AZ34" si="318">AY34-AW34*(S34+T34)</f>
        <v>27257.893844855371</v>
      </c>
      <c r="BB34" s="753">
        <f t="shared" ref="BB34" si="319">IF(AW34&gt;0,AW34*Q34,0)</f>
        <v>0</v>
      </c>
      <c r="BC34" s="753">
        <f t="shared" ref="BC34" si="320">IF(AW34&gt;0,IF(C34="Consumo",AU34*P34,AW34*P34),0)</f>
        <v>3716.9855242984595</v>
      </c>
      <c r="BD34" s="753">
        <f t="shared" ref="BD34" si="321">AW34*R34</f>
        <v>0</v>
      </c>
      <c r="BE34" s="753">
        <f t="shared" ref="BE34" si="322">AW34*S34</f>
        <v>0</v>
      </c>
      <c r="BF34" s="753">
        <f t="shared" ref="BF34" si="323">AW34*T34</f>
        <v>0</v>
      </c>
      <c r="BH34" s="760">
        <f t="shared" ref="BH34" si="324">W34</f>
        <v>0</v>
      </c>
      <c r="BJ34" s="761">
        <f t="shared" ref="BJ34" si="325">IF(AND(U34&lt;&gt;"",C34="Consumo"),BH34-P34,0)</f>
        <v>0</v>
      </c>
      <c r="BK34" s="753">
        <f t="shared" ref="BK34" si="326">BJ34*AU34</f>
        <v>0</v>
      </c>
      <c r="BL34" s="753">
        <f t="shared" ref="BL34" si="327">AU34+BK34</f>
        <v>30974.87936915383</v>
      </c>
      <c r="BN34" s="758">
        <f t="shared" ref="BN34" si="328">X34</f>
        <v>0</v>
      </c>
      <c r="BO34" s="753">
        <f t="shared" ref="BO34" si="329">AU34*(1+BN34)</f>
        <v>30974.87936915383</v>
      </c>
      <c r="BP34" s="753">
        <f t="shared" ref="BP34" si="330">IF(AND(V34&lt;&gt;"",C34="Revenda"),BO34*BH34-BC34,0)</f>
        <v>0</v>
      </c>
      <c r="BQ34" s="753">
        <f t="shared" ref="BQ34" si="331">AU34+BP34</f>
        <v>30974.87936915383</v>
      </c>
      <c r="BS34" s="759">
        <f t="shared" ref="BS34" si="332">AU34-SUM(BB34:BF34)</f>
        <v>27257.893844855371</v>
      </c>
      <c r="BT34" s="753">
        <f t="shared" ref="BT34" si="333">AR34+SUM(BB34:BF34)</f>
        <v>30974.87936915383</v>
      </c>
      <c r="BU34" s="753" t="b">
        <f t="shared" ref="BU34" si="334">IF(ABS(BT34-BS34-SUM(BB34:BF34))&lt;0.01,TRUE,FALSE)</f>
        <v>1</v>
      </c>
      <c r="BW34" s="757" t="str">
        <f t="shared" ref="BW34" si="335">IF(AND(N34&gt;0,CQ34=FALSE),IF(D34="Sim","Fat. Direto",VLOOKUP(CB34,tbl_IRPJaux,2,FALSE)),"")</f>
        <v>Material</v>
      </c>
      <c r="BX34" s="753">
        <f t="shared" ref="BX34" si="336">IF(AND(BW34&lt;&gt;"NA",D34="Não"),MAX(BL34,BQ34),0)</f>
        <v>30974.87936915383</v>
      </c>
      <c r="BY34" s="752">
        <f t="shared" ref="BY34" si="337">IF(BX34&gt;0,VLOOKUP(CB34,tbl_IRPJaux,3,FALSE),0)</f>
        <v>1</v>
      </c>
      <c r="BZ34" s="757">
        <f t="shared" ref="BZ34" si="338">IF(BX34&gt;0,AA34*BY34+AG34*recuperavel_MB_ir_real+AF34*recuperavel_coberturas_ir_real+SUM(BB34:BF34,BK34,BP34),0)</f>
        <v>26886.195292425524</v>
      </c>
      <c r="CA34" s="757"/>
      <c r="CB34" s="757" t="str">
        <f t="shared" ref="CB34" si="339">IFERROR(VLOOKUP(L34,tbl_materiais,COLUMN(head_mat_WBS)-COLUMN(head_mat_item)+1,FALSE),IFERROR(VLOOKUP(L34,tbl_servicos,COLUMN(head_serv_WBS)-COLUMN(head_serv_item)+1,FALSE),"?"))</f>
        <v xml:space="preserve">  Comunicação</v>
      </c>
      <c r="CD34" s="753" t="str">
        <f t="shared" ref="CD34" si="340">IFERROR(VLOOKUP(L34,tbl_materiais,COLUMN(head_mat_st)-COLUMN(head_mat_item)+1,FALSE),"Não")</f>
        <v>Não</v>
      </c>
      <c r="CE34" s="760">
        <f>ifzero(mlookup(tbl_ICMSinterest_data,UFdestino,tbl_ICMSinterest_ufdest,UForigem,tbl_ICMSinterest_uforig))</f>
        <v>0.12</v>
      </c>
      <c r="CF34" s="760">
        <f>IF(N34&gt;0,IF(I34&lt;&gt;"Serviço",ifzero(mlookup(tbl_ICMSinterno_data,UForigem,tbl_ICMSinterno_UF,O34,tbl_ICMSinterno_NCM),mlookup(tbl_ICMSinterest_data,UForigem,tbl_ICMSinterest_ufdest,UForigem,tbl_ICMSinterest_uforig)),""),0)</f>
        <v>0.12</v>
      </c>
      <c r="CG34" s="760">
        <f>IF(N34&gt;0,IF(I34&lt;&gt;"Serviço",ifzero(mlookup(tbl_ICMSinterno_data,UFdestino,tbl_ICMSinterno_UF,O34,tbl_ICMSinterno_NCM),mlookup(tbl_ICMSinterest_data,UFdestino,tbl_ICMSinterest_ufdest,UFdestino,tbl_ICMSinterest_uforig)),""),0)</f>
        <v>0.18</v>
      </c>
      <c r="CI34" s="753">
        <f t="shared" ref="CI34" si="341">IFERROR(IF(AND(I34&lt;&gt;"Serviço",D34="Não"),N34*VLOOKUP(L34,tbl_materiais,COLUMN(head_mat_credito_ICMS)-COLUMN(head_mat_item)+1,FALSE),0),0)</f>
        <v>958.38323462414587</v>
      </c>
      <c r="CJ34" s="753">
        <f t="shared" ref="CJ34" si="342">IFERROR(IF(AND(I34&lt;&gt;"Serviço",D34="Não"),N34*VLOOKUP(L34,tbl_materiais,COLUMN(head_mat_credito_IPI)-COLUMN(head_mat_item)+1,FALSE),0),0)</f>
        <v>2336.0591343963533</v>
      </c>
      <c r="CK34" s="753">
        <f t="shared" ref="CK34" si="343">IFERROR(IF(AND(I34&lt;&gt;"Serviço",D34="Não",B34="Real"),N34*VLOOKUP(L34,tbl_materiais,COLUMN(head_mat_credito_PIS)-COLUMN(head_mat_item)+1,FALSE),0),0)</f>
        <v>395.33308428246016</v>
      </c>
      <c r="CL34" s="753">
        <f t="shared" ref="CL34" si="344">IFERROR(IF(AND(I34&lt;&gt;"Serviço",D34="Não",B34="Real"),N34*VLOOKUP(L34,tbl_materiais,COLUMN(head_mat_credito_COFINS)-COLUMN(head_mat_item)+1,FALSE),0),0)</f>
        <v>1820.9281457858769</v>
      </c>
      <c r="CN34" s="762">
        <f t="shared" ref="CN34" si="345">IFERROR(SUMIF(serv_col_item,"="&amp;L34,serv_col_totalhh),0)</f>
        <v>0</v>
      </c>
      <c r="CO34" s="753">
        <f t="shared" ref="CO34" si="346">IFERROR(SUMIF(serv_col_item,"="&amp;L34,serv_col_gdv),0)</f>
        <v>0</v>
      </c>
      <c r="CQ34" s="753" t="b">
        <f t="shared" ref="CQ34" si="347">IF(N34&gt;0,IF(ISERROR(HLOOKUP(L34,std_tbl4,1,FALSE)),FALSE,TRUE),FALSE)</f>
        <v>0</v>
      </c>
      <c r="CR34" s="753" t="b">
        <f t="shared" ref="CR34" si="348">IF(AND(CQ34,I34&lt;&gt;std_tiponcm),FALSE,TRUE)</f>
        <v>1</v>
      </c>
      <c r="CS34" s="753" t="b">
        <f t="shared" ref="CS34" si="349">IF(AND(CQ34,D34="Sim"),TRUE,FALSE)</f>
        <v>0</v>
      </c>
      <c r="CU34" s="753">
        <f t="shared" ref="CU34" si="350">IF(D34="Sim",VLOOKUP(L34,tbl_materiais,COLUMN(head_mat_fatdir)-COLUMN(head_mat_item)+1,FALSE),0)</f>
        <v>0</v>
      </c>
      <c r="CV34" s="757">
        <f t="shared" ref="CV34" si="351">CU34*N34</f>
        <v>0</v>
      </c>
      <c r="CW34" s="757">
        <f t="shared" ref="CW34" si="352">CX34*(1-CY34-DA34-DE34-DG34)/(1+DC34)</f>
        <v>0</v>
      </c>
      <c r="CX34" s="757">
        <f t="shared" ref="CX34" si="353">CV34/(1-AK34)</f>
        <v>0</v>
      </c>
      <c r="CY34" s="763">
        <f t="shared" ref="CY34" si="354">IF(D34="Sim",VLOOKUP(L34,tbl_materiais,COLUMN(head_mat_ICMS_input)-COLUMN(head_mat_item)+1,FALSE),0)</f>
        <v>0</v>
      </c>
      <c r="CZ34" s="757">
        <f t="shared" ref="CZ34" si="355">CX34*CY34</f>
        <v>0</v>
      </c>
      <c r="DA34" s="763">
        <f t="shared" ref="DA34" si="356">IF(D34="Sim",VLOOKUP(L34,tbl_materiais,COLUMN(head_mat_ISS_input)-COLUMN(head_mat_item)+1,FALSE),0)</f>
        <v>0</v>
      </c>
      <c r="DB34" s="757">
        <f t="shared" ref="DB34" si="357">CX34*DA34</f>
        <v>0</v>
      </c>
      <c r="DC34" s="763">
        <f t="shared" ref="DC34" si="358">IF(D34="Sim",VLOOKUP(L34,tbl_materiais,COLUMN(head_mat_IPI_input)-COLUMN(head_mat_item)+1,FALSE),0)</f>
        <v>0</v>
      </c>
      <c r="DD34" s="757">
        <f t="shared" ref="DD34" si="359">CX34*DC34/(1+DC34)</f>
        <v>0</v>
      </c>
      <c r="DE34" s="764">
        <v>0</v>
      </c>
      <c r="DF34" s="757">
        <f t="shared" ref="DF34" si="360">(CX34-DD34)*DE34</f>
        <v>0</v>
      </c>
      <c r="DG34" s="764">
        <v>0</v>
      </c>
      <c r="DH34" s="757">
        <f t="shared" ref="DH34" si="361">(CX34-DD34)*DG34</f>
        <v>0</v>
      </c>
      <c r="DI34" s="757">
        <f t="shared" ref="DI34" si="362">CX34-CZ34-DD34-DF34-DH34</f>
        <v>0</v>
      </c>
      <c r="DK34" s="760">
        <f t="shared" ref="DK34" si="363">IF(AND(I34&lt;&gt;"Serviço",Z34&gt;0),P34,"NA")</f>
        <v>0.12</v>
      </c>
      <c r="DL34" s="753" t="str">
        <f t="shared" ref="DL34" si="364">IF(AND(I34="Serviço",Z34&gt;0),R34,"NA")</f>
        <v>NA</v>
      </c>
      <c r="DM34" s="760">
        <f t="shared" ref="DM34" si="365">IF(AND(I34&lt;&gt;"Serviço",Z34&gt;0),Q34,"NA")</f>
        <v>0</v>
      </c>
      <c r="DN34" s="765">
        <f t="shared" ref="DN34" si="366">IF(Z34&gt;0,S34,"NA")</f>
        <v>0</v>
      </c>
      <c r="DO34" s="766">
        <f t="shared" ref="DO34" si="367">IF(Z34&gt;0,T34,"NA")</f>
        <v>0</v>
      </c>
      <c r="DP34" s="766"/>
      <c r="DQ34" s="760" t="str">
        <f t="shared" ref="DQ34" si="368">IF(AND(I34&lt;&gt;"Serviço",CU34&gt;0),CY34,"NA")</f>
        <v>NA</v>
      </c>
      <c r="DR34" s="753" t="str">
        <f t="shared" ref="DR34" si="369">IF(AND(I34="Serviço",CU34&gt;0),DA34,"NA")</f>
        <v>NA</v>
      </c>
      <c r="DS34" s="760" t="str">
        <f t="shared" ref="DS34" si="370">IF(AND(I34&lt;&gt;"Serviço",CU34&gt;0),DC34,"NA")</f>
        <v>NA</v>
      </c>
      <c r="DT34" s="765" t="str">
        <f t="shared" ref="DT34" si="371">IF(CU34&gt;0,DE34,"NA")</f>
        <v>NA</v>
      </c>
      <c r="DU34" s="766" t="str">
        <f t="shared" ref="DU34" si="372">IF(CU34&gt;0,DG34,"NA")</f>
        <v>NA</v>
      </c>
      <c r="DV34" s="766"/>
      <c r="DW34" s="753">
        <f t="shared" ref="DW34" si="373">IF(CQ34,N34*HLOOKUP(L34,std_tbl6,ROW(std_PL_real)-ROW(row_std_head)+1,FALSE),AA34)</f>
        <v>22811.467700000001</v>
      </c>
      <c r="DX34" s="753">
        <f t="shared" ref="DX34" si="374">IF(CQ34,DW34/(1-AC34-AD34)/(1-AK34),AM34)</f>
        <v>27257.893844855371</v>
      </c>
      <c r="DY34" s="753">
        <f t="shared" ref="DY34" si="375">IF(CQ34,IF(C34="Industrialização",DX34/(1-P34-S34-T34)*(1+Q34),DX34/(1-P34*(1+Q34)-S34-T34)*(1+Q34)),AU34)</f>
        <v>30974.87936915383</v>
      </c>
      <c r="DZ34" s="766"/>
      <c r="EA34" s="767"/>
      <c r="EC34" s="753" t="s">
        <v>53</v>
      </c>
      <c r="ED34" s="753" t="s">
        <v>53</v>
      </c>
      <c r="EE34" s="753" t="s">
        <v>52</v>
      </c>
    </row>
    <row r="35" spans="1:135" s="753" customFormat="1" ht="35.4" customHeight="1" x14ac:dyDescent="0.25">
      <c r="A35" s="752"/>
      <c r="B35" s="753" t="s">
        <v>268</v>
      </c>
      <c r="C35" s="753" t="s">
        <v>255</v>
      </c>
      <c r="D35" s="757" t="s">
        <v>53</v>
      </c>
      <c r="E35" s="18" t="s">
        <v>38</v>
      </c>
      <c r="F35" s="753" t="s">
        <v>53</v>
      </c>
      <c r="G35" s="781" t="s">
        <v>695</v>
      </c>
      <c r="H35" s="255" t="s">
        <v>357</v>
      </c>
      <c r="I35" s="752" t="s">
        <v>1910</v>
      </c>
      <c r="K35" s="318" t="s">
        <v>2803</v>
      </c>
      <c r="L35" s="502" t="s">
        <v>2410</v>
      </c>
      <c r="M35" s="50" t="str">
        <f t="shared" ref="M35" si="376">IFERROR(IFERROR(VLOOKUP(L35,tbl_materiais,COLUMN(head_mat_descricao)-COLUMN(head_mat_item)+1,FALSE),VLOOKUP(L35,tbl_servicos,COLUMN(head_serv_descricao)-COLUMN(head_serv_item)+1,FALSE)),"?")</f>
        <v>SFP Fast Ethernet, 100 Mbps, MM LC, referência 6GK6000-8FE50-0AA0. Fabricante: Siemens/RUGGEDCOM.</v>
      </c>
      <c r="N35" s="51">
        <f>3*N34</f>
        <v>6</v>
      </c>
      <c r="O35" s="83">
        <f t="shared" ref="O35" si="377">IF(CQ35,std_ncm,IF(I35="Serviço","NA",IF(I35="Material",IFERROR(VLOOKUP(L35,tbl_materiais,COLUMN(head_mat_NCM)-COLUMN(head_mat_item)+1,FALSE),"?"),IFERROR(VLOOKUP(I35,tbl_TipoLinha,2,FALSE),"?"))))</f>
        <v>85372090</v>
      </c>
      <c r="P35" s="84">
        <f t="shared" ref="P35" si="378">IF(AND(D35="Não",I35&lt;&gt;"Serviço",CD35="Não"),IFERROR(IF(flag_interestadual,CE35,IF(CF35,CF35,CE35)),"?"),0)</f>
        <v>0.12</v>
      </c>
      <c r="Q35" s="84">
        <f t="shared" ref="Q35" si="379">IF(AND(D35="Não",I35&lt;&gt;"Serviço"),IF(I35="Material",IFERROR(VLOOKUP(L35,tbl_materiais,COLUMN(head_mat_IPI)-COLUMN(head_mat_item)+1,FALSE),"?"),IFERROR(VLOOKUP(O35,tbl_NCM_info,COLUMN(head_porNCM_IPI)-COLUMN(head_porNCM_NCM)+1,FALSE),"?")),0)</f>
        <v>0</v>
      </c>
      <c r="R35" s="84">
        <f t="shared" ref="R35" si="380">IF(AND(D35="Não",I35="Serviço"),IFERROR(VLOOKUP(CB35,tbl_ISS,5,FALSE),"?"),0)</f>
        <v>0</v>
      </c>
      <c r="S35" s="85">
        <f t="shared" ref="S35" si="381">IF(D35="Não",IF(reidi="Sim",0,IF(B35="Real",pis_naocum,pis_cum)),0)</f>
        <v>0</v>
      </c>
      <c r="T35" s="86">
        <f t="shared" ref="T35" si="382">IF(D35="Não",IF(reidi="Sim",0,IF(B35="Real",cofins_naocum,cofins_cum)),0)</f>
        <v>0</v>
      </c>
      <c r="U35" s="754" t="str" cm="1">
        <f t="array" ref="U35">IFERROR(IF(I35&lt;&gt;"Serviço",IF(AND(mlookup(tbl_DIFAL_data,UFdestino,tbl_DIFAL_UF,O35,tbl_DIFAL_NCM)&lt;&gt;"",C35="Consumo"),"Sim",""),""),"?")</f>
        <v/>
      </c>
      <c r="V35" s="755" t="str">
        <f>IFERROR(IF(I35&lt;&gt;"Serviço",IF(AND(D35="Não",mlookup(tbl_ST_data,UFdestino,tbl_ST_UF,O35,tbl_ST_NCM)&lt;&gt;"",C35="Revenda",CD35="Não"),"Sim",""),""),"?")</f>
        <v/>
      </c>
      <c r="W35" s="84">
        <f t="shared" ref="W35" si="383">IF(OR(U35="Sim",V35="Sim"),CG35,0)</f>
        <v>0</v>
      </c>
      <c r="X35" s="756">
        <f>IF(V35="Sim",mlookup(tbl_ST_data,UFdestino,tbl_ST_UF,O35,tbl_ST_NCM),0)</f>
        <v>0</v>
      </c>
      <c r="Z35" s="757">
        <f t="shared" ref="Z35" si="384">IF(AND(N35&gt;0,CQ35=FALSE),IFERROR(VLOOKUP(L35,tbl_servicos,COLUMN(head_serv_CL)-COLUMN(head_serv_item)+1,FALSE),IF(D35="Sim",0,IF(B35="Real",VLOOKUP(L35,tbl_materiais,COLUMN(head_mat_CLreal)-COLUMN(head_mat_item)+1,FALSE),VLOOKUP(L35,tbl_materiais,COLUMN(head_mat_CLpresumido)-COLUMN(head_mat_item)+1,FALSE)))),0)</f>
        <v>1082.5011999999999</v>
      </c>
      <c r="AA35" s="753">
        <f t="shared" ref="AA35" si="385">Z35*N35</f>
        <v>6495.0072</v>
      </c>
      <c r="AC35" s="758">
        <f t="shared" si="136"/>
        <v>1.31243473968765E-2</v>
      </c>
      <c r="AD35" s="758">
        <f t="shared" ref="AD35" si="386">IF(F35="Sim",0,VLOOKUP(E35,tbl_mb,2,FALSE))</f>
        <v>0.15</v>
      </c>
      <c r="AF35" s="753">
        <f t="shared" ref="AF35" si="387">AI35*AC35</f>
        <v>101.85829946523644</v>
      </c>
      <c r="AG35" s="753">
        <f t="shared" ref="AG35" si="388">AI35*AD35</f>
        <v>1164.1527351997477</v>
      </c>
      <c r="AI35" s="753">
        <f t="shared" ref="AI35" si="389">AA35/(1-AC35-AD35)</f>
        <v>7761.0182346649844</v>
      </c>
      <c r="AK35" s="758">
        <f t="shared" si="138"/>
        <v>0</v>
      </c>
      <c r="AL35" s="753">
        <f t="shared" ref="AL35" si="390">AM35*AK35</f>
        <v>0</v>
      </c>
      <c r="AM35" s="753">
        <f t="shared" ref="AM35" si="391">AI35/(1-AK35)</f>
        <v>7761.0182346649844</v>
      </c>
      <c r="AO35" s="753" t="b">
        <f t="shared" ref="AO35" si="392">IF(ABS(SUM(AA35,AF35:AG35,AL35)-AM35)&lt;0.01,TRUE,FALSE)</f>
        <v>1</v>
      </c>
      <c r="AQ35" s="759">
        <f t="shared" ref="AQ35" si="393">IFERROR(AR35/N35,0)</f>
        <v>1293.5030391108307</v>
      </c>
      <c r="AR35" s="759">
        <f t="shared" ref="AR35" si="394">AM35</f>
        <v>7761.0182346649844</v>
      </c>
      <c r="AT35" s="759">
        <f t="shared" ref="AT35" si="395">IFERROR(AU35/N35,0)</f>
        <v>1469.8898171713984</v>
      </c>
      <c r="AU35" s="759">
        <f t="shared" ref="AU35" si="396">IF(AND(N35&gt;0,CQ35=FALSE),IF(C35="Consumo",AR35*(1+Q35)/(1-P35*(1+Q35)-R35-S35-T35),AR35*(1+Q35)/(1-P35-R35-S35-T35)),0)</f>
        <v>8819.3389030283906</v>
      </c>
      <c r="AW35" s="759">
        <f t="shared" ref="AW35" si="397">IF(AU35&gt;0,AU35/(1+Q35),0)</f>
        <v>8819.3389030283906</v>
      </c>
      <c r="AX35" s="759">
        <f t="shared" ref="AX35" si="398">IF(AU35&gt;0,IF(C35="Consumo",AW35-AU35*P35,AW35*(1-P35)),0)</f>
        <v>7761.0182346649835</v>
      </c>
      <c r="AY35" s="759">
        <f t="shared" ref="AY35" si="399">AX35-AW35*R35</f>
        <v>7761.0182346649835</v>
      </c>
      <c r="AZ35" s="759">
        <f t="shared" ref="AZ35" si="400">AY35-AW35*(S35+T35)</f>
        <v>7761.0182346649835</v>
      </c>
      <c r="BB35" s="753">
        <f t="shared" ref="BB35" si="401">IF(AW35&gt;0,AW35*Q35,0)</f>
        <v>0</v>
      </c>
      <c r="BC35" s="753">
        <f t="shared" ref="BC35" si="402">IF(AW35&gt;0,IF(C35="Consumo",AU35*P35,AW35*P35),0)</f>
        <v>1058.3206683634069</v>
      </c>
      <c r="BD35" s="753">
        <f t="shared" ref="BD35" si="403">AW35*R35</f>
        <v>0</v>
      </c>
      <c r="BE35" s="753">
        <f t="shared" ref="BE35" si="404">AW35*S35</f>
        <v>0</v>
      </c>
      <c r="BF35" s="753">
        <f t="shared" ref="BF35" si="405">AW35*T35</f>
        <v>0</v>
      </c>
      <c r="BH35" s="760">
        <f t="shared" ref="BH35" si="406">W35</f>
        <v>0</v>
      </c>
      <c r="BJ35" s="761">
        <f t="shared" ref="BJ35" si="407">IF(AND(U35&lt;&gt;"",C35="Consumo"),BH35-P35,0)</f>
        <v>0</v>
      </c>
      <c r="BK35" s="753">
        <f t="shared" ref="BK35" si="408">BJ35*AU35</f>
        <v>0</v>
      </c>
      <c r="BL35" s="753">
        <f t="shared" ref="BL35" si="409">AU35+BK35</f>
        <v>8819.3389030283906</v>
      </c>
      <c r="BN35" s="758">
        <f t="shared" ref="BN35" si="410">X35</f>
        <v>0</v>
      </c>
      <c r="BO35" s="753">
        <f t="shared" ref="BO35" si="411">AU35*(1+BN35)</f>
        <v>8819.3389030283906</v>
      </c>
      <c r="BP35" s="753">
        <f t="shared" ref="BP35" si="412">IF(AND(V35&lt;&gt;"",C35="Revenda"),BO35*BH35-BC35,0)</f>
        <v>0</v>
      </c>
      <c r="BQ35" s="753">
        <f t="shared" ref="BQ35" si="413">AU35+BP35</f>
        <v>8819.3389030283906</v>
      </c>
      <c r="BS35" s="759">
        <f t="shared" ref="BS35" si="414">AU35-SUM(BB35:BF35)</f>
        <v>7761.0182346649835</v>
      </c>
      <c r="BT35" s="753">
        <f t="shared" ref="BT35" si="415">AR35+SUM(BB35:BF35)</f>
        <v>8819.3389030283906</v>
      </c>
      <c r="BU35" s="753" t="b">
        <f t="shared" ref="BU35" si="416">IF(ABS(BT35-BS35-SUM(BB35:BF35))&lt;0.01,TRUE,FALSE)</f>
        <v>1</v>
      </c>
      <c r="BW35" s="757" t="str">
        <f t="shared" ref="BW35" si="417">IF(AND(N35&gt;0,CQ35=FALSE),IF(D35="Sim","Fat. Direto",VLOOKUP(CB35,tbl_IRPJaux,2,FALSE)),"")</f>
        <v>Material</v>
      </c>
      <c r="BX35" s="753">
        <f t="shared" ref="BX35" si="418">IF(AND(BW35&lt;&gt;"NA",D35="Não"),MAX(BL35,BQ35),0)</f>
        <v>8819.3389030283906</v>
      </c>
      <c r="BY35" s="752">
        <f t="shared" ref="BY35" si="419">IF(BX35&gt;0,VLOOKUP(CB35,tbl_IRPJaux,3,FALSE),0)</f>
        <v>1</v>
      </c>
      <c r="BZ35" s="757">
        <f t="shared" ref="BZ35" si="420">IF(BX35&gt;0,AA35*BY35+AG35*recuperavel_MB_ir_real+AF35*recuperavel_coberturas_ir_real+SUM(BB35:BF35,BK35,BP35),0)</f>
        <v>7655.1861678286432</v>
      </c>
      <c r="CA35" s="757"/>
      <c r="CB35" s="757" t="str">
        <f t="shared" ref="CB35" si="421">IFERROR(VLOOKUP(L35,tbl_materiais,COLUMN(head_mat_WBS)-COLUMN(head_mat_item)+1,FALSE),IFERROR(VLOOKUP(L35,tbl_servicos,COLUMN(head_serv_WBS)-COLUMN(head_serv_item)+1,FALSE),"?"))</f>
        <v xml:space="preserve">  Comunicação</v>
      </c>
      <c r="CD35" s="753" t="str">
        <f t="shared" ref="CD35" si="422">IFERROR(VLOOKUP(L35,tbl_materiais,COLUMN(head_mat_st)-COLUMN(head_mat_item)+1,FALSE),"Não")</f>
        <v>Não</v>
      </c>
      <c r="CE35" s="760">
        <f>ifzero(mlookup(tbl_ICMSinterest_data,UFdestino,tbl_ICMSinterest_ufdest,UForigem,tbl_ICMSinterest_uforig))</f>
        <v>0.12</v>
      </c>
      <c r="CF35" s="760">
        <f>IF(N35&gt;0,IF(I35&lt;&gt;"Serviço",ifzero(mlookup(tbl_ICMSinterno_data,UForigem,tbl_ICMSinterno_UF,O35,tbl_ICMSinterno_NCM),mlookup(tbl_ICMSinterest_data,UForigem,tbl_ICMSinterest_ufdest,UForigem,tbl_ICMSinterest_uforig)),""),0)</f>
        <v>0.12</v>
      </c>
      <c r="CG35" s="760">
        <f>IF(N35&gt;0,IF(I35&lt;&gt;"Serviço",ifzero(mlookup(tbl_ICMSinterno_data,UFdestino,tbl_ICMSinterno_UF,O35,tbl_ICMSinterno_NCM),mlookup(tbl_ICMSinterest_data,UFdestino,tbl_ICMSinterest_ufdest,UFdestino,tbl_ICMSinterest_uforig)),""),0)</f>
        <v>0.18</v>
      </c>
      <c r="CI35" s="753">
        <f t="shared" ref="CI35" si="423">IFERROR(IF(AND(I35&lt;&gt;"Serviço",D35="Não"),N35*VLOOKUP(L35,tbl_materiais,COLUMN(head_mat_credito_ICMS)-COLUMN(head_mat_item)+1,FALSE),0),0)</f>
        <v>278.58753488372088</v>
      </c>
      <c r="CJ35" s="753">
        <f t="shared" ref="CJ35" si="424">IFERROR(IF(AND(I35&lt;&gt;"Serviço",D35="Não"),N35*VLOOKUP(L35,tbl_materiais,COLUMN(head_mat_credito_IPI)-COLUMN(head_mat_item)+1,FALSE),0),0)</f>
        <v>522.35162790697677</v>
      </c>
      <c r="CK35" s="753">
        <f t="shared" ref="CK35" si="425">IFERROR(IF(AND(I35&lt;&gt;"Serviço",D35="Não",B35="Real"),N35*VLOOKUP(L35,tbl_materiais,COLUMN(head_mat_credito_PIS)-COLUMN(head_mat_item)+1,FALSE),0),0)</f>
        <v>114.91735813953488</v>
      </c>
      <c r="CL35" s="753">
        <f t="shared" ref="CL35" si="426">IFERROR(IF(AND(I35&lt;&gt;"Serviço",D35="Não",B35="Real"),N35*VLOOKUP(L35,tbl_materiais,COLUMN(head_mat_credito_COFINS)-COLUMN(head_mat_item)+1,FALSE),0),0)</f>
        <v>529.31631627906972</v>
      </c>
      <c r="CN35" s="762">
        <f t="shared" ref="CN35" si="427">IFERROR(SUMIF(serv_col_item,"="&amp;L35,serv_col_totalhh),0)</f>
        <v>0</v>
      </c>
      <c r="CO35" s="753">
        <f t="shared" ref="CO35" si="428">IFERROR(SUMIF(serv_col_item,"="&amp;L35,serv_col_gdv),0)</f>
        <v>0</v>
      </c>
      <c r="CQ35" s="753" t="b">
        <f t="shared" ref="CQ35" si="429">IF(N35&gt;0,IF(ISERROR(HLOOKUP(L35,std_tbl4,1,FALSE)),FALSE,TRUE),FALSE)</f>
        <v>0</v>
      </c>
      <c r="CR35" s="753" t="b">
        <f t="shared" ref="CR35" si="430">IF(AND(CQ35,I35&lt;&gt;std_tiponcm),FALSE,TRUE)</f>
        <v>1</v>
      </c>
      <c r="CS35" s="753" t="b">
        <f t="shared" ref="CS35" si="431">IF(AND(CQ35,D35="Sim"),TRUE,FALSE)</f>
        <v>0</v>
      </c>
      <c r="CU35" s="753">
        <f t="shared" ref="CU35" si="432">IF(D35="Sim",VLOOKUP(L35,tbl_materiais,COLUMN(head_mat_fatdir)-COLUMN(head_mat_item)+1,FALSE),0)</f>
        <v>0</v>
      </c>
      <c r="CV35" s="757">
        <f t="shared" ref="CV35" si="433">CU35*N35</f>
        <v>0</v>
      </c>
      <c r="CW35" s="757">
        <f t="shared" ref="CW35" si="434">CX35*(1-CY35-DA35-DE35-DG35)/(1+DC35)</f>
        <v>0</v>
      </c>
      <c r="CX35" s="757">
        <f t="shared" ref="CX35" si="435">CV35/(1-AK35)</f>
        <v>0</v>
      </c>
      <c r="CY35" s="763">
        <f t="shared" ref="CY35" si="436">IF(D35="Sim",VLOOKUP(L35,tbl_materiais,COLUMN(head_mat_ICMS_input)-COLUMN(head_mat_item)+1,FALSE),0)</f>
        <v>0</v>
      </c>
      <c r="CZ35" s="757">
        <f t="shared" ref="CZ35" si="437">CX35*CY35</f>
        <v>0</v>
      </c>
      <c r="DA35" s="763">
        <f t="shared" ref="DA35" si="438">IF(D35="Sim",VLOOKUP(L35,tbl_materiais,COLUMN(head_mat_ISS_input)-COLUMN(head_mat_item)+1,FALSE),0)</f>
        <v>0</v>
      </c>
      <c r="DB35" s="757">
        <f t="shared" ref="DB35" si="439">CX35*DA35</f>
        <v>0</v>
      </c>
      <c r="DC35" s="763">
        <f t="shared" ref="DC35" si="440">IF(D35="Sim",VLOOKUP(L35,tbl_materiais,COLUMN(head_mat_IPI_input)-COLUMN(head_mat_item)+1,FALSE),0)</f>
        <v>0</v>
      </c>
      <c r="DD35" s="757">
        <f t="shared" ref="DD35" si="441">CX35*DC35/(1+DC35)</f>
        <v>0</v>
      </c>
      <c r="DE35" s="764">
        <v>0</v>
      </c>
      <c r="DF35" s="757">
        <f t="shared" ref="DF35" si="442">(CX35-DD35)*DE35</f>
        <v>0</v>
      </c>
      <c r="DG35" s="764">
        <v>0</v>
      </c>
      <c r="DH35" s="757">
        <f t="shared" ref="DH35" si="443">(CX35-DD35)*DG35</f>
        <v>0</v>
      </c>
      <c r="DI35" s="757">
        <f t="shared" ref="DI35" si="444">CX35-CZ35-DD35-DF35-DH35</f>
        <v>0</v>
      </c>
      <c r="DK35" s="760">
        <f t="shared" ref="DK35" si="445">IF(AND(I35&lt;&gt;"Serviço",Z35&gt;0),P35,"NA")</f>
        <v>0.12</v>
      </c>
      <c r="DL35" s="753" t="str">
        <f t="shared" ref="DL35" si="446">IF(AND(I35="Serviço",Z35&gt;0),R35,"NA")</f>
        <v>NA</v>
      </c>
      <c r="DM35" s="760">
        <f t="shared" ref="DM35" si="447">IF(AND(I35&lt;&gt;"Serviço",Z35&gt;0),Q35,"NA")</f>
        <v>0</v>
      </c>
      <c r="DN35" s="765">
        <f t="shared" ref="DN35" si="448">IF(Z35&gt;0,S35,"NA")</f>
        <v>0</v>
      </c>
      <c r="DO35" s="766">
        <f t="shared" ref="DO35" si="449">IF(Z35&gt;0,T35,"NA")</f>
        <v>0</v>
      </c>
      <c r="DP35" s="766"/>
      <c r="DQ35" s="760" t="str">
        <f t="shared" ref="DQ35" si="450">IF(AND(I35&lt;&gt;"Serviço",CU35&gt;0),CY35,"NA")</f>
        <v>NA</v>
      </c>
      <c r="DR35" s="753" t="str">
        <f t="shared" ref="DR35" si="451">IF(AND(I35="Serviço",CU35&gt;0),DA35,"NA")</f>
        <v>NA</v>
      </c>
      <c r="DS35" s="760" t="str">
        <f t="shared" ref="DS35" si="452">IF(AND(I35&lt;&gt;"Serviço",CU35&gt;0),DC35,"NA")</f>
        <v>NA</v>
      </c>
      <c r="DT35" s="765" t="str">
        <f t="shared" ref="DT35" si="453">IF(CU35&gt;0,DE35,"NA")</f>
        <v>NA</v>
      </c>
      <c r="DU35" s="766" t="str">
        <f t="shared" ref="DU35" si="454">IF(CU35&gt;0,DG35,"NA")</f>
        <v>NA</v>
      </c>
      <c r="DV35" s="766"/>
      <c r="DW35" s="753">
        <f t="shared" ref="DW35" si="455">IF(CQ35,N35*HLOOKUP(L35,std_tbl6,ROW(std_PL_real)-ROW(row_std_head)+1,FALSE),AA35)</f>
        <v>6495.0072</v>
      </c>
      <c r="DX35" s="753">
        <f t="shared" ref="DX35" si="456">IF(CQ35,DW35/(1-AC35-AD35)/(1-AK35),AM35)</f>
        <v>7761.0182346649844</v>
      </c>
      <c r="DY35" s="753">
        <f t="shared" ref="DY35" si="457">IF(CQ35,IF(C35="Industrialização",DX35/(1-P35-S35-T35)*(1+Q35),DX35/(1-P35*(1+Q35)-S35-T35)*(1+Q35)),AU35)</f>
        <v>8819.3389030283906</v>
      </c>
      <c r="DZ35" s="766"/>
      <c r="EA35" s="767"/>
      <c r="EC35" s="753" t="s">
        <v>53</v>
      </c>
      <c r="ED35" s="753" t="s">
        <v>53</v>
      </c>
      <c r="EE35" s="753" t="s">
        <v>52</v>
      </c>
    </row>
    <row r="36" spans="1:135" s="56" customFormat="1" ht="19.649999999999999" customHeight="1" x14ac:dyDescent="0.25">
      <c r="A36" s="294" t="s">
        <v>350</v>
      </c>
      <c r="B36"/>
      <c r="C36"/>
      <c r="D36"/>
      <c r="E36"/>
      <c r="F36"/>
      <c r="G36"/>
      <c r="H36"/>
      <c r="I36"/>
      <c r="K36" s="613" t="s">
        <v>2804</v>
      </c>
      <c r="L36" s="824"/>
      <c r="M36" s="872" t="s">
        <v>3031</v>
      </c>
      <c r="N36" s="869"/>
      <c r="O36" s="58"/>
      <c r="P36" s="59"/>
      <c r="Q36" s="59"/>
      <c r="R36" s="59"/>
      <c r="S36" s="59"/>
      <c r="T36" s="60"/>
      <c r="U36" s="61"/>
      <c r="V36" s="59"/>
      <c r="W36" s="59"/>
      <c r="X36" s="60"/>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s="806"/>
    </row>
    <row r="37" spans="1:135" s="753" customFormat="1" ht="22.65" customHeight="1" x14ac:dyDescent="0.25">
      <c r="A37" s="752"/>
      <c r="B37" s="753" t="s">
        <v>268</v>
      </c>
      <c r="C37" s="753" t="s">
        <v>255</v>
      </c>
      <c r="D37" s="757" t="s">
        <v>53</v>
      </c>
      <c r="E37" s="845" t="s">
        <v>3129</v>
      </c>
      <c r="F37" s="753" t="s">
        <v>53</v>
      </c>
      <c r="G37" s="832" t="s">
        <v>2300</v>
      </c>
      <c r="H37" s="831" t="s">
        <v>3044</v>
      </c>
      <c r="I37" s="752" t="s">
        <v>164</v>
      </c>
      <c r="K37" s="318" t="s">
        <v>2805</v>
      </c>
      <c r="L37" s="502" t="s">
        <v>2427</v>
      </c>
      <c r="M37" s="50" t="str">
        <f t="shared" ref="M37" si="458">IFERROR(IFERROR(VLOOKUP(L37,tbl_materiais,COLUMN(head_mat_descricao)-COLUMN(head_mat_item)+1,FALSE),VLOOKUP(L37,tbl_servicos,COLUMN(head_serv_descricao)-COLUMN(head_serv_item)+1,FALSE)),"?")</f>
        <v>Mobiliário técnico 2 lugares, e 2 cadeiras giratórias com apoio de braço.</v>
      </c>
      <c r="N37" s="51">
        <v>1</v>
      </c>
      <c r="O37" s="83">
        <f t="shared" ref="O37" si="459">IF(CQ37,std_ncm,IF(I37="Serviço","NA",IF(I37="Material",IFERROR(VLOOKUP(L37,tbl_materiais,COLUMN(head_mat_NCM)-COLUMN(head_mat_item)+1,FALSE),"?"),IFERROR(VLOOKUP(I37,tbl_TipoLinha,2,FALSE),"?"))))</f>
        <v>94031000</v>
      </c>
      <c r="P37" s="84">
        <f t="shared" ref="P37" si="460">IF(AND(D37="Não",I37&lt;&gt;"Serviço",CD37="Não"),IFERROR(IF(flag_interestadual,CE37,IF(CF37,CF37,CE37)),"?"),0)</f>
        <v>0.12</v>
      </c>
      <c r="Q37" s="84">
        <f t="shared" ref="Q37" si="461">IF(AND(D37="Não",I37&lt;&gt;"Serviço"),IF(I37="Material",IFERROR(VLOOKUP(L37,tbl_materiais,COLUMN(head_mat_IPI)-COLUMN(head_mat_item)+1,FALSE),"?"),IFERROR(VLOOKUP(O37,tbl_NCM_info,COLUMN(head_porNCM_IPI)-COLUMN(head_porNCM_NCM)+1,FALSE),"?")),0)</f>
        <v>3.2500000000000001E-2</v>
      </c>
      <c r="R37" s="84">
        <f t="shared" ref="R37" si="462">IF(AND(D37="Não",I37="Serviço"),IFERROR(VLOOKUP(CB37,tbl_ISS,5,FALSE),"?"),0)</f>
        <v>0</v>
      </c>
      <c r="S37" s="85">
        <f t="shared" ref="S37" si="463">IF(D37="Não",IF(reidi="Sim",0,IF(B37="Real",pis_naocum,pis_cum)),0)</f>
        <v>0</v>
      </c>
      <c r="T37" s="86">
        <f t="shared" ref="T37" si="464">IF(D37="Não",IF(reidi="Sim",0,IF(B37="Real",cofins_naocum,cofins_cum)),0)</f>
        <v>0</v>
      </c>
      <c r="U37" s="754" t="str" cm="1">
        <f t="array" ref="U37">IFERROR(IF(I37&lt;&gt;"Serviço",IF(AND(mlookup(tbl_DIFAL_data,UFdestino,tbl_DIFAL_UF,O37,tbl_DIFAL_NCM)&lt;&gt;"",C37="Consumo"),"Sim",""),""),"?")</f>
        <v/>
      </c>
      <c r="V37" s="755" t="str">
        <f>IFERROR(IF(I37&lt;&gt;"Serviço",IF(AND(D37="Não",mlookup(tbl_ST_data,UFdestino,tbl_ST_UF,O37,tbl_ST_NCM)&lt;&gt;"",C37="Revenda",CD37="Não"),"Sim",""),""),"?")</f>
        <v/>
      </c>
      <c r="W37" s="84">
        <f t="shared" ref="W37" si="465">IF(OR(U37="Sim",V37="Sim"),CG37,0)</f>
        <v>0</v>
      </c>
      <c r="X37" s="756">
        <f>IF(V37="Sim",mlookup(tbl_ST_data,UFdestino,tbl_ST_UF,O37,tbl_ST_NCM),0)</f>
        <v>0</v>
      </c>
      <c r="Z37" s="757">
        <f t="shared" ref="Z37" si="466">IF(AND(N37&gt;0,CQ37=FALSE),IFERROR(VLOOKUP(L37,tbl_servicos,COLUMN(head_serv_CL)-COLUMN(head_serv_item)+1,FALSE),IF(D37="Sim",0,IF(B37="Real",VLOOKUP(L37,tbl_materiais,COLUMN(head_mat_CLreal)-COLUMN(head_mat_item)+1,FALSE),VLOOKUP(L37,tbl_materiais,COLUMN(head_mat_CLpresumido)-COLUMN(head_mat_item)+1,FALSE)))),0)</f>
        <v>12794.661</v>
      </c>
      <c r="AA37" s="753">
        <f t="shared" ref="AA37" si="467">Z37*N37</f>
        <v>12794.661</v>
      </c>
      <c r="AC37" s="758">
        <f t="shared" si="136"/>
        <v>1.31243473968765E-2</v>
      </c>
      <c r="AD37" s="758">
        <f t="shared" ref="AD37" si="468">IF(F37="Sim",0,VLOOKUP(E37,tbl_mb,2,FALSE))</f>
        <v>0.23499999999999999</v>
      </c>
      <c r="AF37" s="753">
        <f t="shared" ref="AF37" si="469">AI37*AC37</f>
        <v>223.33689780736182</v>
      </c>
      <c r="AG37" s="753">
        <f t="shared" ref="AG37" si="470">AI37*AD37</f>
        <v>3998.9928182806925</v>
      </c>
      <c r="AI37" s="753">
        <f t="shared" ref="AI37" si="471">AA37/(1-AC37-AD37)</f>
        <v>17016.990716088054</v>
      </c>
      <c r="AK37" s="758">
        <f t="shared" si="138"/>
        <v>0</v>
      </c>
      <c r="AL37" s="753">
        <f t="shared" ref="AL37" si="472">AM37*AK37</f>
        <v>0</v>
      </c>
      <c r="AM37" s="753">
        <f t="shared" ref="AM37" si="473">AI37/(1-AK37)</f>
        <v>17016.990716088054</v>
      </c>
      <c r="AO37" s="753" t="b">
        <f t="shared" ref="AO37" si="474">IF(ABS(SUM(AA37,AF37:AG37,AL37)-AM37)&lt;0.01,TRUE,FALSE)</f>
        <v>1</v>
      </c>
      <c r="AQ37" s="759">
        <f t="shared" ref="AQ37" si="475">IFERROR(AR37/N37,0)</f>
        <v>17016.990716088054</v>
      </c>
      <c r="AR37" s="759">
        <f t="shared" ref="AR37" si="476">AM37</f>
        <v>17016.990716088054</v>
      </c>
      <c r="AT37" s="759">
        <f t="shared" ref="AT37" si="477">IFERROR(AU37/N37,0)</f>
        <v>20054.837249584423</v>
      </c>
      <c r="AU37" s="759">
        <f t="shared" ref="AU37" si="478">IF(AND(N37&gt;0,CQ37=FALSE),IF(C37="Consumo",AR37*(1+Q37)/(1-P37*(1+Q37)-R37-S37-T37),AR37*(1+Q37)/(1-P37-R37-S37-T37)),0)</f>
        <v>20054.837249584423</v>
      </c>
      <c r="AW37" s="759">
        <f t="shared" ref="AW37" si="479">IF(AU37&gt;0,AU37/(1+Q37),0)</f>
        <v>19423.571186038182</v>
      </c>
      <c r="AX37" s="759">
        <f t="shared" ref="AX37" si="480">IF(AU37&gt;0,IF(C37="Consumo",AW37-AU37*P37,AW37*(1-P37)),0)</f>
        <v>17016.99071608805</v>
      </c>
      <c r="AY37" s="759">
        <f t="shared" ref="AY37" si="481">AX37-AW37*R37</f>
        <v>17016.99071608805</v>
      </c>
      <c r="AZ37" s="759">
        <f t="shared" ref="AZ37" si="482">AY37-AW37*(S37+T37)</f>
        <v>17016.99071608805</v>
      </c>
      <c r="BB37" s="753">
        <f t="shared" ref="BB37" si="483">IF(AW37&gt;0,AW37*Q37,0)</f>
        <v>631.26606354624096</v>
      </c>
      <c r="BC37" s="753">
        <f t="shared" ref="BC37" si="484">IF(AW37&gt;0,IF(C37="Consumo",AU37*P37,AW37*P37),0)</f>
        <v>2406.5804699501309</v>
      </c>
      <c r="BD37" s="753">
        <f t="shared" ref="BD37" si="485">AW37*R37</f>
        <v>0</v>
      </c>
      <c r="BE37" s="753">
        <f t="shared" ref="BE37" si="486">AW37*S37</f>
        <v>0</v>
      </c>
      <c r="BF37" s="753">
        <f t="shared" ref="BF37" si="487">AW37*T37</f>
        <v>0</v>
      </c>
      <c r="BH37" s="760">
        <f t="shared" ref="BH37" si="488">W37</f>
        <v>0</v>
      </c>
      <c r="BJ37" s="761">
        <f t="shared" ref="BJ37" si="489">IF(AND(U37&lt;&gt;"",C37="Consumo"),BH37-P37,0)</f>
        <v>0</v>
      </c>
      <c r="BK37" s="753">
        <f t="shared" ref="BK37" si="490">BJ37*AU37</f>
        <v>0</v>
      </c>
      <c r="BL37" s="753">
        <f t="shared" ref="BL37" si="491">AU37+BK37</f>
        <v>20054.837249584423</v>
      </c>
      <c r="BN37" s="758">
        <f t="shared" ref="BN37" si="492">X37</f>
        <v>0</v>
      </c>
      <c r="BO37" s="753">
        <f t="shared" ref="BO37" si="493">AU37*(1+BN37)</f>
        <v>20054.837249584423</v>
      </c>
      <c r="BP37" s="753">
        <f t="shared" ref="BP37" si="494">IF(AND(V37&lt;&gt;"",C37="Revenda"),BO37*BH37-BC37,0)</f>
        <v>0</v>
      </c>
      <c r="BQ37" s="753">
        <f t="shared" ref="BQ37" si="495">AU37+BP37</f>
        <v>20054.837249584423</v>
      </c>
      <c r="BS37" s="759">
        <f t="shared" ref="BS37" si="496">AU37-SUM(BB37:BF37)</f>
        <v>17016.99071608805</v>
      </c>
      <c r="BT37" s="753">
        <f t="shared" ref="BT37" si="497">AR37+SUM(BB37:BF37)</f>
        <v>20054.837249584427</v>
      </c>
      <c r="BU37" s="753" t="b">
        <f t="shared" ref="BU37" si="498">IF(ABS(BT37-BS37-SUM(BB37:BF37))&lt;0.01,TRUE,FALSE)</f>
        <v>1</v>
      </c>
      <c r="BW37" s="757" t="str">
        <f t="shared" ref="BW37" si="499">IF(AND(N37&gt;0,CQ37=FALSE),IF(D37="Sim","Fat. Direto",VLOOKUP(CB37,tbl_IRPJaux,2,FALSE)),"")</f>
        <v>Material</v>
      </c>
      <c r="BX37" s="753">
        <f t="shared" ref="BX37" si="500">IF(AND(BW37&lt;&gt;"NA",D37="Não"),MAX(BL37,BQ37),0)</f>
        <v>20054.837249584423</v>
      </c>
      <c r="BY37" s="752">
        <f t="shared" ref="BY37" si="501">IF(BX37&gt;0,VLOOKUP(CB37,tbl_IRPJaux,3,FALSE),0)</f>
        <v>1</v>
      </c>
      <c r="BZ37" s="757">
        <f t="shared" ref="BZ37" si="502">IF(BX37&gt;0,AA37*BY37+AG37*recuperavel_MB_ir_real+AF37*recuperavel_coberturas_ir_real+SUM(BB37:BF37,BK37,BP37),0)</f>
        <v>16055.844431303733</v>
      </c>
      <c r="CA37" s="757"/>
      <c r="CB37" s="757" t="str">
        <f t="shared" ref="CB37" si="503">IFERROR(VLOOKUP(L37,tbl_materiais,COLUMN(head_mat_WBS)-COLUMN(head_mat_item)+1,FALSE),IFERROR(VLOOKUP(L37,tbl_servicos,COLUMN(head_serv_WBS)-COLUMN(head_serv_item)+1,FALSE),"?"))</f>
        <v xml:space="preserve">  Informática</v>
      </c>
      <c r="CD37" s="753" t="str">
        <f t="shared" ref="CD37" si="504">IFERROR(VLOOKUP(L37,tbl_materiais,COLUMN(head_mat_st)-COLUMN(head_mat_item)+1,FALSE),"Não")</f>
        <v>Não</v>
      </c>
      <c r="CE37" s="760">
        <f>ifzero(mlookup(tbl_ICMSinterest_data,UFdestino,tbl_ICMSinterest_ufdest,UForigem,tbl_ICMSinterest_uforig))</f>
        <v>0.12</v>
      </c>
      <c r="CF37" s="760">
        <f>IF(N37&gt;0,IF(I37&lt;&gt;"Serviço",ifzero(mlookup(tbl_ICMSinterno_data,UForigem,tbl_ICMSinterno_UF,O37,tbl_ICMSinterno_NCM),mlookup(tbl_ICMSinterest_data,UForigem,tbl_ICMSinterest_ufdest,UForigem,tbl_ICMSinterest_uforig)),""),0)</f>
        <v>0.12</v>
      </c>
      <c r="CG37" s="760">
        <f>IF(N37&gt;0,IF(I37&lt;&gt;"Serviço",ifzero(mlookup(tbl_ICMSinterno_data,UFdestino,tbl_ICMSinterno_UF,O37,tbl_ICMSinterno_NCM),mlookup(tbl_ICMSinterest_data,UFdestino,tbl_ICMSinterest_ufdest,UFdestino,tbl_ICMSinterest_uforig)),""),0)</f>
        <v>0.18</v>
      </c>
      <c r="CI37" s="753">
        <f t="shared" ref="CI37" si="505">IFERROR(IF(AND(I37&lt;&gt;"Serviço",D37="Não"),N37*VLOOKUP(L37,tbl_materiais,COLUMN(head_mat_credito_ICMS)-COLUMN(head_mat_item)+1,FALSE),0),0)</f>
        <v>0</v>
      </c>
      <c r="CJ37" s="753">
        <f t="shared" ref="CJ37" si="506">IFERROR(IF(AND(I37&lt;&gt;"Serviço",D37="Não"),N37*VLOOKUP(L37,tbl_materiais,COLUMN(head_mat_credito_IPI)-COLUMN(head_mat_item)+1,FALSE),0),0)</f>
        <v>0</v>
      </c>
      <c r="CK37" s="753">
        <f t="shared" ref="CK37" si="507">IFERROR(IF(AND(I37&lt;&gt;"Serviço",D37="Não",B37="Real"),N37*VLOOKUP(L37,tbl_materiais,COLUMN(head_mat_credito_PIS)-COLUMN(head_mat_item)+1,FALSE),0),0)</f>
        <v>232.6302</v>
      </c>
      <c r="CL37" s="753">
        <f t="shared" ref="CL37" si="508">IFERROR(IF(AND(I37&lt;&gt;"Serviço",D37="Não",B37="Real"),N37*VLOOKUP(L37,tbl_materiais,COLUMN(head_mat_credito_COFINS)-COLUMN(head_mat_item)+1,FALSE),0),0)</f>
        <v>1071.5087999999998</v>
      </c>
      <c r="CN37" s="762">
        <f t="shared" ref="CN37" si="509">IFERROR(SUMIF(serv_col_item,"="&amp;L37,serv_col_totalhh),0)</f>
        <v>0</v>
      </c>
      <c r="CO37" s="753">
        <f t="shared" ref="CO37" si="510">IFERROR(SUMIF(serv_col_item,"="&amp;L37,serv_col_gdv),0)</f>
        <v>0</v>
      </c>
      <c r="CQ37" s="753" t="b">
        <f t="shared" ref="CQ37" si="511">IF(N37&gt;0,IF(ISERROR(HLOOKUP(L37,std_tbl4,1,FALSE)),FALSE,TRUE),FALSE)</f>
        <v>0</v>
      </c>
      <c r="CR37" s="753" t="b">
        <f t="shared" ref="CR37" si="512">IF(AND(CQ37,I37&lt;&gt;std_tiponcm),FALSE,TRUE)</f>
        <v>1</v>
      </c>
      <c r="CS37" s="753" t="b">
        <f t="shared" ref="CS37" si="513">IF(AND(CQ37,D37="Sim"),TRUE,FALSE)</f>
        <v>0</v>
      </c>
      <c r="CU37" s="753">
        <f t="shared" ref="CU37" si="514">IF(D37="Sim",VLOOKUP(L37,tbl_materiais,COLUMN(head_mat_fatdir)-COLUMN(head_mat_item)+1,FALSE),0)</f>
        <v>0</v>
      </c>
      <c r="CV37" s="757">
        <f t="shared" ref="CV37" si="515">CU37*N37</f>
        <v>0</v>
      </c>
      <c r="CW37" s="757">
        <f t="shared" ref="CW37" si="516">CX37*(1-CY37-DA37-DE37-DG37)/(1+DC37)</f>
        <v>0</v>
      </c>
      <c r="CX37" s="757">
        <f t="shared" ref="CX37" si="517">CV37/(1-AK37)</f>
        <v>0</v>
      </c>
      <c r="CY37" s="763">
        <f t="shared" ref="CY37" si="518">IF(D37="Sim",VLOOKUP(L37,tbl_materiais,COLUMN(head_mat_ICMS_input)-COLUMN(head_mat_item)+1,FALSE),0)</f>
        <v>0</v>
      </c>
      <c r="CZ37" s="757">
        <f t="shared" ref="CZ37" si="519">CX37*CY37</f>
        <v>0</v>
      </c>
      <c r="DA37" s="763">
        <f t="shared" ref="DA37" si="520">IF(D37="Sim",VLOOKUP(L37,tbl_materiais,COLUMN(head_mat_ISS_input)-COLUMN(head_mat_item)+1,FALSE),0)</f>
        <v>0</v>
      </c>
      <c r="DB37" s="757">
        <f t="shared" ref="DB37" si="521">CX37*DA37</f>
        <v>0</v>
      </c>
      <c r="DC37" s="763">
        <f t="shared" ref="DC37" si="522">IF(D37="Sim",VLOOKUP(L37,tbl_materiais,COLUMN(head_mat_IPI_input)-COLUMN(head_mat_item)+1,FALSE),0)</f>
        <v>0</v>
      </c>
      <c r="DD37" s="757">
        <f t="shared" ref="DD37" si="523">CX37*DC37/(1+DC37)</f>
        <v>0</v>
      </c>
      <c r="DE37" s="764">
        <v>0</v>
      </c>
      <c r="DF37" s="757">
        <f t="shared" ref="DF37" si="524">(CX37-DD37)*DE37</f>
        <v>0</v>
      </c>
      <c r="DG37" s="764">
        <v>0</v>
      </c>
      <c r="DH37" s="757">
        <f t="shared" ref="DH37" si="525">(CX37-DD37)*DG37</f>
        <v>0</v>
      </c>
      <c r="DI37" s="757">
        <f t="shared" ref="DI37" si="526">CX37-CZ37-DD37-DF37-DH37</f>
        <v>0</v>
      </c>
      <c r="DK37" s="760">
        <f t="shared" ref="DK37" si="527">IF(AND(I37&lt;&gt;"Serviço",Z37&gt;0),P37,"NA")</f>
        <v>0.12</v>
      </c>
      <c r="DL37" s="753" t="str">
        <f t="shared" ref="DL37" si="528">IF(AND(I37="Serviço",Z37&gt;0),R37,"NA")</f>
        <v>NA</v>
      </c>
      <c r="DM37" s="760">
        <f t="shared" ref="DM37" si="529">IF(AND(I37&lt;&gt;"Serviço",Z37&gt;0),Q37,"NA")</f>
        <v>3.2500000000000001E-2</v>
      </c>
      <c r="DN37" s="765">
        <f t="shared" ref="DN37" si="530">IF(Z37&gt;0,S37,"NA")</f>
        <v>0</v>
      </c>
      <c r="DO37" s="766">
        <f t="shared" ref="DO37" si="531">IF(Z37&gt;0,T37,"NA")</f>
        <v>0</v>
      </c>
      <c r="DP37" s="766"/>
      <c r="DQ37" s="760" t="str">
        <f t="shared" ref="DQ37" si="532">IF(AND(I37&lt;&gt;"Serviço",CU37&gt;0),CY37,"NA")</f>
        <v>NA</v>
      </c>
      <c r="DR37" s="753" t="str">
        <f t="shared" ref="DR37" si="533">IF(AND(I37="Serviço",CU37&gt;0),DA37,"NA")</f>
        <v>NA</v>
      </c>
      <c r="DS37" s="760" t="str">
        <f t="shared" ref="DS37" si="534">IF(AND(I37&lt;&gt;"Serviço",CU37&gt;0),DC37,"NA")</f>
        <v>NA</v>
      </c>
      <c r="DT37" s="765" t="str">
        <f t="shared" ref="DT37" si="535">IF(CU37&gt;0,DE37,"NA")</f>
        <v>NA</v>
      </c>
      <c r="DU37" s="766" t="str">
        <f t="shared" ref="DU37" si="536">IF(CU37&gt;0,DG37,"NA")</f>
        <v>NA</v>
      </c>
      <c r="DV37" s="766"/>
      <c r="DW37" s="753">
        <f t="shared" ref="DW37" si="537">IF(CQ37,N37*HLOOKUP(L37,std_tbl6,ROW(std_PL_real)-ROW(row_std_head)+1,FALSE),AA37)</f>
        <v>12794.661</v>
      </c>
      <c r="DX37" s="753">
        <f t="shared" ref="DX37" si="538">IF(CQ37,DW37/(1-AC37-AD37)/(1-AK37),AM37)</f>
        <v>17016.990716088054</v>
      </c>
      <c r="DY37" s="753">
        <f t="shared" ref="DY37" si="539">IF(CQ37,IF(C37="Industrialização",DX37/(1-P37-S37-T37)*(1+Q37),DX37/(1-P37*(1+Q37)-S37-T37)*(1+Q37)),AU37)</f>
        <v>20054.837249584423</v>
      </c>
      <c r="DZ37" s="766"/>
      <c r="EA37" s="767"/>
      <c r="EC37" s="753" t="s">
        <v>53</v>
      </c>
      <c r="ED37" s="753" t="s">
        <v>53</v>
      </c>
      <c r="EE37" s="753" t="s">
        <v>52</v>
      </c>
    </row>
    <row r="38" spans="1:135" s="243" customFormat="1" ht="19.649999999999999" customHeight="1" x14ac:dyDescent="0.25">
      <c r="A38" s="293" t="s">
        <v>349</v>
      </c>
      <c r="B38"/>
      <c r="C38"/>
      <c r="D38"/>
      <c r="E38"/>
      <c r="F38"/>
      <c r="G38"/>
      <c r="H38"/>
      <c r="I38"/>
      <c r="K38" s="612" t="s">
        <v>2806</v>
      </c>
      <c r="L38" s="826"/>
      <c r="M38" s="868" t="s">
        <v>2793</v>
      </c>
      <c r="N38" s="869"/>
      <c r="O38" s="245"/>
      <c r="P38" s="246"/>
      <c r="Q38" s="246"/>
      <c r="R38" s="246"/>
      <c r="S38" s="246"/>
      <c r="T38" s="247"/>
      <c r="U38" s="248"/>
      <c r="V38" s="246"/>
      <c r="W38" s="246"/>
      <c r="X38" s="247"/>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s="643"/>
    </row>
    <row r="39" spans="1:135" s="56" customFormat="1" ht="19.649999999999999" customHeight="1" x14ac:dyDescent="0.25">
      <c r="A39" s="294" t="s">
        <v>350</v>
      </c>
      <c r="B39"/>
      <c r="C39"/>
      <c r="D39"/>
      <c r="E39"/>
      <c r="F39"/>
      <c r="G39"/>
      <c r="H39"/>
      <c r="I39"/>
      <c r="K39" s="613" t="s">
        <v>2807</v>
      </c>
      <c r="L39" s="824"/>
      <c r="M39" s="872" t="s">
        <v>2380</v>
      </c>
      <c r="N39" s="869"/>
      <c r="O39" s="58"/>
      <c r="P39" s="59"/>
      <c r="Q39" s="59"/>
      <c r="R39" s="59"/>
      <c r="S39" s="59"/>
      <c r="T39" s="60"/>
      <c r="U39" s="61"/>
      <c r="V39" s="59"/>
      <c r="W39" s="59"/>
      <c r="X39" s="60"/>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s="643"/>
    </row>
    <row r="40" spans="1:135" s="753" customFormat="1" ht="99.15" customHeight="1" x14ac:dyDescent="0.25">
      <c r="A40" s="752"/>
      <c r="B40" s="753" t="s">
        <v>268</v>
      </c>
      <c r="C40" s="753" t="s">
        <v>255</v>
      </c>
      <c r="D40" s="757" t="s">
        <v>53</v>
      </c>
      <c r="E40" s="752" t="s">
        <v>38</v>
      </c>
      <c r="F40" s="753" t="s">
        <v>53</v>
      </c>
      <c r="G40" s="781" t="s">
        <v>2793</v>
      </c>
      <c r="H40" s="781" t="s">
        <v>357</v>
      </c>
      <c r="I40" s="752" t="s">
        <v>1910</v>
      </c>
      <c r="K40" s="318" t="s">
        <v>2808</v>
      </c>
      <c r="L40" s="502" t="s">
        <v>3093</v>
      </c>
      <c r="M40" s="50" t="str">
        <f t="shared" ref="M40:M41" si="540">IFERROR(IFERROR(VLOOKUP(L40,tbl_materiais,COLUMN(head_mat_descricao)-COLUMN(head_mat_item)+1,FALSE),VLOOKUP(L40,tbl_servicos,COLUMN(head_serv_descricao)-COLUMN(head_serv_item)+1,FALSE)),"?")</f>
        <v>Chaparia completa para automação e rede com seus acessórios (bandejamento interno, canaletas, organizadores), medidas 800x800x2300 (LxPxA), chapa de bitola 14/16, grau de proteção IP54 (abrigado), chapas frontais com recuo e trilho DIN para instalação dos equipamentos, portas frontal e traseira do tipo "colméia" para facilitar a dissipação de calor dos equipamentos com o ambiente, venezianas, limitador de porta, olhal de içamento, cinza Munsell. Fabricante: PSI.</v>
      </c>
      <c r="N40" s="51">
        <v>1</v>
      </c>
      <c r="O40" s="83">
        <f t="shared" ref="O40:O41" si="541">IF(CQ40,std_ncm,IF(I40="Serviço","NA",IF(I40="Material",IFERROR(VLOOKUP(L40,tbl_materiais,COLUMN(head_mat_NCM)-COLUMN(head_mat_item)+1,FALSE),"?"),IFERROR(VLOOKUP(I40,tbl_TipoLinha,2,FALSE),"?"))))</f>
        <v>85372090</v>
      </c>
      <c r="P40" s="84">
        <f t="shared" ref="P40:P41" si="542">IF(AND(D40="Não",I40&lt;&gt;"Serviço",CD40="Não"),IFERROR(IF(flag_interestadual,CE40,IF(CF40,CF40,CE40)),"?"),0)</f>
        <v>0.12</v>
      </c>
      <c r="Q40" s="84">
        <f t="shared" ref="Q40:Q41" si="543">IF(AND(D40="Não",I40&lt;&gt;"Serviço"),IF(I40="Material",IFERROR(VLOOKUP(L40,tbl_materiais,COLUMN(head_mat_IPI)-COLUMN(head_mat_item)+1,FALSE),"?"),IFERROR(VLOOKUP(O40,tbl_NCM_info,COLUMN(head_porNCM_IPI)-COLUMN(head_porNCM_NCM)+1,FALSE),"?")),0)</f>
        <v>0</v>
      </c>
      <c r="R40" s="84">
        <f t="shared" ref="R40:R41" si="544">IF(AND(D40="Não",I40="Serviço"),IFERROR(VLOOKUP(CB40,tbl_ISS,5,FALSE),"?"),0)</f>
        <v>0</v>
      </c>
      <c r="S40" s="85">
        <f t="shared" ref="S40:S41" si="545">IF(D40="Não",IF(reidi="Sim",0,IF(B40="Real",pis_naocum,pis_cum)),0)</f>
        <v>0</v>
      </c>
      <c r="T40" s="86">
        <f t="shared" ref="T40:T41" si="546">IF(D40="Não",IF(reidi="Sim",0,IF(B40="Real",cofins_naocum,cofins_cum)),0)</f>
        <v>0</v>
      </c>
      <c r="U40" s="754" t="str" cm="1">
        <f t="array" ref="U40">IFERROR(IF(I40&lt;&gt;"Serviço",IF(AND(mlookup(tbl_DIFAL_data,UFdestino,tbl_DIFAL_UF,O40,tbl_DIFAL_NCM)&lt;&gt;"",C40="Consumo"),"Sim",""),""),"?")</f>
        <v/>
      </c>
      <c r="V40" s="755" t="str">
        <f>IFERROR(IF(I40&lt;&gt;"Serviço",IF(AND(D40="Não",mlookup(tbl_ST_data,UFdestino,tbl_ST_UF,O40,tbl_ST_NCM)&lt;&gt;"",C40="Revenda",CD40="Não"),"Sim",""),""),"?")</f>
        <v/>
      </c>
      <c r="W40" s="84">
        <f t="shared" ref="W40:W41" si="547">IF(OR(U40="Sim",V40="Sim"),CG40,0)</f>
        <v>0</v>
      </c>
      <c r="X40" s="756">
        <f>IF(V40="Sim",mlookup(tbl_ST_data,UFdestino,tbl_ST_UF,O40,tbl_ST_NCM),0)</f>
        <v>0</v>
      </c>
      <c r="Z40" s="757">
        <f t="shared" ref="Z40:Z41" si="548">IF(AND(N40&gt;0,CQ40=FALSE),IFERROR(VLOOKUP(L40,tbl_servicos,COLUMN(head_serv_CL)-COLUMN(head_serv_item)+1,FALSE),IF(D40="Sim",0,IF(B40="Real",VLOOKUP(L40,tbl_materiais,COLUMN(head_mat_CLreal)-COLUMN(head_mat_item)+1,FALSE),VLOOKUP(L40,tbl_materiais,COLUMN(head_mat_CLpresumido)-COLUMN(head_mat_item)+1,FALSE)))),0)</f>
        <v>10432.7124</v>
      </c>
      <c r="AA40" s="753">
        <f t="shared" ref="AA40:AA41" si="549">Z40*N40</f>
        <v>10432.7124</v>
      </c>
      <c r="AC40" s="758">
        <f t="shared" ref="AC40:AC41" si="550">cobertura_pc</f>
        <v>1.31243473968765E-2</v>
      </c>
      <c r="AD40" s="758">
        <f t="shared" ref="AD40:AD41" si="551">IF(F40="Sim",0,VLOOKUP(E40,tbl_mb,2,FALSE))</f>
        <v>0.15</v>
      </c>
      <c r="AF40" s="753">
        <f t="shared" ref="AF40:AF41" si="552">AI40*AC40</f>
        <v>163.61157288230345</v>
      </c>
      <c r="AG40" s="753">
        <f t="shared" ref="AG40:AG41" si="553">AI40*AD40</f>
        <v>1869.9395246262889</v>
      </c>
      <c r="AI40" s="753">
        <f t="shared" ref="AI40:AI41" si="554">AA40/(1-AC40-AD40)</f>
        <v>12466.263497508593</v>
      </c>
      <c r="AK40" s="758">
        <f t="shared" ref="AK40:AK41" si="555">mn_pc</f>
        <v>0</v>
      </c>
      <c r="AL40" s="753">
        <f t="shared" ref="AL40:AL41" si="556">AM40*AK40</f>
        <v>0</v>
      </c>
      <c r="AM40" s="753">
        <f t="shared" ref="AM40:AM41" si="557">AI40/(1-AK40)</f>
        <v>12466.263497508593</v>
      </c>
      <c r="AO40" s="753" t="b">
        <f t="shared" ref="AO40:AO41" si="558">IF(ABS(SUM(AA40,AF40:AG40,AL40)-AM40)&lt;0.01,TRUE,FALSE)</f>
        <v>1</v>
      </c>
      <c r="AQ40" s="759">
        <f t="shared" ref="AQ40:AQ41" si="559">IFERROR(AR40/N40,0)</f>
        <v>12466.263497508593</v>
      </c>
      <c r="AR40" s="759">
        <f t="shared" ref="AR40:AR41" si="560">AM40</f>
        <v>12466.263497508593</v>
      </c>
      <c r="AT40" s="759">
        <f t="shared" ref="AT40:AT41" si="561">IFERROR(AU40/N40,0)</f>
        <v>14166.208519896129</v>
      </c>
      <c r="AU40" s="759">
        <f t="shared" ref="AU40:AU41" si="562">IF(AND(N40&gt;0,CQ40=FALSE),IF(C40="Consumo",AR40*(1+Q40)/(1-P40*(1+Q40)-R40-S40-T40),AR40*(1+Q40)/(1-P40-R40-S40-T40)),0)</f>
        <v>14166.208519896129</v>
      </c>
      <c r="AW40" s="759">
        <f t="shared" ref="AW40:AW41" si="563">IF(AU40&gt;0,AU40/(1+Q40),0)</f>
        <v>14166.208519896129</v>
      </c>
      <c r="AX40" s="759">
        <f t="shared" ref="AX40:AX41" si="564">IF(AU40&gt;0,IF(C40="Consumo",AW40-AU40*P40,AW40*(1-P40)),0)</f>
        <v>12466.263497508593</v>
      </c>
      <c r="AY40" s="759">
        <f t="shared" ref="AY40:AY41" si="565">AX40-AW40*R40</f>
        <v>12466.263497508593</v>
      </c>
      <c r="AZ40" s="759">
        <f t="shared" ref="AZ40:AZ41" si="566">AY40-AW40*(S40+T40)</f>
        <v>12466.263497508593</v>
      </c>
      <c r="BB40" s="753">
        <f t="shared" ref="BB40:BB41" si="567">IF(AW40&gt;0,AW40*Q40,0)</f>
        <v>0</v>
      </c>
      <c r="BC40" s="753">
        <f t="shared" ref="BC40:BC41" si="568">IF(AW40&gt;0,IF(C40="Consumo",AU40*P40,AW40*P40),0)</f>
        <v>1699.9450223875353</v>
      </c>
      <c r="BD40" s="753">
        <f t="shared" ref="BD40:BD41" si="569">AW40*R40</f>
        <v>0</v>
      </c>
      <c r="BE40" s="753">
        <f t="shared" ref="BE40:BE41" si="570">AW40*S40</f>
        <v>0</v>
      </c>
      <c r="BF40" s="753">
        <f t="shared" ref="BF40:BF41" si="571">AW40*T40</f>
        <v>0</v>
      </c>
      <c r="BH40" s="760">
        <f t="shared" ref="BH40:BH41" si="572">W40</f>
        <v>0</v>
      </c>
      <c r="BJ40" s="761">
        <f t="shared" ref="BJ40:BJ41" si="573">IF(AND(U40&lt;&gt;"",C40="Consumo"),BH40-P40,0)</f>
        <v>0</v>
      </c>
      <c r="BK40" s="753">
        <f t="shared" ref="BK40:BK41" si="574">BJ40*AU40</f>
        <v>0</v>
      </c>
      <c r="BL40" s="753">
        <f t="shared" ref="BL40:BL41" si="575">AU40+BK40</f>
        <v>14166.208519896129</v>
      </c>
      <c r="BN40" s="758">
        <f t="shared" ref="BN40:BN41" si="576">X40</f>
        <v>0</v>
      </c>
      <c r="BO40" s="753">
        <f t="shared" ref="BO40:BO41" si="577">AU40*(1+BN40)</f>
        <v>14166.208519896129</v>
      </c>
      <c r="BP40" s="753">
        <f t="shared" ref="BP40:BP41" si="578">IF(AND(V40&lt;&gt;"",C40="Revenda"),BO40*BH40-BC40,0)</f>
        <v>0</v>
      </c>
      <c r="BQ40" s="753">
        <f t="shared" ref="BQ40:BQ41" si="579">AU40+BP40</f>
        <v>14166.208519896129</v>
      </c>
      <c r="BS40" s="759">
        <f t="shared" ref="BS40:BS41" si="580">AU40-SUM(BB40:BF40)</f>
        <v>12466.263497508593</v>
      </c>
      <c r="BT40" s="753">
        <f t="shared" ref="BT40:BT41" si="581">AR40+SUM(BB40:BF40)</f>
        <v>14166.208519896129</v>
      </c>
      <c r="BU40" s="753" t="b">
        <f t="shared" ref="BU40:BU41" si="582">IF(ABS(BT40-BS40-SUM(BB40:BF40))&lt;0.01,TRUE,FALSE)</f>
        <v>1</v>
      </c>
      <c r="BW40" s="757" t="str">
        <f t="shared" ref="BW40:BW41" si="583">IF(AND(N40&gt;0,CQ40=FALSE),IF(D40="Sim","Fat. Direto",VLOOKUP(CB40,tbl_IRPJaux,2,FALSE)),"")</f>
        <v>Material</v>
      </c>
      <c r="BX40" s="753">
        <f t="shared" ref="BX40:BX41" si="584">IF(AND(BW40&lt;&gt;"NA",D40="Não"),MAX(BL40,BQ40),0)</f>
        <v>14166.208519896129</v>
      </c>
      <c r="BY40" s="752">
        <f t="shared" ref="BY40:BY41" si="585">IF(BX40&gt;0,VLOOKUP(CB40,tbl_IRPJaux,3,FALSE),0)</f>
        <v>1</v>
      </c>
      <c r="BZ40" s="757">
        <f t="shared" ref="BZ40:BZ41" si="586">IF(BX40&gt;0,AA40*BY40+AG40*recuperavel_MB_ir_real+AF40*recuperavel_coberturas_ir_real+SUM(BB40:BF40,BK40,BP40),0)</f>
        <v>12296.26899526984</v>
      </c>
      <c r="CA40" s="757"/>
      <c r="CB40" s="757" t="str">
        <f t="shared" ref="CB40:CB41" si="587">IFERROR(VLOOKUP(L40,tbl_materiais,COLUMN(head_mat_WBS)-COLUMN(head_mat_item)+1,FALSE),IFERROR(VLOOKUP(L40,tbl_servicos,COLUMN(head_serv_WBS)-COLUMN(head_serv_item)+1,FALSE),"?"))</f>
        <v xml:space="preserve">  Chaparia</v>
      </c>
      <c r="CD40" s="753" t="str">
        <f t="shared" ref="CD40:CD41" si="588">IFERROR(VLOOKUP(L40,tbl_materiais,COLUMN(head_mat_st)-COLUMN(head_mat_item)+1,FALSE),"Não")</f>
        <v>Não</v>
      </c>
      <c r="CE40" s="760">
        <f>ifzero(mlookup(tbl_ICMSinterest_data,UFdestino,tbl_ICMSinterest_ufdest,UForigem,tbl_ICMSinterest_uforig))</f>
        <v>0.12</v>
      </c>
      <c r="CF40" s="760">
        <f>IF(N40&gt;0,IF(I40&lt;&gt;"Serviço",ifzero(mlookup(tbl_ICMSinterno_data,UForigem,tbl_ICMSinterno_UF,O40,tbl_ICMSinterno_NCM),mlookup(tbl_ICMSinterest_data,UForigem,tbl_ICMSinterest_ufdest,UForigem,tbl_ICMSinterest_uforig)),""),0)</f>
        <v>0.12</v>
      </c>
      <c r="CG40" s="760">
        <f>IF(N40&gt;0,IF(I40&lt;&gt;"Serviço",ifzero(mlookup(tbl_ICMSinterno_data,UFdestino,tbl_ICMSinterno_UF,O40,tbl_ICMSinterno_NCM),mlookup(tbl_ICMSinterest_data,UFdestino,tbl_ICMSinterest_ufdest,UFdestino,tbl_ICMSinterest_uforig)),""),0)</f>
        <v>0.18</v>
      </c>
      <c r="CI40" s="753">
        <f t="shared" ref="CI40:CI41" si="589">IFERROR(IF(AND(I40&lt;&gt;"Serviço",D40="Não"),N40*VLOOKUP(L40,tbl_materiais,COLUMN(head_mat_credito_ICMS)-COLUMN(head_mat_item)+1,FALSE),0),0)</f>
        <v>1589.7466514285711</v>
      </c>
      <c r="CJ40" s="753">
        <f t="shared" ref="CJ40:CJ41" si="590">IFERROR(IF(AND(I40&lt;&gt;"Serviço",D40="Não"),N40*VLOOKUP(L40,tbl_materiais,COLUMN(head_mat_credito_IPI)-COLUMN(head_mat_item)+1,FALSE),0),0)</f>
        <v>0</v>
      </c>
      <c r="CK40" s="753">
        <f t="shared" ref="CK40:CK41" si="591">IFERROR(IF(AND(I40&lt;&gt;"Serviço",D40="Não",B40="Real"),N40*VLOOKUP(L40,tbl_materiais,COLUMN(head_mat_credito_PIS)-COLUMN(head_mat_item)+1,FALSE),0),0)</f>
        <v>218.59016457142855</v>
      </c>
      <c r="CL40" s="753">
        <f t="shared" ref="CL40:CL41" si="592">IFERROR(IF(AND(I40&lt;&gt;"Serviço",D40="Não",B40="Real"),N40*VLOOKUP(L40,tbl_materiais,COLUMN(head_mat_credito_COFINS)-COLUMN(head_mat_item)+1,FALSE),0),0)</f>
        <v>1006.8395459047617</v>
      </c>
      <c r="CN40" s="762">
        <f t="shared" ref="CN40:CN41" si="593">IFERROR(SUMIF(serv_col_item,"="&amp;L40,serv_col_totalhh),0)</f>
        <v>0</v>
      </c>
      <c r="CO40" s="753">
        <f t="shared" ref="CO40:CO41" si="594">IFERROR(SUMIF(serv_col_item,"="&amp;L40,serv_col_gdv),0)</f>
        <v>0</v>
      </c>
      <c r="CQ40" s="753" t="b">
        <f t="shared" ref="CQ40:CQ41" si="595">IF(N40&gt;0,IF(ISERROR(HLOOKUP(L40,std_tbl4,1,FALSE)),FALSE,TRUE),FALSE)</f>
        <v>0</v>
      </c>
      <c r="CR40" s="753" t="b">
        <f t="shared" ref="CR40:CR41" si="596">IF(AND(CQ40,I40&lt;&gt;std_tiponcm),FALSE,TRUE)</f>
        <v>1</v>
      </c>
      <c r="CS40" s="753" t="b">
        <f t="shared" ref="CS40:CS41" si="597">IF(AND(CQ40,D40="Sim"),TRUE,FALSE)</f>
        <v>0</v>
      </c>
      <c r="CU40" s="753">
        <f t="shared" ref="CU40:CU41" si="598">IF(D40="Sim",VLOOKUP(L40,tbl_materiais,COLUMN(head_mat_fatdir)-COLUMN(head_mat_item)+1,FALSE),0)</f>
        <v>0</v>
      </c>
      <c r="CV40" s="757">
        <f t="shared" ref="CV40:CV41" si="599">CU40*N40</f>
        <v>0</v>
      </c>
      <c r="CW40" s="757">
        <f t="shared" ref="CW40:CW41" si="600">CX40*(1-CY40-DA40-DE40-DG40)/(1+DC40)</f>
        <v>0</v>
      </c>
      <c r="CX40" s="757">
        <f t="shared" ref="CX40:CX41" si="601">CV40/(1-AK40)</f>
        <v>0</v>
      </c>
      <c r="CY40" s="763">
        <f t="shared" ref="CY40:CY41" si="602">IF(D40="Sim",VLOOKUP(L40,tbl_materiais,COLUMN(head_mat_ICMS_input)-COLUMN(head_mat_item)+1,FALSE),0)</f>
        <v>0</v>
      </c>
      <c r="CZ40" s="757">
        <f t="shared" ref="CZ40:CZ41" si="603">CX40*CY40</f>
        <v>0</v>
      </c>
      <c r="DA40" s="763">
        <f t="shared" ref="DA40:DA41" si="604">IF(D40="Sim",VLOOKUP(L40,tbl_materiais,COLUMN(head_mat_ISS_input)-COLUMN(head_mat_item)+1,FALSE),0)</f>
        <v>0</v>
      </c>
      <c r="DB40" s="757">
        <f t="shared" ref="DB40:DB41" si="605">CX40*DA40</f>
        <v>0</v>
      </c>
      <c r="DC40" s="763">
        <f t="shared" ref="DC40:DC41" si="606">IF(D40="Sim",VLOOKUP(L40,tbl_materiais,COLUMN(head_mat_IPI_input)-COLUMN(head_mat_item)+1,FALSE),0)</f>
        <v>0</v>
      </c>
      <c r="DD40" s="757">
        <f t="shared" ref="DD40:DD41" si="607">CX40*DC40/(1+DC40)</f>
        <v>0</v>
      </c>
      <c r="DE40" s="764">
        <v>0</v>
      </c>
      <c r="DF40" s="757">
        <f t="shared" ref="DF40:DF41" si="608">(CX40-DD40)*DE40</f>
        <v>0</v>
      </c>
      <c r="DG40" s="764">
        <v>0</v>
      </c>
      <c r="DH40" s="757">
        <f t="shared" ref="DH40:DH41" si="609">(CX40-DD40)*DG40</f>
        <v>0</v>
      </c>
      <c r="DI40" s="757">
        <f t="shared" ref="DI40:DI41" si="610">CX40-CZ40-DD40-DF40-DH40</f>
        <v>0</v>
      </c>
      <c r="DK40" s="760">
        <f t="shared" ref="DK40:DK41" si="611">IF(AND(I40&lt;&gt;"Serviço",Z40&gt;0),P40,"NA")</f>
        <v>0.12</v>
      </c>
      <c r="DL40" s="753" t="str">
        <f t="shared" ref="DL40:DL41" si="612">IF(AND(I40="Serviço",Z40&gt;0),R40,"NA")</f>
        <v>NA</v>
      </c>
      <c r="DM40" s="760">
        <f t="shared" ref="DM40:DM41" si="613">IF(AND(I40&lt;&gt;"Serviço",Z40&gt;0),Q40,"NA")</f>
        <v>0</v>
      </c>
      <c r="DN40" s="765">
        <f t="shared" ref="DN40:DN41" si="614">IF(Z40&gt;0,S40,"NA")</f>
        <v>0</v>
      </c>
      <c r="DO40" s="766">
        <f t="shared" ref="DO40:DO41" si="615">IF(Z40&gt;0,T40,"NA")</f>
        <v>0</v>
      </c>
      <c r="DP40" s="766"/>
      <c r="DQ40" s="760" t="str">
        <f t="shared" ref="DQ40:DQ41" si="616">IF(AND(I40&lt;&gt;"Serviço",CU40&gt;0),CY40,"NA")</f>
        <v>NA</v>
      </c>
      <c r="DR40" s="753" t="str">
        <f t="shared" ref="DR40:DR41" si="617">IF(AND(I40="Serviço",CU40&gt;0),DA40,"NA")</f>
        <v>NA</v>
      </c>
      <c r="DS40" s="760" t="str">
        <f t="shared" ref="DS40:DS41" si="618">IF(AND(I40&lt;&gt;"Serviço",CU40&gt;0),DC40,"NA")</f>
        <v>NA</v>
      </c>
      <c r="DT40" s="765" t="str">
        <f t="shared" ref="DT40:DT41" si="619">IF(CU40&gt;0,DE40,"NA")</f>
        <v>NA</v>
      </c>
      <c r="DU40" s="766" t="str">
        <f t="shared" ref="DU40:DU41" si="620">IF(CU40&gt;0,DG40,"NA")</f>
        <v>NA</v>
      </c>
      <c r="DV40" s="766"/>
      <c r="DW40" s="753">
        <f t="shared" ref="DW40:DW41" si="621">IF(CQ40,N40*HLOOKUP(L40,std_tbl6,ROW(std_PL_real)-ROW(row_std_head)+1,FALSE),AA40)</f>
        <v>10432.7124</v>
      </c>
      <c r="DX40" s="753">
        <f t="shared" ref="DX40:DX41" si="622">IF(CQ40,DW40/(1-AC40-AD40)/(1-AK40),AM40)</f>
        <v>12466.263497508593</v>
      </c>
      <c r="DY40" s="753">
        <f t="shared" ref="DY40:DY41" si="623">IF(CQ40,IF(C40="Industrialização",DX40/(1-P40-S40-T40)*(1+Q40),DX40/(1-P40*(1+Q40)-S40-T40)*(1+Q40)),AU40)</f>
        <v>14166.208519896129</v>
      </c>
      <c r="DZ40" s="766"/>
      <c r="EA40" s="767"/>
      <c r="EC40" s="753" t="s">
        <v>53</v>
      </c>
      <c r="ED40" s="753" t="s">
        <v>53</v>
      </c>
      <c r="EE40" s="753" t="s">
        <v>53</v>
      </c>
    </row>
    <row r="41" spans="1:135" s="91" customFormat="1" ht="35.4" customHeight="1" outlineLevel="1" x14ac:dyDescent="0.25">
      <c r="A41" s="92"/>
      <c r="B41" s="91" t="s">
        <v>268</v>
      </c>
      <c r="C41" s="91" t="s">
        <v>255</v>
      </c>
      <c r="D41" s="757" t="s">
        <v>53</v>
      </c>
      <c r="E41" s="18" t="s">
        <v>38</v>
      </c>
      <c r="F41" s="2" t="s">
        <v>53</v>
      </c>
      <c r="G41" s="781" t="s">
        <v>2793</v>
      </c>
      <c r="H41" s="255" t="s">
        <v>357</v>
      </c>
      <c r="I41" s="18" t="s">
        <v>1910</v>
      </c>
      <c r="K41" s="320" t="s">
        <v>2809</v>
      </c>
      <c r="L41" s="523" t="s">
        <v>942</v>
      </c>
      <c r="M41" s="93" t="str">
        <f t="shared" si="540"/>
        <v>Relé auxiliar (&lt; 20 ms), 8 contatos reversíveis, com base (JN-DE), 125VCC. Fabricante: Arteche.</v>
      </c>
      <c r="N41" s="94">
        <f>N40</f>
        <v>1</v>
      </c>
      <c r="O41" s="95">
        <f t="shared" si="541"/>
        <v>85372090</v>
      </c>
      <c r="P41" s="96">
        <f t="shared" si="542"/>
        <v>0.12</v>
      </c>
      <c r="Q41" s="96">
        <f t="shared" si="543"/>
        <v>0</v>
      </c>
      <c r="R41" s="96">
        <f t="shared" si="544"/>
        <v>0</v>
      </c>
      <c r="S41" s="97">
        <f t="shared" si="545"/>
        <v>0</v>
      </c>
      <c r="T41" s="98">
        <f t="shared" si="546"/>
        <v>0</v>
      </c>
      <c r="U41" s="740" t="str" cm="1">
        <f t="array" ref="U41">IFERROR(IF(I41&lt;&gt;"Serviço",IF(AND(mlookup(tbl_DIFAL_data,UFdestino,tbl_DIFAL_UF,O41,tbl_DIFAL_NCM)&lt;&gt;"",C41="Consumo"),"Sim",""),""),"?")</f>
        <v/>
      </c>
      <c r="V41" s="99" t="str">
        <f>IFERROR(IF(I41&lt;&gt;"Serviço",IF(AND(D41="Não",mlookup(tbl_ST_data,UFdestino,tbl_ST_UF,O41,tbl_ST_NCM)&lt;&gt;"",C41="Revenda",CD41="Não"),"Sim",""),""),"?")</f>
        <v/>
      </c>
      <c r="W41" s="96">
        <f t="shared" si="547"/>
        <v>0</v>
      </c>
      <c r="X41" s="100">
        <f>IF(V41="Sim",mlookup(tbl_ST_data,UFdestino,tbl_ST_UF,O41,tbl_ST_NCM),0)</f>
        <v>0</v>
      </c>
      <c r="Z41" s="516">
        <f t="shared" si="548"/>
        <v>819.20627500000001</v>
      </c>
      <c r="AA41" s="91">
        <f t="shared" si="549"/>
        <v>819.20627500000001</v>
      </c>
      <c r="AC41" s="517">
        <f t="shared" si="550"/>
        <v>1.31243473968765E-2</v>
      </c>
      <c r="AD41" s="517">
        <f t="shared" si="551"/>
        <v>0.15</v>
      </c>
      <c r="AF41" s="91">
        <f t="shared" si="552"/>
        <v>12.847246433037185</v>
      </c>
      <c r="AG41" s="91">
        <f t="shared" si="553"/>
        <v>146.83297437053596</v>
      </c>
      <c r="AI41" s="91">
        <f t="shared" si="554"/>
        <v>978.88649580357321</v>
      </c>
      <c r="AK41" s="517">
        <f t="shared" si="555"/>
        <v>0</v>
      </c>
      <c r="AL41" s="91">
        <f t="shared" si="556"/>
        <v>0</v>
      </c>
      <c r="AM41" s="91">
        <f t="shared" si="557"/>
        <v>978.88649580357321</v>
      </c>
      <c r="AO41" s="91" t="b">
        <f t="shared" si="558"/>
        <v>1</v>
      </c>
      <c r="AQ41" s="518">
        <f t="shared" si="559"/>
        <v>978.88649580357321</v>
      </c>
      <c r="AR41" s="518">
        <f t="shared" si="560"/>
        <v>978.88649580357321</v>
      </c>
      <c r="AT41" s="518">
        <f t="shared" si="561"/>
        <v>1112.371017958606</v>
      </c>
      <c r="AU41" s="518">
        <f t="shared" si="562"/>
        <v>1112.371017958606</v>
      </c>
      <c r="AW41" s="518">
        <f t="shared" si="563"/>
        <v>1112.371017958606</v>
      </c>
      <c r="AX41" s="518">
        <f t="shared" si="564"/>
        <v>978.88649580357333</v>
      </c>
      <c r="AY41" s="518">
        <f t="shared" si="565"/>
        <v>978.88649580357333</v>
      </c>
      <c r="AZ41" s="518">
        <f t="shared" si="566"/>
        <v>978.88649580357333</v>
      </c>
      <c r="BB41" s="91">
        <f t="shared" si="567"/>
        <v>0</v>
      </c>
      <c r="BC41" s="91">
        <f t="shared" si="568"/>
        <v>133.48452215503272</v>
      </c>
      <c r="BD41" s="91">
        <f t="shared" si="569"/>
        <v>0</v>
      </c>
      <c r="BE41" s="91">
        <f t="shared" si="570"/>
        <v>0</v>
      </c>
      <c r="BF41" s="91">
        <f t="shared" si="571"/>
        <v>0</v>
      </c>
      <c r="BH41" s="519">
        <f t="shared" si="572"/>
        <v>0</v>
      </c>
      <c r="BJ41" s="520">
        <f t="shared" si="573"/>
        <v>0</v>
      </c>
      <c r="BK41" s="91">
        <f t="shared" si="574"/>
        <v>0</v>
      </c>
      <c r="BL41" s="91">
        <f t="shared" si="575"/>
        <v>1112.371017958606</v>
      </c>
      <c r="BN41" s="517">
        <f t="shared" si="576"/>
        <v>0</v>
      </c>
      <c r="BO41" s="91">
        <f t="shared" si="577"/>
        <v>1112.371017958606</v>
      </c>
      <c r="BP41" s="91">
        <f t="shared" si="578"/>
        <v>0</v>
      </c>
      <c r="BQ41" s="91">
        <f t="shared" si="579"/>
        <v>1112.371017958606</v>
      </c>
      <c r="BS41" s="518">
        <f t="shared" si="580"/>
        <v>978.88649580357333</v>
      </c>
      <c r="BT41" s="91">
        <f t="shared" si="581"/>
        <v>1112.371017958606</v>
      </c>
      <c r="BU41" s="91" t="b">
        <f t="shared" si="582"/>
        <v>1</v>
      </c>
      <c r="BW41" s="516" t="str">
        <f t="shared" si="583"/>
        <v>Material</v>
      </c>
      <c r="BX41" s="91">
        <f t="shared" si="584"/>
        <v>1112.371017958606</v>
      </c>
      <c r="BY41" s="92">
        <f t="shared" si="585"/>
        <v>1</v>
      </c>
      <c r="BZ41" s="516">
        <f t="shared" si="586"/>
        <v>965.53804358806997</v>
      </c>
      <c r="CA41" s="516"/>
      <c r="CB41" s="516" t="str">
        <f t="shared" si="587"/>
        <v xml:space="preserve">  Relé auxiliar</v>
      </c>
      <c r="CD41" s="91" t="str">
        <f t="shared" si="588"/>
        <v>Não</v>
      </c>
      <c r="CE41" s="519">
        <f>ifzero(mlookup(tbl_ICMSinterest_data,UFdestino,tbl_ICMSinterest_ufdest,UForigem,tbl_ICMSinterest_uforig))</f>
        <v>0.12</v>
      </c>
      <c r="CF41" s="519">
        <f>IF(N41&gt;0,IF(I41&lt;&gt;"Serviço",ifzero(mlookup(tbl_ICMSinterno_data,UForigem,tbl_ICMSinterno_UF,O41,tbl_ICMSinterno_NCM),mlookup(tbl_ICMSinterest_data,UForigem,tbl_ICMSinterest_ufdest,UForigem,tbl_ICMSinterest_uforig)),""),0)</f>
        <v>0.12</v>
      </c>
      <c r="CG41" s="519">
        <f>IF(N41&gt;0,IF(I41&lt;&gt;"Serviço",ifzero(mlookup(tbl_ICMSinterno_data,UFdestino,tbl_ICMSinterno_UF,O41,tbl_ICMSinterno_NCM),mlookup(tbl_ICMSinterest_data,UFdestino,tbl_ICMSinterest_ufdest,UFdestino,tbl_ICMSinterest_uforig)),""),0)</f>
        <v>0.18</v>
      </c>
      <c r="CI41" s="91">
        <f t="shared" si="589"/>
        <v>36.584213075060532</v>
      </c>
      <c r="CJ41" s="91">
        <f t="shared" si="590"/>
        <v>29.724673123486696</v>
      </c>
      <c r="CK41" s="91">
        <f t="shared" si="591"/>
        <v>15.090987893462469</v>
      </c>
      <c r="CL41" s="91">
        <f t="shared" si="592"/>
        <v>69.510004842615004</v>
      </c>
      <c r="CN41" s="521">
        <f t="shared" si="593"/>
        <v>0</v>
      </c>
      <c r="CO41" s="91">
        <f t="shared" si="594"/>
        <v>0</v>
      </c>
      <c r="CQ41" s="91" t="b">
        <f t="shared" si="595"/>
        <v>0</v>
      </c>
      <c r="CR41" s="91" t="b">
        <f t="shared" si="596"/>
        <v>1</v>
      </c>
      <c r="CS41" s="91" t="b">
        <f t="shared" si="597"/>
        <v>0</v>
      </c>
      <c r="CU41" s="91">
        <f t="shared" si="598"/>
        <v>0</v>
      </c>
      <c r="CV41" s="516">
        <f t="shared" si="599"/>
        <v>0</v>
      </c>
      <c r="CW41" s="516">
        <f t="shared" si="600"/>
        <v>0</v>
      </c>
      <c r="CX41" s="516">
        <f t="shared" si="601"/>
        <v>0</v>
      </c>
      <c r="CY41" s="610">
        <f t="shared" si="602"/>
        <v>0</v>
      </c>
      <c r="CZ41" s="516">
        <f t="shared" si="603"/>
        <v>0</v>
      </c>
      <c r="DA41" s="610">
        <f t="shared" si="604"/>
        <v>0</v>
      </c>
      <c r="DB41" s="516">
        <f t="shared" si="605"/>
        <v>0</v>
      </c>
      <c r="DC41" s="610">
        <f t="shared" si="606"/>
        <v>0</v>
      </c>
      <c r="DD41" s="516">
        <f t="shared" si="607"/>
        <v>0</v>
      </c>
      <c r="DE41" s="611">
        <v>0</v>
      </c>
      <c r="DF41" s="516">
        <f t="shared" si="608"/>
        <v>0</v>
      </c>
      <c r="DG41" s="611">
        <v>0</v>
      </c>
      <c r="DH41" s="516">
        <f t="shared" si="609"/>
        <v>0</v>
      </c>
      <c r="DI41" s="516">
        <f t="shared" si="610"/>
        <v>0</v>
      </c>
      <c r="DK41" s="519">
        <f t="shared" si="611"/>
        <v>0.12</v>
      </c>
      <c r="DL41" s="91" t="str">
        <f t="shared" si="612"/>
        <v>NA</v>
      </c>
      <c r="DM41" s="519">
        <f t="shared" si="613"/>
        <v>0</v>
      </c>
      <c r="DN41" s="741">
        <f t="shared" si="614"/>
        <v>0</v>
      </c>
      <c r="DO41" s="742">
        <f t="shared" si="615"/>
        <v>0</v>
      </c>
      <c r="DP41" s="742"/>
      <c r="DQ41" s="519" t="str">
        <f t="shared" si="616"/>
        <v>NA</v>
      </c>
      <c r="DR41" s="91" t="str">
        <f t="shared" si="617"/>
        <v>NA</v>
      </c>
      <c r="DS41" s="519" t="str">
        <f t="shared" si="618"/>
        <v>NA</v>
      </c>
      <c r="DT41" s="741" t="str">
        <f t="shared" si="619"/>
        <v>NA</v>
      </c>
      <c r="DU41" s="742" t="str">
        <f t="shared" si="620"/>
        <v>NA</v>
      </c>
      <c r="DV41" s="742"/>
      <c r="DW41" s="91">
        <f t="shared" si="621"/>
        <v>819.20627500000001</v>
      </c>
      <c r="DX41" s="91">
        <f t="shared" si="622"/>
        <v>978.88649580357321</v>
      </c>
      <c r="DY41" s="91">
        <f t="shared" si="623"/>
        <v>1112.371017958606</v>
      </c>
      <c r="DZ41" s="742"/>
      <c r="EA41" s="743"/>
    </row>
    <row r="42" spans="1:135" s="56" customFormat="1" ht="19.649999999999999" customHeight="1" x14ac:dyDescent="0.25">
      <c r="A42" s="294" t="s">
        <v>350</v>
      </c>
      <c r="B42" s="839"/>
      <c r="C42" s="839"/>
      <c r="D42" s="839"/>
      <c r="E42" s="839"/>
      <c r="F42" s="839"/>
      <c r="G42" s="839"/>
      <c r="H42" s="839"/>
      <c r="I42" s="839"/>
      <c r="K42" s="613" t="s">
        <v>2810</v>
      </c>
      <c r="L42" s="824"/>
      <c r="M42" s="872" t="s">
        <v>3114</v>
      </c>
      <c r="N42" s="869"/>
      <c r="O42" s="58"/>
      <c r="P42" s="59"/>
      <c r="Q42" s="59"/>
      <c r="R42" s="59"/>
      <c r="S42" s="59"/>
      <c r="T42" s="60"/>
      <c r="U42" s="61"/>
      <c r="V42" s="59"/>
      <c r="W42" s="59"/>
      <c r="X42" s="60"/>
      <c r="Z42" s="839"/>
      <c r="AA42" s="839"/>
      <c r="AB42" s="839"/>
      <c r="AC42" s="839"/>
      <c r="AD42" s="839"/>
      <c r="AE42" s="839"/>
      <c r="AF42" s="839"/>
      <c r="AG42" s="839"/>
      <c r="AH42" s="839"/>
      <c r="AI42" s="839"/>
      <c r="AJ42" s="839"/>
      <c r="AK42" s="839"/>
      <c r="AL42" s="839"/>
      <c r="AM42" s="839"/>
      <c r="AN42" s="839"/>
      <c r="AO42" s="839"/>
      <c r="AP42" s="839"/>
      <c r="AQ42" s="839"/>
      <c r="AR42" s="839"/>
      <c r="AS42" s="839"/>
      <c r="AT42" s="839"/>
      <c r="AU42" s="839"/>
      <c r="AV42" s="839"/>
      <c r="AW42" s="839"/>
      <c r="AX42" s="839"/>
      <c r="AY42" s="839"/>
      <c r="AZ42" s="839"/>
      <c r="BA42" s="839"/>
      <c r="BB42" s="839"/>
      <c r="BC42" s="839"/>
      <c r="BD42" s="839"/>
      <c r="BE42" s="839"/>
      <c r="BF42" s="839"/>
      <c r="BG42" s="839"/>
      <c r="BH42" s="839"/>
      <c r="BI42" s="839"/>
      <c r="BJ42" s="839"/>
      <c r="BK42" s="839"/>
      <c r="BL42" s="839"/>
      <c r="BM42" s="839"/>
      <c r="BN42" s="839"/>
      <c r="BO42" s="839"/>
      <c r="BP42" s="839"/>
      <c r="BQ42" s="839"/>
      <c r="BR42" s="839"/>
      <c r="BS42" s="839"/>
      <c r="BT42" s="839"/>
      <c r="BU42" s="839"/>
      <c r="BV42" s="839"/>
      <c r="BW42" s="839"/>
      <c r="BX42" s="839"/>
      <c r="BY42" s="839"/>
      <c r="BZ42" s="839"/>
      <c r="CA42" s="839"/>
      <c r="CB42" s="839"/>
      <c r="CC42" s="839"/>
      <c r="CD42" s="839"/>
      <c r="CE42" s="839"/>
      <c r="CF42" s="839"/>
      <c r="CG42" s="839"/>
      <c r="CH42" s="839"/>
      <c r="CI42" s="839"/>
      <c r="CJ42" s="839"/>
      <c r="CK42" s="839"/>
      <c r="CL42" s="839"/>
      <c r="CM42" s="839"/>
      <c r="CN42" s="839"/>
      <c r="CO42" s="839"/>
      <c r="CP42" s="839"/>
      <c r="CQ42" s="839"/>
      <c r="CR42" s="839"/>
      <c r="CS42" s="839"/>
      <c r="CT42" s="839"/>
      <c r="CU42" s="839"/>
      <c r="CV42" s="839"/>
      <c r="CW42" s="839"/>
      <c r="CX42" s="839"/>
      <c r="CY42" s="839"/>
      <c r="CZ42" s="839"/>
      <c r="DA42" s="839"/>
      <c r="DB42" s="839"/>
      <c r="DC42" s="839"/>
      <c r="DD42" s="839"/>
      <c r="DE42" s="839"/>
      <c r="DF42" s="839"/>
      <c r="DG42" s="839"/>
      <c r="DH42" s="839"/>
      <c r="DI42" s="839"/>
      <c r="DJ42" s="839"/>
      <c r="DK42" s="839"/>
      <c r="DL42" s="839"/>
      <c r="DM42" s="839"/>
      <c r="DN42" s="839"/>
      <c r="DO42" s="839"/>
      <c r="DP42" s="839"/>
      <c r="DQ42" s="839"/>
      <c r="DR42" s="839"/>
      <c r="DS42" s="839"/>
      <c r="DT42" s="839"/>
      <c r="DU42" s="839"/>
      <c r="DV42" s="839"/>
      <c r="DW42" s="839"/>
      <c r="DX42" s="839"/>
      <c r="DY42" s="839"/>
      <c r="DZ42" s="839"/>
      <c r="EA42" s="806"/>
    </row>
    <row r="43" spans="1:135" s="753" customFormat="1" ht="48.15" customHeight="1" x14ac:dyDescent="0.25">
      <c r="A43" s="752"/>
      <c r="B43" s="753" t="s">
        <v>268</v>
      </c>
      <c r="C43" s="753" t="s">
        <v>255</v>
      </c>
      <c r="D43" s="757" t="s">
        <v>53</v>
      </c>
      <c r="E43" s="18" t="s">
        <v>38</v>
      </c>
      <c r="F43" s="753" t="s">
        <v>53</v>
      </c>
      <c r="G43" s="781" t="s">
        <v>2793</v>
      </c>
      <c r="H43" s="255" t="s">
        <v>357</v>
      </c>
      <c r="I43" s="752" t="s">
        <v>1910</v>
      </c>
      <c r="K43" s="318" t="s">
        <v>2811</v>
      </c>
      <c r="L43" s="502" t="s">
        <v>3052</v>
      </c>
      <c r="M43" s="50" t="str">
        <f>IFERROR(IFERROR(VLOOKUP(L43,tbl_materiais,COLUMN(head_mat_descricao)-COLUMN(head_mat_item)+1,FALSE),VLOOKUP(L43,tbl_servicos,COLUMN(head_serv_descricao)-COLUMN(head_serv_item)+1,FALSE)),"?")</f>
        <v>RX1524 - Switch (layer 2) + Roteador (layer 3), 2 portas SM LC, 2 portas elétricas RJ45, fonte redundante 48 VCC, referência 6GK6015-0CM22-2DC0-Z A03+B02+C33+D00+E00. Fabricante: Siemens/RUGGEDCOM.</v>
      </c>
      <c r="N43" s="51">
        <v>2</v>
      </c>
      <c r="O43" s="83">
        <f>IF(CQ43,std_ncm,IF(I43="Serviço","NA",IF(I43="Material",IFERROR(VLOOKUP(L43,tbl_materiais,COLUMN(head_mat_NCM)-COLUMN(head_mat_item)+1,FALSE),"?"),IFERROR(VLOOKUP(I43,tbl_TipoLinha,2,FALSE),"?"))))</f>
        <v>85372090</v>
      </c>
      <c r="P43" s="84">
        <f>IF(AND(D43="Não",I43&lt;&gt;"Serviço",CD43="Não"),IFERROR(IF(flag_interestadual,CE43,IF(CF43,CF43,CE43)),"?"),0)</f>
        <v>0.12</v>
      </c>
      <c r="Q43" s="84">
        <f>IF(AND(D43="Não",I43&lt;&gt;"Serviço"),IF(I43="Material",IFERROR(VLOOKUP(L43,tbl_materiais,COLUMN(head_mat_IPI)-COLUMN(head_mat_item)+1,FALSE),"?"),IFERROR(VLOOKUP(O43,tbl_NCM_info,COLUMN(head_porNCM_IPI)-COLUMN(head_porNCM_NCM)+1,FALSE),"?")),0)</f>
        <v>0</v>
      </c>
      <c r="R43" s="84">
        <f>IF(AND(D43="Não",I43="Serviço"),IFERROR(VLOOKUP(CB43,tbl_ISS,5,FALSE),"?"),0)</f>
        <v>0</v>
      </c>
      <c r="S43" s="85">
        <f>IF(D43="Não",IF(reidi="Sim",0,IF(B43="Real",pis_naocum,pis_cum)),0)</f>
        <v>0</v>
      </c>
      <c r="T43" s="86">
        <f>IF(D43="Não",IF(reidi="Sim",0,IF(B43="Real",cofins_naocum,cofins_cum)),0)</f>
        <v>0</v>
      </c>
      <c r="U43" s="754" t="str" cm="1">
        <f t="array" ref="U43">IFERROR(IF(I43&lt;&gt;"Serviço",IF(AND(mlookup(tbl_DIFAL_data,UFdestino,tbl_DIFAL_UF,O43,tbl_DIFAL_NCM)&lt;&gt;"",C43="Consumo"),"Sim",""),""),"?")</f>
        <v/>
      </c>
      <c r="V43" s="755" t="str">
        <f>IFERROR(IF(I43&lt;&gt;"Serviço",IF(AND(D43="Não",mlookup(tbl_ST_data,UFdestino,tbl_ST_UF,O43,tbl_ST_NCM)&lt;&gt;"",C43="Revenda",CD43="Não"),"Sim",""),""),"?")</f>
        <v/>
      </c>
      <c r="W43" s="84">
        <f>IF(OR(U43="Sim",V43="Sim"),CG43,0)</f>
        <v>0</v>
      </c>
      <c r="X43" s="756">
        <f>IF(V43="Sim",mlookup(tbl_ST_data,UFdestino,tbl_ST_UF,O43,tbl_ST_NCM),0)</f>
        <v>0</v>
      </c>
      <c r="Z43" s="757">
        <f>IF(AND(N43&gt;0,CQ43=FALSE),IFERROR(VLOOKUP(L43,tbl_servicos,COLUMN(head_serv_CL)-COLUMN(head_serv_item)+1,FALSE),IF(D43="Sim",0,IF(B43="Real",VLOOKUP(L43,tbl_materiais,COLUMN(head_mat_CLreal)-COLUMN(head_mat_item)+1,FALSE),VLOOKUP(L43,tbl_materiais,COLUMN(head_mat_CLpresumido)-COLUMN(head_mat_item)+1,FALSE)))),0)</f>
        <v>20591.491825000001</v>
      </c>
      <c r="AA43" s="753">
        <f>Z43*N43</f>
        <v>41182.983650000002</v>
      </c>
      <c r="AC43" s="758">
        <f t="shared" ref="AC43:AC44" si="624">cobertura_pc</f>
        <v>1.31243473968765E-2</v>
      </c>
      <c r="AD43" s="758">
        <f>IF(F43="Sim",0,VLOOKUP(E43,tbl_mb,2,FALSE))</f>
        <v>0.15</v>
      </c>
      <c r="AF43" s="753">
        <f>AI43*AC43</f>
        <v>645.85435432521706</v>
      </c>
      <c r="AG43" s="753">
        <f>AI43*AD43</f>
        <v>7381.5596478220968</v>
      </c>
      <c r="AI43" s="753">
        <f>AA43/(1-AC43-AD43)</f>
        <v>49210.397652147316</v>
      </c>
      <c r="AK43" s="758">
        <f t="shared" ref="AK43:AK44" si="625">mn_pc</f>
        <v>0</v>
      </c>
      <c r="AL43" s="753">
        <f>AM43*AK43</f>
        <v>0</v>
      </c>
      <c r="AM43" s="753">
        <f>AI43/(1-AK43)</f>
        <v>49210.397652147316</v>
      </c>
      <c r="AO43" s="753" t="b">
        <f>IF(ABS(SUM(AA43,AF43:AG43,AL43)-AM43)&lt;0.01,TRUE,FALSE)</f>
        <v>1</v>
      </c>
      <c r="AQ43" s="759">
        <f>IFERROR(AR43/N43,0)</f>
        <v>24605.198826073658</v>
      </c>
      <c r="AR43" s="759">
        <f>AM43</f>
        <v>49210.397652147316</v>
      </c>
      <c r="AT43" s="759">
        <f>IFERROR(AU43/N43,0)</f>
        <v>27960.453211447337</v>
      </c>
      <c r="AU43" s="759">
        <f>IF(AND(N43&gt;0,CQ43=FALSE),IF(C43="Consumo",AR43*(1+Q43)/(1-P43*(1+Q43)-R43-S43-T43),AR43*(1+Q43)/(1-P43-R43-S43-T43)),0)</f>
        <v>55920.906422894674</v>
      </c>
      <c r="AW43" s="759">
        <f>IF(AU43&gt;0,AU43/(1+Q43),0)</f>
        <v>55920.906422894674</v>
      </c>
      <c r="AX43" s="759">
        <f>IF(AU43&gt;0,IF(C43="Consumo",AW43-AU43*P43,AW43*(1-P43)),0)</f>
        <v>49210.397652147316</v>
      </c>
      <c r="AY43" s="759">
        <f>AX43-AW43*R43</f>
        <v>49210.397652147316</v>
      </c>
      <c r="AZ43" s="759">
        <f>AY43-AW43*(S43+T43)</f>
        <v>49210.397652147316</v>
      </c>
      <c r="BB43" s="753">
        <f>IF(AW43&gt;0,AW43*Q43,0)</f>
        <v>0</v>
      </c>
      <c r="BC43" s="753">
        <f>IF(AW43&gt;0,IF(C43="Consumo",AU43*P43,AW43*P43),0)</f>
        <v>6710.5087707473604</v>
      </c>
      <c r="BD43" s="753">
        <f>AW43*R43</f>
        <v>0</v>
      </c>
      <c r="BE43" s="753">
        <f>AW43*S43</f>
        <v>0</v>
      </c>
      <c r="BF43" s="753">
        <f>AW43*T43</f>
        <v>0</v>
      </c>
      <c r="BH43" s="760">
        <f>W43</f>
        <v>0</v>
      </c>
      <c r="BJ43" s="761">
        <f>IF(AND(U43&lt;&gt;"",C43="Consumo"),BH43-P43,0)</f>
        <v>0</v>
      </c>
      <c r="BK43" s="753">
        <f>BJ43*AU43</f>
        <v>0</v>
      </c>
      <c r="BL43" s="753">
        <f>AU43+BK43</f>
        <v>55920.906422894674</v>
      </c>
      <c r="BN43" s="758">
        <f>X43</f>
        <v>0</v>
      </c>
      <c r="BO43" s="753">
        <f>AU43*(1+BN43)</f>
        <v>55920.906422894674</v>
      </c>
      <c r="BP43" s="753">
        <f>IF(AND(V43&lt;&gt;"",C43="Revenda"),BO43*BH43-BC43,0)</f>
        <v>0</v>
      </c>
      <c r="BQ43" s="753">
        <f>AU43+BP43</f>
        <v>55920.906422894674</v>
      </c>
      <c r="BS43" s="759">
        <f>AU43-SUM(BB43:BF43)</f>
        <v>49210.397652147316</v>
      </c>
      <c r="BT43" s="753">
        <f>AR43+SUM(BB43:BF43)</f>
        <v>55920.906422894674</v>
      </c>
      <c r="BU43" s="753" t="b">
        <f>IF(ABS(BT43-BS43-SUM(BB43:BF43))&lt;0.01,TRUE,FALSE)</f>
        <v>1</v>
      </c>
      <c r="BW43" s="757" t="str">
        <f>IF(AND(N43&gt;0,CQ43=FALSE),IF(D43="Sim","Fat. Direto",VLOOKUP(CB43,tbl_IRPJaux,2,FALSE)),"")</f>
        <v>Material</v>
      </c>
      <c r="BX43" s="753">
        <f>IF(AND(BW43&lt;&gt;"NA",D43="Não"),MAX(BL43,BQ43),0)</f>
        <v>55920.906422894674</v>
      </c>
      <c r="BY43" s="752">
        <f>IF(BX43&gt;0,VLOOKUP(CB43,tbl_IRPJaux,3,FALSE),0)</f>
        <v>1</v>
      </c>
      <c r="BZ43" s="757">
        <f>IF(BX43&gt;0,AA43*BY43+AG43*recuperavel_MB_ir_real+AF43*recuperavel_coberturas_ir_real+SUM(BB43:BF43,BK43,BP43),0)</f>
        <v>48539.346775072576</v>
      </c>
      <c r="CA43" s="757"/>
      <c r="CB43" s="757" t="str">
        <f>IFERROR(VLOOKUP(L43,tbl_materiais,COLUMN(head_mat_WBS)-COLUMN(head_mat_item)+1,FALSE),IFERROR(VLOOKUP(L43,tbl_servicos,COLUMN(head_serv_WBS)-COLUMN(head_serv_item)+1,FALSE),"?"))</f>
        <v xml:space="preserve">  Comunicação</v>
      </c>
      <c r="CD43" s="753" t="str">
        <f>IFERROR(VLOOKUP(L43,tbl_materiais,COLUMN(head_mat_st)-COLUMN(head_mat_item)+1,FALSE),"Não")</f>
        <v>Não</v>
      </c>
      <c r="CE43" s="760">
        <f>ifzero(mlookup(tbl_ICMSinterest_data,UFdestino,tbl_ICMSinterest_ufdest,UForigem,tbl_ICMSinterest_uforig))</f>
        <v>0.12</v>
      </c>
      <c r="CF43" s="760">
        <f>IF(N43&gt;0,IF(I43&lt;&gt;"Serviço",ifzero(mlookup(tbl_ICMSinterno_data,UForigem,tbl_ICMSinterno_UF,O43,tbl_ICMSinterno_NCM),mlookup(tbl_ICMSinterest_data,UForigem,tbl_ICMSinterest_ufdest,UForigem,tbl_ICMSinterest_uforig)),""),0)</f>
        <v>0.12</v>
      </c>
      <c r="CG43" s="760">
        <f>IF(N43&gt;0,IF(I43&lt;&gt;"Serviço",ifzero(mlookup(tbl_ICMSinterno_data,UFdestino,tbl_ICMSinterno_UF,O43,tbl_ICMSinterno_NCM),mlookup(tbl_ICMSinterest_data,UFdestino,tbl_ICMSinterest_ufdest,UFdestino,tbl_ICMSinterest_uforig)),""),0)</f>
        <v>0.18</v>
      </c>
      <c r="CI43" s="753">
        <f>IFERROR(IF(AND(I43&lt;&gt;"Serviço",D43="Não"),N43*VLOOKUP(L43,tbl_materiais,COLUMN(head_mat_credito_ICMS)-COLUMN(head_mat_item)+1,FALSE),0),0)</f>
        <v>1730.2297949886106</v>
      </c>
      <c r="CJ43" s="753">
        <f>IFERROR(IF(AND(I43&lt;&gt;"Serviço",D43="Não"),N43*VLOOKUP(L43,tbl_materiais,COLUMN(head_mat_credito_IPI)-COLUMN(head_mat_item)+1,FALSE),0),0)</f>
        <v>4217.4351252847337</v>
      </c>
      <c r="CK43" s="753">
        <f>IFERROR(IF(AND(I43&lt;&gt;"Serviço",D43="Não",B43="Real"),N43*VLOOKUP(L43,tbl_materiais,COLUMN(head_mat_credito_PIS)-COLUMN(head_mat_item)+1,FALSE),0),0)</f>
        <v>713.71979043280191</v>
      </c>
      <c r="CL43" s="753">
        <f>IFERROR(IF(AND(I43&lt;&gt;"Serviço",D43="Não",B43="Real"),N43*VLOOKUP(L43,tbl_materiais,COLUMN(head_mat_credito_COFINS)-COLUMN(head_mat_item)+1,FALSE),0),0)</f>
        <v>3287.4366104783603</v>
      </c>
      <c r="CN43" s="762">
        <f>IFERROR(SUMIF(serv_col_item,"="&amp;L43,serv_col_totalhh),0)</f>
        <v>0</v>
      </c>
      <c r="CO43" s="753">
        <f>IFERROR(SUMIF(serv_col_item,"="&amp;L43,serv_col_gdv),0)</f>
        <v>0</v>
      </c>
      <c r="CQ43" s="753" t="b">
        <f>IF(N43&gt;0,IF(ISERROR(HLOOKUP(L43,std_tbl4,1,FALSE)),FALSE,TRUE),FALSE)</f>
        <v>0</v>
      </c>
      <c r="CR43" s="753" t="b">
        <f>IF(AND(CQ43,I43&lt;&gt;std_tiponcm),FALSE,TRUE)</f>
        <v>1</v>
      </c>
      <c r="CS43" s="753" t="b">
        <f>IF(AND(CQ43,D43="Sim"),TRUE,FALSE)</f>
        <v>0</v>
      </c>
      <c r="CU43" s="753">
        <f>IF(D43="Sim",VLOOKUP(L43,tbl_materiais,COLUMN(head_mat_fatdir)-COLUMN(head_mat_item)+1,FALSE),0)</f>
        <v>0</v>
      </c>
      <c r="CV43" s="757">
        <f>CU43*N43</f>
        <v>0</v>
      </c>
      <c r="CW43" s="757">
        <f>CX43*(1-CY43-DA43-DE43-DG43)/(1+DC43)</f>
        <v>0</v>
      </c>
      <c r="CX43" s="757">
        <f>CV43/(1-AK43)</f>
        <v>0</v>
      </c>
      <c r="CY43" s="763">
        <f>IF(D43="Sim",VLOOKUP(L43,tbl_materiais,COLUMN(head_mat_ICMS_input)-COLUMN(head_mat_item)+1,FALSE),0)</f>
        <v>0</v>
      </c>
      <c r="CZ43" s="757">
        <f>CX43*CY43</f>
        <v>0</v>
      </c>
      <c r="DA43" s="763">
        <f>IF(D43="Sim",VLOOKUP(L43,tbl_materiais,COLUMN(head_mat_ISS_input)-COLUMN(head_mat_item)+1,FALSE),0)</f>
        <v>0</v>
      </c>
      <c r="DB43" s="757">
        <f>CX43*DA43</f>
        <v>0</v>
      </c>
      <c r="DC43" s="763">
        <f>IF(D43="Sim",VLOOKUP(L43,tbl_materiais,COLUMN(head_mat_IPI_input)-COLUMN(head_mat_item)+1,FALSE),0)</f>
        <v>0</v>
      </c>
      <c r="DD43" s="757">
        <f>CX43*DC43/(1+DC43)</f>
        <v>0</v>
      </c>
      <c r="DE43" s="764">
        <v>0</v>
      </c>
      <c r="DF43" s="757">
        <f>(CX43-DD43)*DE43</f>
        <v>0</v>
      </c>
      <c r="DG43" s="764">
        <v>0</v>
      </c>
      <c r="DH43" s="757">
        <f>(CX43-DD43)*DG43</f>
        <v>0</v>
      </c>
      <c r="DI43" s="757">
        <f>CX43-CZ43-DD43-DF43-DH43</f>
        <v>0</v>
      </c>
      <c r="DK43" s="760">
        <f>IF(AND(I43&lt;&gt;"Serviço",Z43&gt;0),P43,"NA")</f>
        <v>0.12</v>
      </c>
      <c r="DL43" s="753" t="str">
        <f>IF(AND(I43="Serviço",Z43&gt;0),R43,"NA")</f>
        <v>NA</v>
      </c>
      <c r="DM43" s="760">
        <f>IF(AND(I43&lt;&gt;"Serviço",Z43&gt;0),Q43,"NA")</f>
        <v>0</v>
      </c>
      <c r="DN43" s="765">
        <f>IF(Z43&gt;0,S43,"NA")</f>
        <v>0</v>
      </c>
      <c r="DO43" s="766">
        <f>IF(Z43&gt;0,T43,"NA")</f>
        <v>0</v>
      </c>
      <c r="DP43" s="766"/>
      <c r="DQ43" s="760" t="str">
        <f>IF(AND(I43&lt;&gt;"Serviço",CU43&gt;0),CY43,"NA")</f>
        <v>NA</v>
      </c>
      <c r="DR43" s="753" t="str">
        <f>IF(AND(I43="Serviço",CU43&gt;0),DA43,"NA")</f>
        <v>NA</v>
      </c>
      <c r="DS43" s="760" t="str">
        <f>IF(AND(I43&lt;&gt;"Serviço",CU43&gt;0),DC43,"NA")</f>
        <v>NA</v>
      </c>
      <c r="DT43" s="765" t="str">
        <f>IF(CU43&gt;0,DE43,"NA")</f>
        <v>NA</v>
      </c>
      <c r="DU43" s="766" t="str">
        <f>IF(CU43&gt;0,DG43,"NA")</f>
        <v>NA</v>
      </c>
      <c r="DV43" s="766"/>
      <c r="DW43" s="753">
        <f>IF(CQ43,N43*HLOOKUP(L43,std_tbl6,ROW(std_PL_real)-ROW(row_std_head)+1,FALSE),AA43)</f>
        <v>41182.983650000002</v>
      </c>
      <c r="DX43" s="753">
        <f>IF(CQ43,DW43/(1-AC43-AD43)/(1-AK43),AM43)</f>
        <v>49210.397652147316</v>
      </c>
      <c r="DY43" s="753">
        <f>IF(CQ43,IF(C43="Industrialização",DX43/(1-P43-S43-T43)*(1+Q43),DX43/(1-P43*(1+Q43)-S43-T43)*(1+Q43)),AU43)</f>
        <v>55920.906422894674</v>
      </c>
      <c r="DZ43" s="766"/>
      <c r="EA43" s="767"/>
      <c r="EC43" s="753" t="s">
        <v>53</v>
      </c>
      <c r="ED43" s="753" t="s">
        <v>53</v>
      </c>
      <c r="EE43" s="753" t="s">
        <v>53</v>
      </c>
    </row>
    <row r="44" spans="1:135" ht="73.650000000000006" customHeight="1" x14ac:dyDescent="0.25">
      <c r="A44" s="18"/>
      <c r="B44" s="2" t="s">
        <v>268</v>
      </c>
      <c r="C44" s="2" t="s">
        <v>255</v>
      </c>
      <c r="D44" s="757" t="s">
        <v>53</v>
      </c>
      <c r="E44" s="18" t="s">
        <v>38</v>
      </c>
      <c r="F44" s="2" t="s">
        <v>53</v>
      </c>
      <c r="G44" s="781" t="s">
        <v>2793</v>
      </c>
      <c r="H44" s="255" t="s">
        <v>357</v>
      </c>
      <c r="I44" s="18" t="s">
        <v>1910</v>
      </c>
      <c r="K44" s="318" t="s">
        <v>2812</v>
      </c>
      <c r="L44" s="502" t="s">
        <v>3053</v>
      </c>
      <c r="M44" s="50" t="str">
        <f>IFERROR(IFERROR(VLOOKUP(L44,tbl_materiais,COLUMN(head_mat_descricao)-COLUMN(head_mat_item)+1,FALSE),VLOOKUP(L44,tbl_servicos,COLUMN(head_serv_descricao)-COLUMN(head_serv_item)+1,FALSE)),"?")</f>
        <v>RSG2100P - Switch PoE, 2 portas ópticas SM LC, 8 portas ópticas MM LC, 8 portas elétricas RJ45 (4 delas PoE), fonte redundante 48 VCC, referência 6GK6021-0PS25-8DC0-Z A05+B05+C05+D05+E04+F00+G01+H01+J00+K00. Fabricante: Siemens/RUGGEDCOM.</v>
      </c>
      <c r="N44" s="51">
        <v>2</v>
      </c>
      <c r="O44" s="83">
        <f>IF(CQ44,std_ncm,IF(I44="Serviço","NA",IF(I44="Material",IFERROR(VLOOKUP(L44,tbl_materiais,COLUMN(head_mat_NCM)-COLUMN(head_mat_item)+1,FALSE),"?"),IFERROR(VLOOKUP(I44,tbl_TipoLinha,2,FALSE),"?"))))</f>
        <v>85372090</v>
      </c>
      <c r="P44" s="84">
        <f>IF(AND(D44="Não",I44&lt;&gt;"Serviço",CD44="Não"),IFERROR(IF(flag_interestadual,CE44,IF(CF44,CF44,CE44)),"?"),0)</f>
        <v>0.12</v>
      </c>
      <c r="Q44" s="84">
        <f>IF(AND(D44="Não",I44&lt;&gt;"Serviço"),IF(I44="Material",IFERROR(VLOOKUP(L44,tbl_materiais,COLUMN(head_mat_IPI)-COLUMN(head_mat_item)+1,FALSE),"?"),IFERROR(VLOOKUP(O44,tbl_NCM_info,COLUMN(head_porNCM_IPI)-COLUMN(head_porNCM_NCM)+1,FALSE),"?")),0)</f>
        <v>0</v>
      </c>
      <c r="R44" s="84">
        <f>IF(AND(D44="Não",I44="Serviço"),IFERROR(VLOOKUP(CB44,tbl_ISS,5,FALSE),"?"),0)</f>
        <v>0</v>
      </c>
      <c r="S44" s="85">
        <f>IF(D44="Não",IF(reidi="Sim",0,IF(B44="Real",pis_naocum,pis_cum)),0)</f>
        <v>0</v>
      </c>
      <c r="T44" s="86">
        <f>IF(D44="Não",IF(reidi="Sim",0,IF(B44="Real",cofins_naocum,cofins_cum)),0)</f>
        <v>0</v>
      </c>
      <c r="U44" s="53" t="str" cm="1">
        <f t="array" ref="U44">IFERROR(IF(I44&lt;&gt;"Serviço",IF(AND(mlookup(tbl_DIFAL_data,UFdestino,tbl_DIFAL_UF,O44,tbl_DIFAL_NCM)&lt;&gt;"",C44="Consumo"),"Sim",""),""),"?")</f>
        <v/>
      </c>
      <c r="V44" s="54" t="str">
        <f>IFERROR(IF(I44&lt;&gt;"Serviço",IF(AND(D44="Não",mlookup(tbl_ST_data,UFdestino,tbl_ST_UF,O44,tbl_ST_NCM)&lt;&gt;"",C44="Revenda",CD44="Não"),"Sim",""),""),"?")</f>
        <v/>
      </c>
      <c r="W44" s="52">
        <f>IF(OR(U44="Sim",V44="Sim"),CG44,0)</f>
        <v>0</v>
      </c>
      <c r="X44" s="55">
        <f>IF(V44="Sim",mlookup(tbl_ST_data,UFdestino,tbl_ST_UF,O44,tbl_ST_NCM),0)</f>
        <v>0</v>
      </c>
      <c r="Z44" s="102">
        <f>IF(AND(N44&gt;0,CQ44=FALSE),IFERROR(VLOOKUP(L44,tbl_servicos,COLUMN(head_serv_CL)-COLUMN(head_serv_item)+1,FALSE),IF(D44="Sim",0,IF(B44="Real",VLOOKUP(L44,tbl_materiais,COLUMN(head_mat_CLreal)-COLUMN(head_mat_item)+1,FALSE),VLOOKUP(L44,tbl_materiais,COLUMN(head_mat_CLpresumido)-COLUMN(head_mat_item)+1,FALSE)))),0)</f>
        <v>17144.454550000002</v>
      </c>
      <c r="AA44" s="2">
        <f>Z44*N44</f>
        <v>34288.909100000004</v>
      </c>
      <c r="AC44" s="8">
        <f t="shared" si="624"/>
        <v>1.31243473968765E-2</v>
      </c>
      <c r="AD44" s="8">
        <f>IF(F44="Sim",0,VLOOKUP(E44,tbl_mb,2,FALSE))</f>
        <v>0.15</v>
      </c>
      <c r="AF44" s="2">
        <f>AI44*AC44</f>
        <v>537.73765969713952</v>
      </c>
      <c r="AG44" s="2">
        <f>AI44*AD44</f>
        <v>6145.8788399465548</v>
      </c>
      <c r="AI44" s="2">
        <f>AA44/(1-AC44-AD44)</f>
        <v>40972.525599643697</v>
      </c>
      <c r="AK44" s="8">
        <f t="shared" si="625"/>
        <v>0</v>
      </c>
      <c r="AL44" s="2">
        <f>AM44*AK44</f>
        <v>0</v>
      </c>
      <c r="AM44" s="2">
        <f>AI44/(1-AK44)</f>
        <v>40972.525599643697</v>
      </c>
      <c r="AO44" s="2" t="b">
        <f>IF(ABS(SUM(AA44,AF44:AG44,AL44)-AM44)&lt;0.01,TRUE,FALSE)</f>
        <v>1</v>
      </c>
      <c r="AQ44" s="6">
        <f>IFERROR(AR44/N44,0)</f>
        <v>20486.262799821849</v>
      </c>
      <c r="AR44" s="6">
        <f>AM44</f>
        <v>40972.525599643697</v>
      </c>
      <c r="AT44" s="6">
        <f>IFERROR(AU44/N44,0)</f>
        <v>23279.844090706647</v>
      </c>
      <c r="AU44" s="6">
        <f>IF(AND(N44&gt;0,CQ44=FALSE),IF(C44="Consumo",AR44*(1+Q44)/(1-P44*(1+Q44)-R44-S44-T44),AR44*(1+Q44)/(1-P44-R44-S44-T44)),0)</f>
        <v>46559.688181413294</v>
      </c>
      <c r="AW44" s="6">
        <f>IF(AU44&gt;0,AU44/(1+Q44),0)</f>
        <v>46559.688181413294</v>
      </c>
      <c r="AX44" s="6">
        <f>IF(AU44&gt;0,IF(C44="Consumo",AW44-AU44*P44,AW44*(1-P44)),0)</f>
        <v>40972.525599643697</v>
      </c>
      <c r="AY44" s="6">
        <f>AX44-AW44*R44</f>
        <v>40972.525599643697</v>
      </c>
      <c r="AZ44" s="6">
        <f>AY44-AW44*(S44+T44)</f>
        <v>40972.525599643697</v>
      </c>
      <c r="BB44" s="2">
        <f>IF(AW44&gt;0,AW44*Q44,0)</f>
        <v>0</v>
      </c>
      <c r="BC44" s="2">
        <f>IF(AW44&gt;0,IF(C44="Consumo",AU44*P44,AW44*P44),0)</f>
        <v>5587.1625817695949</v>
      </c>
      <c r="BD44" s="2">
        <f>AW44*R44</f>
        <v>0</v>
      </c>
      <c r="BE44" s="2">
        <f>AW44*S44</f>
        <v>0</v>
      </c>
      <c r="BF44" s="2">
        <f>AW44*T44</f>
        <v>0</v>
      </c>
      <c r="BH44" s="3">
        <f>W44</f>
        <v>0</v>
      </c>
      <c r="BJ44" s="10">
        <f>IF(AND(U44&lt;&gt;"",C44="Consumo"),BH44-P44,0)</f>
        <v>0</v>
      </c>
      <c r="BK44" s="2">
        <f>BJ44*AU44</f>
        <v>0</v>
      </c>
      <c r="BL44" s="2">
        <f>AU44+BK44</f>
        <v>46559.688181413294</v>
      </c>
      <c r="BN44" s="8">
        <f>X44</f>
        <v>0</v>
      </c>
      <c r="BO44" s="2">
        <f>AU44*(1+BN44)</f>
        <v>46559.688181413294</v>
      </c>
      <c r="BP44" s="2">
        <f>IF(AND(V44&lt;&gt;"",C44="Revenda"),BO44*BH44-BC44,0)</f>
        <v>0</v>
      </c>
      <c r="BQ44" s="2">
        <f>AU44+BP44</f>
        <v>46559.688181413294</v>
      </c>
      <c r="BS44" s="6">
        <f>AU44-SUM(BB44:BF44)</f>
        <v>40972.525599643697</v>
      </c>
      <c r="BT44" s="2">
        <f>AR44+SUM(BB44:BF44)</f>
        <v>46559.688181413294</v>
      </c>
      <c r="BU44" s="2" t="b">
        <f>IF(ABS(BT44-BS44-SUM(BB44:BF44))&lt;0.01,TRUE,FALSE)</f>
        <v>1</v>
      </c>
      <c r="BW44" s="102" t="str">
        <f>IF(AND(N44&gt;0,CQ44=FALSE),IF(D44="Sim","Fat. Direto",VLOOKUP(CB44,tbl_IRPJaux,2,FALSE)),"")</f>
        <v>Material</v>
      </c>
      <c r="BX44" s="2">
        <f>IF(AND(BW44&lt;&gt;"NA",D44="Não"),MAX(BL44,BQ44),0)</f>
        <v>46559.688181413294</v>
      </c>
      <c r="BY44" s="18">
        <f>IF(BX44&gt;0,VLOOKUP(CB44,tbl_IRPJaux,3,FALSE),0)</f>
        <v>1</v>
      </c>
      <c r="BZ44" s="102">
        <f>IF(BX44&gt;0,AA44*BY44+AG44*recuperavel_MB_ir_real+AF44*recuperavel_coberturas_ir_real+SUM(BB44:BF44,BK44,BP44),0)</f>
        <v>40413.809341466738</v>
      </c>
      <c r="CA44" s="102"/>
      <c r="CB44" s="102" t="str">
        <f>IFERROR(VLOOKUP(L44,tbl_materiais,COLUMN(head_mat_WBS)-COLUMN(head_mat_item)+1,FALSE),IFERROR(VLOOKUP(L44,tbl_servicos,COLUMN(head_serv_WBS)-COLUMN(head_serv_item)+1,FALSE),"?"))</f>
        <v xml:space="preserve">  Comunicação</v>
      </c>
      <c r="CD44" s="2" t="str">
        <f>IFERROR(VLOOKUP(L44,tbl_materiais,COLUMN(head_mat_st)-COLUMN(head_mat_item)+1,FALSE),"Não")</f>
        <v>Não</v>
      </c>
      <c r="CE44" s="3">
        <f>ifzero(mlookup(tbl_ICMSinterest_data,UFdestino,tbl_ICMSinterest_ufdest,UForigem,tbl_ICMSinterest_uforig))</f>
        <v>0.12</v>
      </c>
      <c r="CF44" s="3">
        <f>IF(N44&gt;0,IF(I44&lt;&gt;"Serviço",ifzero(mlookup(tbl_ICMSinterno_data,UForigem,tbl_ICMSinterno_UF,O44,tbl_ICMSinterno_NCM),mlookup(tbl_ICMSinterest_data,UForigem,tbl_ICMSinterest_ufdest,UForigem,tbl_ICMSinterest_uforig)),""),0)</f>
        <v>0.12</v>
      </c>
      <c r="CG44" s="3">
        <f>IF(N44&gt;0,IF(I44&lt;&gt;"Serviço",ifzero(mlookup(tbl_ICMSinterno_data,UFdestino,tbl_ICMSinterno_UF,O44,tbl_ICMSinterno_NCM),mlookup(tbl_ICMSinterest_data,UFdestino,tbl_ICMSinterest_ufdest,UFdestino,tbl_ICMSinterest_uforig)),""),0)</f>
        <v>0.18</v>
      </c>
      <c r="CI44" s="2">
        <f>IFERROR(IF(AND(I44&lt;&gt;"Serviço",D44="Não"),N44*VLOOKUP(L44,tbl_materiais,COLUMN(head_mat_credito_ICMS)-COLUMN(head_mat_item)+1,FALSE),0),0)</f>
        <v>1440.5875170842826</v>
      </c>
      <c r="CJ44" s="2">
        <f>IFERROR(IF(AND(I44&lt;&gt;"Serviço",D44="Não"),N44*VLOOKUP(L44,tbl_materiais,COLUMN(head_mat_credito_IPI)-COLUMN(head_mat_item)+1,FALSE),0),0)</f>
        <v>3511.4320728929379</v>
      </c>
      <c r="CK44" s="2">
        <f>IFERROR(IF(AND(I44&lt;&gt;"Serviço",D44="Não",B44="Real"),N44*VLOOKUP(L44,tbl_materiais,COLUMN(head_mat_credito_PIS)-COLUMN(head_mat_item)+1,FALSE),0),0)</f>
        <v>594.24235079726657</v>
      </c>
      <c r="CL44" s="2">
        <f>IFERROR(IF(AND(I44&lt;&gt;"Serviço",D44="Não",B44="Real"),N44*VLOOKUP(L44,tbl_materiais,COLUMN(head_mat_credito_COFINS)-COLUMN(head_mat_item)+1,FALSE),0),0)</f>
        <v>2737.116282460137</v>
      </c>
      <c r="CN44" s="326">
        <f>IFERROR(SUMIF(serv_col_item,"="&amp;L44,serv_col_totalhh),0)</f>
        <v>0</v>
      </c>
      <c r="CO44" s="2">
        <f>IFERROR(SUMIF(serv_col_item,"="&amp;L44,serv_col_gdv),0)</f>
        <v>0</v>
      </c>
      <c r="CQ44" s="2" t="b">
        <f>IF(N44&gt;0,IF(ISERROR(HLOOKUP(L44,std_tbl4,1,FALSE)),FALSE,TRUE),FALSE)</f>
        <v>0</v>
      </c>
      <c r="CR44" s="2" t="b">
        <f>IF(AND(CQ44,I44&lt;&gt;std_tiponcm),FALSE,TRUE)</f>
        <v>1</v>
      </c>
      <c r="CS44" s="2" t="b">
        <f>IF(AND(CQ44,D44="Sim"),TRUE,FALSE)</f>
        <v>0</v>
      </c>
      <c r="CU44" s="2">
        <f>IF(D44="Sim",VLOOKUP(L44,tbl_materiais,COLUMN(head_mat_fatdir)-COLUMN(head_mat_item)+1,FALSE),0)</f>
        <v>0</v>
      </c>
      <c r="CV44" s="102">
        <f>CU44*N44</f>
        <v>0</v>
      </c>
      <c r="CW44" s="102">
        <f>CX44*(1-CY44-DA44-DE44-DG44)/(1+DC44)</f>
        <v>0</v>
      </c>
      <c r="CX44" s="102">
        <f>CV44/(1-AK44)</f>
        <v>0</v>
      </c>
      <c r="CY44" s="290">
        <f>IF(D44="Sim",VLOOKUP(L44,tbl_materiais,COLUMN(head_mat_ICMS_input)-COLUMN(head_mat_item)+1,FALSE),0)</f>
        <v>0</v>
      </c>
      <c r="CZ44" s="102">
        <f>CX44*CY44</f>
        <v>0</v>
      </c>
      <c r="DA44" s="290">
        <f>IF(D44="Sim",VLOOKUP(L44,tbl_materiais,COLUMN(head_mat_ISS_input)-COLUMN(head_mat_item)+1,FALSE),0)</f>
        <v>0</v>
      </c>
      <c r="DB44" s="102">
        <f>CX44*DA44</f>
        <v>0</v>
      </c>
      <c r="DC44" s="290">
        <f>IF(D44="Sim",VLOOKUP(L44,tbl_materiais,COLUMN(head_mat_IPI_input)-COLUMN(head_mat_item)+1,FALSE),0)</f>
        <v>0</v>
      </c>
      <c r="DD44" s="102">
        <f>CX44*DC44/(1+DC44)</f>
        <v>0</v>
      </c>
      <c r="DE44" s="592">
        <v>0</v>
      </c>
      <c r="DF44" s="102">
        <f>(CX44-DD44)*DE44</f>
        <v>0</v>
      </c>
      <c r="DG44" s="592">
        <v>0</v>
      </c>
      <c r="DH44" s="102">
        <f>(CX44-DD44)*DG44</f>
        <v>0</v>
      </c>
      <c r="DI44" s="102">
        <f>CX44-CZ44-DD44-DF44-DH44</f>
        <v>0</v>
      </c>
      <c r="DK44" s="3">
        <f>IF(AND(I44&lt;&gt;"Serviço",Z44&gt;0),P44,"NA")</f>
        <v>0.12</v>
      </c>
      <c r="DL44" s="2" t="str">
        <f>IF(AND(I44="Serviço",Z44&gt;0),R44,"NA")</f>
        <v>NA</v>
      </c>
      <c r="DM44" s="3">
        <f>IF(AND(I44&lt;&gt;"Serviço",Z44&gt;0),Q44,"NA")</f>
        <v>0</v>
      </c>
      <c r="DN44" s="9">
        <f>IF(Z44&gt;0,S44,"NA")</f>
        <v>0</v>
      </c>
      <c r="DO44" s="637">
        <f>IF(Z44&gt;0,T44,"NA")</f>
        <v>0</v>
      </c>
      <c r="DP44" s="637"/>
      <c r="DQ44" s="3" t="str">
        <f>IF(AND(I44&lt;&gt;"Serviço",CU44&gt;0),CY44,"NA")</f>
        <v>NA</v>
      </c>
      <c r="DR44" s="2" t="str">
        <f>IF(AND(I44="Serviço",CU44&gt;0),DA44,"NA")</f>
        <v>NA</v>
      </c>
      <c r="DS44" s="3" t="str">
        <f>IF(AND(I44&lt;&gt;"Serviço",CU44&gt;0),DC44,"NA")</f>
        <v>NA</v>
      </c>
      <c r="DT44" s="9" t="str">
        <f>IF(CU44&gt;0,DE44,"NA")</f>
        <v>NA</v>
      </c>
      <c r="DU44" s="637" t="str">
        <f>IF(CU44&gt;0,DG44,"NA")</f>
        <v>NA</v>
      </c>
      <c r="DV44" s="637"/>
      <c r="DW44" s="2">
        <f>IF(CQ44,N44*HLOOKUP(L44,std_tbl6,ROW(std_PL_real)-ROW(row_std_head)+1,FALSE),AA44)</f>
        <v>34288.909100000004</v>
      </c>
      <c r="DX44" s="2">
        <f>IF(CQ44,DW44/(1-AC44-AD44)/(1-AK44),AM44)</f>
        <v>40972.525599643697</v>
      </c>
      <c r="DY44" s="2">
        <f>IF(CQ44,IF(C44="Industrialização",DX44/(1-P44-S44-T44)*(1+Q44),DX44/(1-P44*(1+Q44)-S44-T44)*(1+Q44)),AU44)</f>
        <v>46559.688181413294</v>
      </c>
      <c r="DZ44" s="637"/>
      <c r="EA44" s="643"/>
      <c r="EC44" s="2" t="s">
        <v>53</v>
      </c>
      <c r="ED44" s="2" t="s">
        <v>53</v>
      </c>
      <c r="EE44" s="2" t="s">
        <v>53</v>
      </c>
    </row>
    <row r="45" spans="1:135" s="234" customFormat="1" ht="19.649999999999999" customHeight="1" x14ac:dyDescent="0.25">
      <c r="A45" s="292" t="s">
        <v>348</v>
      </c>
      <c r="B45"/>
      <c r="C45"/>
      <c r="D45"/>
      <c r="E45"/>
      <c r="F45"/>
      <c r="G45"/>
      <c r="H45"/>
      <c r="I45"/>
      <c r="K45" s="615" t="s">
        <v>1200</v>
      </c>
      <c r="L45" s="825"/>
      <c r="M45" s="871" t="s">
        <v>146</v>
      </c>
      <c r="N45" s="869"/>
      <c r="O45" s="236"/>
      <c r="P45" s="237"/>
      <c r="Q45" s="237"/>
      <c r="R45" s="237"/>
      <c r="S45" s="237"/>
      <c r="T45" s="238"/>
      <c r="U45" s="239"/>
      <c r="V45" s="237"/>
      <c r="W45" s="237"/>
      <c r="X45" s="238"/>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s="643"/>
    </row>
    <row r="46" spans="1:135" s="243" customFormat="1" ht="19.649999999999999" customHeight="1" x14ac:dyDescent="0.25">
      <c r="A46" s="293" t="s">
        <v>349</v>
      </c>
      <c r="B46"/>
      <c r="C46"/>
      <c r="D46"/>
      <c r="E46"/>
      <c r="F46"/>
      <c r="G46"/>
      <c r="H46"/>
      <c r="I46"/>
      <c r="K46" s="612" t="s">
        <v>2813</v>
      </c>
      <c r="L46" s="826"/>
      <c r="M46" s="868" t="s">
        <v>2795</v>
      </c>
      <c r="N46" s="869"/>
      <c r="O46" s="245"/>
      <c r="P46" s="246"/>
      <c r="Q46" s="246"/>
      <c r="R46" s="246"/>
      <c r="S46" s="246"/>
      <c r="T46" s="247"/>
      <c r="U46" s="248"/>
      <c r="V46" s="246"/>
      <c r="W46" s="246"/>
      <c r="X46" s="247"/>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s="643"/>
    </row>
    <row r="47" spans="1:135" ht="22.65" customHeight="1" x14ac:dyDescent="0.25">
      <c r="A47" s="18"/>
      <c r="B47" s="2" t="s">
        <v>268</v>
      </c>
      <c r="C47" s="2" t="s">
        <v>255</v>
      </c>
      <c r="D47" s="757" t="s">
        <v>53</v>
      </c>
      <c r="E47" s="778" t="s">
        <v>1017</v>
      </c>
      <c r="F47" s="2" t="s">
        <v>53</v>
      </c>
      <c r="G47" s="781" t="s">
        <v>695</v>
      </c>
      <c r="H47" s="255" t="s">
        <v>2794</v>
      </c>
      <c r="I47" s="803" t="s">
        <v>165</v>
      </c>
      <c r="K47" s="318" t="s">
        <v>2814</v>
      </c>
      <c r="L47" s="502" t="s">
        <v>1133</v>
      </c>
      <c r="M47" s="50" t="str">
        <f t="shared" ref="M47" si="626">IFERROR(IFERROR(VLOOKUP(L47,tbl_materiais,COLUMN(head_mat_descricao)-COLUMN(head_mat_item)+1,FALSE),VLOOKUP(L47,tbl_servicos,COLUMN(head_serv_descricao)-COLUMN(head_serv_item)+1,FALSE)),"?")</f>
        <v>Visita em campo para levantamento de informações.</v>
      </c>
      <c r="N47" s="549">
        <v>1</v>
      </c>
      <c r="O47" s="83" t="str">
        <f>IF(CQ47,std_ncm,IF(I47="Serviço","NA",IF(I47="Material",IFERROR(VLOOKUP(L47,tbl_materiais,COLUMN(head_mat_NCM)-COLUMN(head_mat_item)+1,FALSE),"?"),IFERROR(VLOOKUP(I47,tbl_TipoLinha,2,FALSE),"?"))))</f>
        <v>NA</v>
      </c>
      <c r="P47" s="84">
        <f>IF(AND(D47="Não",I47&lt;&gt;"Serviço",CD47="Não"),IFERROR(IF(flag_interestadual,CE47,IF(CF47,CF47,CE47)),"?"),0)</f>
        <v>0</v>
      </c>
      <c r="Q47" s="84">
        <f>IF(AND(D47="Não",I47&lt;&gt;"Serviço"),IF(I47="Material",IFERROR(VLOOKUP(L47,tbl_materiais,COLUMN(head_mat_IPI)-COLUMN(head_mat_item)+1,FALSE),"?"),IFERROR(VLOOKUP(O47,tbl_NCM_info,COLUMN(head_porNCM_IPI)-COLUMN(head_porNCM_NCM)+1,FALSE),"?")),0)</f>
        <v>0</v>
      </c>
      <c r="R47" s="84">
        <f>IF(AND(D47="Não",I47="Serviço"),IFERROR(VLOOKUP(CB47,tbl_ISS,5,FALSE),"?"),0)</f>
        <v>0.03</v>
      </c>
      <c r="S47" s="85">
        <f>IF(D47="Não",IF(reidi="Sim",0,IF(B47="Real",pis_naocum,pis_cum)),0)</f>
        <v>0</v>
      </c>
      <c r="T47" s="86">
        <f>IF(D47="Não",IF(reidi="Sim",0,IF(B47="Real",cofins_naocum,cofins_cum)),0)</f>
        <v>0</v>
      </c>
      <c r="U47" s="53" t="str">
        <f>IFERROR(IF(I47&lt;&gt;"Serviço",IF(AND(mlookup(tbl_DIFAL_data,UFdestino,tbl_DIFAL_UF,O47,tbl_DIFAL_NCM)&lt;&gt;"",C47="Consumo"),"Sim",""),""),"?")</f>
        <v/>
      </c>
      <c r="V47" s="54" t="str">
        <f>IFERROR(IF(I47&lt;&gt;"Serviço",IF(AND(D47="Não",mlookup(tbl_ST_data,UFdestino,tbl_ST_UF,O47,tbl_ST_NCM)&lt;&gt;"",C47="Revenda",CD47="Não"),"Sim",""),""),"?")</f>
        <v/>
      </c>
      <c r="W47" s="52">
        <f>IF(OR(U47="Sim",V47="Sim"),CG47,0)</f>
        <v>0</v>
      </c>
      <c r="X47" s="55">
        <f>IF(V47="Sim",mlookup(tbl_ST_data,UFdestino,tbl_ST_UF,O47,tbl_ST_NCM),0)</f>
        <v>0</v>
      </c>
      <c r="Z47" s="102">
        <f>IF(AND(N47&gt;0,CQ47=FALSE),IFERROR(VLOOKUP(L47,tbl_servicos,COLUMN(head_serv_CL)-COLUMN(head_serv_item)+1,FALSE),IF(D47="Sim",0,IF(B47="Real",VLOOKUP(L47,tbl_materiais,COLUMN(head_mat_CLreal)-COLUMN(head_mat_item)+1,FALSE),VLOOKUP(L47,tbl_materiais,COLUMN(head_mat_CLpresumido)-COLUMN(head_mat_item)+1,FALSE)))),0)</f>
        <v>1091.2</v>
      </c>
      <c r="AA47" s="2">
        <f t="shared" ref="AA47" si="627">Z47*N47</f>
        <v>1091.2</v>
      </c>
      <c r="AC47" s="8">
        <f t="shared" ref="AC47:AC60" si="628">cobertura_pc</f>
        <v>1.31243473968765E-2</v>
      </c>
      <c r="AD47" s="8">
        <f>IF(F47="Sim",0,VLOOKUP(E47,tbl_mb,2,FALSE))</f>
        <v>0.64794776875939952</v>
      </c>
      <c r="AF47" s="2">
        <f>AI47*AC47</f>
        <v>42.254675882834803</v>
      </c>
      <c r="AG47" s="2">
        <f>AI47*AD47</f>
        <v>2086.1092845233875</v>
      </c>
      <c r="AI47" s="2">
        <f>AA47/(1-AC47-AD47)</f>
        <v>3219.5639604062226</v>
      </c>
      <c r="AK47" s="8">
        <f t="shared" ref="AK47:AK60" si="629">mn_pc</f>
        <v>0</v>
      </c>
      <c r="AL47" s="2">
        <f t="shared" ref="AL47" si="630">AM47*AK47</f>
        <v>0</v>
      </c>
      <c r="AM47" s="2">
        <f t="shared" ref="AM47" si="631">AI47/(1-AK47)</f>
        <v>3219.5639604062226</v>
      </c>
      <c r="AO47" s="2" t="b">
        <f>IF(ABS(SUM(AA47,AF47:AG47,AL47)-AM47)&lt;0.01,TRUE,FALSE)</f>
        <v>1</v>
      </c>
      <c r="AQ47" s="6">
        <f>IFERROR(AR47/N47,0)</f>
        <v>3219.5639604062226</v>
      </c>
      <c r="AR47" s="6">
        <f t="shared" ref="AR47" si="632">AM47</f>
        <v>3219.5639604062226</v>
      </c>
      <c r="AT47" s="6">
        <f>IFERROR(AU47/N47,0)</f>
        <v>3319.1381035115696</v>
      </c>
      <c r="AU47" s="6">
        <f>IF(AND(N47&gt;0,CQ47=FALSE),IF(C47="Consumo",AR47*(1+Q47)/(1-P47*(1+Q47)-R47-S47-T47),AR47*(1+Q47)/(1-P47-R47-S47-T47)),0)</f>
        <v>3319.1381035115696</v>
      </c>
      <c r="AW47" s="6">
        <f>IF(AU47&gt;0,AU47/(1+Q47),0)</f>
        <v>3319.1381035115696</v>
      </c>
      <c r="AX47" s="6">
        <f>IF(AU47&gt;0,IF(C47="Consumo",AW47-AU47*P47,AW47*(1-P47)),0)</f>
        <v>3319.1381035115696</v>
      </c>
      <c r="AY47" s="6">
        <f>AX47-AW47*R47</f>
        <v>3219.5639604062226</v>
      </c>
      <c r="AZ47" s="6">
        <f>AY47-AW47*(S47+T47)</f>
        <v>3219.5639604062226</v>
      </c>
      <c r="BB47" s="2">
        <f>IF(AW47&gt;0,AW47*Q47,0)</f>
        <v>0</v>
      </c>
      <c r="BC47" s="2">
        <f>IF(AW47&gt;0,IF(C47="Consumo",AU47*P47,AW47*P47),0)</f>
        <v>0</v>
      </c>
      <c r="BD47" s="2">
        <f>AW47*R47</f>
        <v>99.57414310534709</v>
      </c>
      <c r="BE47" s="2">
        <f>AW47*S47</f>
        <v>0</v>
      </c>
      <c r="BF47" s="2">
        <f>AW47*T47</f>
        <v>0</v>
      </c>
      <c r="BH47" s="3">
        <f>W47</f>
        <v>0</v>
      </c>
      <c r="BJ47" s="10">
        <f>IF(AND(U47&lt;&gt;"",C47="Consumo"),BH47-P47,0)</f>
        <v>0</v>
      </c>
      <c r="BK47" s="2">
        <f>BJ47*AU47</f>
        <v>0</v>
      </c>
      <c r="BL47" s="2">
        <f>AU47+BK47</f>
        <v>3319.1381035115696</v>
      </c>
      <c r="BN47" s="8">
        <f>X47</f>
        <v>0</v>
      </c>
      <c r="BO47" s="2">
        <f>AU47*(1+BN47)</f>
        <v>3319.1381035115696</v>
      </c>
      <c r="BP47" s="2">
        <f>IF(AND(V47&lt;&gt;"",C47="Revenda"),BO47*BH47-BC47,0)</f>
        <v>0</v>
      </c>
      <c r="BQ47" s="2">
        <f>AU47+BP47</f>
        <v>3319.1381035115696</v>
      </c>
      <c r="BS47" s="6">
        <f>AU47-SUM(BB47:BF47)</f>
        <v>3219.5639604062226</v>
      </c>
      <c r="BT47" s="2">
        <f>AR47+SUM(BB47:BF47)</f>
        <v>3319.1381035115696</v>
      </c>
      <c r="BU47" s="2" t="b">
        <f t="shared" ref="BU47" si="633">IF(ABS(BT47-BS47-SUM(BB47:BF47))&lt;0.01,TRUE,FALSE)</f>
        <v>1</v>
      </c>
      <c r="BW47" s="102" t="str">
        <f>IF(AND(N47&gt;0,CQ47=FALSE),IF(D47="Sim","Fat. Direto",VLOOKUP(CB47,tbl_IRPJaux,2,FALSE)),"")</f>
        <v>Serviço</v>
      </c>
      <c r="BX47" s="2">
        <f>IF(AND(BW47&lt;&gt;"NA",D47="Não"),MAX(BL47,BQ47),0)</f>
        <v>3319.1381035115696</v>
      </c>
      <c r="BY47" s="18">
        <f t="shared" ref="BY47" si="634">IF(BX47&gt;0,VLOOKUP(CB47,tbl_IRPJaux,3,FALSE),0)</f>
        <v>1</v>
      </c>
      <c r="BZ47" s="102">
        <f>IF(BX47&gt;0,AA47*BY47+AG47*recuperavel_MB_ir_real+AF47*recuperavel_coberturas_ir_real+SUM(BB47:BF47,BK47,BP47),0)</f>
        <v>1233.0288189881819</v>
      </c>
      <c r="CA47" s="102"/>
      <c r="CB47" s="102" t="str">
        <f>IFERROR(VLOOKUP(L47,tbl_materiais,COLUMN(head_mat_WBS)-COLUMN(head_mat_item)+1,FALSE),IFERROR(VLOOKUP(L47,tbl_servicos,COLUMN(head_serv_WBS)-COLUMN(head_serv_item)+1,FALSE),"?"))</f>
        <v xml:space="preserve">  Projeto</v>
      </c>
      <c r="CD47" s="2" t="str">
        <f>IFERROR(VLOOKUP(L47,tbl_materiais,COLUMN(head_mat_st)-COLUMN(head_mat_item)+1,FALSE),"Não")</f>
        <v>Não</v>
      </c>
      <c r="CE47" s="3">
        <f>ifzero(mlookup(tbl_ICMSinterest_data,UFdestino,tbl_ICMSinterest_ufdest,UForigem,tbl_ICMSinterest_uforig))</f>
        <v>0.12</v>
      </c>
      <c r="CF47" s="3" t="str">
        <f>IF(N47&gt;0,IF(I47&lt;&gt;"Serviço",ifzero(mlookup(tbl_ICMSinterno_data,UForigem,tbl_ICMSinterno_UF,O47,tbl_ICMSinterno_NCM),mlookup(tbl_ICMSinterest_data,UForigem,tbl_ICMSinterest_ufdest,UForigem,tbl_ICMSinterest_uforig)),""),0)</f>
        <v/>
      </c>
      <c r="CG47" s="3" t="str">
        <f>IF(N47&gt;0,IF(I47&lt;&gt;"Serviço",ifzero(mlookup(tbl_ICMSinterno_data,UFdestino,tbl_ICMSinterno_UF,O47,tbl_ICMSinterno_NCM),mlookup(tbl_ICMSinterest_data,UFdestino,tbl_ICMSinterest_ufdest,UFdestino,tbl_ICMSinterest_uforig)),""),0)</f>
        <v/>
      </c>
      <c r="CI47" s="2">
        <f>IFERROR(IF(AND(I47&lt;&gt;"Serviço",D47="Não"),N47*VLOOKUP(L47,tbl_materiais,COLUMN(head_mat_credito_ICMS)-COLUMN(head_mat_item)+1,FALSE),0),0)</f>
        <v>0</v>
      </c>
      <c r="CJ47" s="2">
        <f>IFERROR(IF(AND(I47&lt;&gt;"Serviço",D47="Não"),N47*VLOOKUP(L47,tbl_materiais,COLUMN(head_mat_credito_IPI)-COLUMN(head_mat_item)+1,FALSE),0),0)</f>
        <v>0</v>
      </c>
      <c r="CK47" s="2">
        <f>IFERROR(IF(AND(I47&lt;&gt;"Serviço",D47="Não",B47="Real"),N47*VLOOKUP(L47,tbl_materiais,COLUMN(head_mat_credito_PIS)-COLUMN(head_mat_item)+1,FALSE),0),0)</f>
        <v>0</v>
      </c>
      <c r="CL47" s="2">
        <f>IFERROR(IF(AND(I47&lt;&gt;"Serviço",D47="Não",B47="Real"),N47*VLOOKUP(L47,tbl_materiais,COLUMN(head_mat_credito_COFINS)-COLUMN(head_mat_item)+1,FALSE),0),0)</f>
        <v>0</v>
      </c>
      <c r="CN47" s="326">
        <f>IFERROR(SUMIF(serv_col_item,"="&amp;L47,serv_col_totalhh),0)</f>
        <v>17.600000000000001</v>
      </c>
      <c r="CO47" s="2">
        <f>IFERROR(SUMIF(serv_col_item,"="&amp;L47,serv_col_gdv),0)</f>
        <v>1600</v>
      </c>
      <c r="CQ47" s="2" t="b">
        <f>IF(N47&gt;0,IF(ISERROR(HLOOKUP(L47,std_tbl4,1,FALSE)),FALSE,TRUE),FALSE)</f>
        <v>0</v>
      </c>
      <c r="CR47" s="2" t="b">
        <f>IF(AND(CQ47,I47&lt;&gt;std_tiponcm),FALSE,TRUE)</f>
        <v>1</v>
      </c>
      <c r="CS47" s="2" t="b">
        <f>IF(AND(CQ47,D47="Sim"),TRUE,FALSE)</f>
        <v>0</v>
      </c>
      <c r="CU47" s="2">
        <f>IF(D47="Sim",VLOOKUP(L47,tbl_materiais,COLUMN(head_mat_fatdir)-COLUMN(head_mat_item)+1,FALSE),0)</f>
        <v>0</v>
      </c>
      <c r="CV47" s="102">
        <f>CU47*N47</f>
        <v>0</v>
      </c>
      <c r="CW47" s="102">
        <f t="shared" ref="CW47" si="635">CX47*(1-CY47-DA47-DE47-DG47)/(1+DC47)</f>
        <v>0</v>
      </c>
      <c r="CX47" s="102">
        <f>CV47/(1-AK47)</f>
        <v>0</v>
      </c>
      <c r="CY47" s="290">
        <f>IF(D47="Sim",VLOOKUP(L47,tbl_materiais,COLUMN(head_mat_ICMS_input)-COLUMN(head_mat_item)+1,FALSE),0)</f>
        <v>0</v>
      </c>
      <c r="CZ47" s="102">
        <f t="shared" ref="CZ47" si="636">CX47*CY47</f>
        <v>0</v>
      </c>
      <c r="DA47" s="290">
        <f>IF(D47="Sim",VLOOKUP(L47,tbl_materiais,COLUMN(head_mat_ISS_input)-COLUMN(head_mat_item)+1,FALSE),0)</f>
        <v>0</v>
      </c>
      <c r="DB47" s="102">
        <f t="shared" ref="DB47" si="637">CX47*DA47</f>
        <v>0</v>
      </c>
      <c r="DC47" s="290">
        <f>IF(D47="Sim",VLOOKUP(L47,tbl_materiais,COLUMN(head_mat_IPI_input)-COLUMN(head_mat_item)+1,FALSE),0)</f>
        <v>0</v>
      </c>
      <c r="DD47" s="102">
        <f t="shared" ref="DD47" si="638">CX47*DC47/(1+DC47)</f>
        <v>0</v>
      </c>
      <c r="DE47" s="592">
        <f>IF(D47="Sim",HLOOKUP($DH$5,Parametrização!$G$2:$H$4,2,FALSE),0)</f>
        <v>0</v>
      </c>
      <c r="DF47" s="102">
        <f t="shared" ref="DF47" si="639">(CX47-DD47)*DE47</f>
        <v>0</v>
      </c>
      <c r="DG47" s="592">
        <f>IF(D47="Sim",HLOOKUP($DH$5,Parametrização!$G$2:$H$4,3,FALSE),0)</f>
        <v>0</v>
      </c>
      <c r="DH47" s="102">
        <f t="shared" ref="DH47" si="640">(CX47-DD47)*DG47</f>
        <v>0</v>
      </c>
      <c r="DI47" s="102">
        <f t="shared" ref="DI47" si="641">CX47-CZ47-DD47-DF47-DH47</f>
        <v>0</v>
      </c>
      <c r="DK47" s="3" t="str">
        <f>IF(AND(I47&lt;&gt;"Serviço",Z47&gt;0),P47,"NA")</f>
        <v>NA</v>
      </c>
      <c r="DL47" s="2">
        <f>IF(AND(I47="Serviço",Z47&gt;0),R47,"NA")</f>
        <v>0.03</v>
      </c>
      <c r="DM47" s="3" t="str">
        <f>IF(AND(I47&lt;&gt;"Serviço",Z47&gt;0),Q47,"NA")</f>
        <v>NA</v>
      </c>
      <c r="DN47" s="9">
        <f>IF(Z47&gt;0,S47,"NA")</f>
        <v>0</v>
      </c>
      <c r="DO47" s="637">
        <f>IF(Z47&gt;0,T47,"NA")</f>
        <v>0</v>
      </c>
      <c r="DP47" s="637"/>
      <c r="DQ47" s="3" t="str">
        <f>IF(AND(I47&lt;&gt;"Serviço",CU47&gt;0),CY47,"NA")</f>
        <v>NA</v>
      </c>
      <c r="DR47" s="2" t="str">
        <f>IF(AND(I47="Serviço",CU47&gt;0),DA47,"NA")</f>
        <v>NA</v>
      </c>
      <c r="DS47" s="3" t="str">
        <f>IF(AND(I47&lt;&gt;"Serviço",CU47&gt;0),DC47,"NA")</f>
        <v>NA</v>
      </c>
      <c r="DT47" s="9" t="str">
        <f>IF(CU47&gt;0,DE47,"NA")</f>
        <v>NA</v>
      </c>
      <c r="DU47" s="637" t="str">
        <f>IF(CU47&gt;0,DG47,"NA")</f>
        <v>NA</v>
      </c>
      <c r="DV47" s="637"/>
      <c r="DW47" s="2">
        <f>IF(CQ47,N47*HLOOKUP(L47,std_tbl6,ROW(std_PL_real)-ROW(row_std_head)+1,FALSE),AA47)</f>
        <v>1091.2</v>
      </c>
      <c r="DX47" s="2">
        <f>IF(CQ47,DW47/(1-AC47-AD47)/(1-AK47),AM47)</f>
        <v>3219.5639604062226</v>
      </c>
      <c r="DY47" s="2">
        <f>IF(CQ47,IF(C47="Industrialização",DX47/(1-P47-S47-T47)*(1+Q47),DX47/(1-P47*(1+Q47)-S47-T47)*(1+Q47)),AU47)</f>
        <v>3319.1381035115696</v>
      </c>
      <c r="DZ47" s="637"/>
      <c r="EA47" s="643"/>
    </row>
    <row r="48" spans="1:135" s="753" customFormat="1" ht="48.15" customHeight="1" x14ac:dyDescent="0.25">
      <c r="A48" s="752"/>
      <c r="B48" s="753" t="s">
        <v>268</v>
      </c>
      <c r="C48" s="753" t="s">
        <v>255</v>
      </c>
      <c r="D48" s="757" t="s">
        <v>53</v>
      </c>
      <c r="E48" s="803" t="s">
        <v>1017</v>
      </c>
      <c r="F48" s="753" t="s">
        <v>53</v>
      </c>
      <c r="G48" s="781" t="s">
        <v>695</v>
      </c>
      <c r="H48" s="255" t="s">
        <v>2794</v>
      </c>
      <c r="I48" s="803" t="s">
        <v>165</v>
      </c>
      <c r="K48" s="318" t="s">
        <v>2815</v>
      </c>
      <c r="L48" s="502" t="s">
        <v>1123</v>
      </c>
      <c r="M48" s="50" t="str">
        <f t="shared" ref="M48" si="642">IFERROR(IFERROR(VLOOKUP(L48,tbl_materiais,COLUMN(head_mat_descricao)-COLUMN(head_mat_item)+1,FALSE),VLOOKUP(L48,tbl_servicos,COLUMN(head_serv_descricao)-COLUMN(head_serv_item)+1,FALSE)),"?")</f>
        <v>Projeto elétrico relativo aos painéis deste fornecimento, inclusive funcional, construtivo lógico e interligação, e integrações entre STD local e SAGE ora previsto.</v>
      </c>
      <c r="N48" s="549">
        <v>1</v>
      </c>
      <c r="O48" s="83" t="str">
        <f>IF(CQ48,std_ncm,IF(I48="Serviço","NA",IF(I48="Material",IFERROR(VLOOKUP(L48,tbl_materiais,COLUMN(head_mat_NCM)-COLUMN(head_mat_item)+1,FALSE),"?"),IFERROR(VLOOKUP(I48,tbl_TipoLinha,2,FALSE),"?"))))</f>
        <v>NA</v>
      </c>
      <c r="P48" s="84">
        <f>IF(AND(D48="Não",I48&lt;&gt;"Serviço",CD48="Não"),IFERROR(IF(flag_interestadual,CE48,IF(CF48,CF48,CE48)),"?"),0)</f>
        <v>0</v>
      </c>
      <c r="Q48" s="84">
        <f>IF(AND(D48="Não",I48&lt;&gt;"Serviço"),IF(I48="Material",IFERROR(VLOOKUP(L48,tbl_materiais,COLUMN(head_mat_IPI)-COLUMN(head_mat_item)+1,FALSE),"?"),IFERROR(VLOOKUP(O48,tbl_NCM_info,COLUMN(head_porNCM_IPI)-COLUMN(head_porNCM_NCM)+1,FALSE),"?")),0)</f>
        <v>0</v>
      </c>
      <c r="R48" s="84">
        <f>IF(AND(D48="Não",I48="Serviço"),IFERROR(VLOOKUP(CB48,tbl_ISS,5,FALSE),"?"),0)</f>
        <v>0.03</v>
      </c>
      <c r="S48" s="85">
        <f>IF(D48="Não",IF(reidi="Sim",0,IF(B48="Real",pis_naocum,pis_cum)),0)</f>
        <v>0</v>
      </c>
      <c r="T48" s="86">
        <f>IF(D48="Não",IF(reidi="Sim",0,IF(B48="Real",cofins_naocum,cofins_cum)),0)</f>
        <v>0</v>
      </c>
      <c r="U48" s="754" t="str">
        <f>IFERROR(IF(I48&lt;&gt;"Serviço",IF(AND(mlookup(tbl_DIFAL_data,UFdestino,tbl_DIFAL_UF,O48,tbl_DIFAL_NCM)&lt;&gt;"",C48="Consumo"),"Sim",""),""),"?")</f>
        <v/>
      </c>
      <c r="V48" s="755" t="str">
        <f>IFERROR(IF(I48&lt;&gt;"Serviço",IF(AND(D48="Não",mlookup(tbl_ST_data,UFdestino,tbl_ST_UF,O48,tbl_ST_NCM)&lt;&gt;"",C48="Revenda",CD48="Não"),"Sim",""),""),"?")</f>
        <v/>
      </c>
      <c r="W48" s="84">
        <f>IF(OR(U48="Sim",V48="Sim"),CG48,0)</f>
        <v>0</v>
      </c>
      <c r="X48" s="756">
        <f>IF(V48="Sim",mlookup(tbl_ST_data,UFdestino,tbl_ST_UF,O48,tbl_ST_NCM),0)</f>
        <v>0</v>
      </c>
      <c r="Z48" s="757">
        <f>IF(AND(N48&gt;0,CQ48=FALSE),IFERROR(VLOOKUP(L48,tbl_servicos,COLUMN(head_serv_CL)-COLUMN(head_serv_item)+1,FALSE),IF(D48="Sim",0,IF(B48="Real",VLOOKUP(L48,tbl_materiais,COLUMN(head_mat_CLreal)-COLUMN(head_mat_item)+1,FALSE),VLOOKUP(L48,tbl_materiais,COLUMN(head_mat_CLpresumido)-COLUMN(head_mat_item)+1,FALSE)))),0)</f>
        <v>16368</v>
      </c>
      <c r="AA48" s="753">
        <f t="shared" ref="AA48" si="643">Z48*N48</f>
        <v>16368</v>
      </c>
      <c r="AC48" s="758">
        <f t="shared" si="628"/>
        <v>1.31243473968765E-2</v>
      </c>
      <c r="AD48" s="758">
        <f>IF(F48="Sim",0,VLOOKUP(E48,tbl_mb,2,FALSE))</f>
        <v>0.64794776875939952</v>
      </c>
      <c r="AF48" s="753">
        <f>AI48*AC48</f>
        <v>633.82013824252192</v>
      </c>
      <c r="AG48" s="753">
        <f>AI48*AD48</f>
        <v>31291.639267850809</v>
      </c>
      <c r="AI48" s="753">
        <f>AA48/(1-AC48-AD48)</f>
        <v>48293.45940609333</v>
      </c>
      <c r="AK48" s="758">
        <f t="shared" si="629"/>
        <v>0</v>
      </c>
      <c r="AL48" s="753">
        <f t="shared" ref="AL48" si="644">AM48*AK48</f>
        <v>0</v>
      </c>
      <c r="AM48" s="753">
        <f t="shared" ref="AM48" si="645">AI48/(1-AK48)</f>
        <v>48293.45940609333</v>
      </c>
      <c r="AO48" s="753" t="b">
        <f>IF(ABS(SUM(AA48,AF48:AG48,AL48)-AM48)&lt;0.01,TRUE,FALSE)</f>
        <v>1</v>
      </c>
      <c r="AQ48" s="759">
        <f>IFERROR(AR48/N48,0)</f>
        <v>48293.45940609333</v>
      </c>
      <c r="AR48" s="759">
        <f t="shared" ref="AR48" si="646">AM48</f>
        <v>48293.45940609333</v>
      </c>
      <c r="AT48" s="759">
        <f>IFERROR(AU48/N48,0)</f>
        <v>49787.071552673537</v>
      </c>
      <c r="AU48" s="759">
        <f>IF(AND(N48&gt;0,CQ48=FALSE),IF(C48="Consumo",AR48*(1+Q48)/(1-P48*(1+Q48)-R48-S48-T48),AR48*(1+Q48)/(1-P48-R48-S48-T48)),0)</f>
        <v>49787.071552673537</v>
      </c>
      <c r="AW48" s="759">
        <f>IF(AU48&gt;0,AU48/(1+Q48),0)</f>
        <v>49787.071552673537</v>
      </c>
      <c r="AX48" s="759">
        <f>IF(AU48&gt;0,IF(C48="Consumo",AW48-AU48*P48,AW48*(1-P48)),0)</f>
        <v>49787.071552673537</v>
      </c>
      <c r="AY48" s="759">
        <f>AX48-AW48*R48</f>
        <v>48293.45940609333</v>
      </c>
      <c r="AZ48" s="759">
        <f>AY48-AW48*(S48+T48)</f>
        <v>48293.45940609333</v>
      </c>
      <c r="BB48" s="753">
        <f>IF(AW48&gt;0,AW48*Q48,0)</f>
        <v>0</v>
      </c>
      <c r="BC48" s="753">
        <f>IF(AW48&gt;0,IF(C48="Consumo",AU48*P48,AW48*P48),0)</f>
        <v>0</v>
      </c>
      <c r="BD48" s="753">
        <f>AW48*R48</f>
        <v>1493.6121465802059</v>
      </c>
      <c r="BE48" s="753">
        <f>AW48*S48</f>
        <v>0</v>
      </c>
      <c r="BF48" s="753">
        <f>AW48*T48</f>
        <v>0</v>
      </c>
      <c r="BH48" s="760">
        <f>W48</f>
        <v>0</v>
      </c>
      <c r="BJ48" s="761">
        <f>IF(AND(U48&lt;&gt;"",C48="Consumo"),BH48-P48,0)</f>
        <v>0</v>
      </c>
      <c r="BK48" s="753">
        <f>BJ48*AU48</f>
        <v>0</v>
      </c>
      <c r="BL48" s="753">
        <f>AU48+BK48</f>
        <v>49787.071552673537</v>
      </c>
      <c r="BN48" s="758">
        <f>X48</f>
        <v>0</v>
      </c>
      <c r="BO48" s="753">
        <f>AU48*(1+BN48)</f>
        <v>49787.071552673537</v>
      </c>
      <c r="BP48" s="753">
        <f>IF(AND(V48&lt;&gt;"",C48="Revenda"),BO48*BH48-BC48,0)</f>
        <v>0</v>
      </c>
      <c r="BQ48" s="753">
        <f>AU48+BP48</f>
        <v>49787.071552673537</v>
      </c>
      <c r="BS48" s="759">
        <f>AU48-SUM(BB48:BF48)</f>
        <v>48293.45940609333</v>
      </c>
      <c r="BT48" s="753">
        <f>AR48+SUM(BB48:BF48)</f>
        <v>49787.071552673537</v>
      </c>
      <c r="BU48" s="753" t="b">
        <f t="shared" ref="BU48" si="647">IF(ABS(BT48-BS48-SUM(BB48:BF48))&lt;0.01,TRUE,FALSE)</f>
        <v>1</v>
      </c>
      <c r="BW48" s="757" t="str">
        <f>IF(AND(N48&gt;0,CQ48=FALSE),IF(D48="Sim","Fat. Direto",VLOOKUP(CB48,tbl_IRPJaux,2,FALSE)),"")</f>
        <v>Serviço</v>
      </c>
      <c r="BX48" s="753">
        <f>IF(AND(BW48&lt;&gt;"NA",D48="Não"),MAX(BL48,BQ48),0)</f>
        <v>49787.071552673537</v>
      </c>
      <c r="BY48" s="752">
        <f t="shared" ref="BY48" si="648">IF(BX48&gt;0,VLOOKUP(CB48,tbl_IRPJaux,3,FALSE),0)</f>
        <v>1</v>
      </c>
      <c r="BZ48" s="757">
        <f>IF(BX48&gt;0,AA48*BY48+AG48*recuperavel_MB_ir_real+AF48*recuperavel_coberturas_ir_real+SUM(BB48:BF48,BK48,BP48),0)</f>
        <v>18495.432284822728</v>
      </c>
      <c r="CA48" s="757"/>
      <c r="CB48" s="757" t="str">
        <f>IFERROR(VLOOKUP(L48,tbl_materiais,COLUMN(head_mat_WBS)-COLUMN(head_mat_item)+1,FALSE),IFERROR(VLOOKUP(L48,tbl_servicos,COLUMN(head_serv_WBS)-COLUMN(head_serv_item)+1,FALSE),"?"))</f>
        <v xml:space="preserve">  Projeto</v>
      </c>
      <c r="CD48" s="753" t="str">
        <f>IFERROR(VLOOKUP(L48,tbl_materiais,COLUMN(head_mat_st)-COLUMN(head_mat_item)+1,FALSE),"Não")</f>
        <v>Não</v>
      </c>
      <c r="CE48" s="760">
        <f>ifzero(mlookup(tbl_ICMSinterest_data,UFdestino,tbl_ICMSinterest_ufdest,UForigem,tbl_ICMSinterest_uforig))</f>
        <v>0.12</v>
      </c>
      <c r="CF48" s="760" t="str">
        <f>IF(N48&gt;0,IF(I48&lt;&gt;"Serviço",ifzero(mlookup(tbl_ICMSinterno_data,UForigem,tbl_ICMSinterno_UF,O48,tbl_ICMSinterno_NCM),mlookup(tbl_ICMSinterest_data,UForigem,tbl_ICMSinterest_ufdest,UForigem,tbl_ICMSinterest_uforig)),""),0)</f>
        <v/>
      </c>
      <c r="CG48" s="760" t="str">
        <f>IF(N48&gt;0,IF(I48&lt;&gt;"Serviço",ifzero(mlookup(tbl_ICMSinterno_data,UFdestino,tbl_ICMSinterno_UF,O48,tbl_ICMSinterno_NCM),mlookup(tbl_ICMSinterest_data,UFdestino,tbl_ICMSinterest_ufdest,UFdestino,tbl_ICMSinterest_uforig)),""),0)</f>
        <v/>
      </c>
      <c r="CI48" s="753">
        <f>IFERROR(IF(AND(I48&lt;&gt;"Serviço",D48="Não"),N48*VLOOKUP(L48,tbl_materiais,COLUMN(head_mat_credito_ICMS)-COLUMN(head_mat_item)+1,FALSE),0),0)</f>
        <v>0</v>
      </c>
      <c r="CJ48" s="753">
        <f>IFERROR(IF(AND(I48&lt;&gt;"Serviço",D48="Não"),N48*VLOOKUP(L48,tbl_materiais,COLUMN(head_mat_credito_IPI)-COLUMN(head_mat_item)+1,FALSE),0),0)</f>
        <v>0</v>
      </c>
      <c r="CK48" s="753">
        <f>IFERROR(IF(AND(I48&lt;&gt;"Serviço",D48="Não",B48="Real"),N48*VLOOKUP(L48,tbl_materiais,COLUMN(head_mat_credito_PIS)-COLUMN(head_mat_item)+1,FALSE),0),0)</f>
        <v>0</v>
      </c>
      <c r="CL48" s="753">
        <f>IFERROR(IF(AND(I48&lt;&gt;"Serviço",D48="Não",B48="Real"),N48*VLOOKUP(L48,tbl_materiais,COLUMN(head_mat_credito_COFINS)-COLUMN(head_mat_item)+1,FALSE),0),0)</f>
        <v>0</v>
      </c>
      <c r="CN48" s="762">
        <f>IFERROR(SUMIF(serv_col_item,"="&amp;L48,serv_col_totalhh),0)</f>
        <v>264</v>
      </c>
      <c r="CO48" s="753">
        <f>IFERROR(SUMIF(serv_col_item,"="&amp;L48,serv_col_gdv),0)</f>
        <v>0</v>
      </c>
      <c r="CQ48" s="753" t="b">
        <f>IF(N48&gt;0,IF(ISERROR(HLOOKUP(L48,std_tbl4,1,FALSE)),FALSE,TRUE),FALSE)</f>
        <v>0</v>
      </c>
      <c r="CR48" s="753" t="b">
        <f>IF(AND(CQ48,I48&lt;&gt;std_tiponcm),FALSE,TRUE)</f>
        <v>1</v>
      </c>
      <c r="CS48" s="753" t="b">
        <f>IF(AND(CQ48,D48="Sim"),TRUE,FALSE)</f>
        <v>0</v>
      </c>
      <c r="CU48" s="753">
        <f>IF(D48="Sim",VLOOKUP(L48,tbl_materiais,COLUMN(head_mat_fatdir)-COLUMN(head_mat_item)+1,FALSE),0)</f>
        <v>0</v>
      </c>
      <c r="CV48" s="757">
        <f>CU48*N48</f>
        <v>0</v>
      </c>
      <c r="CW48" s="757">
        <f t="shared" ref="CW48" si="649">CX48*(1-CY48-DA48-DE48-DG48)/(1+DC48)</f>
        <v>0</v>
      </c>
      <c r="CX48" s="757">
        <f>CV48/(1-AK48)</f>
        <v>0</v>
      </c>
      <c r="CY48" s="763">
        <f>IF(D48="Sim",VLOOKUP(L48,tbl_materiais,COLUMN(head_mat_ICMS_input)-COLUMN(head_mat_item)+1,FALSE),0)</f>
        <v>0</v>
      </c>
      <c r="CZ48" s="757">
        <f t="shared" ref="CZ48" si="650">CX48*CY48</f>
        <v>0</v>
      </c>
      <c r="DA48" s="763">
        <f>IF(D48="Sim",VLOOKUP(L48,tbl_materiais,COLUMN(head_mat_ISS_input)-COLUMN(head_mat_item)+1,FALSE),0)</f>
        <v>0</v>
      </c>
      <c r="DB48" s="757">
        <f t="shared" ref="DB48" si="651">CX48*DA48</f>
        <v>0</v>
      </c>
      <c r="DC48" s="763">
        <f>IF(D48="Sim",VLOOKUP(L48,tbl_materiais,COLUMN(head_mat_IPI_input)-COLUMN(head_mat_item)+1,FALSE),0)</f>
        <v>0</v>
      </c>
      <c r="DD48" s="757">
        <f t="shared" ref="DD48" si="652">CX48*DC48/(1+DC48)</f>
        <v>0</v>
      </c>
      <c r="DE48" s="764">
        <f>IF(D48="Sim",HLOOKUP($DH$5,Parametrização!$G$2:$H$4,2,FALSE),0)</f>
        <v>0</v>
      </c>
      <c r="DF48" s="757">
        <f t="shared" ref="DF48" si="653">(CX48-DD48)*DE48</f>
        <v>0</v>
      </c>
      <c r="DG48" s="764">
        <f>IF(D48="Sim",HLOOKUP($DH$5,Parametrização!$G$2:$H$4,3,FALSE),0)</f>
        <v>0</v>
      </c>
      <c r="DH48" s="757">
        <f t="shared" ref="DH48" si="654">(CX48-DD48)*DG48</f>
        <v>0</v>
      </c>
      <c r="DI48" s="757">
        <f t="shared" ref="DI48" si="655">CX48-CZ48-DD48-DF48-DH48</f>
        <v>0</v>
      </c>
      <c r="DK48" s="760" t="str">
        <f>IF(AND(I48&lt;&gt;"Serviço",Z48&gt;0),P48,"NA")</f>
        <v>NA</v>
      </c>
      <c r="DL48" s="753">
        <f>IF(AND(I48="Serviço",Z48&gt;0),R48,"NA")</f>
        <v>0.03</v>
      </c>
      <c r="DM48" s="760" t="str">
        <f>IF(AND(I48&lt;&gt;"Serviço",Z48&gt;0),Q48,"NA")</f>
        <v>NA</v>
      </c>
      <c r="DN48" s="765">
        <f>IF(Z48&gt;0,S48,"NA")</f>
        <v>0</v>
      </c>
      <c r="DO48" s="766">
        <f>IF(Z48&gt;0,T48,"NA")</f>
        <v>0</v>
      </c>
      <c r="DP48" s="766"/>
      <c r="DQ48" s="760" t="str">
        <f>IF(AND(I48&lt;&gt;"Serviço",CU48&gt;0),CY48,"NA")</f>
        <v>NA</v>
      </c>
      <c r="DR48" s="753" t="str">
        <f>IF(AND(I48="Serviço",CU48&gt;0),DA48,"NA")</f>
        <v>NA</v>
      </c>
      <c r="DS48" s="760" t="str">
        <f>IF(AND(I48&lt;&gt;"Serviço",CU48&gt;0),DC48,"NA")</f>
        <v>NA</v>
      </c>
      <c r="DT48" s="765" t="str">
        <f>IF(CU48&gt;0,DE48,"NA")</f>
        <v>NA</v>
      </c>
      <c r="DU48" s="766" t="str">
        <f>IF(CU48&gt;0,DG48,"NA")</f>
        <v>NA</v>
      </c>
      <c r="DV48" s="766"/>
      <c r="DW48" s="753">
        <f>IF(CQ48,N48*HLOOKUP(L48,std_tbl6,ROW(std_PL_real)-ROW(row_std_head)+1,FALSE),AA48)</f>
        <v>16368</v>
      </c>
      <c r="DX48" s="753">
        <f>IF(CQ48,DW48/(1-AC48-AD48)/(1-AK48),AM48)</f>
        <v>48293.45940609333</v>
      </c>
      <c r="DY48" s="753">
        <f>IF(CQ48,IF(C48="Industrialização",DX48/(1-P48-S48-T48)*(1+Q48),DX48/(1-P48*(1+Q48)-S48-T48)*(1+Q48)),AU48)</f>
        <v>49787.071552673537</v>
      </c>
      <c r="DZ48" s="766"/>
      <c r="EA48" s="767"/>
    </row>
    <row r="49" spans="1:131" s="753" customFormat="1" ht="48.15" customHeight="1" x14ac:dyDescent="0.25">
      <c r="A49" s="752"/>
      <c r="B49" s="753" t="s">
        <v>268</v>
      </c>
      <c r="C49" s="753" t="s">
        <v>255</v>
      </c>
      <c r="D49" s="757" t="s">
        <v>53</v>
      </c>
      <c r="E49" s="803" t="s">
        <v>1017</v>
      </c>
      <c r="F49" s="753" t="s">
        <v>53</v>
      </c>
      <c r="G49" s="781" t="s">
        <v>695</v>
      </c>
      <c r="H49" s="255" t="s">
        <v>2794</v>
      </c>
      <c r="I49" s="803" t="s">
        <v>165</v>
      </c>
      <c r="K49" s="318" t="s">
        <v>2816</v>
      </c>
      <c r="L49" s="502" t="s">
        <v>589</v>
      </c>
      <c r="M49" s="50" t="str">
        <f t="shared" ref="M49" si="656">IFERROR(IFERROR(VLOOKUP(L49,tbl_materiais,COLUMN(head_mat_descricao)-COLUMN(head_mat_item)+1,FALSE),VLOOKUP(L49,tbl_servicos,COLUMN(head_serv_descricao)-COLUMN(head_serv_item)+1,FALSE)),"?")</f>
        <v>Parametrização do SAGE fornecido, incluindo integração do novo TR 500/138 kV e módulos de manobra, a integração da STD/SPIN, e a integração do relé de controle de reativos.</v>
      </c>
      <c r="N49" s="549">
        <v>1</v>
      </c>
      <c r="O49" s="83" t="str">
        <f>IF(CQ49,std_ncm,IF(I49="Serviço","NA",IF(I49="Material",IFERROR(VLOOKUP(L49,tbl_materiais,COLUMN(head_mat_NCM)-COLUMN(head_mat_item)+1,FALSE),"?"),IFERROR(VLOOKUP(I49,tbl_TipoLinha,2,FALSE),"?"))))</f>
        <v>NA</v>
      </c>
      <c r="P49" s="84">
        <f>IF(AND(D49="Não",I49&lt;&gt;"Serviço",CD49="Não"),IFERROR(IF(flag_interestadual,CE49,IF(CF49,CF49,CE49)),"?"),0)</f>
        <v>0</v>
      </c>
      <c r="Q49" s="84">
        <f>IF(AND(D49="Não",I49&lt;&gt;"Serviço"),IF(I49="Material",IFERROR(VLOOKUP(L49,tbl_materiais,COLUMN(head_mat_IPI)-COLUMN(head_mat_item)+1,FALSE),"?"),IFERROR(VLOOKUP(O49,tbl_NCM_info,COLUMN(head_porNCM_IPI)-COLUMN(head_porNCM_NCM)+1,FALSE),"?")),0)</f>
        <v>0</v>
      </c>
      <c r="R49" s="84">
        <f>IF(AND(D49="Não",I49="Serviço"),IFERROR(VLOOKUP(CB49,tbl_ISS,5,FALSE),"?"),0)</f>
        <v>0.03</v>
      </c>
      <c r="S49" s="85">
        <f>IF(D49="Não",IF(reidi="Sim",0,IF(B49="Real",pis_naocum,pis_cum)),0)</f>
        <v>0</v>
      </c>
      <c r="T49" s="86">
        <f>IF(D49="Não",IF(reidi="Sim",0,IF(B49="Real",cofins_naocum,cofins_cum)),0)</f>
        <v>0</v>
      </c>
      <c r="U49" s="754" t="str">
        <f>IFERROR(IF(I49&lt;&gt;"Serviço",IF(AND(mlookup(tbl_DIFAL_data,UFdestino,tbl_DIFAL_UF,O49,tbl_DIFAL_NCM)&lt;&gt;"",C49="Consumo"),"Sim",""),""),"?")</f>
        <v/>
      </c>
      <c r="V49" s="755" t="str">
        <f>IFERROR(IF(I49&lt;&gt;"Serviço",IF(AND(D49="Não",mlookup(tbl_ST_data,UFdestino,tbl_ST_UF,O49,tbl_ST_NCM)&lt;&gt;"",C49="Revenda",CD49="Não"),"Sim",""),""),"?")</f>
        <v/>
      </c>
      <c r="W49" s="84">
        <f>IF(OR(U49="Sim",V49="Sim"),CG49,0)</f>
        <v>0</v>
      </c>
      <c r="X49" s="756">
        <f>IF(V49="Sim",mlookup(tbl_ST_data,UFdestino,tbl_ST_UF,O49,tbl_ST_NCM),0)</f>
        <v>0</v>
      </c>
      <c r="Z49" s="757">
        <f>IF(AND(N49&gt;0,CQ49=FALSE),IFERROR(VLOOKUP(L49,tbl_servicos,COLUMN(head_serv_CL)-COLUMN(head_serv_item)+1,FALSE),IF(D49="Sim",0,IF(B49="Real",VLOOKUP(L49,tbl_materiais,COLUMN(head_mat_CLreal)-COLUMN(head_mat_item)+1,FALSE),VLOOKUP(L49,tbl_materiais,COLUMN(head_mat_CLpresumido)-COLUMN(head_mat_item)+1,FALSE)))),0)</f>
        <v>18744</v>
      </c>
      <c r="AA49" s="753">
        <f t="shared" ref="AA49" si="657">Z49*N49</f>
        <v>18744</v>
      </c>
      <c r="AC49" s="758">
        <f t="shared" ref="AC49:AC56" si="658">cobertura_pc</f>
        <v>1.31243473968765E-2</v>
      </c>
      <c r="AD49" s="758">
        <f>IF(F49="Sim",0,VLOOKUP(E49,tbl_mb,2,FALSE))</f>
        <v>0.64794776875939952</v>
      </c>
      <c r="AF49" s="753">
        <f>AI49*AC49</f>
        <v>725.82628734224284</v>
      </c>
      <c r="AG49" s="753">
        <f>AI49*AD49</f>
        <v>35833.974000280767</v>
      </c>
      <c r="AI49" s="753">
        <f>AA49/(1-AC49-AD49)</f>
        <v>55303.800287623009</v>
      </c>
      <c r="AK49" s="758">
        <f t="shared" ref="AK49:AK56" si="659">mn_pc</f>
        <v>0</v>
      </c>
      <c r="AL49" s="753">
        <f t="shared" ref="AL49" si="660">AM49*AK49</f>
        <v>0</v>
      </c>
      <c r="AM49" s="753">
        <f t="shared" ref="AM49" si="661">AI49/(1-AK49)</f>
        <v>55303.800287623009</v>
      </c>
      <c r="AO49" s="753" t="b">
        <f>IF(ABS(SUM(AA49,AF49:AG49,AL49)-AM49)&lt;0.01,TRUE,FALSE)</f>
        <v>1</v>
      </c>
      <c r="AQ49" s="759">
        <f>IFERROR(AR49/N49,0)</f>
        <v>55303.800287623009</v>
      </c>
      <c r="AR49" s="759">
        <f t="shared" ref="AR49" si="662">AM49</f>
        <v>55303.800287623009</v>
      </c>
      <c r="AT49" s="759">
        <f>IFERROR(AU49/N49,0)</f>
        <v>57014.227100642282</v>
      </c>
      <c r="AU49" s="759">
        <f>IF(AND(N49&gt;0,CQ49=FALSE),IF(C49="Consumo",AR49*(1+Q49)/(1-P49*(1+Q49)-R49-S49-T49),AR49*(1+Q49)/(1-P49-R49-S49-T49)),0)</f>
        <v>57014.227100642282</v>
      </c>
      <c r="AW49" s="759">
        <f>IF(AU49&gt;0,AU49/(1+Q49),0)</f>
        <v>57014.227100642282</v>
      </c>
      <c r="AX49" s="759">
        <f>IF(AU49&gt;0,IF(C49="Consumo",AW49-AU49*P49,AW49*(1-P49)),0)</f>
        <v>57014.227100642282</v>
      </c>
      <c r="AY49" s="759">
        <f>AX49-AW49*R49</f>
        <v>55303.800287623017</v>
      </c>
      <c r="AZ49" s="759">
        <f>AY49-AW49*(S49+T49)</f>
        <v>55303.800287623017</v>
      </c>
      <c r="BB49" s="753">
        <f>IF(AW49&gt;0,AW49*Q49,0)</f>
        <v>0</v>
      </c>
      <c r="BC49" s="753">
        <f>IF(AW49&gt;0,IF(C49="Consumo",AU49*P49,AW49*P49),0)</f>
        <v>0</v>
      </c>
      <c r="BD49" s="753">
        <f>AW49*R49</f>
        <v>1710.4268130192684</v>
      </c>
      <c r="BE49" s="753">
        <f>AW49*S49</f>
        <v>0</v>
      </c>
      <c r="BF49" s="753">
        <f>AW49*T49</f>
        <v>0</v>
      </c>
      <c r="BH49" s="760">
        <f>W49</f>
        <v>0</v>
      </c>
      <c r="BJ49" s="761">
        <f>IF(AND(U49&lt;&gt;"",C49="Consumo"),BH49-P49,0)</f>
        <v>0</v>
      </c>
      <c r="BK49" s="753">
        <f>BJ49*AU49</f>
        <v>0</v>
      </c>
      <c r="BL49" s="753">
        <f>AU49+BK49</f>
        <v>57014.227100642282</v>
      </c>
      <c r="BN49" s="758">
        <f>X49</f>
        <v>0</v>
      </c>
      <c r="BO49" s="753">
        <f>AU49*(1+BN49)</f>
        <v>57014.227100642282</v>
      </c>
      <c r="BP49" s="753">
        <f>IF(AND(V49&lt;&gt;"",C49="Revenda"),BO49*BH49-BC49,0)</f>
        <v>0</v>
      </c>
      <c r="BQ49" s="753">
        <f>AU49+BP49</f>
        <v>57014.227100642282</v>
      </c>
      <c r="BS49" s="759">
        <f>AU49-SUM(BB49:BF49)</f>
        <v>55303.800287623017</v>
      </c>
      <c r="BT49" s="753">
        <f>AR49+SUM(BB49:BF49)</f>
        <v>57014.227100642274</v>
      </c>
      <c r="BU49" s="753" t="b">
        <f t="shared" ref="BU49" si="663">IF(ABS(BT49-BS49-SUM(BB49:BF49))&lt;0.01,TRUE,FALSE)</f>
        <v>1</v>
      </c>
      <c r="BW49" s="757" t="str">
        <f>IF(AND(N49&gt;0,CQ49=FALSE),IF(D49="Sim","Fat. Direto",VLOOKUP(CB49,tbl_IRPJaux,2,FALSE)),"")</f>
        <v>Serviço</v>
      </c>
      <c r="BX49" s="753">
        <f>IF(AND(BW49&lt;&gt;"NA",D49="Não"),MAX(BL49,BQ49),0)</f>
        <v>57014.227100642282</v>
      </c>
      <c r="BY49" s="752">
        <f t="shared" ref="BY49" si="664">IF(BX49&gt;0,VLOOKUP(CB49,tbl_IRPJaux,3,FALSE),0)</f>
        <v>1</v>
      </c>
      <c r="BZ49" s="757">
        <f>IF(BX49&gt;0,AA49*BY49+AG49*recuperavel_MB_ir_real+AF49*recuperavel_coberturas_ir_real+SUM(BB49:BF49,BK49,BP49),0)</f>
        <v>21180.253100361511</v>
      </c>
      <c r="CA49" s="757"/>
      <c r="CB49" s="757" t="str">
        <f>IFERROR(VLOOKUP(L49,tbl_materiais,COLUMN(head_mat_WBS)-COLUMN(head_mat_item)+1,FALSE),IFERROR(VLOOKUP(L49,tbl_servicos,COLUMN(head_serv_WBS)-COLUMN(head_serv_item)+1,FALSE),"?"))</f>
        <v xml:space="preserve">  Parametrização</v>
      </c>
      <c r="CD49" s="753" t="str">
        <f>IFERROR(VLOOKUP(L49,tbl_materiais,COLUMN(head_mat_st)-COLUMN(head_mat_item)+1,FALSE),"Não")</f>
        <v>Não</v>
      </c>
      <c r="CE49" s="760">
        <f>ifzero(mlookup(tbl_ICMSinterest_data,UFdestino,tbl_ICMSinterest_ufdest,UForigem,tbl_ICMSinterest_uforig))</f>
        <v>0.12</v>
      </c>
      <c r="CF49" s="760" t="str">
        <f>IF(N49&gt;0,IF(I49&lt;&gt;"Serviço",ifzero(mlookup(tbl_ICMSinterno_data,UForigem,tbl_ICMSinterno_UF,O49,tbl_ICMSinterno_NCM),mlookup(tbl_ICMSinterest_data,UForigem,tbl_ICMSinterest_ufdest,UForigem,tbl_ICMSinterest_uforig)),""),0)</f>
        <v/>
      </c>
      <c r="CG49" s="760" t="str">
        <f>IF(N49&gt;0,IF(I49&lt;&gt;"Serviço",ifzero(mlookup(tbl_ICMSinterno_data,UFdestino,tbl_ICMSinterno_UF,O49,tbl_ICMSinterno_NCM),mlookup(tbl_ICMSinterest_data,UFdestino,tbl_ICMSinterest_ufdest,UFdestino,tbl_ICMSinterest_uforig)),""),0)</f>
        <v/>
      </c>
      <c r="CI49" s="753">
        <f>IFERROR(IF(AND(I49&lt;&gt;"Serviço",D49="Não"),N49*VLOOKUP(L49,tbl_materiais,COLUMN(head_mat_credito_ICMS)-COLUMN(head_mat_item)+1,FALSE),0),0)</f>
        <v>0</v>
      </c>
      <c r="CJ49" s="753">
        <f>IFERROR(IF(AND(I49&lt;&gt;"Serviço",D49="Não"),N49*VLOOKUP(L49,tbl_materiais,COLUMN(head_mat_credito_IPI)-COLUMN(head_mat_item)+1,FALSE),0),0)</f>
        <v>0</v>
      </c>
      <c r="CK49" s="753">
        <f>IFERROR(IF(AND(I49&lt;&gt;"Serviço",D49="Não",B49="Real"),N49*VLOOKUP(L49,tbl_materiais,COLUMN(head_mat_credito_PIS)-COLUMN(head_mat_item)+1,FALSE),0),0)</f>
        <v>0</v>
      </c>
      <c r="CL49" s="753">
        <f>IFERROR(IF(AND(I49&lt;&gt;"Serviço",D49="Não",B49="Real"),N49*VLOOKUP(L49,tbl_materiais,COLUMN(head_mat_credito_COFINS)-COLUMN(head_mat_item)+1,FALSE),0),0)</f>
        <v>0</v>
      </c>
      <c r="CN49" s="762">
        <f>IFERROR(SUMIF(serv_col_item,"="&amp;L49,serv_col_totalhh),0)</f>
        <v>264</v>
      </c>
      <c r="CO49" s="753">
        <f>IFERROR(SUMIF(serv_col_item,"="&amp;L49,serv_col_gdv),0)</f>
        <v>0</v>
      </c>
      <c r="CQ49" s="753" t="b">
        <f>IF(N49&gt;0,IF(ISERROR(HLOOKUP(L49,std_tbl4,1,FALSE)),FALSE,TRUE),FALSE)</f>
        <v>0</v>
      </c>
      <c r="CR49" s="753" t="b">
        <f>IF(AND(CQ49,I49&lt;&gt;std_tiponcm),FALSE,TRUE)</f>
        <v>1</v>
      </c>
      <c r="CS49" s="753" t="b">
        <f>IF(AND(CQ49,D49="Sim"),TRUE,FALSE)</f>
        <v>0</v>
      </c>
      <c r="CU49" s="753">
        <f>IF(D49="Sim",VLOOKUP(L49,tbl_materiais,COLUMN(head_mat_fatdir)-COLUMN(head_mat_item)+1,FALSE),0)</f>
        <v>0</v>
      </c>
      <c r="CV49" s="757">
        <f>CU49*N49</f>
        <v>0</v>
      </c>
      <c r="CW49" s="757">
        <f t="shared" ref="CW49" si="665">CX49*(1-CY49-DA49-DE49-DG49)/(1+DC49)</f>
        <v>0</v>
      </c>
      <c r="CX49" s="757">
        <f>CV49/(1-AK49)</f>
        <v>0</v>
      </c>
      <c r="CY49" s="763">
        <f>IF(D49="Sim",VLOOKUP(L49,tbl_materiais,COLUMN(head_mat_ICMS_input)-COLUMN(head_mat_item)+1,FALSE),0)</f>
        <v>0</v>
      </c>
      <c r="CZ49" s="757">
        <f t="shared" ref="CZ49" si="666">CX49*CY49</f>
        <v>0</v>
      </c>
      <c r="DA49" s="763">
        <f>IF(D49="Sim",VLOOKUP(L49,tbl_materiais,COLUMN(head_mat_ISS_input)-COLUMN(head_mat_item)+1,FALSE),0)</f>
        <v>0</v>
      </c>
      <c r="DB49" s="757">
        <f t="shared" ref="DB49" si="667">CX49*DA49</f>
        <v>0</v>
      </c>
      <c r="DC49" s="763">
        <f>IF(D49="Sim",VLOOKUP(L49,tbl_materiais,COLUMN(head_mat_IPI_input)-COLUMN(head_mat_item)+1,FALSE),0)</f>
        <v>0</v>
      </c>
      <c r="DD49" s="757">
        <f t="shared" ref="DD49" si="668">CX49*DC49/(1+DC49)</f>
        <v>0</v>
      </c>
      <c r="DE49" s="764">
        <f>IF(D49="Sim",HLOOKUP($DH$5,Parametrização!$G$2:$H$4,2,FALSE),0)</f>
        <v>0</v>
      </c>
      <c r="DF49" s="757">
        <f t="shared" ref="DF49" si="669">(CX49-DD49)*DE49</f>
        <v>0</v>
      </c>
      <c r="DG49" s="764">
        <f>IF(D49="Sim",HLOOKUP($DH$5,Parametrização!$G$2:$H$4,3,FALSE),0)</f>
        <v>0</v>
      </c>
      <c r="DH49" s="757">
        <f t="shared" ref="DH49" si="670">(CX49-DD49)*DG49</f>
        <v>0</v>
      </c>
      <c r="DI49" s="757">
        <f t="shared" ref="DI49" si="671">CX49-CZ49-DD49-DF49-DH49</f>
        <v>0</v>
      </c>
      <c r="DK49" s="760" t="str">
        <f>IF(AND(I49&lt;&gt;"Serviço",Z49&gt;0),P49,"NA")</f>
        <v>NA</v>
      </c>
      <c r="DL49" s="753">
        <f>IF(AND(I49="Serviço",Z49&gt;0),R49,"NA")</f>
        <v>0.03</v>
      </c>
      <c r="DM49" s="760" t="str">
        <f>IF(AND(I49&lt;&gt;"Serviço",Z49&gt;0),Q49,"NA")</f>
        <v>NA</v>
      </c>
      <c r="DN49" s="765">
        <f>IF(Z49&gt;0,S49,"NA")</f>
        <v>0</v>
      </c>
      <c r="DO49" s="766">
        <f>IF(Z49&gt;0,T49,"NA")</f>
        <v>0</v>
      </c>
      <c r="DP49" s="766"/>
      <c r="DQ49" s="760" t="str">
        <f>IF(AND(I49&lt;&gt;"Serviço",CU49&gt;0),CY49,"NA")</f>
        <v>NA</v>
      </c>
      <c r="DR49" s="753" t="str">
        <f>IF(AND(I49="Serviço",CU49&gt;0),DA49,"NA")</f>
        <v>NA</v>
      </c>
      <c r="DS49" s="760" t="str">
        <f>IF(AND(I49&lt;&gt;"Serviço",CU49&gt;0),DC49,"NA")</f>
        <v>NA</v>
      </c>
      <c r="DT49" s="765" t="str">
        <f>IF(CU49&gt;0,DE49,"NA")</f>
        <v>NA</v>
      </c>
      <c r="DU49" s="766" t="str">
        <f>IF(CU49&gt;0,DG49,"NA")</f>
        <v>NA</v>
      </c>
      <c r="DV49" s="766"/>
      <c r="DW49" s="753">
        <f>IF(CQ49,N49*HLOOKUP(L49,std_tbl6,ROW(std_PL_real)-ROW(row_std_head)+1,FALSE),AA49)</f>
        <v>18744</v>
      </c>
      <c r="DX49" s="753">
        <f>IF(CQ49,DW49/(1-AC49-AD49)/(1-AK49),AM49)</f>
        <v>55303.800287623009</v>
      </c>
      <c r="DY49" s="753">
        <f>IF(CQ49,IF(C49="Industrialização",DX49/(1-P49-S49-T49)*(1+Q49),DX49/(1-P49*(1+Q49)-S49-T49)*(1+Q49)),AU49)</f>
        <v>57014.227100642282</v>
      </c>
      <c r="DZ49" s="766"/>
      <c r="EA49" s="767"/>
    </row>
    <row r="50" spans="1:131" s="243" customFormat="1" ht="19.649999999999999" customHeight="1" x14ac:dyDescent="0.25">
      <c r="A50" s="293" t="s">
        <v>349</v>
      </c>
      <c r="B50"/>
      <c r="C50"/>
      <c r="D50"/>
      <c r="E50"/>
      <c r="F50"/>
      <c r="G50"/>
      <c r="H50"/>
      <c r="I50"/>
      <c r="K50" s="612" t="s">
        <v>2792</v>
      </c>
      <c r="L50" s="826"/>
      <c r="M50" s="868" t="s">
        <v>763</v>
      </c>
      <c r="N50" s="869"/>
      <c r="O50" s="245"/>
      <c r="P50" s="246"/>
      <c r="Q50" s="246"/>
      <c r="R50" s="246"/>
      <c r="S50" s="246"/>
      <c r="T50" s="247"/>
      <c r="U50" s="248"/>
      <c r="V50" s="246"/>
      <c r="W50" s="246"/>
      <c r="X50" s="247"/>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s="643"/>
    </row>
    <row r="51" spans="1:131" s="753" customFormat="1" ht="48.15" customHeight="1" x14ac:dyDescent="0.25">
      <c r="A51" s="752"/>
      <c r="B51" s="753" t="s">
        <v>268</v>
      </c>
      <c r="C51" s="753" t="s">
        <v>255</v>
      </c>
      <c r="D51" s="757" t="s">
        <v>53</v>
      </c>
      <c r="E51" s="803" t="s">
        <v>1017</v>
      </c>
      <c r="F51" s="753" t="s">
        <v>53</v>
      </c>
      <c r="G51" s="781" t="s">
        <v>695</v>
      </c>
      <c r="H51" s="255" t="s">
        <v>2794</v>
      </c>
      <c r="I51" s="803" t="s">
        <v>165</v>
      </c>
      <c r="K51" s="318" t="s">
        <v>2817</v>
      </c>
      <c r="L51" s="502" t="s">
        <v>65</v>
      </c>
      <c r="M51" s="50" t="str">
        <f t="shared" ref="M51:M52" si="672">IFERROR(IFERROR(VLOOKUP(L51,tbl_materiais,COLUMN(head_mat_descricao)-COLUMN(head_mat_item)+1,FALSE),VLOOKUP(L51,tbl_servicos,COLUMN(head_serv_descricao)-COLUMN(head_serv_item)+1,FALSE)),"?")</f>
        <v>Testes em fábrica com a presença do cliente.
Local: PSI (Jundiaí SP).
Exclusos gastos de viagem dos participantes.</v>
      </c>
      <c r="N51" s="549">
        <v>1</v>
      </c>
      <c r="O51" s="83" t="str">
        <f>IF(CQ51,std_ncm,IF(I51="Serviço","NA",IF(I51="Material",IFERROR(VLOOKUP(L51,tbl_materiais,COLUMN(head_mat_NCM)-COLUMN(head_mat_item)+1,FALSE),"?"),IFERROR(VLOOKUP(I51,tbl_TipoLinha,2,FALSE),"?"))))</f>
        <v>NA</v>
      </c>
      <c r="P51" s="84">
        <f>IF(AND(D51="Não",I51&lt;&gt;"Serviço",CD51="Não"),IFERROR(IF(flag_interestadual,CE51,IF(CF51,CF51,CE51)),"?"),0)</f>
        <v>0</v>
      </c>
      <c r="Q51" s="84">
        <f>IF(AND(D51="Não",I51&lt;&gt;"Serviço"),IF(I51="Material",IFERROR(VLOOKUP(L51,tbl_materiais,COLUMN(head_mat_IPI)-COLUMN(head_mat_item)+1,FALSE),"?"),IFERROR(VLOOKUP(O51,tbl_NCM_info,COLUMN(head_porNCM_IPI)-COLUMN(head_porNCM_NCM)+1,FALSE),"?")),0)</f>
        <v>0</v>
      </c>
      <c r="R51" s="84">
        <f>IF(AND(D51="Não",I51="Serviço"),IFERROR(VLOOKUP(CB51,tbl_ISS,5,FALSE),"?"),0)</f>
        <v>0.03</v>
      </c>
      <c r="S51" s="85">
        <f>IF(D51="Não",IF(reidi="Sim",0,IF(B51="Real",pis_naocum,pis_cum)),0)</f>
        <v>0</v>
      </c>
      <c r="T51" s="86">
        <f>IF(D51="Não",IF(reidi="Sim",0,IF(B51="Real",cofins_naocum,cofins_cum)),0)</f>
        <v>0</v>
      </c>
      <c r="U51" s="754" t="str" cm="1">
        <f t="array" ref="U51">IFERROR(IF(I51&lt;&gt;"Serviço",IF(AND(mlookup(tbl_DIFAL_data,UFdestino,tbl_DIFAL_UF,O51,tbl_DIFAL_NCM)&lt;&gt;"",C51="Consumo"),"Sim",""),""),"?")</f>
        <v/>
      </c>
      <c r="V51" s="755" t="str">
        <f>IFERROR(IF(I51&lt;&gt;"Serviço",IF(AND(D51="Não",mlookup(tbl_ST_data,UFdestino,tbl_ST_UF,O51,tbl_ST_NCM)&lt;&gt;"",C51="Revenda",CD51="Não"),"Sim",""),""),"?")</f>
        <v/>
      </c>
      <c r="W51" s="84">
        <f>IF(OR(U51="Sim",V51="Sim"),CG51,0)</f>
        <v>0</v>
      </c>
      <c r="X51" s="756">
        <f>IF(V51="Sim",mlookup(tbl_ST_data,UFdestino,tbl_ST_UF,O51,tbl_ST_NCM),0)</f>
        <v>0</v>
      </c>
      <c r="Z51" s="757">
        <f>IF(AND(N51&gt;0,CQ51=FALSE),IFERROR(VLOOKUP(L51,tbl_servicos,COLUMN(head_serv_CL)-COLUMN(head_serv_item)+1,FALSE),IF(D51="Sim",0,IF(B51="Real",VLOOKUP(L51,tbl_materiais,COLUMN(head_mat_CLreal)-COLUMN(head_mat_item)+1,FALSE),VLOOKUP(L51,tbl_materiais,COLUMN(head_mat_CLpresumido)-COLUMN(head_mat_item)+1,FALSE)))),0)</f>
        <v>9372</v>
      </c>
      <c r="AA51" s="753">
        <f t="shared" ref="AA51:AA52" si="673">Z51*N51</f>
        <v>9372</v>
      </c>
      <c r="AC51" s="758">
        <f t="shared" si="658"/>
        <v>1.31243473968765E-2</v>
      </c>
      <c r="AD51" s="758">
        <f>IF(F51="Sim",0,VLOOKUP(E51,tbl_mb,2,FALSE))</f>
        <v>0.64794776875939952</v>
      </c>
      <c r="AF51" s="753">
        <f>AI51*AC51</f>
        <v>362.91314367112142</v>
      </c>
      <c r="AG51" s="753">
        <f>AI51*AD51</f>
        <v>17916.987000140383</v>
      </c>
      <c r="AI51" s="753">
        <f>AA51/(1-AC51-AD51)</f>
        <v>27651.900143811505</v>
      </c>
      <c r="AK51" s="758">
        <f t="shared" si="659"/>
        <v>0</v>
      </c>
      <c r="AL51" s="753">
        <f t="shared" ref="AL51:AL52" si="674">AM51*AK51</f>
        <v>0</v>
      </c>
      <c r="AM51" s="753">
        <f t="shared" ref="AM51:AM52" si="675">AI51/(1-AK51)</f>
        <v>27651.900143811505</v>
      </c>
      <c r="AO51" s="753" t="b">
        <f>IF(ABS(SUM(AA51,AF51:AG51,AL51)-AM51)&lt;0.01,TRUE,FALSE)</f>
        <v>1</v>
      </c>
      <c r="AQ51" s="759">
        <f>IFERROR(AR51/N51,0)</f>
        <v>27651.900143811505</v>
      </c>
      <c r="AR51" s="759">
        <f t="shared" ref="AR51:AR52" si="676">AM51</f>
        <v>27651.900143811505</v>
      </c>
      <c r="AT51" s="759">
        <f>IFERROR(AU51/N51,0)</f>
        <v>28507.113550321141</v>
      </c>
      <c r="AU51" s="759">
        <f>IF(AND(N51&gt;0,CQ51=FALSE),IF(C51="Consumo",AR51*(1+Q51)/(1-P51*(1+Q51)-R51-S51-T51),AR51*(1+Q51)/(1-P51-R51-S51-T51)),0)</f>
        <v>28507.113550321141</v>
      </c>
      <c r="AW51" s="759">
        <f>IF(AU51&gt;0,AU51/(1+Q51),0)</f>
        <v>28507.113550321141</v>
      </c>
      <c r="AX51" s="759">
        <f>IF(AU51&gt;0,IF(C51="Consumo",AW51-AU51*P51,AW51*(1-P51)),0)</f>
        <v>28507.113550321141</v>
      </c>
      <c r="AY51" s="759">
        <f>AX51-AW51*R51</f>
        <v>27651.900143811508</v>
      </c>
      <c r="AZ51" s="759">
        <f>AY51-AW51*(S51+T51)</f>
        <v>27651.900143811508</v>
      </c>
      <c r="BB51" s="753">
        <f>IF(AW51&gt;0,AW51*Q51,0)</f>
        <v>0</v>
      </c>
      <c r="BC51" s="753">
        <f>IF(AW51&gt;0,IF(C51="Consumo",AU51*P51,AW51*P51),0)</f>
        <v>0</v>
      </c>
      <c r="BD51" s="753">
        <f>AW51*R51</f>
        <v>855.21340650963418</v>
      </c>
      <c r="BE51" s="753">
        <f>AW51*S51</f>
        <v>0</v>
      </c>
      <c r="BF51" s="753">
        <f>AW51*T51</f>
        <v>0</v>
      </c>
      <c r="BH51" s="760">
        <f>W51</f>
        <v>0</v>
      </c>
      <c r="BJ51" s="761">
        <f>IF(AND(U51&lt;&gt;"",C51="Consumo"),BH51-P51,0)</f>
        <v>0</v>
      </c>
      <c r="BK51" s="753">
        <f>BJ51*AU51</f>
        <v>0</v>
      </c>
      <c r="BL51" s="753">
        <f>AU51+BK51</f>
        <v>28507.113550321141</v>
      </c>
      <c r="BN51" s="758">
        <f>X51</f>
        <v>0</v>
      </c>
      <c r="BO51" s="753">
        <f>AU51*(1+BN51)</f>
        <v>28507.113550321141</v>
      </c>
      <c r="BP51" s="753">
        <f>IF(AND(V51&lt;&gt;"",C51="Revenda"),BO51*BH51-BC51,0)</f>
        <v>0</v>
      </c>
      <c r="BQ51" s="753">
        <f>AU51+BP51</f>
        <v>28507.113550321141</v>
      </c>
      <c r="BS51" s="759">
        <f>AU51-SUM(BB51:BF51)</f>
        <v>27651.900143811508</v>
      </c>
      <c r="BT51" s="753">
        <f>AR51+SUM(BB51:BF51)</f>
        <v>28507.113550321137</v>
      </c>
      <c r="BU51" s="753" t="b">
        <f t="shared" ref="BU51:BU52" si="677">IF(ABS(BT51-BS51-SUM(BB51:BF51))&lt;0.01,TRUE,FALSE)</f>
        <v>1</v>
      </c>
      <c r="BW51" s="757" t="str">
        <f>IF(AND(N51&gt;0,CQ51=FALSE),IF(D51="Sim","Fat. Direto",VLOOKUP(CB51,tbl_IRPJaux,2,FALSE)),"")</f>
        <v>Serviço</v>
      </c>
      <c r="BX51" s="753">
        <f>IF(AND(BW51&lt;&gt;"NA",D51="Não"),MAX(BL51,BQ51),0)</f>
        <v>28507.113550321141</v>
      </c>
      <c r="BY51" s="752">
        <f t="shared" ref="BY51:BY52" si="678">IF(BX51&gt;0,VLOOKUP(CB51,tbl_IRPJaux,3,FALSE),0)</f>
        <v>1</v>
      </c>
      <c r="BZ51" s="757">
        <f>IF(BX51&gt;0,AA51*BY51+AG51*recuperavel_MB_ir_real+AF51*recuperavel_coberturas_ir_real+SUM(BB51:BF51,BK51,BP51),0)</f>
        <v>10590.126550180756</v>
      </c>
      <c r="CA51" s="757"/>
      <c r="CB51" s="757" t="str">
        <f>IFERROR(VLOOKUP(L51,tbl_materiais,COLUMN(head_mat_WBS)-COLUMN(head_mat_item)+1,FALSE),IFERROR(VLOOKUP(L51,tbl_servicos,COLUMN(head_serv_WBS)-COLUMN(head_serv_item)+1,FALSE),"?"))</f>
        <v xml:space="preserve">  Testes em fábrica</v>
      </c>
      <c r="CD51" s="753" t="str">
        <f>IFERROR(VLOOKUP(L51,tbl_materiais,COLUMN(head_mat_st)-COLUMN(head_mat_item)+1,FALSE),"Não")</f>
        <v>Não</v>
      </c>
      <c r="CE51" s="760">
        <f>ifzero(mlookup(tbl_ICMSinterest_data,UFdestino,tbl_ICMSinterest_ufdest,UForigem,tbl_ICMSinterest_uforig))</f>
        <v>0.12</v>
      </c>
      <c r="CF51" s="760" t="str">
        <f>IF(N51&gt;0,IF(I51&lt;&gt;"Serviço",ifzero(mlookup(tbl_ICMSinterno_data,UForigem,tbl_ICMSinterno_UF,O51,tbl_ICMSinterno_NCM),mlookup(tbl_ICMSinterest_data,UForigem,tbl_ICMSinterest_ufdest,UForigem,tbl_ICMSinterest_uforig)),""),0)</f>
        <v/>
      </c>
      <c r="CG51" s="760" t="str">
        <f>IF(N51&gt;0,IF(I51&lt;&gt;"Serviço",ifzero(mlookup(tbl_ICMSinterno_data,UFdestino,tbl_ICMSinterno_UF,O51,tbl_ICMSinterno_NCM),mlookup(tbl_ICMSinterest_data,UFdestino,tbl_ICMSinterest_ufdest,UFdestino,tbl_ICMSinterest_uforig)),""),0)</f>
        <v/>
      </c>
      <c r="CI51" s="753">
        <f>IFERROR(IF(AND(I51&lt;&gt;"Serviço",D51="Não"),N51*VLOOKUP(L51,tbl_materiais,COLUMN(head_mat_credito_ICMS)-COLUMN(head_mat_item)+1,FALSE),0),0)</f>
        <v>0</v>
      </c>
      <c r="CJ51" s="753">
        <f>IFERROR(IF(AND(I51&lt;&gt;"Serviço",D51="Não"),N51*VLOOKUP(L51,tbl_materiais,COLUMN(head_mat_credito_IPI)-COLUMN(head_mat_item)+1,FALSE),0),0)</f>
        <v>0</v>
      </c>
      <c r="CK51" s="753">
        <f>IFERROR(IF(AND(I51&lt;&gt;"Serviço",D51="Não",B51="Real"),N51*VLOOKUP(L51,tbl_materiais,COLUMN(head_mat_credito_PIS)-COLUMN(head_mat_item)+1,FALSE),0),0)</f>
        <v>0</v>
      </c>
      <c r="CL51" s="753">
        <f>IFERROR(IF(AND(I51&lt;&gt;"Serviço",D51="Não",B51="Real"),N51*VLOOKUP(L51,tbl_materiais,COLUMN(head_mat_credito_COFINS)-COLUMN(head_mat_item)+1,FALSE),0),0)</f>
        <v>0</v>
      </c>
      <c r="CN51" s="762">
        <f>IFERROR(SUMIF(serv_col_item,"="&amp;L51,serv_col_totalhh),0)</f>
        <v>132</v>
      </c>
      <c r="CO51" s="753">
        <f>IFERROR(SUMIF(serv_col_item,"="&amp;L51,serv_col_gdv),0)</f>
        <v>0</v>
      </c>
      <c r="CQ51" s="753" t="b">
        <f>IF(N51&gt;0,IF(ISERROR(HLOOKUP(L51,std_tbl4,1,FALSE)),FALSE,TRUE),FALSE)</f>
        <v>0</v>
      </c>
      <c r="CR51" s="753" t="b">
        <f>IF(AND(CQ51,I51&lt;&gt;std_tiponcm),FALSE,TRUE)</f>
        <v>1</v>
      </c>
      <c r="CS51" s="753" t="b">
        <f>IF(AND(CQ51,D51="Sim"),TRUE,FALSE)</f>
        <v>0</v>
      </c>
      <c r="CU51" s="753">
        <f>IF(D51="Sim",VLOOKUP(L51,tbl_materiais,COLUMN(head_mat_fatdir)-COLUMN(head_mat_item)+1,FALSE),0)</f>
        <v>0</v>
      </c>
      <c r="CV51" s="757">
        <f>CU51*N51</f>
        <v>0</v>
      </c>
      <c r="CW51" s="757">
        <f t="shared" ref="CW51:CW52" si="679">CX51*(1-CY51-DA51-DE51-DG51)/(1+DC51)</f>
        <v>0</v>
      </c>
      <c r="CX51" s="757">
        <f>CV51/(1-AK51)</f>
        <v>0</v>
      </c>
      <c r="CY51" s="763">
        <f>IF(D51="Sim",VLOOKUP(L51,tbl_materiais,COLUMN(head_mat_ICMS_input)-COLUMN(head_mat_item)+1,FALSE),0)</f>
        <v>0</v>
      </c>
      <c r="CZ51" s="757">
        <f t="shared" ref="CZ51:CZ52" si="680">CX51*CY51</f>
        <v>0</v>
      </c>
      <c r="DA51" s="763">
        <f>IF(D51="Sim",VLOOKUP(L51,tbl_materiais,COLUMN(head_mat_ISS_input)-COLUMN(head_mat_item)+1,FALSE),0)</f>
        <v>0</v>
      </c>
      <c r="DB51" s="757">
        <f t="shared" ref="DB51:DB52" si="681">CX51*DA51</f>
        <v>0</v>
      </c>
      <c r="DC51" s="763">
        <f>IF(D51="Sim",VLOOKUP(L51,tbl_materiais,COLUMN(head_mat_IPI_input)-COLUMN(head_mat_item)+1,FALSE),0)</f>
        <v>0</v>
      </c>
      <c r="DD51" s="757">
        <f t="shared" ref="DD51:DD52" si="682">CX51*DC51/(1+DC51)</f>
        <v>0</v>
      </c>
      <c r="DE51" s="764">
        <f>IF(D51="Sim",HLOOKUP($DH$5,Parametrização!$G$2:$H$4,2,FALSE),0)</f>
        <v>0</v>
      </c>
      <c r="DF51" s="757">
        <f t="shared" ref="DF51:DF52" si="683">(CX51-DD51)*DE51</f>
        <v>0</v>
      </c>
      <c r="DG51" s="764">
        <f>IF(D51="Sim",HLOOKUP($DH$5,Parametrização!$G$2:$H$4,3,FALSE),0)</f>
        <v>0</v>
      </c>
      <c r="DH51" s="757">
        <f t="shared" ref="DH51:DH52" si="684">(CX51-DD51)*DG51</f>
        <v>0</v>
      </c>
      <c r="DI51" s="757">
        <f t="shared" ref="DI51:DI52" si="685">CX51-CZ51-DD51-DF51-DH51</f>
        <v>0</v>
      </c>
      <c r="DK51" s="760" t="str">
        <f>IF(AND(I51&lt;&gt;"Serviço",Z51&gt;0),P51,"NA")</f>
        <v>NA</v>
      </c>
      <c r="DL51" s="753">
        <f>IF(AND(I51="Serviço",Z51&gt;0),R51,"NA")</f>
        <v>0.03</v>
      </c>
      <c r="DM51" s="760" t="str">
        <f>IF(AND(I51&lt;&gt;"Serviço",Z51&gt;0),Q51,"NA")</f>
        <v>NA</v>
      </c>
      <c r="DN51" s="765">
        <f>IF(Z51&gt;0,S51,"NA")</f>
        <v>0</v>
      </c>
      <c r="DO51" s="766">
        <f>IF(Z51&gt;0,T51,"NA")</f>
        <v>0</v>
      </c>
      <c r="DP51" s="766"/>
      <c r="DQ51" s="760" t="str">
        <f>IF(AND(I51&lt;&gt;"Serviço",CU51&gt;0),CY51,"NA")</f>
        <v>NA</v>
      </c>
      <c r="DR51" s="753" t="str">
        <f>IF(AND(I51="Serviço",CU51&gt;0),DA51,"NA")</f>
        <v>NA</v>
      </c>
      <c r="DS51" s="760" t="str">
        <f>IF(AND(I51&lt;&gt;"Serviço",CU51&gt;0),DC51,"NA")</f>
        <v>NA</v>
      </c>
      <c r="DT51" s="765" t="str">
        <f>IF(CU51&gt;0,DE51,"NA")</f>
        <v>NA</v>
      </c>
      <c r="DU51" s="766" t="str">
        <f>IF(CU51&gt;0,DG51,"NA")</f>
        <v>NA</v>
      </c>
      <c r="DV51" s="766"/>
      <c r="DW51" s="753">
        <f>IF(CQ51,N51*HLOOKUP(L51,std_tbl6,ROW(std_PL_real)-ROW(row_std_head)+1,FALSE),AA51)</f>
        <v>9372</v>
      </c>
      <c r="DX51" s="753">
        <f>IF(CQ51,DW51/(1-AC51-AD51)/(1-AK51),AM51)</f>
        <v>27651.900143811505</v>
      </c>
      <c r="DY51" s="753">
        <f>IF(CQ51,IF(C51="Industrialização",DX51/(1-P51-S51-T51)*(1+Q51),DX51/(1-P51*(1+Q51)-S51-T51)*(1+Q51)),AU51)</f>
        <v>28507.113550321141</v>
      </c>
      <c r="DZ51" s="766"/>
      <c r="EA51" s="767"/>
    </row>
    <row r="52" spans="1:131" s="753" customFormat="1" ht="60.9" customHeight="1" x14ac:dyDescent="0.25">
      <c r="A52" s="752"/>
      <c r="B52" s="753" t="s">
        <v>268</v>
      </c>
      <c r="C52" s="753" t="s">
        <v>255</v>
      </c>
      <c r="D52" s="757" t="s">
        <v>53</v>
      </c>
      <c r="E52" s="803" t="s">
        <v>1017</v>
      </c>
      <c r="F52" s="753" t="s">
        <v>53</v>
      </c>
      <c r="G52" s="781" t="s">
        <v>695</v>
      </c>
      <c r="H52" s="255" t="s">
        <v>2794</v>
      </c>
      <c r="I52" s="803" t="s">
        <v>165</v>
      </c>
      <c r="K52" s="318" t="s">
        <v>2818</v>
      </c>
      <c r="L52" s="502" t="s">
        <v>762</v>
      </c>
      <c r="M52" s="50" t="str">
        <f t="shared" si="672"/>
        <v>Testes em campo para validação da solução implementada.
Inclusos gastos de viagem e hospedagem dos profissionais da CONTRATADA.
Local: Obra.</v>
      </c>
      <c r="N52" s="549">
        <v>1</v>
      </c>
      <c r="O52" s="83" t="str">
        <f>IF(CQ52,std_ncm,IF(I52="Serviço","NA",IF(I52="Material",IFERROR(VLOOKUP(L52,tbl_materiais,COLUMN(head_mat_NCM)-COLUMN(head_mat_item)+1,FALSE),"?"),IFERROR(VLOOKUP(I52,tbl_TipoLinha,2,FALSE),"?"))))</f>
        <v>NA</v>
      </c>
      <c r="P52" s="84">
        <f>IF(AND(D52="Não",I52&lt;&gt;"Serviço",CD52="Não"),IFERROR(IF(flag_interestadual,CE52,IF(CF52,CF52,CE52)),"?"),0)</f>
        <v>0</v>
      </c>
      <c r="Q52" s="84">
        <f>IF(AND(D52="Não",I52&lt;&gt;"Serviço"),IF(I52="Material",IFERROR(VLOOKUP(L52,tbl_materiais,COLUMN(head_mat_IPI)-COLUMN(head_mat_item)+1,FALSE),"?"),IFERROR(VLOOKUP(O52,tbl_NCM_info,COLUMN(head_porNCM_IPI)-COLUMN(head_porNCM_NCM)+1,FALSE),"?")),0)</f>
        <v>0</v>
      </c>
      <c r="R52" s="84">
        <f>IF(AND(D52="Não",I52="Serviço"),IFERROR(VLOOKUP(CB52,tbl_ISS,5,FALSE),"?"),0)</f>
        <v>0.03</v>
      </c>
      <c r="S52" s="85">
        <f>IF(D52="Não",IF(reidi="Sim",0,IF(B52="Real",pis_naocum,pis_cum)),0)</f>
        <v>0</v>
      </c>
      <c r="T52" s="86">
        <f>IF(D52="Não",IF(reidi="Sim",0,IF(B52="Real",cofins_naocum,cofins_cum)),0)</f>
        <v>0</v>
      </c>
      <c r="U52" s="754" t="str" cm="1">
        <f t="array" ref="U52">IFERROR(IF(I52&lt;&gt;"Serviço",IF(AND(mlookup(tbl_DIFAL_data,UFdestino,tbl_DIFAL_UF,O52,tbl_DIFAL_NCM)&lt;&gt;"",C52="Consumo"),"Sim",""),""),"?")</f>
        <v/>
      </c>
      <c r="V52" s="755" t="str">
        <f>IFERROR(IF(I52&lt;&gt;"Serviço",IF(AND(D52="Não",mlookup(tbl_ST_data,UFdestino,tbl_ST_UF,O52,tbl_ST_NCM)&lt;&gt;"",C52="Revenda",CD52="Não"),"Sim",""),""),"?")</f>
        <v/>
      </c>
      <c r="W52" s="84">
        <f>IF(OR(U52="Sim",V52="Sim"),CG52,0)</f>
        <v>0</v>
      </c>
      <c r="X52" s="756">
        <f>IF(V52="Sim",mlookup(tbl_ST_data,UFdestino,tbl_ST_UF,O52,tbl_ST_NCM),0)</f>
        <v>0</v>
      </c>
      <c r="Z52" s="757">
        <f>IF(AND(N52&gt;0,CQ52=FALSE),IFERROR(VLOOKUP(L52,tbl_servicos,COLUMN(head_serv_CL)-COLUMN(head_serv_item)+1,FALSE),IF(D52="Sim",0,IF(B52="Real",VLOOKUP(L52,tbl_materiais,COLUMN(head_mat_CLreal)-COLUMN(head_mat_item)+1,FALSE),VLOOKUP(L52,tbl_materiais,COLUMN(head_mat_CLpresumido)-COLUMN(head_mat_item)+1,FALSE)))),0)</f>
        <v>24992</v>
      </c>
      <c r="AA52" s="753">
        <f t="shared" si="673"/>
        <v>24992</v>
      </c>
      <c r="AC52" s="758">
        <f t="shared" si="658"/>
        <v>1.31243473968765E-2</v>
      </c>
      <c r="AD52" s="758">
        <f>IF(F52="Sim",0,VLOOKUP(E52,tbl_mb,2,FALSE))</f>
        <v>0.64794776875939952</v>
      </c>
      <c r="AF52" s="753">
        <f>AI52*AC52</f>
        <v>967.7683831229906</v>
      </c>
      <c r="AG52" s="753">
        <f>AI52*AD52</f>
        <v>47778.63200037436</v>
      </c>
      <c r="AI52" s="753">
        <f>AA52/(1-AC52-AD52)</f>
        <v>73738.400383497356</v>
      </c>
      <c r="AK52" s="758">
        <f t="shared" si="659"/>
        <v>0</v>
      </c>
      <c r="AL52" s="753">
        <f t="shared" si="674"/>
        <v>0</v>
      </c>
      <c r="AM52" s="753">
        <f t="shared" si="675"/>
        <v>73738.400383497356</v>
      </c>
      <c r="AO52" s="753" t="b">
        <f>IF(ABS(SUM(AA52,AF52:AG52,AL52)-AM52)&lt;0.01,TRUE,FALSE)</f>
        <v>1</v>
      </c>
      <c r="AQ52" s="759">
        <f>IFERROR(AR52/N52,0)</f>
        <v>73738.400383497356</v>
      </c>
      <c r="AR52" s="759">
        <f t="shared" si="676"/>
        <v>73738.400383497356</v>
      </c>
      <c r="AT52" s="759">
        <f>IFERROR(AU52/N52,0)</f>
        <v>76018.969467523042</v>
      </c>
      <c r="AU52" s="759">
        <f>IF(AND(N52&gt;0,CQ52=FALSE),IF(C52="Consumo",AR52*(1+Q52)/(1-P52*(1+Q52)-R52-S52-T52),AR52*(1+Q52)/(1-P52-R52-S52-T52)),0)</f>
        <v>76018.969467523042</v>
      </c>
      <c r="AW52" s="759">
        <f>IF(AU52&gt;0,AU52/(1+Q52),0)</f>
        <v>76018.969467523042</v>
      </c>
      <c r="AX52" s="759">
        <f>IF(AU52&gt;0,IF(C52="Consumo",AW52-AU52*P52,AW52*(1-P52)),0)</f>
        <v>76018.969467523042</v>
      </c>
      <c r="AY52" s="759">
        <f>AX52-AW52*R52</f>
        <v>73738.400383497356</v>
      </c>
      <c r="AZ52" s="759">
        <f>AY52-AW52*(S52+T52)</f>
        <v>73738.400383497356</v>
      </c>
      <c r="BB52" s="753">
        <f>IF(AW52&gt;0,AW52*Q52,0)</f>
        <v>0</v>
      </c>
      <c r="BC52" s="753">
        <f>IF(AW52&gt;0,IF(C52="Consumo",AU52*P52,AW52*P52),0)</f>
        <v>0</v>
      </c>
      <c r="BD52" s="753">
        <f>AW52*R52</f>
        <v>2280.5690840256912</v>
      </c>
      <c r="BE52" s="753">
        <f>AW52*S52</f>
        <v>0</v>
      </c>
      <c r="BF52" s="753">
        <f>AW52*T52</f>
        <v>0</v>
      </c>
      <c r="BH52" s="760">
        <f>W52</f>
        <v>0</v>
      </c>
      <c r="BJ52" s="761">
        <f>IF(AND(U52&lt;&gt;"",C52="Consumo"),BH52-P52,0)</f>
        <v>0</v>
      </c>
      <c r="BK52" s="753">
        <f>BJ52*AU52</f>
        <v>0</v>
      </c>
      <c r="BL52" s="753">
        <f>AU52+BK52</f>
        <v>76018.969467523042</v>
      </c>
      <c r="BN52" s="758">
        <f>X52</f>
        <v>0</v>
      </c>
      <c r="BO52" s="753">
        <f>AU52*(1+BN52)</f>
        <v>76018.969467523042</v>
      </c>
      <c r="BP52" s="753">
        <f>IF(AND(V52&lt;&gt;"",C52="Revenda"),BO52*BH52-BC52,0)</f>
        <v>0</v>
      </c>
      <c r="BQ52" s="753">
        <f>AU52+BP52</f>
        <v>76018.969467523042</v>
      </c>
      <c r="BS52" s="759">
        <f>AU52-SUM(BB52:BF52)</f>
        <v>73738.400383497356</v>
      </c>
      <c r="BT52" s="753">
        <f>AR52+SUM(BB52:BF52)</f>
        <v>76018.969467523042</v>
      </c>
      <c r="BU52" s="753" t="b">
        <f t="shared" si="677"/>
        <v>1</v>
      </c>
      <c r="BW52" s="757" t="str">
        <f>IF(AND(N52&gt;0,CQ52=FALSE),IF(D52="Sim","Fat. Direto",VLOOKUP(CB52,tbl_IRPJaux,2,FALSE)),"")</f>
        <v>Serviço</v>
      </c>
      <c r="BX52" s="753">
        <f>IF(AND(BW52&lt;&gt;"NA",D52="Não"),MAX(BL52,BQ52),0)</f>
        <v>76018.969467523042</v>
      </c>
      <c r="BY52" s="752">
        <f t="shared" si="678"/>
        <v>1</v>
      </c>
      <c r="BZ52" s="757">
        <f>IF(BX52&gt;0,AA52*BY52+AG52*recuperavel_MB_ir_real+AF52*recuperavel_coberturas_ir_real+SUM(BB52:BF52,BK52,BP52),0)</f>
        <v>28240.337467148682</v>
      </c>
      <c r="CA52" s="757"/>
      <c r="CB52" s="757" t="str">
        <f>IFERROR(VLOOKUP(L52,tbl_materiais,COLUMN(head_mat_WBS)-COLUMN(head_mat_item)+1,FALSE),IFERROR(VLOOKUP(L52,tbl_servicos,COLUMN(head_serv_WBS)-COLUMN(head_serv_item)+1,FALSE),"?"))</f>
        <v xml:space="preserve">  Comissionamento SPCS</v>
      </c>
      <c r="CD52" s="753" t="str">
        <f>IFERROR(VLOOKUP(L52,tbl_materiais,COLUMN(head_mat_st)-COLUMN(head_mat_item)+1,FALSE),"Não")</f>
        <v>Não</v>
      </c>
      <c r="CE52" s="760">
        <f>ifzero(mlookup(tbl_ICMSinterest_data,UFdestino,tbl_ICMSinterest_ufdest,UForigem,tbl_ICMSinterest_uforig))</f>
        <v>0.12</v>
      </c>
      <c r="CF52" s="760" t="str">
        <f>IF(N52&gt;0,IF(I52&lt;&gt;"Serviço",ifzero(mlookup(tbl_ICMSinterno_data,UForigem,tbl_ICMSinterno_UF,O52,tbl_ICMSinterno_NCM),mlookup(tbl_ICMSinterest_data,UForigem,tbl_ICMSinterest_ufdest,UForigem,tbl_ICMSinterest_uforig)),""),0)</f>
        <v/>
      </c>
      <c r="CG52" s="760" t="str">
        <f>IF(N52&gt;0,IF(I52&lt;&gt;"Serviço",ifzero(mlookup(tbl_ICMSinterno_data,UFdestino,tbl_ICMSinterno_UF,O52,tbl_ICMSinterno_NCM),mlookup(tbl_ICMSinterest_data,UFdestino,tbl_ICMSinterest_ufdest,UFdestino,tbl_ICMSinterest_uforig)),""),0)</f>
        <v/>
      </c>
      <c r="CI52" s="753">
        <f>IFERROR(IF(AND(I52&lt;&gt;"Serviço",D52="Não"),N52*VLOOKUP(L52,tbl_materiais,COLUMN(head_mat_credito_ICMS)-COLUMN(head_mat_item)+1,FALSE),0),0)</f>
        <v>0</v>
      </c>
      <c r="CJ52" s="753">
        <f>IFERROR(IF(AND(I52&lt;&gt;"Serviço",D52="Não"),N52*VLOOKUP(L52,tbl_materiais,COLUMN(head_mat_credito_IPI)-COLUMN(head_mat_item)+1,FALSE),0),0)</f>
        <v>0</v>
      </c>
      <c r="CK52" s="753">
        <f>IFERROR(IF(AND(I52&lt;&gt;"Serviço",D52="Não",B52="Real"),N52*VLOOKUP(L52,tbl_materiais,COLUMN(head_mat_credito_PIS)-COLUMN(head_mat_item)+1,FALSE),0),0)</f>
        <v>0</v>
      </c>
      <c r="CL52" s="753">
        <f>IFERROR(IF(AND(I52&lt;&gt;"Serviço",D52="Não",B52="Real"),N52*VLOOKUP(L52,tbl_materiais,COLUMN(head_mat_credito_COFINS)-COLUMN(head_mat_item)+1,FALSE),0),0)</f>
        <v>0</v>
      </c>
      <c r="CN52" s="762">
        <f>IFERROR(SUMIF(serv_col_item,"="&amp;L52,serv_col_totalhh),0)</f>
        <v>352</v>
      </c>
      <c r="CO52" s="753">
        <f>IFERROR(SUMIF(serv_col_item,"="&amp;L52,serv_col_gdv),0)</f>
        <v>22500</v>
      </c>
      <c r="CQ52" s="753" t="b">
        <f>IF(N52&gt;0,IF(ISERROR(HLOOKUP(L52,std_tbl4,1,FALSE)),FALSE,TRUE),FALSE)</f>
        <v>0</v>
      </c>
      <c r="CR52" s="753" t="b">
        <f>IF(AND(CQ52,I52&lt;&gt;std_tiponcm),FALSE,TRUE)</f>
        <v>1</v>
      </c>
      <c r="CS52" s="753" t="b">
        <f>IF(AND(CQ52,D52="Sim"),TRUE,FALSE)</f>
        <v>0</v>
      </c>
      <c r="CU52" s="753">
        <f>IF(D52="Sim",VLOOKUP(L52,tbl_materiais,COLUMN(head_mat_fatdir)-COLUMN(head_mat_item)+1,FALSE),0)</f>
        <v>0</v>
      </c>
      <c r="CV52" s="757">
        <f>CU52*N52</f>
        <v>0</v>
      </c>
      <c r="CW52" s="757">
        <f t="shared" si="679"/>
        <v>0</v>
      </c>
      <c r="CX52" s="757">
        <f>CV52/(1-AK52)</f>
        <v>0</v>
      </c>
      <c r="CY52" s="763">
        <f>IF(D52="Sim",VLOOKUP(L52,tbl_materiais,COLUMN(head_mat_ICMS_input)-COLUMN(head_mat_item)+1,FALSE),0)</f>
        <v>0</v>
      </c>
      <c r="CZ52" s="757">
        <f t="shared" si="680"/>
        <v>0</v>
      </c>
      <c r="DA52" s="763">
        <f>IF(D52="Sim",VLOOKUP(L52,tbl_materiais,COLUMN(head_mat_ISS_input)-COLUMN(head_mat_item)+1,FALSE),0)</f>
        <v>0</v>
      </c>
      <c r="DB52" s="757">
        <f t="shared" si="681"/>
        <v>0</v>
      </c>
      <c r="DC52" s="763">
        <f>IF(D52="Sim",VLOOKUP(L52,tbl_materiais,COLUMN(head_mat_IPI_input)-COLUMN(head_mat_item)+1,FALSE),0)</f>
        <v>0</v>
      </c>
      <c r="DD52" s="757">
        <f t="shared" si="682"/>
        <v>0</v>
      </c>
      <c r="DE52" s="764">
        <f>IF(D52="Sim",HLOOKUP($DH$5,Parametrização!$G$2:$H$4,2,FALSE),0)</f>
        <v>0</v>
      </c>
      <c r="DF52" s="757">
        <f t="shared" si="683"/>
        <v>0</v>
      </c>
      <c r="DG52" s="764">
        <f>IF(D52="Sim",HLOOKUP($DH$5,Parametrização!$G$2:$H$4,3,FALSE),0)</f>
        <v>0</v>
      </c>
      <c r="DH52" s="757">
        <f t="shared" si="684"/>
        <v>0</v>
      </c>
      <c r="DI52" s="757">
        <f t="shared" si="685"/>
        <v>0</v>
      </c>
      <c r="DK52" s="760" t="str">
        <f>IF(AND(I52&lt;&gt;"Serviço",Z52&gt;0),P52,"NA")</f>
        <v>NA</v>
      </c>
      <c r="DL52" s="753">
        <f>IF(AND(I52="Serviço",Z52&gt;0),R52,"NA")</f>
        <v>0.03</v>
      </c>
      <c r="DM52" s="760" t="str">
        <f>IF(AND(I52&lt;&gt;"Serviço",Z52&gt;0),Q52,"NA")</f>
        <v>NA</v>
      </c>
      <c r="DN52" s="765">
        <f>IF(Z52&gt;0,S52,"NA")</f>
        <v>0</v>
      </c>
      <c r="DO52" s="766">
        <f>IF(Z52&gt;0,T52,"NA")</f>
        <v>0</v>
      </c>
      <c r="DP52" s="766"/>
      <c r="DQ52" s="760" t="str">
        <f>IF(AND(I52&lt;&gt;"Serviço",CU52&gt;0),CY52,"NA")</f>
        <v>NA</v>
      </c>
      <c r="DR52" s="753" t="str">
        <f>IF(AND(I52="Serviço",CU52&gt;0),DA52,"NA")</f>
        <v>NA</v>
      </c>
      <c r="DS52" s="760" t="str">
        <f>IF(AND(I52&lt;&gt;"Serviço",CU52&gt;0),DC52,"NA")</f>
        <v>NA</v>
      </c>
      <c r="DT52" s="765" t="str">
        <f>IF(CU52&gt;0,DE52,"NA")</f>
        <v>NA</v>
      </c>
      <c r="DU52" s="766" t="str">
        <f>IF(CU52&gt;0,DG52,"NA")</f>
        <v>NA</v>
      </c>
      <c r="DV52" s="766"/>
      <c r="DW52" s="753">
        <f>IF(CQ52,N52*HLOOKUP(L52,std_tbl6,ROW(std_PL_real)-ROW(row_std_head)+1,FALSE),AA52)</f>
        <v>24992</v>
      </c>
      <c r="DX52" s="753">
        <f>IF(CQ52,DW52/(1-AC52-AD52)/(1-AK52),AM52)</f>
        <v>73738.400383497356</v>
      </c>
      <c r="DY52" s="753">
        <f>IF(CQ52,IF(C52="Industrialização",DX52/(1-P52-S52-T52)*(1+Q52),DX52/(1-P52*(1+Q52)-S52-T52)*(1+Q52)),AU52)</f>
        <v>76018.969467523042</v>
      </c>
      <c r="DZ52" s="766"/>
      <c r="EA52" s="767"/>
    </row>
    <row r="53" spans="1:131" s="243" customFormat="1" ht="19.649999999999999" customHeight="1" x14ac:dyDescent="0.25">
      <c r="A53" s="293" t="s">
        <v>349</v>
      </c>
      <c r="B53"/>
      <c r="C53"/>
      <c r="D53"/>
      <c r="E53"/>
      <c r="F53"/>
      <c r="G53"/>
      <c r="H53"/>
      <c r="I53"/>
      <c r="K53" s="612" t="s">
        <v>3034</v>
      </c>
      <c r="L53" s="826"/>
      <c r="M53" s="868" t="s">
        <v>30</v>
      </c>
      <c r="N53" s="869"/>
      <c r="O53" s="245"/>
      <c r="P53" s="246"/>
      <c r="Q53" s="246"/>
      <c r="R53" s="246"/>
      <c r="S53" s="246"/>
      <c r="T53" s="247"/>
      <c r="U53" s="248"/>
      <c r="V53" s="246"/>
      <c r="W53" s="246"/>
      <c r="X53" s="247"/>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s="643"/>
    </row>
    <row r="54" spans="1:131" s="753" customFormat="1" ht="60.9" customHeight="1" x14ac:dyDescent="0.25">
      <c r="A54" s="752"/>
      <c r="B54" s="753" t="s">
        <v>268</v>
      </c>
      <c r="C54" s="753" t="s">
        <v>255</v>
      </c>
      <c r="D54" s="757" t="s">
        <v>53</v>
      </c>
      <c r="E54" s="844" t="s">
        <v>30</v>
      </c>
      <c r="F54" s="753" t="s">
        <v>53</v>
      </c>
      <c r="G54" s="832" t="s">
        <v>2300</v>
      </c>
      <c r="H54" s="831" t="s">
        <v>1135</v>
      </c>
      <c r="I54" s="803" t="s">
        <v>165</v>
      </c>
      <c r="K54" s="318" t="s">
        <v>3035</v>
      </c>
      <c r="L54" s="502" t="s">
        <v>30</v>
      </c>
      <c r="M54" s="50" t="str">
        <f t="shared" ref="M54" si="686">IFERROR(IFERROR(VLOOKUP(L54,tbl_materiais,COLUMN(head_mat_descricao)-COLUMN(head_mat_item)+1,FALSE),VLOOKUP(L54,tbl_servicos,COLUMN(head_serv_descricao)-COLUMN(head_serv_item)+1,FALSE)),"?")</f>
        <v>Treinamento SAGE.
Local: Dependências da CONTRATANTE.
Duração: 5 dias.
Exclusão: Despesas de viagem dos participantes.</v>
      </c>
      <c r="N54" s="549">
        <v>1</v>
      </c>
      <c r="O54" s="83" t="str">
        <f>IF(CQ54,std_ncm,IF(I54="Serviço","NA",IF(I54="Material",IFERROR(VLOOKUP(L54,tbl_materiais,COLUMN(head_mat_NCM)-COLUMN(head_mat_item)+1,FALSE),"?"),IFERROR(VLOOKUP(I54,tbl_TipoLinha,2,FALSE),"?"))))</f>
        <v>NA</v>
      </c>
      <c r="P54" s="84">
        <f>IF(AND(D54="Não",I54&lt;&gt;"Serviço",CD54="Não"),IFERROR(IF(flag_interestadual,CE54,IF(CF54,CF54,CE54)),"?"),0)</f>
        <v>0</v>
      </c>
      <c r="Q54" s="84">
        <f>IF(AND(D54="Não",I54&lt;&gt;"Serviço"),IF(I54="Material",IFERROR(VLOOKUP(L54,tbl_materiais,COLUMN(head_mat_IPI)-COLUMN(head_mat_item)+1,FALSE),"?"),IFERROR(VLOOKUP(O54,tbl_NCM_info,COLUMN(head_porNCM_IPI)-COLUMN(head_porNCM_NCM)+1,FALSE),"?")),0)</f>
        <v>0</v>
      </c>
      <c r="R54" s="84">
        <f>IF(AND(D54="Não",I54="Serviço"),IFERROR(VLOOKUP(CB54,tbl_ISS,5,FALSE),"?"),0)</f>
        <v>0.03</v>
      </c>
      <c r="S54" s="85">
        <f>IF(D54="Não",IF(reidi="Sim",0,IF(B54="Real",pis_naocum,pis_cum)),0)</f>
        <v>0</v>
      </c>
      <c r="T54" s="86">
        <f>IF(D54="Não",IF(reidi="Sim",0,IF(B54="Real",cofins_naocum,cofins_cum)),0)</f>
        <v>0</v>
      </c>
      <c r="U54" s="754" t="str" cm="1">
        <f t="array" ref="U54">IFERROR(IF(I54&lt;&gt;"Serviço",IF(AND(mlookup(tbl_DIFAL_data,UFdestino,tbl_DIFAL_UF,O54,tbl_DIFAL_NCM)&lt;&gt;"",C54="Consumo"),"Sim",""),""),"?")</f>
        <v/>
      </c>
      <c r="V54" s="755" t="str">
        <f>IFERROR(IF(I54&lt;&gt;"Serviço",IF(AND(D54="Não",mlookup(tbl_ST_data,UFdestino,tbl_ST_UF,O54,tbl_ST_NCM)&lt;&gt;"",C54="Revenda",CD54="Não"),"Sim",""),""),"?")</f>
        <v/>
      </c>
      <c r="W54" s="84">
        <f>IF(OR(U54="Sim",V54="Sim"),CG54,0)</f>
        <v>0</v>
      </c>
      <c r="X54" s="756">
        <f>IF(V54="Sim",mlookup(tbl_ST_data,UFdestino,tbl_ST_UF,O54,tbl_ST_NCM),0)</f>
        <v>0</v>
      </c>
      <c r="Z54" s="757">
        <f>IF(AND(N54&gt;0,CQ54=FALSE),IFERROR(VLOOKUP(L54,tbl_servicos,COLUMN(head_serv_CL)-COLUMN(head_serv_item)+1,FALSE),IF(D54="Sim",0,IF(B54="Real",VLOOKUP(L54,tbl_materiais,COLUMN(head_mat_CLreal)-COLUMN(head_mat_item)+1,FALSE),VLOOKUP(L54,tbl_materiais,COLUMN(head_mat_CLpresumido)-COLUMN(head_mat_item)+1,FALSE)))),0)</f>
        <v>3124</v>
      </c>
      <c r="AA54" s="753">
        <f t="shared" ref="AA54" si="687">Z54*N54</f>
        <v>3124</v>
      </c>
      <c r="AC54" s="758">
        <f t="shared" si="658"/>
        <v>1.31243473968765E-2</v>
      </c>
      <c r="AD54" s="758">
        <f>IF(F54="Sim",0,VLOOKUP(E54,tbl_mb,2,FALSE))</f>
        <v>0.73</v>
      </c>
      <c r="AF54" s="753">
        <f>AI54*AC54</f>
        <v>159.61209578390242</v>
      </c>
      <c r="AG54" s="753">
        <f>AI54*AD54</f>
        <v>8877.9141848972176</v>
      </c>
      <c r="AI54" s="753">
        <f>AA54/(1-AC54-AD54)</f>
        <v>12161.526280681121</v>
      </c>
      <c r="AK54" s="758">
        <f t="shared" si="659"/>
        <v>0</v>
      </c>
      <c r="AL54" s="753">
        <f t="shared" ref="AL54" si="688">AM54*AK54</f>
        <v>0</v>
      </c>
      <c r="AM54" s="753">
        <f t="shared" ref="AM54" si="689">AI54/(1-AK54)</f>
        <v>12161.526280681121</v>
      </c>
      <c r="AO54" s="753" t="b">
        <f>IF(ABS(SUM(AA54,AF54:AG54,AL54)-AM54)&lt;0.01,TRUE,FALSE)</f>
        <v>1</v>
      </c>
      <c r="AQ54" s="759">
        <f>IFERROR(AR54/N54,0)</f>
        <v>12161.526280681121</v>
      </c>
      <c r="AR54" s="759">
        <f t="shared" ref="AR54" si="690">AM54</f>
        <v>12161.526280681121</v>
      </c>
      <c r="AT54" s="759">
        <f>IFERROR(AU54/N54,0)</f>
        <v>12537.655959465073</v>
      </c>
      <c r="AU54" s="759">
        <f>IF(AND(N54&gt;0,CQ54=FALSE),IF(C54="Consumo",AR54*(1+Q54)/(1-P54*(1+Q54)-R54-S54-T54),AR54*(1+Q54)/(1-P54-R54-S54-T54)),0)</f>
        <v>12537.655959465073</v>
      </c>
      <c r="AW54" s="759">
        <f>IF(AU54&gt;0,AU54/(1+Q54),0)</f>
        <v>12537.655959465073</v>
      </c>
      <c r="AX54" s="759">
        <f>IF(AU54&gt;0,IF(C54="Consumo",AW54-AU54*P54,AW54*(1-P54)),0)</f>
        <v>12537.655959465073</v>
      </c>
      <c r="AY54" s="759">
        <f>AX54-AW54*R54</f>
        <v>12161.526280681121</v>
      </c>
      <c r="AZ54" s="759">
        <f>AY54-AW54*(S54+T54)</f>
        <v>12161.526280681121</v>
      </c>
      <c r="BB54" s="753">
        <f>IF(AW54&gt;0,AW54*Q54,0)</f>
        <v>0</v>
      </c>
      <c r="BC54" s="753">
        <f>IF(AW54&gt;0,IF(C54="Consumo",AU54*P54,AW54*P54),0)</f>
        <v>0</v>
      </c>
      <c r="BD54" s="753">
        <f>AW54*R54</f>
        <v>376.12967878395222</v>
      </c>
      <c r="BE54" s="753">
        <f>AW54*S54</f>
        <v>0</v>
      </c>
      <c r="BF54" s="753">
        <f>AW54*T54</f>
        <v>0</v>
      </c>
      <c r="BH54" s="760">
        <f>W54</f>
        <v>0</v>
      </c>
      <c r="BJ54" s="761">
        <f>IF(AND(U54&lt;&gt;"",C54="Consumo"),BH54-P54,0)</f>
        <v>0</v>
      </c>
      <c r="BK54" s="753">
        <f>BJ54*AU54</f>
        <v>0</v>
      </c>
      <c r="BL54" s="753">
        <f>AU54+BK54</f>
        <v>12537.655959465073</v>
      </c>
      <c r="BN54" s="758">
        <f>X54</f>
        <v>0</v>
      </c>
      <c r="BO54" s="753">
        <f>AU54*(1+BN54)</f>
        <v>12537.655959465073</v>
      </c>
      <c r="BP54" s="753">
        <f>IF(AND(V54&lt;&gt;"",C54="Revenda"),BO54*BH54-BC54,0)</f>
        <v>0</v>
      </c>
      <c r="BQ54" s="753">
        <f>AU54+BP54</f>
        <v>12537.655959465073</v>
      </c>
      <c r="BS54" s="759">
        <f>AU54-SUM(BB54:BF54)</f>
        <v>12161.526280681121</v>
      </c>
      <c r="BT54" s="753">
        <f>AR54+SUM(BB54:BF54)</f>
        <v>12537.655959465073</v>
      </c>
      <c r="BU54" s="753" t="b">
        <f t="shared" ref="BU54" si="691">IF(ABS(BT54-BS54-SUM(BB54:BF54))&lt;0.01,TRUE,FALSE)</f>
        <v>1</v>
      </c>
      <c r="BW54" s="757" t="str">
        <f>IF(AND(N54&gt;0,CQ54=FALSE),IF(D54="Sim","Fat. Direto",VLOOKUP(CB54,tbl_IRPJaux,2,FALSE)),"")</f>
        <v>Serviço</v>
      </c>
      <c r="BX54" s="753">
        <f>IF(AND(BW54&lt;&gt;"NA",D54="Não"),MAX(BL54,BQ54),0)</f>
        <v>12537.655959465073</v>
      </c>
      <c r="BY54" s="752">
        <f t="shared" ref="BY54" si="692">IF(BX54&gt;0,VLOOKUP(CB54,tbl_IRPJaux,3,FALSE),0)</f>
        <v>1</v>
      </c>
      <c r="BZ54" s="757">
        <f>IF(BX54&gt;0,AA54*BY54+AG54*recuperavel_MB_ir_real+AF54*recuperavel_coberturas_ir_real+SUM(BB54:BF54,BK54,BP54),0)</f>
        <v>3659.7417745678549</v>
      </c>
      <c r="CA54" s="757"/>
      <c r="CB54" s="757" t="str">
        <f>IFERROR(VLOOKUP(L54,tbl_materiais,COLUMN(head_mat_WBS)-COLUMN(head_mat_item)+1,FALSE),IFERROR(VLOOKUP(L54,tbl_servicos,COLUMN(head_serv_WBS)-COLUMN(head_serv_item)+1,FALSE),"?"))</f>
        <v>Treinamento</v>
      </c>
      <c r="CD54" s="753" t="str">
        <f>IFERROR(VLOOKUP(L54,tbl_materiais,COLUMN(head_mat_st)-COLUMN(head_mat_item)+1,FALSE),"Não")</f>
        <v>Não</v>
      </c>
      <c r="CE54" s="760">
        <f>ifzero(mlookup(tbl_ICMSinterest_data,UFdestino,tbl_ICMSinterest_ufdest,UForigem,tbl_ICMSinterest_uforig))</f>
        <v>0.12</v>
      </c>
      <c r="CF54" s="760" t="str">
        <f>IF(N54&gt;0,IF(I54&lt;&gt;"Serviço",ifzero(mlookup(tbl_ICMSinterno_data,UForigem,tbl_ICMSinterno_UF,O54,tbl_ICMSinterno_NCM),mlookup(tbl_ICMSinterest_data,UForigem,tbl_ICMSinterest_ufdest,UForigem,tbl_ICMSinterest_uforig)),""),0)</f>
        <v/>
      </c>
      <c r="CG54" s="760" t="str">
        <f>IF(N54&gt;0,IF(I54&lt;&gt;"Serviço",ifzero(mlookup(tbl_ICMSinterno_data,UFdestino,tbl_ICMSinterno_UF,O54,tbl_ICMSinterno_NCM),mlookup(tbl_ICMSinterest_data,UFdestino,tbl_ICMSinterest_ufdest,UFdestino,tbl_ICMSinterest_uforig)),""),0)</f>
        <v/>
      </c>
      <c r="CI54" s="753">
        <f>IFERROR(IF(AND(I54&lt;&gt;"Serviço",D54="Não"),N54*VLOOKUP(L54,tbl_materiais,COLUMN(head_mat_credito_ICMS)-COLUMN(head_mat_item)+1,FALSE),0),0)</f>
        <v>0</v>
      </c>
      <c r="CJ54" s="753">
        <f>IFERROR(IF(AND(I54&lt;&gt;"Serviço",D54="Não"),N54*VLOOKUP(L54,tbl_materiais,COLUMN(head_mat_credito_IPI)-COLUMN(head_mat_item)+1,FALSE),0),0)</f>
        <v>0</v>
      </c>
      <c r="CK54" s="753">
        <f>IFERROR(IF(AND(I54&lt;&gt;"Serviço",D54="Não",B54="Real"),N54*VLOOKUP(L54,tbl_materiais,COLUMN(head_mat_credito_PIS)-COLUMN(head_mat_item)+1,FALSE),0),0)</f>
        <v>0</v>
      </c>
      <c r="CL54" s="753">
        <f>IFERROR(IF(AND(I54&lt;&gt;"Serviço",D54="Não",B54="Real"),N54*VLOOKUP(L54,tbl_materiais,COLUMN(head_mat_credito_COFINS)-COLUMN(head_mat_item)+1,FALSE),0),0)</f>
        <v>0</v>
      </c>
      <c r="CN54" s="762">
        <f>IFERROR(SUMIF(serv_col_item,"="&amp;L54,serv_col_totalhh),0)</f>
        <v>44</v>
      </c>
      <c r="CO54" s="753">
        <f>IFERROR(SUMIF(serv_col_item,"="&amp;L54,serv_col_gdv),0)</f>
        <v>3250</v>
      </c>
      <c r="CQ54" s="753" t="b">
        <f>IF(N54&gt;0,IF(ISERROR(HLOOKUP(L54,std_tbl4,1,FALSE)),FALSE,TRUE),FALSE)</f>
        <v>0</v>
      </c>
      <c r="CR54" s="753" t="b">
        <f>IF(AND(CQ54,I54&lt;&gt;std_tiponcm),FALSE,TRUE)</f>
        <v>1</v>
      </c>
      <c r="CS54" s="753" t="b">
        <f>IF(AND(CQ54,D54="Sim"),TRUE,FALSE)</f>
        <v>0</v>
      </c>
      <c r="CU54" s="753">
        <f>IF(D54="Sim",VLOOKUP(L54,tbl_materiais,COLUMN(head_mat_fatdir)-COLUMN(head_mat_item)+1,FALSE),0)</f>
        <v>0</v>
      </c>
      <c r="CV54" s="757">
        <f>CU54*N54</f>
        <v>0</v>
      </c>
      <c r="CW54" s="757">
        <f t="shared" ref="CW54" si="693">CX54*(1-CY54-DA54-DE54-DG54)/(1+DC54)</f>
        <v>0</v>
      </c>
      <c r="CX54" s="757">
        <f>CV54/(1-AK54)</f>
        <v>0</v>
      </c>
      <c r="CY54" s="763">
        <f>IF(D54="Sim",VLOOKUP(L54,tbl_materiais,COLUMN(head_mat_ICMS_input)-COLUMN(head_mat_item)+1,FALSE),0)</f>
        <v>0</v>
      </c>
      <c r="CZ54" s="757">
        <f t="shared" ref="CZ54" si="694">CX54*CY54</f>
        <v>0</v>
      </c>
      <c r="DA54" s="763">
        <f>IF(D54="Sim",VLOOKUP(L54,tbl_materiais,COLUMN(head_mat_ISS_input)-COLUMN(head_mat_item)+1,FALSE),0)</f>
        <v>0</v>
      </c>
      <c r="DB54" s="757">
        <f t="shared" ref="DB54" si="695">CX54*DA54</f>
        <v>0</v>
      </c>
      <c r="DC54" s="763">
        <f>IF(D54="Sim",VLOOKUP(L54,tbl_materiais,COLUMN(head_mat_IPI_input)-COLUMN(head_mat_item)+1,FALSE),0)</f>
        <v>0</v>
      </c>
      <c r="DD54" s="757">
        <f t="shared" ref="DD54" si="696">CX54*DC54/(1+DC54)</f>
        <v>0</v>
      </c>
      <c r="DE54" s="764">
        <f>IF(D54="Sim",HLOOKUP($DH$5,Parametrização!$G$2:$H$4,2,FALSE),0)</f>
        <v>0</v>
      </c>
      <c r="DF54" s="757">
        <f t="shared" ref="DF54" si="697">(CX54-DD54)*DE54</f>
        <v>0</v>
      </c>
      <c r="DG54" s="764">
        <f>IF(D54="Sim",HLOOKUP($DH$5,Parametrização!$G$2:$H$4,3,FALSE),0)</f>
        <v>0</v>
      </c>
      <c r="DH54" s="757">
        <f t="shared" ref="DH54" si="698">(CX54-DD54)*DG54</f>
        <v>0</v>
      </c>
      <c r="DI54" s="757">
        <f t="shared" ref="DI54" si="699">CX54-CZ54-DD54-DF54-DH54</f>
        <v>0</v>
      </c>
      <c r="DK54" s="760" t="str">
        <f>IF(AND(I54&lt;&gt;"Serviço",Z54&gt;0),P54,"NA")</f>
        <v>NA</v>
      </c>
      <c r="DL54" s="753">
        <f>IF(AND(I54="Serviço",Z54&gt;0),R54,"NA")</f>
        <v>0.03</v>
      </c>
      <c r="DM54" s="760" t="str">
        <f>IF(AND(I54&lt;&gt;"Serviço",Z54&gt;0),Q54,"NA")</f>
        <v>NA</v>
      </c>
      <c r="DN54" s="765">
        <f>IF(Z54&gt;0,S54,"NA")</f>
        <v>0</v>
      </c>
      <c r="DO54" s="766">
        <f>IF(Z54&gt;0,T54,"NA")</f>
        <v>0</v>
      </c>
      <c r="DP54" s="766"/>
      <c r="DQ54" s="760" t="str">
        <f>IF(AND(I54&lt;&gt;"Serviço",CU54&gt;0),CY54,"NA")</f>
        <v>NA</v>
      </c>
      <c r="DR54" s="753" t="str">
        <f>IF(AND(I54="Serviço",CU54&gt;0),DA54,"NA")</f>
        <v>NA</v>
      </c>
      <c r="DS54" s="760" t="str">
        <f>IF(AND(I54&lt;&gt;"Serviço",CU54&gt;0),DC54,"NA")</f>
        <v>NA</v>
      </c>
      <c r="DT54" s="765" t="str">
        <f>IF(CU54&gt;0,DE54,"NA")</f>
        <v>NA</v>
      </c>
      <c r="DU54" s="766" t="str">
        <f>IF(CU54&gt;0,DG54,"NA")</f>
        <v>NA</v>
      </c>
      <c r="DV54" s="766"/>
      <c r="DW54" s="753">
        <f>IF(CQ54,N54*HLOOKUP(L54,std_tbl6,ROW(std_PL_real)-ROW(row_std_head)+1,FALSE),AA54)</f>
        <v>3124</v>
      </c>
      <c r="DX54" s="753">
        <f>IF(CQ54,DW54/(1-AC54-AD54)/(1-AK54),AM54)</f>
        <v>12161.526280681121</v>
      </c>
      <c r="DY54" s="753">
        <f>IF(CQ54,IF(C54="Industrialização",DX54/(1-P54-S54-T54)*(1+Q54),DX54/(1-P54*(1+Q54)-S54-T54)*(1+Q54)),AU54)</f>
        <v>12537.655959465073</v>
      </c>
      <c r="DZ54" s="766"/>
      <c r="EA54" s="767"/>
    </row>
    <row r="55" spans="1:131" s="91" customFormat="1" ht="22.65" customHeight="1" outlineLevel="1" x14ac:dyDescent="0.25">
      <c r="A55" s="92"/>
      <c r="B55" s="91" t="s">
        <v>268</v>
      </c>
      <c r="C55" s="91" t="s">
        <v>255</v>
      </c>
      <c r="D55" s="757" t="s">
        <v>53</v>
      </c>
      <c r="E55" s="92" t="s">
        <v>29</v>
      </c>
      <c r="F55" s="2" t="s">
        <v>53</v>
      </c>
      <c r="G55" s="781" t="s">
        <v>695</v>
      </c>
      <c r="H55" s="255" t="s">
        <v>2794</v>
      </c>
      <c r="I55" s="777" t="s">
        <v>165</v>
      </c>
      <c r="K55" s="320" t="s">
        <v>3036</v>
      </c>
      <c r="L55" s="523" t="s">
        <v>29</v>
      </c>
      <c r="M55" s="93" t="str">
        <f t="shared" ref="M55:M60" si="700">IFERROR(IFERROR(VLOOKUP(L55,tbl_materiais,COLUMN(head_mat_descricao)-COLUMN(head_mat_item)+1,FALSE),VLOOKUP(L55,tbl_servicos,COLUMN(head_serv_descricao)-COLUMN(head_serv_item)+1,FALSE)),"?")</f>
        <v>Gastos de viagem.</v>
      </c>
      <c r="N55" s="609">
        <v>1</v>
      </c>
      <c r="O55" s="95" t="str">
        <f t="shared" ref="O55:O56" si="701">IF(CQ55,std_ncm,IF(I55="Serviço","NA",IF(I55="Material",IFERROR(VLOOKUP(L55,tbl_materiais,COLUMN(head_mat_NCM)-COLUMN(head_mat_item)+1,FALSE),"?"),IFERROR(VLOOKUP(I55,tbl_TipoLinha,2,FALSE),"?"))))</f>
        <v>NA</v>
      </c>
      <c r="P55" s="96">
        <f t="shared" ref="P55:P56" si="702">IF(AND(D55="Não",I55&lt;&gt;"Serviço",CD55="Não"),IFERROR(IF(flag_interestadual,CE55,IF(CF55,CF55,CE55)),"?"),0)</f>
        <v>0</v>
      </c>
      <c r="Q55" s="96">
        <f t="shared" ref="Q55:Q56" si="703">IF(AND(D55="Não",I55&lt;&gt;"Serviço"),IF(I55="Material",IFERROR(VLOOKUP(L55,tbl_materiais,COLUMN(head_mat_IPI)-COLUMN(head_mat_item)+1,FALSE),"?"),IFERROR(VLOOKUP(O55,tbl_NCM_info,COLUMN(head_porNCM_IPI)-COLUMN(head_porNCM_NCM)+1,FALSE),"?")),0)</f>
        <v>0</v>
      </c>
      <c r="R55" s="96">
        <f t="shared" ref="R55:R56" si="704">IF(AND(D55="Não",I55="Serviço"),IFERROR(VLOOKUP(CB55,tbl_ISS,5,FALSE),"?"),0)</f>
        <v>0.03</v>
      </c>
      <c r="S55" s="97">
        <f t="shared" ref="S55:S56" si="705">IF(D55="Não",IF(reidi="Sim",0,IF(B55="Real",pis_naocum,pis_cum)),0)</f>
        <v>0</v>
      </c>
      <c r="T55" s="98">
        <f t="shared" ref="T55:T56" si="706">IF(D55="Não",IF(reidi="Sim",0,IF(B55="Real",cofins_naocum,cofins_cum)),0)</f>
        <v>0</v>
      </c>
      <c r="U55" s="53" t="str" cm="1">
        <f t="array" ref="U55">IFERROR(IF(I55&lt;&gt;"Serviço",IF(AND(mlookup(tbl_DIFAL_data,UFdestino,tbl_DIFAL_UF,O55,tbl_DIFAL_NCM)&lt;&gt;"",C55="Consumo"),"Sim",""),""),"?")</f>
        <v/>
      </c>
      <c r="V55" s="99" t="str">
        <f>IFERROR(IF(I55&lt;&gt;"Serviço",IF(AND(D55="Não",mlookup(tbl_ST_data,UFdestino,tbl_ST_UF,O55,tbl_ST_NCM)&lt;&gt;"",C55="Revenda",CD55="Não"),"Sim",""),""),"?")</f>
        <v/>
      </c>
      <c r="W55" s="96">
        <f t="shared" ref="W55:W56" si="707">IF(OR(U55="Sim",V55="Sim"),CG55,0)</f>
        <v>0</v>
      </c>
      <c r="X55" s="100">
        <f>IF(V55="Sim",mlookup(tbl_ST_data,UFdestino,tbl_ST_UF,O55,tbl_ST_NCM),0)</f>
        <v>0</v>
      </c>
      <c r="Z55" s="516">
        <f>IF(AND(N55&gt;0,CQ55=FALSE),IFERROR(VLOOKUP(L55,tbl_servicos,COLUMN(head_serv_CL)-COLUMN(head_serv_item)+1,FALSE),IF(D55="Sim",0,IF(B55="Real",VLOOKUP(L55,tbl_materiais,COLUMN(head_mat_CLreal)-COLUMN(head_mat_item)+1,FALSE),VLOOKUP(L55,tbl_materiais,COLUMN(head_mat_CLpresumido)-COLUMN(head_mat_item)+1,FALSE)))),0)</f>
        <v>32650</v>
      </c>
      <c r="AA55" s="91">
        <f t="shared" ref="AA55:AA60" si="708">Z55*N55</f>
        <v>32650</v>
      </c>
      <c r="AC55" s="517">
        <f t="shared" si="658"/>
        <v>1.31243473968765E-2</v>
      </c>
      <c r="AD55" s="517">
        <f t="shared" ref="AD55:AD56" si="709">IF(F55="Sim",0,VLOOKUP(E55,tbl_mb,2,FALSE))</f>
        <v>0.4</v>
      </c>
      <c r="AF55" s="91">
        <f t="shared" ref="AF55:AF56" si="710">AI55*AC55</f>
        <v>730.15457466557905</v>
      </c>
      <c r="AG55" s="91">
        <f t="shared" ref="AG55:AG56" si="711">AI55*AD55</f>
        <v>22253.436383110387</v>
      </c>
      <c r="AI55" s="91">
        <f t="shared" ref="AI55:AI56" si="712">AA55/(1-AC55-AD55)</f>
        <v>55633.590957775967</v>
      </c>
      <c r="AK55" s="517">
        <f t="shared" si="659"/>
        <v>0</v>
      </c>
      <c r="AL55" s="91">
        <f t="shared" ref="AL55:AL60" si="713">AM55*AK55</f>
        <v>0</v>
      </c>
      <c r="AM55" s="91">
        <f t="shared" ref="AM55:AM60" si="714">AI55/(1-AK55)</f>
        <v>55633.590957775967</v>
      </c>
      <c r="AO55" s="91" t="b">
        <f t="shared" ref="AO55:AO56" si="715">IF(ABS(SUM(AA55,AF55:AG55,AL55)-AM55)&lt;0.01,TRUE,FALSE)</f>
        <v>1</v>
      </c>
      <c r="AQ55" s="518">
        <f t="shared" ref="AQ55:AQ56" si="716">IFERROR(AR55/N55,0)</f>
        <v>55633.590957775967</v>
      </c>
      <c r="AR55" s="518">
        <f t="shared" ref="AR55:AR60" si="717">AM55</f>
        <v>55633.590957775967</v>
      </c>
      <c r="AT55" s="518">
        <f t="shared" ref="AT55:AT56" si="718">IFERROR(AU55/N55,0)</f>
        <v>57354.217482243264</v>
      </c>
      <c r="AU55" s="518">
        <f t="shared" ref="AU55:AU56" si="719">IF(AND(N55&gt;0,CQ55=FALSE),IF(C55="Consumo",AR55*(1+Q55)/(1-P55*(1+Q55)-R55-S55-T55),AR55*(1+Q55)/(1-P55-R55-S55-T55)),0)</f>
        <v>57354.217482243264</v>
      </c>
      <c r="AW55" s="518">
        <f t="shared" ref="AW55:AW56" si="720">IF(AU55&gt;0,AU55/(1+Q55),0)</f>
        <v>57354.217482243264</v>
      </c>
      <c r="AX55" s="518">
        <f t="shared" ref="AX55:AX56" si="721">IF(AU55&gt;0,IF(C55="Consumo",AW55-AU55*P55,AW55*(1-P55)),0)</f>
        <v>57354.217482243264</v>
      </c>
      <c r="AY55" s="518">
        <f t="shared" ref="AY55:AY56" si="722">AX55-AW55*R55</f>
        <v>55633.590957775967</v>
      </c>
      <c r="AZ55" s="518">
        <f t="shared" ref="AZ55:AZ56" si="723">AY55-AW55*(S55+T55)</f>
        <v>55633.590957775967</v>
      </c>
      <c r="BB55" s="91">
        <f t="shared" ref="BB55:BB56" si="724">IF(AW55&gt;0,AW55*Q55,0)</f>
        <v>0</v>
      </c>
      <c r="BC55" s="91">
        <f t="shared" ref="BC55:BC56" si="725">IF(AW55&gt;0,IF(C55="Consumo",AU55*P55,AW55*P55),0)</f>
        <v>0</v>
      </c>
      <c r="BD55" s="91">
        <f t="shared" ref="BD55:BD56" si="726">AW55*R55</f>
        <v>1720.6265244672979</v>
      </c>
      <c r="BE55" s="91">
        <f t="shared" ref="BE55:BE56" si="727">AW55*S55</f>
        <v>0</v>
      </c>
      <c r="BF55" s="91">
        <f t="shared" ref="BF55:BF56" si="728">AW55*T55</f>
        <v>0</v>
      </c>
      <c r="BH55" s="519">
        <f t="shared" ref="BH55:BH56" si="729">W55</f>
        <v>0</v>
      </c>
      <c r="BJ55" s="520">
        <f t="shared" ref="BJ55:BJ56" si="730">IF(AND(U55&lt;&gt;"",C55="Consumo"),BH55-P55,0)</f>
        <v>0</v>
      </c>
      <c r="BK55" s="91">
        <f t="shared" ref="BK55:BK56" si="731">BJ55*AU55</f>
        <v>0</v>
      </c>
      <c r="BL55" s="91">
        <f t="shared" ref="BL55:BL56" si="732">AU55+BK55</f>
        <v>57354.217482243264</v>
      </c>
      <c r="BN55" s="517">
        <f t="shared" ref="BN55:BN56" si="733">X55</f>
        <v>0</v>
      </c>
      <c r="BO55" s="91">
        <f t="shared" ref="BO55:BO56" si="734">AU55*(1+BN55)</f>
        <v>57354.217482243264</v>
      </c>
      <c r="BP55" s="91">
        <f t="shared" ref="BP55:BP56" si="735">IF(AND(V55&lt;&gt;"",C55="Revenda"),BO55*BH55-BC55,0)</f>
        <v>0</v>
      </c>
      <c r="BQ55" s="91">
        <f t="shared" ref="BQ55:BQ56" si="736">AU55+BP55</f>
        <v>57354.217482243264</v>
      </c>
      <c r="BS55" s="518">
        <f t="shared" ref="BS55:BS56" si="737">AU55-SUM(BB55:BF55)</f>
        <v>55633.590957775967</v>
      </c>
      <c r="BT55" s="91">
        <f t="shared" ref="BT55:BT56" si="738">AR55+SUM(BB55:BF55)</f>
        <v>57354.217482243264</v>
      </c>
      <c r="BU55" s="91" t="b">
        <f t="shared" ref="BU55:BU60" si="739">IF(ABS(BT55-BS55-SUM(BB55:BF55))&lt;0.01,TRUE,FALSE)</f>
        <v>1</v>
      </c>
      <c r="BW55" s="516" t="str">
        <f t="shared" ref="BW55:BW56" si="740">IF(AND(N55&gt;0,CQ55=FALSE),IF(D55="Sim","Fat. Direto",VLOOKUP(CB55,tbl_IRPJaux,2,FALSE)),"")</f>
        <v>Serviço</v>
      </c>
      <c r="BX55" s="91">
        <f t="shared" ref="BX55:BX56" si="741">IF(AND(BW55&lt;&gt;"NA",D55="Não"),MAX(BL55,BQ55),0)</f>
        <v>57354.217482243264</v>
      </c>
      <c r="BY55" s="92">
        <f t="shared" ref="BY55:BY60" si="742">IF(BX55&gt;0,VLOOKUP(CB55,tbl_IRPJaux,3,FALSE),0)</f>
        <v>1</v>
      </c>
      <c r="BZ55" s="516">
        <f t="shared" ref="BZ55:BZ56" si="743">IF(BX55&gt;0,AA55*BY55+AG55*recuperavel_MB_ir_real+AF55*recuperavel_coberturas_ir_real+SUM(BB55:BF55,BK55,BP55),0)</f>
        <v>35100.781099132873</v>
      </c>
      <c r="CA55" s="516"/>
      <c r="CB55" s="516" t="str">
        <f t="shared" ref="CB55:CB56" si="744">IFERROR(VLOOKUP(L55,tbl_materiais,COLUMN(head_mat_WBS)-COLUMN(head_mat_item)+1,FALSE),IFERROR(VLOOKUP(L55,tbl_servicos,COLUMN(head_serv_WBS)-COLUMN(head_serv_item)+1,FALSE),"?"))</f>
        <v>GdV</v>
      </c>
      <c r="CD55" s="91" t="str">
        <f t="shared" ref="CD55:CD56" si="745">IFERROR(VLOOKUP(L55,tbl_materiais,COLUMN(head_mat_st)-COLUMN(head_mat_item)+1,FALSE),"Não")</f>
        <v>Não</v>
      </c>
      <c r="CE55" s="519">
        <f>ifzero(mlookup(tbl_ICMSinterest_data,UFdestino,tbl_ICMSinterest_ufdest,UForigem,tbl_ICMSinterest_uforig))</f>
        <v>0.12</v>
      </c>
      <c r="CF55" s="519" t="str">
        <f>IF(N55&gt;0,IF(I55&lt;&gt;"Serviço",ifzero(mlookup(tbl_ICMSinterno_data,UForigem,tbl_ICMSinterno_UF,O55,tbl_ICMSinterno_NCM),mlookup(tbl_ICMSinterest_data,UForigem,tbl_ICMSinterest_ufdest,UForigem,tbl_ICMSinterest_uforig)),""),0)</f>
        <v/>
      </c>
      <c r="CG55" s="519" t="str">
        <f>IF(N55&gt;0,IF(I55&lt;&gt;"Serviço",ifzero(mlookup(tbl_ICMSinterno_data,UFdestino,tbl_ICMSinterno_UF,O55,tbl_ICMSinterno_NCM),mlookup(tbl_ICMSinterest_data,UFdestino,tbl_ICMSinterest_ufdest,UFdestino,tbl_ICMSinterest_uforig)),""),0)</f>
        <v/>
      </c>
      <c r="CI55" s="91">
        <f t="shared" ref="CI55:CI56" si="746">IFERROR(IF(AND(I55&lt;&gt;"Serviço",D55="Não"),N55*VLOOKUP(L55,tbl_materiais,COLUMN(head_mat_credito_ICMS)-COLUMN(head_mat_item)+1,FALSE),0),0)</f>
        <v>0</v>
      </c>
      <c r="CJ55" s="91">
        <f t="shared" ref="CJ55:CJ56" si="747">IFERROR(IF(AND(I55&lt;&gt;"Serviço",D55="Não"),N55*VLOOKUP(L55,tbl_materiais,COLUMN(head_mat_credito_IPI)-COLUMN(head_mat_item)+1,FALSE),0),0)</f>
        <v>0</v>
      </c>
      <c r="CK55" s="91">
        <f t="shared" ref="CK55:CK56" si="748">IFERROR(IF(AND(I55&lt;&gt;"Serviço",D55="Não",B55="Real"),N55*VLOOKUP(L55,tbl_materiais,COLUMN(head_mat_credito_PIS)-COLUMN(head_mat_item)+1,FALSE),0),0)</f>
        <v>0</v>
      </c>
      <c r="CL55" s="91">
        <f t="shared" ref="CL55:CL56" si="749">IFERROR(IF(AND(I55&lt;&gt;"Serviço",D55="Não",B55="Real"),N55*VLOOKUP(L55,tbl_materiais,COLUMN(head_mat_credito_COFINS)-COLUMN(head_mat_item)+1,FALSE),0),0)</f>
        <v>0</v>
      </c>
      <c r="CN55" s="521">
        <f t="shared" ref="CN55:CN56" si="750">IFERROR(SUMIF(serv_col_item,"="&amp;L55,serv_col_totalhh),0)</f>
        <v>0</v>
      </c>
      <c r="CO55" s="91">
        <f t="shared" ref="CO55:CO56" si="751">IFERROR(SUMIF(serv_col_item,"="&amp;L55,serv_col_gdv),0)</f>
        <v>0</v>
      </c>
      <c r="CQ55" s="91" t="b">
        <f t="shared" ref="CQ55:CQ56" si="752">IF(N55&gt;0,IF(ISERROR(HLOOKUP(L55,std_tbl4,1,FALSE)),FALSE,TRUE),FALSE)</f>
        <v>0</v>
      </c>
      <c r="CR55" s="91" t="b">
        <f t="shared" ref="CR55:CR56" si="753">IF(AND(CQ55,I55&lt;&gt;std_tiponcm),FALSE,TRUE)</f>
        <v>1</v>
      </c>
      <c r="CS55" s="91" t="b">
        <f t="shared" ref="CS55:CS56" si="754">IF(AND(CQ55,D55="Sim"),TRUE,FALSE)</f>
        <v>0</v>
      </c>
      <c r="CU55" s="91">
        <f t="shared" ref="CU55:CU56" si="755">IF(D55="Sim",VLOOKUP(L55,tbl_materiais,COLUMN(head_mat_fatdir)-COLUMN(head_mat_item)+1,FALSE),0)</f>
        <v>0</v>
      </c>
      <c r="CV55" s="516">
        <f t="shared" ref="CV55:CV56" si="756">CU55*N55</f>
        <v>0</v>
      </c>
      <c r="CW55" s="102">
        <f t="shared" ref="CW55:CW60" si="757">CX55*(1-CY55-DA55-DE55-DG55)/(1+DC55)</f>
        <v>0</v>
      </c>
      <c r="CX55" s="516">
        <f t="shared" ref="CX55:CX56" si="758">CV55/(1-AK55)</f>
        <v>0</v>
      </c>
      <c r="CY55" s="610">
        <f t="shared" ref="CY55:CY56" si="759">IF(D55="Sim",VLOOKUP(L55,tbl_materiais,COLUMN(head_mat_ICMS_input)-COLUMN(head_mat_item)+1,FALSE),0)</f>
        <v>0</v>
      </c>
      <c r="CZ55" s="516">
        <f t="shared" ref="CZ55:CZ60" si="760">CX55*CY55</f>
        <v>0</v>
      </c>
      <c r="DA55" s="610">
        <f t="shared" ref="DA55:DA56" si="761">IF(D55="Sim",VLOOKUP(L55,tbl_materiais,COLUMN(head_mat_ISS_input)-COLUMN(head_mat_item)+1,FALSE),0)</f>
        <v>0</v>
      </c>
      <c r="DB55" s="516">
        <f t="shared" ref="DB55:DB60" si="762">CX55*DA55</f>
        <v>0</v>
      </c>
      <c r="DC55" s="610">
        <f t="shared" ref="DC55:DC56" si="763">IF(D55="Sim",VLOOKUP(L55,tbl_materiais,COLUMN(head_mat_IPI_input)-COLUMN(head_mat_item)+1,FALSE),0)</f>
        <v>0</v>
      </c>
      <c r="DD55" s="516">
        <f t="shared" ref="DD55:DD60" si="764">CX55*DC55/(1+DC55)</f>
        <v>0</v>
      </c>
      <c r="DE55" s="611">
        <f>IF(D55="Sim",HLOOKUP($DH$5,Parametrização!$G$2:$H$4,2,FALSE),0)</f>
        <v>0</v>
      </c>
      <c r="DF55" s="516">
        <f t="shared" ref="DF55:DF60" si="765">(CX55-DD55)*DE55</f>
        <v>0</v>
      </c>
      <c r="DG55" s="611">
        <f>IF(D55="Sim",HLOOKUP($DH$5,Parametrização!$G$2:$H$4,3,FALSE),0)</f>
        <v>0</v>
      </c>
      <c r="DH55" s="516">
        <f t="shared" ref="DH55:DH60" si="766">(CX55-DD55)*DG55</f>
        <v>0</v>
      </c>
      <c r="DI55" s="516">
        <f t="shared" ref="DI55:DI60" si="767">CX55-CZ55-DD55-DF55-DH55</f>
        <v>0</v>
      </c>
      <c r="DK55" s="3" t="str">
        <f t="shared" ref="DK55:DK56" si="768">IF(AND(I55&lt;&gt;"Serviço",Z55&gt;0),P55,"NA")</f>
        <v>NA</v>
      </c>
      <c r="DL55" s="2">
        <f t="shared" ref="DL55:DL56" si="769">IF(AND(I55="Serviço",Z55&gt;0),R55,"NA")</f>
        <v>0.03</v>
      </c>
      <c r="DM55" s="3" t="str">
        <f t="shared" ref="DM55:DM56" si="770">IF(AND(I55&lt;&gt;"Serviço",Z55&gt;0),Q55,"NA")</f>
        <v>NA</v>
      </c>
      <c r="DN55" s="9">
        <f t="shared" ref="DN55:DN56" si="771">IF(Z55&gt;0,S55,"NA")</f>
        <v>0</v>
      </c>
      <c r="DO55" s="637">
        <f t="shared" ref="DO55:DO56" si="772">IF(Z55&gt;0,T55,"NA")</f>
        <v>0</v>
      </c>
      <c r="DP55" s="637"/>
      <c r="DQ55" s="3" t="str">
        <f t="shared" ref="DQ55:DQ56" si="773">IF(AND(I55&lt;&gt;"Serviço",CU55&gt;0),CY55,"NA")</f>
        <v>NA</v>
      </c>
      <c r="DR55" s="2" t="str">
        <f t="shared" ref="DR55:DR56" si="774">IF(AND(I55="Serviço",CU55&gt;0),DA55,"NA")</f>
        <v>NA</v>
      </c>
      <c r="DS55" s="3" t="str">
        <f t="shared" ref="DS55:DS56" si="775">IF(AND(I55&lt;&gt;"Serviço",CU55&gt;0),DC55,"NA")</f>
        <v>NA</v>
      </c>
      <c r="DT55" s="9" t="str">
        <f t="shared" ref="DT55:DT56" si="776">IF(CU55&gt;0,DE55,"NA")</f>
        <v>NA</v>
      </c>
      <c r="DU55" s="637" t="str">
        <f t="shared" ref="DU55:DU56" si="777">IF(CU55&gt;0,DG55,"NA")</f>
        <v>NA</v>
      </c>
      <c r="DV55" s="637"/>
      <c r="DW55" s="2">
        <f t="shared" ref="DW55:DW56" si="778">IF(CQ55,N55*HLOOKUP(L55,std_tbl6,ROW(std_PL_real)-ROW(row_std_head)+1,FALSE),AA55)</f>
        <v>32650</v>
      </c>
      <c r="DX55" s="2">
        <f t="shared" ref="DX55:DX56" si="779">IF(CQ55,DW55/(1-AC55-AD55)/(1-AK55),AM55)</f>
        <v>55633.590957775967</v>
      </c>
      <c r="DY55" s="2">
        <f t="shared" ref="DY55:DY56" si="780">IF(CQ55,IF(C55="Industrialização",DX55/(1-P55-S55-T55)*(1+Q55),DX55/(1-P55*(1+Q55)-S55-T55)*(1+Q55)),AU55)</f>
        <v>57354.217482243264</v>
      </c>
      <c r="DZ55" s="637"/>
      <c r="EA55" s="643"/>
    </row>
    <row r="56" spans="1:131" s="91" customFormat="1" ht="22.65" customHeight="1" outlineLevel="1" x14ac:dyDescent="0.25">
      <c r="A56" s="92"/>
      <c r="B56" s="91" t="s">
        <v>268</v>
      </c>
      <c r="C56" s="91" t="s">
        <v>255</v>
      </c>
      <c r="D56" s="757" t="s">
        <v>53</v>
      </c>
      <c r="E56" s="778" t="s">
        <v>1017</v>
      </c>
      <c r="F56" s="2" t="s">
        <v>53</v>
      </c>
      <c r="G56" s="781" t="s">
        <v>695</v>
      </c>
      <c r="H56" s="255" t="s">
        <v>2794</v>
      </c>
      <c r="I56" s="777" t="s">
        <v>165</v>
      </c>
      <c r="K56" s="320" t="s">
        <v>3037</v>
      </c>
      <c r="L56" s="523" t="s">
        <v>1119</v>
      </c>
      <c r="M56" s="93" t="str">
        <f t="shared" si="700"/>
        <v>Testes em fábrica, sem a presença do cliente.</v>
      </c>
      <c r="N56" s="609">
        <v>1</v>
      </c>
      <c r="O56" s="95" t="str">
        <f t="shared" si="701"/>
        <v>NA</v>
      </c>
      <c r="P56" s="96">
        <f t="shared" si="702"/>
        <v>0</v>
      </c>
      <c r="Q56" s="96">
        <f t="shared" si="703"/>
        <v>0</v>
      </c>
      <c r="R56" s="96">
        <f t="shared" si="704"/>
        <v>0.03</v>
      </c>
      <c r="S56" s="97">
        <f t="shared" si="705"/>
        <v>0</v>
      </c>
      <c r="T56" s="98">
        <f t="shared" si="706"/>
        <v>0</v>
      </c>
      <c r="U56" s="53" t="str" cm="1">
        <f t="array" ref="U56">IFERROR(IF(I56&lt;&gt;"Serviço",IF(AND(mlookup(tbl_DIFAL_data,UFdestino,tbl_DIFAL_UF,O56,tbl_DIFAL_NCM)&lt;&gt;"",C56="Consumo"),"Sim",""),""),"?")</f>
        <v/>
      </c>
      <c r="V56" s="99" t="str">
        <f>IFERROR(IF(I56&lt;&gt;"Serviço",IF(AND(D56="Não",mlookup(tbl_ST_data,UFdestino,tbl_ST_UF,O56,tbl_ST_NCM)&lt;&gt;"",C56="Revenda",CD56="Não"),"Sim",""),""),"?")</f>
        <v/>
      </c>
      <c r="W56" s="96">
        <f t="shared" si="707"/>
        <v>0</v>
      </c>
      <c r="X56" s="100">
        <f>IF(V56="Sim",mlookup(tbl_ST_data,UFdestino,tbl_ST_UF,O56,tbl_ST_NCM),0)</f>
        <v>0</v>
      </c>
      <c r="Z56" s="516">
        <f t="shared" ref="Z56" si="781">IF(AND(N56&gt;0,CQ56=FALSE),IFERROR(VLOOKUP(L56,tbl_servicos,COLUMN(head_serv_CL)-COLUMN(head_serv_item)+1,FALSE),IF(D56="Sim",0,IF(B56="Real",VLOOKUP(L56,tbl_materiais,COLUMN(head_mat_CLreal)-COLUMN(head_mat_item)+1,FALSE),VLOOKUP(L56,tbl_materiais,COLUMN(head_mat_CLpresumido)-COLUMN(head_mat_item)+1,FALSE)))),0)</f>
        <v>9372</v>
      </c>
      <c r="AA56" s="91">
        <f t="shared" si="708"/>
        <v>9372</v>
      </c>
      <c r="AC56" s="517">
        <f t="shared" si="658"/>
        <v>1.31243473968765E-2</v>
      </c>
      <c r="AD56" s="517">
        <f t="shared" si="709"/>
        <v>0.64794776875939952</v>
      </c>
      <c r="AF56" s="91">
        <f t="shared" si="710"/>
        <v>362.91314367112142</v>
      </c>
      <c r="AG56" s="91">
        <f t="shared" si="711"/>
        <v>17916.987000140383</v>
      </c>
      <c r="AI56" s="91">
        <f t="shared" si="712"/>
        <v>27651.900143811505</v>
      </c>
      <c r="AK56" s="517">
        <f t="shared" si="659"/>
        <v>0</v>
      </c>
      <c r="AL56" s="91">
        <f t="shared" si="713"/>
        <v>0</v>
      </c>
      <c r="AM56" s="91">
        <f t="shared" si="714"/>
        <v>27651.900143811505</v>
      </c>
      <c r="AO56" s="91" t="b">
        <f t="shared" si="715"/>
        <v>1</v>
      </c>
      <c r="AQ56" s="518">
        <f t="shared" si="716"/>
        <v>27651.900143811505</v>
      </c>
      <c r="AR56" s="518">
        <f t="shared" si="717"/>
        <v>27651.900143811505</v>
      </c>
      <c r="AT56" s="518">
        <f t="shared" si="718"/>
        <v>28507.113550321141</v>
      </c>
      <c r="AU56" s="518">
        <f t="shared" si="719"/>
        <v>28507.113550321141</v>
      </c>
      <c r="AW56" s="518">
        <f t="shared" si="720"/>
        <v>28507.113550321141</v>
      </c>
      <c r="AX56" s="518">
        <f t="shared" si="721"/>
        <v>28507.113550321141</v>
      </c>
      <c r="AY56" s="518">
        <f t="shared" si="722"/>
        <v>27651.900143811508</v>
      </c>
      <c r="AZ56" s="518">
        <f t="shared" si="723"/>
        <v>27651.900143811508</v>
      </c>
      <c r="BB56" s="91">
        <f t="shared" si="724"/>
        <v>0</v>
      </c>
      <c r="BC56" s="91">
        <f t="shared" si="725"/>
        <v>0</v>
      </c>
      <c r="BD56" s="91">
        <f t="shared" si="726"/>
        <v>855.21340650963418</v>
      </c>
      <c r="BE56" s="91">
        <f t="shared" si="727"/>
        <v>0</v>
      </c>
      <c r="BF56" s="91">
        <f t="shared" si="728"/>
        <v>0</v>
      </c>
      <c r="BH56" s="519">
        <f t="shared" si="729"/>
        <v>0</v>
      </c>
      <c r="BJ56" s="520">
        <f t="shared" si="730"/>
        <v>0</v>
      </c>
      <c r="BK56" s="91">
        <f t="shared" si="731"/>
        <v>0</v>
      </c>
      <c r="BL56" s="91">
        <f t="shared" si="732"/>
        <v>28507.113550321141</v>
      </c>
      <c r="BN56" s="517">
        <f t="shared" si="733"/>
        <v>0</v>
      </c>
      <c r="BO56" s="91">
        <f t="shared" si="734"/>
        <v>28507.113550321141</v>
      </c>
      <c r="BP56" s="91">
        <f t="shared" si="735"/>
        <v>0</v>
      </c>
      <c r="BQ56" s="91">
        <f t="shared" si="736"/>
        <v>28507.113550321141</v>
      </c>
      <c r="BS56" s="518">
        <f t="shared" si="737"/>
        <v>27651.900143811508</v>
      </c>
      <c r="BT56" s="91">
        <f t="shared" si="738"/>
        <v>28507.113550321137</v>
      </c>
      <c r="BU56" s="91" t="b">
        <f t="shared" si="739"/>
        <v>1</v>
      </c>
      <c r="BW56" s="516" t="str">
        <f t="shared" si="740"/>
        <v>Serviço</v>
      </c>
      <c r="BX56" s="91">
        <f t="shared" si="741"/>
        <v>28507.113550321141</v>
      </c>
      <c r="BY56" s="92">
        <f t="shared" si="742"/>
        <v>1</v>
      </c>
      <c r="BZ56" s="516">
        <f t="shared" si="743"/>
        <v>10590.126550180756</v>
      </c>
      <c r="CA56" s="516"/>
      <c r="CB56" s="516" t="str">
        <f t="shared" si="744"/>
        <v xml:space="preserve">  Testes em fábrica</v>
      </c>
      <c r="CD56" s="91" t="str">
        <f t="shared" si="745"/>
        <v>Não</v>
      </c>
      <c r="CE56" s="519">
        <f>ifzero(mlookup(tbl_ICMSinterest_data,UFdestino,tbl_ICMSinterest_ufdest,UForigem,tbl_ICMSinterest_uforig))</f>
        <v>0.12</v>
      </c>
      <c r="CF56" s="519" t="str">
        <f>IF(N56&gt;0,IF(I56&lt;&gt;"Serviço",ifzero(mlookup(tbl_ICMSinterno_data,UForigem,tbl_ICMSinterno_UF,O56,tbl_ICMSinterno_NCM),mlookup(tbl_ICMSinterest_data,UForigem,tbl_ICMSinterest_ufdest,UForigem,tbl_ICMSinterest_uforig)),""),0)</f>
        <v/>
      </c>
      <c r="CG56" s="519" t="str">
        <f>IF(N56&gt;0,IF(I56&lt;&gt;"Serviço",ifzero(mlookup(tbl_ICMSinterno_data,UFdestino,tbl_ICMSinterno_UF,O56,tbl_ICMSinterno_NCM),mlookup(tbl_ICMSinterest_data,UFdestino,tbl_ICMSinterest_ufdest,UFdestino,tbl_ICMSinterest_uforig)),""),0)</f>
        <v/>
      </c>
      <c r="CI56" s="91">
        <f t="shared" si="746"/>
        <v>0</v>
      </c>
      <c r="CJ56" s="91">
        <f t="shared" si="747"/>
        <v>0</v>
      </c>
      <c r="CK56" s="91">
        <f t="shared" si="748"/>
        <v>0</v>
      </c>
      <c r="CL56" s="91">
        <f t="shared" si="749"/>
        <v>0</v>
      </c>
      <c r="CN56" s="521">
        <f t="shared" si="750"/>
        <v>132</v>
      </c>
      <c r="CO56" s="91">
        <f t="shared" si="751"/>
        <v>0</v>
      </c>
      <c r="CQ56" s="91" t="b">
        <f t="shared" si="752"/>
        <v>0</v>
      </c>
      <c r="CR56" s="91" t="b">
        <f t="shared" si="753"/>
        <v>1</v>
      </c>
      <c r="CS56" s="91" t="b">
        <f t="shared" si="754"/>
        <v>0</v>
      </c>
      <c r="CU56" s="91">
        <f t="shared" si="755"/>
        <v>0</v>
      </c>
      <c r="CV56" s="516">
        <f t="shared" si="756"/>
        <v>0</v>
      </c>
      <c r="CW56" s="102">
        <f t="shared" si="757"/>
        <v>0</v>
      </c>
      <c r="CX56" s="516">
        <f t="shared" si="758"/>
        <v>0</v>
      </c>
      <c r="CY56" s="610">
        <f t="shared" si="759"/>
        <v>0</v>
      </c>
      <c r="CZ56" s="516">
        <f t="shared" si="760"/>
        <v>0</v>
      </c>
      <c r="DA56" s="610">
        <f t="shared" si="761"/>
        <v>0</v>
      </c>
      <c r="DB56" s="516">
        <f t="shared" si="762"/>
        <v>0</v>
      </c>
      <c r="DC56" s="610">
        <f t="shared" si="763"/>
        <v>0</v>
      </c>
      <c r="DD56" s="516">
        <f t="shared" si="764"/>
        <v>0</v>
      </c>
      <c r="DE56" s="611">
        <f>IF(D56="Sim",HLOOKUP($DH$5,Parametrização!$G$2:$H$4,2,FALSE),0)</f>
        <v>0</v>
      </c>
      <c r="DF56" s="516">
        <f t="shared" si="765"/>
        <v>0</v>
      </c>
      <c r="DG56" s="611">
        <f>IF(D56="Sim",HLOOKUP($DH$5,Parametrização!$G$2:$H$4,3,FALSE),0)</f>
        <v>0</v>
      </c>
      <c r="DH56" s="516">
        <f t="shared" si="766"/>
        <v>0</v>
      </c>
      <c r="DI56" s="516">
        <f t="shared" si="767"/>
        <v>0</v>
      </c>
      <c r="DK56" s="3" t="str">
        <f t="shared" si="768"/>
        <v>NA</v>
      </c>
      <c r="DL56" s="2">
        <f t="shared" si="769"/>
        <v>0.03</v>
      </c>
      <c r="DM56" s="3" t="str">
        <f t="shared" si="770"/>
        <v>NA</v>
      </c>
      <c r="DN56" s="9">
        <f t="shared" si="771"/>
        <v>0</v>
      </c>
      <c r="DO56" s="637">
        <f t="shared" si="772"/>
        <v>0</v>
      </c>
      <c r="DP56" s="637"/>
      <c r="DQ56" s="3" t="str">
        <f t="shared" si="773"/>
        <v>NA</v>
      </c>
      <c r="DR56" s="2" t="str">
        <f t="shared" si="774"/>
        <v>NA</v>
      </c>
      <c r="DS56" s="3" t="str">
        <f t="shared" si="775"/>
        <v>NA</v>
      </c>
      <c r="DT56" s="9" t="str">
        <f t="shared" si="776"/>
        <v>NA</v>
      </c>
      <c r="DU56" s="637" t="str">
        <f t="shared" si="777"/>
        <v>NA</v>
      </c>
      <c r="DV56" s="637"/>
      <c r="DW56" s="2">
        <f t="shared" si="778"/>
        <v>9372</v>
      </c>
      <c r="DX56" s="2">
        <f t="shared" si="779"/>
        <v>27651.900143811505</v>
      </c>
      <c r="DY56" s="2">
        <f t="shared" si="780"/>
        <v>28507.113550321141</v>
      </c>
      <c r="DZ56" s="637"/>
      <c r="EA56" s="643"/>
    </row>
    <row r="57" spans="1:131" s="91" customFormat="1" ht="22.65" customHeight="1" outlineLevel="1" x14ac:dyDescent="0.25">
      <c r="A57" s="92"/>
      <c r="B57" s="91" t="s">
        <v>268</v>
      </c>
      <c r="C57" s="91" t="s">
        <v>255</v>
      </c>
      <c r="D57" s="757" t="s">
        <v>53</v>
      </c>
      <c r="E57" s="92" t="s">
        <v>38</v>
      </c>
      <c r="F57" s="2" t="s">
        <v>53</v>
      </c>
      <c r="G57" s="832" t="s">
        <v>2300</v>
      </c>
      <c r="H57" s="255" t="s">
        <v>2794</v>
      </c>
      <c r="I57" s="777" t="s">
        <v>165</v>
      </c>
      <c r="K57" s="320" t="s">
        <v>3038</v>
      </c>
      <c r="L57" s="523" t="s">
        <v>1118</v>
      </c>
      <c r="M57" s="93" t="str">
        <f t="shared" si="700"/>
        <v>Montagem dos painéis e das gigas.</v>
      </c>
      <c r="N57" s="609">
        <v>1</v>
      </c>
      <c r="O57" s="95" t="str">
        <f>IF(CQ57,std_ncm,IF(I57="Serviço","NA",IF(I57="Material",IFERROR(VLOOKUP(L57,tbl_materiais,COLUMN(head_mat_NCM)-COLUMN(head_mat_item)+1,FALSE),"?"),IFERROR(VLOOKUP(I57,tbl_TipoLinha,2,FALSE),"?"))))</f>
        <v>NA</v>
      </c>
      <c r="P57" s="96">
        <f>IF(AND(D57="Não",I57&lt;&gt;"Serviço",CD57="Não"),IFERROR(IF(flag_interestadual,CE57,IF(CF57,CF57,CE57)),"?"),0)</f>
        <v>0</v>
      </c>
      <c r="Q57" s="96">
        <f>IF(AND(D57="Não",I57&lt;&gt;"Serviço"),IF(I57="Material",IFERROR(VLOOKUP(L57,tbl_materiais,COLUMN(head_mat_IPI)-COLUMN(head_mat_item)+1,FALSE),"?"),IFERROR(VLOOKUP(O57,tbl_NCM_info,COLUMN(head_porNCM_IPI)-COLUMN(head_porNCM_NCM)+1,FALSE),"?")),0)</f>
        <v>0</v>
      </c>
      <c r="R57" s="96">
        <f>IF(AND(D57="Não",I57="Serviço"),IFERROR(VLOOKUP(CB57,tbl_ISS,5,FALSE),"?"),0)</f>
        <v>0.03</v>
      </c>
      <c r="S57" s="97">
        <f>IF(D57="Não",IF(reidi="Sim",0,IF(B57="Real",pis_naocum,pis_cum)),0)</f>
        <v>0</v>
      </c>
      <c r="T57" s="98">
        <f>IF(D57="Não",IF(reidi="Sim",0,IF(B57="Real",cofins_naocum,cofins_cum)),0)</f>
        <v>0</v>
      </c>
      <c r="U57" s="53" t="str" cm="1">
        <f t="array" ref="U57">IFERROR(IF(I57&lt;&gt;"Serviço",IF(AND(mlookup(tbl_DIFAL_data,UFdestino,tbl_DIFAL_UF,O57,tbl_DIFAL_NCM)&lt;&gt;"",C57="Consumo"),"Sim",""),""),"?")</f>
        <v/>
      </c>
      <c r="V57" s="99" t="str">
        <f>IFERROR(IF(I57&lt;&gt;"Serviço",IF(AND(D57="Não",mlookup(tbl_ST_data,UFdestino,tbl_ST_UF,O57,tbl_ST_NCM)&lt;&gt;"",C57="Revenda",CD57="Não"),"Sim",""),""),"?")</f>
        <v/>
      </c>
      <c r="W57" s="96">
        <f>IF(OR(U57="Sim",V57="Sim"),CG57,0)</f>
        <v>0</v>
      </c>
      <c r="X57" s="100">
        <f>IF(V57="Sim",mlookup(tbl_ST_data,UFdestino,tbl_ST_UF,O57,tbl_ST_NCM),0)</f>
        <v>0</v>
      </c>
      <c r="Z57" s="516">
        <f>IF(AND(N57&gt;0,CQ57=FALSE),IFERROR(VLOOKUP(L57,tbl_servicos,COLUMN(head_serv_CL)-COLUMN(head_serv_item)+1,FALSE),IF(D57="Sim",0,IF(B57="Real",VLOOKUP(L57,tbl_materiais,COLUMN(head_mat_CLreal)-COLUMN(head_mat_item)+1,FALSE),VLOOKUP(L57,tbl_materiais,COLUMN(head_mat_CLpresumido)-COLUMN(head_mat_item)+1,FALSE)))),0)</f>
        <v>7392.0000000000009</v>
      </c>
      <c r="AA57" s="91">
        <f t="shared" si="708"/>
        <v>7392.0000000000009</v>
      </c>
      <c r="AC57" s="517">
        <f t="shared" si="628"/>
        <v>1.31243473968765E-2</v>
      </c>
      <c r="AD57" s="517">
        <f>IF(F57="Sim",0,VLOOKUP(E57,tbl_mb,2,FALSE))</f>
        <v>0.15</v>
      </c>
      <c r="AF57" s="91">
        <f>AI57*AC57</f>
        <v>115.92543725694836</v>
      </c>
      <c r="AG57" s="91">
        <f>AI57*AD57</f>
        <v>1324.9280183394615</v>
      </c>
      <c r="AI57" s="91">
        <f>AA57/(1-AC57-AD57)</f>
        <v>8832.8534555964106</v>
      </c>
      <c r="AK57" s="517">
        <f t="shared" si="629"/>
        <v>0</v>
      </c>
      <c r="AL57" s="91">
        <f t="shared" si="713"/>
        <v>0</v>
      </c>
      <c r="AM57" s="91">
        <f t="shared" si="714"/>
        <v>8832.8534555964106</v>
      </c>
      <c r="AO57" s="91" t="b">
        <f>IF(ABS(SUM(AA57,AF57:AG57,AL57)-AM57)&lt;0.01,TRUE,FALSE)</f>
        <v>1</v>
      </c>
      <c r="AQ57" s="518">
        <f>IFERROR(AR57/N57,0)</f>
        <v>8832.8534555964106</v>
      </c>
      <c r="AR57" s="518">
        <f t="shared" si="717"/>
        <v>8832.8534555964106</v>
      </c>
      <c r="AT57" s="518">
        <f>IFERROR(AU57/N57,0)</f>
        <v>9106.0344903055775</v>
      </c>
      <c r="AU57" s="518">
        <f>IF(AND(N57&gt;0,CQ57=FALSE),IF(C57="Consumo",AR57*(1+Q57)/(1-P57*(1+Q57)-R57-S57-T57),AR57*(1+Q57)/(1-P57-R57-S57-T57)),0)</f>
        <v>9106.0344903055775</v>
      </c>
      <c r="AW57" s="518">
        <f>IF(AU57&gt;0,AU57/(1+Q57),0)</f>
        <v>9106.0344903055775</v>
      </c>
      <c r="AX57" s="518">
        <f>IF(AU57&gt;0,IF(C57="Consumo",AW57-AU57*P57,AW57*(1-P57)),0)</f>
        <v>9106.0344903055775</v>
      </c>
      <c r="AY57" s="518">
        <f>AX57-AW57*R57</f>
        <v>8832.8534555964106</v>
      </c>
      <c r="AZ57" s="518">
        <f>AY57-AW57*(S57+T57)</f>
        <v>8832.8534555964106</v>
      </c>
      <c r="BB57" s="91">
        <f>IF(AW57&gt;0,AW57*Q57,0)</f>
        <v>0</v>
      </c>
      <c r="BC57" s="91">
        <f>IF(AW57&gt;0,IF(C57="Consumo",AU57*P57,AW57*P57),0)</f>
        <v>0</v>
      </c>
      <c r="BD57" s="91">
        <f>AW57*R57</f>
        <v>273.18103470916731</v>
      </c>
      <c r="BE57" s="91">
        <f>AW57*S57</f>
        <v>0</v>
      </c>
      <c r="BF57" s="91">
        <f>AW57*T57</f>
        <v>0</v>
      </c>
      <c r="BH57" s="519">
        <f>W57</f>
        <v>0</v>
      </c>
      <c r="BJ57" s="520">
        <f>IF(AND(U57&lt;&gt;"",C57="Consumo"),BH57-P57,0)</f>
        <v>0</v>
      </c>
      <c r="BK57" s="91">
        <f>BJ57*AU57</f>
        <v>0</v>
      </c>
      <c r="BL57" s="91">
        <f>AU57+BK57</f>
        <v>9106.0344903055775</v>
      </c>
      <c r="BN57" s="517">
        <f>X57</f>
        <v>0</v>
      </c>
      <c r="BO57" s="91">
        <f>AU57*(1+BN57)</f>
        <v>9106.0344903055775</v>
      </c>
      <c r="BP57" s="91">
        <f>IF(AND(V57&lt;&gt;"",C57="Revenda"),BO57*BH57-BC57,0)</f>
        <v>0</v>
      </c>
      <c r="BQ57" s="91">
        <f>AU57+BP57</f>
        <v>9106.0344903055775</v>
      </c>
      <c r="BS57" s="518">
        <f>AU57-SUM(BB57:BF57)</f>
        <v>8832.8534555964106</v>
      </c>
      <c r="BT57" s="91">
        <f>AR57+SUM(BB57:BF57)</f>
        <v>9106.0344903055775</v>
      </c>
      <c r="BU57" s="91" t="b">
        <f t="shared" si="739"/>
        <v>1</v>
      </c>
      <c r="BW57" s="516" t="str">
        <f>IF(AND(N57&gt;0,CQ57=FALSE),IF(D57="Sim","Fat. Direto",VLOOKUP(CB57,tbl_IRPJaux,2,FALSE)),"")</f>
        <v>Serviço</v>
      </c>
      <c r="BX57" s="91">
        <f>IF(AND(BW57&lt;&gt;"NA",D57="Não"),MAX(BL57,BQ57),0)</f>
        <v>9106.0344903055775</v>
      </c>
      <c r="BY57" s="92">
        <f t="shared" si="742"/>
        <v>1</v>
      </c>
      <c r="BZ57" s="516">
        <f>IF(BX57&gt;0,AA57*BY57+AG57*recuperavel_MB_ir_real+AF57*recuperavel_coberturas_ir_real+SUM(BB57:BF57,BK57,BP57),0)</f>
        <v>7781.1064719661172</v>
      </c>
      <c r="CA57" s="516"/>
      <c r="CB57" s="516" t="str">
        <f>IFERROR(VLOOKUP(L57,tbl_materiais,COLUMN(head_mat_WBS)-COLUMN(head_mat_item)+1,FALSE),IFERROR(VLOOKUP(L57,tbl_servicos,COLUMN(head_serv_WBS)-COLUMN(head_serv_item)+1,FALSE),"?"))</f>
        <v xml:space="preserve">  Montagem em fábrica</v>
      </c>
      <c r="CD57" s="91" t="str">
        <f>IFERROR(VLOOKUP(L57,tbl_materiais,COLUMN(head_mat_st)-COLUMN(head_mat_item)+1,FALSE),"Não")</f>
        <v>Não</v>
      </c>
      <c r="CE57" s="519">
        <f>ifzero(mlookup(tbl_ICMSinterest_data,UFdestino,tbl_ICMSinterest_ufdest,UForigem,tbl_ICMSinterest_uforig))</f>
        <v>0.12</v>
      </c>
      <c r="CF57" s="519" t="str">
        <f>IF(N57&gt;0,IF(I57&lt;&gt;"Serviço",ifzero(mlookup(tbl_ICMSinterno_data,UForigem,tbl_ICMSinterno_UF,O57,tbl_ICMSinterno_NCM),mlookup(tbl_ICMSinterest_data,UForigem,tbl_ICMSinterest_ufdest,UForigem,tbl_ICMSinterest_uforig)),""),0)</f>
        <v/>
      </c>
      <c r="CG57" s="519" t="str">
        <f>IF(N57&gt;0,IF(I57&lt;&gt;"Serviço",ifzero(mlookup(tbl_ICMSinterno_data,UFdestino,tbl_ICMSinterno_UF,O57,tbl_ICMSinterno_NCM),mlookup(tbl_ICMSinterest_data,UFdestino,tbl_ICMSinterest_ufdest,UFdestino,tbl_ICMSinterest_uforig)),""),0)</f>
        <v/>
      </c>
      <c r="CI57" s="91">
        <f>IFERROR(IF(AND(I57&lt;&gt;"Serviço",D57="Não"),N57*VLOOKUP(L57,tbl_materiais,COLUMN(head_mat_credito_ICMS)-COLUMN(head_mat_item)+1,FALSE),0),0)</f>
        <v>0</v>
      </c>
      <c r="CJ57" s="91">
        <f>IFERROR(IF(AND(I57&lt;&gt;"Serviço",D57="Não"),N57*VLOOKUP(L57,tbl_materiais,COLUMN(head_mat_credito_IPI)-COLUMN(head_mat_item)+1,FALSE),0),0)</f>
        <v>0</v>
      </c>
      <c r="CK57" s="91">
        <f>IFERROR(IF(AND(I57&lt;&gt;"Serviço",D57="Não",B57="Real"),N57*VLOOKUP(L57,tbl_materiais,COLUMN(head_mat_credito_PIS)-COLUMN(head_mat_item)+1,FALSE),0),0)</f>
        <v>0</v>
      </c>
      <c r="CL57" s="91">
        <f>IFERROR(IF(AND(I57&lt;&gt;"Serviço",D57="Não",B57="Real"),N57*VLOOKUP(L57,tbl_materiais,COLUMN(head_mat_credito_COFINS)-COLUMN(head_mat_item)+1,FALSE),0),0)</f>
        <v>0</v>
      </c>
      <c r="CN57" s="521">
        <f>IFERROR(SUMIF(serv_col_item,"="&amp;L57,serv_col_totalhh),0)</f>
        <v>246.40000000000003</v>
      </c>
      <c r="CO57" s="91">
        <f>IFERROR(SUMIF(serv_col_item,"="&amp;L57,serv_col_gdv),0)</f>
        <v>0</v>
      </c>
      <c r="CQ57" s="91" t="b">
        <f>IF(N57&gt;0,IF(ISERROR(HLOOKUP(L57,std_tbl4,1,FALSE)),FALSE,TRUE),FALSE)</f>
        <v>0</v>
      </c>
      <c r="CR57" s="91" t="b">
        <f>IF(AND(CQ57,I57&lt;&gt;std_tiponcm),FALSE,TRUE)</f>
        <v>1</v>
      </c>
      <c r="CS57" s="91" t="b">
        <f>IF(AND(CQ57,D57="Sim"),TRUE,FALSE)</f>
        <v>0</v>
      </c>
      <c r="CU57" s="91">
        <f>IF(D57="Sim",VLOOKUP(L57,tbl_materiais,COLUMN(head_mat_fatdir)-COLUMN(head_mat_item)+1,FALSE),0)</f>
        <v>0</v>
      </c>
      <c r="CV57" s="516">
        <f>CU57*N57</f>
        <v>0</v>
      </c>
      <c r="CW57" s="102">
        <f t="shared" si="757"/>
        <v>0</v>
      </c>
      <c r="CX57" s="516">
        <f>CV57/(1-AK57)</f>
        <v>0</v>
      </c>
      <c r="CY57" s="610">
        <f>IF(D57="Sim",VLOOKUP(L57,tbl_materiais,COLUMN(head_mat_ICMS_input)-COLUMN(head_mat_item)+1,FALSE),0)</f>
        <v>0</v>
      </c>
      <c r="CZ57" s="516">
        <f t="shared" si="760"/>
        <v>0</v>
      </c>
      <c r="DA57" s="610">
        <f>IF(D57="Sim",VLOOKUP(L57,tbl_materiais,COLUMN(head_mat_ISS_input)-COLUMN(head_mat_item)+1,FALSE),0)</f>
        <v>0</v>
      </c>
      <c r="DB57" s="516">
        <f t="shared" si="762"/>
        <v>0</v>
      </c>
      <c r="DC57" s="610">
        <f>IF(D57="Sim",VLOOKUP(L57,tbl_materiais,COLUMN(head_mat_IPI_input)-COLUMN(head_mat_item)+1,FALSE),0)</f>
        <v>0</v>
      </c>
      <c r="DD57" s="516">
        <f t="shared" si="764"/>
        <v>0</v>
      </c>
      <c r="DE57" s="611">
        <f>IF(D57="Sim",HLOOKUP($DH$5,Parametrização!$G$2:$H$4,2,FALSE),0)</f>
        <v>0</v>
      </c>
      <c r="DF57" s="516">
        <f t="shared" si="765"/>
        <v>0</v>
      </c>
      <c r="DG57" s="611">
        <f>IF(D57="Sim",HLOOKUP($DH$5,Parametrização!$G$2:$H$4,3,FALSE),0)</f>
        <v>0</v>
      </c>
      <c r="DH57" s="516">
        <f t="shared" si="766"/>
        <v>0</v>
      </c>
      <c r="DI57" s="516">
        <f t="shared" si="767"/>
        <v>0</v>
      </c>
      <c r="DK57" s="3" t="str">
        <f>IF(AND(I57&lt;&gt;"Serviço",Z57&gt;0),P57,"NA")</f>
        <v>NA</v>
      </c>
      <c r="DL57" s="2">
        <f>IF(AND(I57="Serviço",Z57&gt;0),R57,"NA")</f>
        <v>0.03</v>
      </c>
      <c r="DM57" s="3" t="str">
        <f>IF(AND(I57&lt;&gt;"Serviço",Z57&gt;0),Q57,"NA")</f>
        <v>NA</v>
      </c>
      <c r="DN57" s="9">
        <f>IF(Z57&gt;0,S57,"NA")</f>
        <v>0</v>
      </c>
      <c r="DO57" s="637">
        <f>IF(Z57&gt;0,T57,"NA")</f>
        <v>0</v>
      </c>
      <c r="DP57" s="637"/>
      <c r="DQ57" s="3" t="str">
        <f>IF(AND(I57&lt;&gt;"Serviço",CU57&gt;0),CY57,"NA")</f>
        <v>NA</v>
      </c>
      <c r="DR57" s="2" t="str">
        <f>IF(AND(I57="Serviço",CU57&gt;0),DA57,"NA")</f>
        <v>NA</v>
      </c>
      <c r="DS57" s="3" t="str">
        <f>IF(AND(I57&lt;&gt;"Serviço",CU57&gt;0),DC57,"NA")</f>
        <v>NA</v>
      </c>
      <c r="DT57" s="9" t="str">
        <f>IF(CU57&gt;0,DE57,"NA")</f>
        <v>NA</v>
      </c>
      <c r="DU57" s="637" t="str">
        <f>IF(CU57&gt;0,DG57,"NA")</f>
        <v>NA</v>
      </c>
      <c r="DV57" s="637"/>
      <c r="DW57" s="2">
        <f>IF(CQ57,N57*HLOOKUP(L57,std_tbl6,ROW(std_PL_real)-ROW(row_std_head)+1,FALSE),AA57)</f>
        <v>7392.0000000000009</v>
      </c>
      <c r="DX57" s="2">
        <f>IF(CQ57,DW57/(1-AC57-AD57)/(1-AK57),AM57)</f>
        <v>8832.8534555964106</v>
      </c>
      <c r="DY57" s="2">
        <f>IF(CQ57,IF(C57="Industrialização",DX57/(1-P57-S57-T57)*(1+Q57),DX57/(1-P57*(1+Q57)-S57-T57)*(1+Q57)),AU57)</f>
        <v>9106.0344903055775</v>
      </c>
      <c r="DZ57" s="637"/>
      <c r="EA57" s="643"/>
    </row>
    <row r="58" spans="1:131" s="91" customFormat="1" ht="22.65" customHeight="1" outlineLevel="1" x14ac:dyDescent="0.25">
      <c r="A58" s="92"/>
      <c r="B58" s="91" t="s">
        <v>268</v>
      </c>
      <c r="C58" s="91" t="s">
        <v>255</v>
      </c>
      <c r="D58" s="757" t="s">
        <v>53</v>
      </c>
      <c r="E58" s="803" t="s">
        <v>1017</v>
      </c>
      <c r="F58" s="753" t="s">
        <v>53</v>
      </c>
      <c r="G58" s="832" t="s">
        <v>2300</v>
      </c>
      <c r="H58" s="255" t="s">
        <v>2794</v>
      </c>
      <c r="I58" s="803" t="s">
        <v>165</v>
      </c>
      <c r="K58" s="320" t="s">
        <v>3039</v>
      </c>
      <c r="L58" s="523" t="s">
        <v>2355</v>
      </c>
      <c r="M58" s="93" t="str">
        <f t="shared" ref="M58" si="782">IFERROR(IFERROR(VLOOKUP(L58,tbl_materiais,COLUMN(head_mat_descricao)-COLUMN(head_mat_item)+1,FALSE),VLOOKUP(L58,tbl_servicos,COLUMN(head_serv_descricao)-COLUMN(head_serv_item)+1,FALSE)),"?")</f>
        <v>Rede de comunicação.</v>
      </c>
      <c r="N58" s="609">
        <v>1</v>
      </c>
      <c r="O58" s="95" t="str">
        <f>IF(CQ58,std_ncm,IF(I58="Serviço","NA",IF(I58="Material",IFERROR(VLOOKUP(L58,tbl_materiais,COLUMN(head_mat_NCM)-COLUMN(head_mat_item)+1,FALSE),"?"),IFERROR(VLOOKUP(I58,tbl_TipoLinha,2,FALSE),"?"))))</f>
        <v>NA</v>
      </c>
      <c r="P58" s="96">
        <f>IF(AND(D58="Não",I58&lt;&gt;"Serviço",CD58="Não"),IFERROR(IF(flag_interestadual,CE58,IF(CF58,CF58,CE58)),"?"),0)</f>
        <v>0</v>
      </c>
      <c r="Q58" s="96">
        <f>IF(AND(D58="Não",I58&lt;&gt;"Serviço"),IF(I58="Material",IFERROR(VLOOKUP(L58,tbl_materiais,COLUMN(head_mat_IPI)-COLUMN(head_mat_item)+1,FALSE),"?"),IFERROR(VLOOKUP(O58,tbl_NCM_info,COLUMN(head_porNCM_IPI)-COLUMN(head_porNCM_NCM)+1,FALSE),"?")),0)</f>
        <v>0</v>
      </c>
      <c r="R58" s="96">
        <f>IF(AND(D58="Não",I58="Serviço"),IFERROR(VLOOKUP(CB58,tbl_ISS,5,FALSE),"?"),0)</f>
        <v>0.03</v>
      </c>
      <c r="S58" s="97">
        <f>IF(D58="Não",IF(reidi="Sim",0,IF(B58="Real",pis_naocum,pis_cum)),0)</f>
        <v>0</v>
      </c>
      <c r="T58" s="98">
        <f>IF(D58="Não",IF(reidi="Sim",0,IF(B58="Real",cofins_naocum,cofins_cum)),0)</f>
        <v>0</v>
      </c>
      <c r="U58" s="53" t="str" cm="1">
        <f t="array" ref="U58">IFERROR(IF(I58&lt;&gt;"Serviço",IF(AND(mlookup(tbl_DIFAL_data,UFdestino,tbl_DIFAL_UF,O58,tbl_DIFAL_NCM)&lt;&gt;"",C58="Consumo"),"Sim",""),""),"?")</f>
        <v/>
      </c>
      <c r="V58" s="99" t="str">
        <f>IFERROR(IF(I58&lt;&gt;"Serviço",IF(AND(D58="Não",mlookup(tbl_ST_data,UFdestino,tbl_ST_UF,O58,tbl_ST_NCM)&lt;&gt;"",C58="Revenda",CD58="Não"),"Sim",""),""),"?")</f>
        <v/>
      </c>
      <c r="W58" s="96">
        <f>IF(OR(U58="Sim",V58="Sim"),CG58,0)</f>
        <v>0</v>
      </c>
      <c r="X58" s="100">
        <f>IF(V58="Sim",mlookup(tbl_ST_data,UFdestino,tbl_ST_UF,O58,tbl_ST_NCM),0)</f>
        <v>0</v>
      </c>
      <c r="Z58" s="516">
        <f>IF(AND(N58&gt;0,CQ58=FALSE),IFERROR(VLOOKUP(L58,tbl_servicos,COLUMN(head_serv_CL)-COLUMN(head_serv_item)+1,FALSE),IF(D58="Sim",0,IF(B58="Real",VLOOKUP(L58,tbl_materiais,COLUMN(head_mat_CLreal)-COLUMN(head_mat_item)+1,FALSE),VLOOKUP(L58,tbl_materiais,COLUMN(head_mat_CLpresumido)-COLUMN(head_mat_item)+1,FALSE)))),0)</f>
        <v>2640</v>
      </c>
      <c r="AA58" s="91">
        <f t="shared" ref="AA58" si="783">Z58*N58</f>
        <v>2640</v>
      </c>
      <c r="AC58" s="517">
        <f t="shared" si="628"/>
        <v>1.31243473968765E-2</v>
      </c>
      <c r="AD58" s="517">
        <f>IF(F58="Sim",0,VLOOKUP(E58,tbl_mb,2,FALSE))</f>
        <v>0.64794776875939952</v>
      </c>
      <c r="AF58" s="91">
        <f>AI58*AC58</f>
        <v>102.22905455524548</v>
      </c>
      <c r="AG58" s="91">
        <f>AI58*AD58</f>
        <v>5047.0385915888401</v>
      </c>
      <c r="AI58" s="91">
        <f>AA58/(1-AC58-AD58)</f>
        <v>7789.267646144086</v>
      </c>
      <c r="AK58" s="517">
        <f t="shared" si="629"/>
        <v>0</v>
      </c>
      <c r="AL58" s="91">
        <f t="shared" ref="AL58" si="784">AM58*AK58</f>
        <v>0</v>
      </c>
      <c r="AM58" s="91">
        <f t="shared" ref="AM58" si="785">AI58/(1-AK58)</f>
        <v>7789.267646144086</v>
      </c>
      <c r="AO58" s="91" t="b">
        <f>IF(ABS(SUM(AA58,AF58:AG58,AL58)-AM58)&lt;0.01,TRUE,FALSE)</f>
        <v>1</v>
      </c>
      <c r="AQ58" s="518">
        <f>IFERROR(AR58/N58,0)</f>
        <v>7789.267646144086</v>
      </c>
      <c r="AR58" s="518">
        <f t="shared" ref="AR58" si="786">AM58</f>
        <v>7789.267646144086</v>
      </c>
      <c r="AT58" s="518">
        <f>IFERROR(AU58/N58,0)</f>
        <v>8030.1728310763774</v>
      </c>
      <c r="AU58" s="518">
        <f>IF(AND(N58&gt;0,CQ58=FALSE),IF(C58="Consumo",AR58*(1+Q58)/(1-P58*(1+Q58)-R58-S58-T58),AR58*(1+Q58)/(1-P58-R58-S58-T58)),0)</f>
        <v>8030.1728310763774</v>
      </c>
      <c r="AW58" s="518">
        <f>IF(AU58&gt;0,AU58/(1+Q58),0)</f>
        <v>8030.1728310763774</v>
      </c>
      <c r="AX58" s="518">
        <f>IF(AU58&gt;0,IF(C58="Consumo",AW58-AU58*P58,AW58*(1-P58)),0)</f>
        <v>8030.1728310763774</v>
      </c>
      <c r="AY58" s="518">
        <f>AX58-AW58*R58</f>
        <v>7789.267646144086</v>
      </c>
      <c r="AZ58" s="518">
        <f>AY58-AW58*(S58+T58)</f>
        <v>7789.267646144086</v>
      </c>
      <c r="BB58" s="91">
        <f>IF(AW58&gt;0,AW58*Q58,0)</f>
        <v>0</v>
      </c>
      <c r="BC58" s="91">
        <f>IF(AW58&gt;0,IF(C58="Consumo",AU58*P58,AW58*P58),0)</f>
        <v>0</v>
      </c>
      <c r="BD58" s="91">
        <f>AW58*R58</f>
        <v>240.90518493229132</v>
      </c>
      <c r="BE58" s="91">
        <f>AW58*S58</f>
        <v>0</v>
      </c>
      <c r="BF58" s="91">
        <f>AW58*T58</f>
        <v>0</v>
      </c>
      <c r="BH58" s="519">
        <f>W58</f>
        <v>0</v>
      </c>
      <c r="BJ58" s="520">
        <f>IF(AND(U58&lt;&gt;"",C58="Consumo"),BH58-P58,0)</f>
        <v>0</v>
      </c>
      <c r="BK58" s="91">
        <f>BJ58*AU58</f>
        <v>0</v>
      </c>
      <c r="BL58" s="91">
        <f>AU58+BK58</f>
        <v>8030.1728310763774</v>
      </c>
      <c r="BN58" s="517">
        <f>X58</f>
        <v>0</v>
      </c>
      <c r="BO58" s="91">
        <f>AU58*(1+BN58)</f>
        <v>8030.1728310763774</v>
      </c>
      <c r="BP58" s="91">
        <f>IF(AND(V58&lt;&gt;"",C58="Revenda"),BO58*BH58-BC58,0)</f>
        <v>0</v>
      </c>
      <c r="BQ58" s="91">
        <f>AU58+BP58</f>
        <v>8030.1728310763774</v>
      </c>
      <c r="BS58" s="518">
        <f>AU58-SUM(BB58:BF58)</f>
        <v>7789.267646144086</v>
      </c>
      <c r="BT58" s="91">
        <f>AR58+SUM(BB58:BF58)</f>
        <v>8030.1728310763774</v>
      </c>
      <c r="BU58" s="91" t="b">
        <f t="shared" ref="BU58" si="787">IF(ABS(BT58-BS58-SUM(BB58:BF58))&lt;0.01,TRUE,FALSE)</f>
        <v>1</v>
      </c>
      <c r="BW58" s="516" t="str">
        <f>IF(AND(N58&gt;0,CQ58=FALSE),IF(D58="Sim","Fat. Direto",VLOOKUP(CB58,tbl_IRPJaux,2,FALSE)),"")</f>
        <v>Serviço</v>
      </c>
      <c r="BX58" s="91">
        <f>IF(AND(BW58&lt;&gt;"NA",D58="Não"),MAX(BL58,BQ58),0)</f>
        <v>8030.1728310763774</v>
      </c>
      <c r="BY58" s="92">
        <f t="shared" si="742"/>
        <v>1</v>
      </c>
      <c r="BZ58" s="516">
        <f>IF(BX58&gt;0,AA58*BY58+AG58*recuperavel_MB_ir_real+AF58*recuperavel_coberturas_ir_real+SUM(BB58:BF58,BK58,BP58),0)</f>
        <v>2983.1342394875369</v>
      </c>
      <c r="CA58" s="516"/>
      <c r="CB58" s="516" t="str">
        <f>IFERROR(VLOOKUP(L58,tbl_materiais,COLUMN(head_mat_WBS)-COLUMN(head_mat_item)+1,FALSE),IFERROR(VLOOKUP(L58,tbl_servicos,COLUMN(head_serv_WBS)-COLUMN(head_serv_item)+1,FALSE),"?"))</f>
        <v xml:space="preserve">  Montagem em campo</v>
      </c>
      <c r="CD58" s="91" t="str">
        <f>IFERROR(VLOOKUP(L58,tbl_materiais,COLUMN(head_mat_st)-COLUMN(head_mat_item)+1,FALSE),"Não")</f>
        <v>Não</v>
      </c>
      <c r="CE58" s="519">
        <f>ifzero(mlookup(tbl_ICMSinterest_data,UFdestino,tbl_ICMSinterest_ufdest,UForigem,tbl_ICMSinterest_uforig))</f>
        <v>0.12</v>
      </c>
      <c r="CF58" s="519" t="str">
        <f>IF(N58&gt;0,IF(I58&lt;&gt;"Serviço",ifzero(mlookup(tbl_ICMSinterno_data,UForigem,tbl_ICMSinterno_UF,O58,tbl_ICMSinterno_NCM),mlookup(tbl_ICMSinterest_data,UForigem,tbl_ICMSinterest_ufdest,UForigem,tbl_ICMSinterest_uforig)),""),0)</f>
        <v/>
      </c>
      <c r="CG58" s="519" t="str">
        <f>IF(N58&gt;0,IF(I58&lt;&gt;"Serviço",ifzero(mlookup(tbl_ICMSinterno_data,UFdestino,tbl_ICMSinterno_UF,O58,tbl_ICMSinterno_NCM),mlookup(tbl_ICMSinterest_data,UFdestino,tbl_ICMSinterest_ufdest,UFdestino,tbl_ICMSinterest_uforig)),""),0)</f>
        <v/>
      </c>
      <c r="CI58" s="91">
        <f>IFERROR(IF(AND(I58&lt;&gt;"Serviço",D58="Não"),N58*VLOOKUP(L58,tbl_materiais,COLUMN(head_mat_credito_ICMS)-COLUMN(head_mat_item)+1,FALSE),0),0)</f>
        <v>0</v>
      </c>
      <c r="CJ58" s="91">
        <f>IFERROR(IF(AND(I58&lt;&gt;"Serviço",D58="Não"),N58*VLOOKUP(L58,tbl_materiais,COLUMN(head_mat_credito_IPI)-COLUMN(head_mat_item)+1,FALSE),0),0)</f>
        <v>0</v>
      </c>
      <c r="CK58" s="91">
        <f>IFERROR(IF(AND(I58&lt;&gt;"Serviço",D58="Não",B58="Real"),N58*VLOOKUP(L58,tbl_materiais,COLUMN(head_mat_credito_PIS)-COLUMN(head_mat_item)+1,FALSE),0),0)</f>
        <v>0</v>
      </c>
      <c r="CL58" s="91">
        <f>IFERROR(IF(AND(I58&lt;&gt;"Serviço",D58="Não",B58="Real"),N58*VLOOKUP(L58,tbl_materiais,COLUMN(head_mat_credito_COFINS)-COLUMN(head_mat_item)+1,FALSE),0),0)</f>
        <v>0</v>
      </c>
      <c r="CN58" s="521">
        <f>IFERROR(SUMIF(serv_col_item,"="&amp;L58,serv_col_totalhh),0)</f>
        <v>88</v>
      </c>
      <c r="CO58" s="91">
        <f>IFERROR(SUMIF(serv_col_item,"="&amp;L58,serv_col_gdv),0)</f>
        <v>5300</v>
      </c>
      <c r="CQ58" s="91" t="b">
        <f>IF(N58&gt;0,IF(ISERROR(HLOOKUP(L58,std_tbl4,1,FALSE)),FALSE,TRUE),FALSE)</f>
        <v>0</v>
      </c>
      <c r="CR58" s="91" t="b">
        <f>IF(AND(CQ58,I58&lt;&gt;std_tiponcm),FALSE,TRUE)</f>
        <v>1</v>
      </c>
      <c r="CS58" s="91" t="b">
        <f>IF(AND(CQ58,D58="Sim"),TRUE,FALSE)</f>
        <v>0</v>
      </c>
      <c r="CU58" s="91">
        <f>IF(D58="Sim",VLOOKUP(L58,tbl_materiais,COLUMN(head_mat_fatdir)-COLUMN(head_mat_item)+1,FALSE),0)</f>
        <v>0</v>
      </c>
      <c r="CV58" s="516">
        <f>CU58*N58</f>
        <v>0</v>
      </c>
      <c r="CW58" s="102">
        <f t="shared" ref="CW58" si="788">CX58*(1-CY58-DA58-DE58-DG58)/(1+DC58)</f>
        <v>0</v>
      </c>
      <c r="CX58" s="516">
        <f>CV58/(1-AK58)</f>
        <v>0</v>
      </c>
      <c r="CY58" s="610">
        <f>IF(D58="Sim",VLOOKUP(L58,tbl_materiais,COLUMN(head_mat_ICMS_input)-COLUMN(head_mat_item)+1,FALSE),0)</f>
        <v>0</v>
      </c>
      <c r="CZ58" s="516">
        <f t="shared" ref="CZ58" si="789">CX58*CY58</f>
        <v>0</v>
      </c>
      <c r="DA58" s="610">
        <f>IF(D58="Sim",VLOOKUP(L58,tbl_materiais,COLUMN(head_mat_ISS_input)-COLUMN(head_mat_item)+1,FALSE),0)</f>
        <v>0</v>
      </c>
      <c r="DB58" s="516">
        <f t="shared" si="762"/>
        <v>0</v>
      </c>
      <c r="DC58" s="610">
        <f>IF(D58="Sim",VLOOKUP(L58,tbl_materiais,COLUMN(head_mat_IPI_input)-COLUMN(head_mat_item)+1,FALSE),0)</f>
        <v>0</v>
      </c>
      <c r="DD58" s="516">
        <f t="shared" si="764"/>
        <v>0</v>
      </c>
      <c r="DE58" s="611">
        <f>IF(D58="Sim",HLOOKUP($DH$5,Parametrização!$G$2:$H$4,2,FALSE),0)</f>
        <v>0</v>
      </c>
      <c r="DF58" s="516">
        <f t="shared" ref="DF58" si="790">(CX58-DD58)*DE58</f>
        <v>0</v>
      </c>
      <c r="DG58" s="611">
        <f>IF(D58="Sim",HLOOKUP($DH$5,Parametrização!$G$2:$H$4,3,FALSE),0)</f>
        <v>0</v>
      </c>
      <c r="DH58" s="516">
        <f t="shared" ref="DH58" si="791">(CX58-DD58)*DG58</f>
        <v>0</v>
      </c>
      <c r="DI58" s="516">
        <f t="shared" ref="DI58" si="792">CX58-CZ58-DD58-DF58-DH58</f>
        <v>0</v>
      </c>
      <c r="DK58" s="3" t="str">
        <f>IF(AND(I58&lt;&gt;"Serviço",Z58&gt;0),P58,"NA")</f>
        <v>NA</v>
      </c>
      <c r="DL58" s="2">
        <f>IF(AND(I58="Serviço",Z58&gt;0),R58,"NA")</f>
        <v>0.03</v>
      </c>
      <c r="DM58" s="3" t="str">
        <f>IF(AND(I58&lt;&gt;"Serviço",Z58&gt;0),Q58,"NA")</f>
        <v>NA</v>
      </c>
      <c r="DN58" s="9">
        <f>IF(Z58&gt;0,S58,"NA")</f>
        <v>0</v>
      </c>
      <c r="DO58" s="637">
        <f>IF(Z58&gt;0,T58,"NA")</f>
        <v>0</v>
      </c>
      <c r="DP58" s="637"/>
      <c r="DQ58" s="3" t="str">
        <f>IF(AND(I58&lt;&gt;"Serviço",CU58&gt;0),CY58,"NA")</f>
        <v>NA</v>
      </c>
      <c r="DR58" s="2" t="str">
        <f>IF(AND(I58="Serviço",CU58&gt;0),DA58,"NA")</f>
        <v>NA</v>
      </c>
      <c r="DS58" s="3" t="str">
        <f>IF(AND(I58&lt;&gt;"Serviço",CU58&gt;0),DC58,"NA")</f>
        <v>NA</v>
      </c>
      <c r="DT58" s="9" t="str">
        <f>IF(CU58&gt;0,DE58,"NA")</f>
        <v>NA</v>
      </c>
      <c r="DU58" s="637" t="str">
        <f>IF(CU58&gt;0,DG58,"NA")</f>
        <v>NA</v>
      </c>
      <c r="DV58" s="637"/>
      <c r="DW58" s="2">
        <f>IF(CQ58,N58*HLOOKUP(L58,std_tbl6,ROW(std_PL_real)-ROW(row_std_head)+1,FALSE),AA58)</f>
        <v>2640</v>
      </c>
      <c r="DX58" s="2">
        <f>IF(CQ58,DW58/(1-AC58-AD58)/(1-AK58),AM58)</f>
        <v>7789.267646144086</v>
      </c>
      <c r="DY58" s="2">
        <f>IF(CQ58,IF(C58="Industrialização",DX58/(1-P58-S58-T58)*(1+Q58),DX58/(1-P58*(1+Q58)-S58-T58)*(1+Q58)),AU58)</f>
        <v>8030.1728310763774</v>
      </c>
      <c r="DZ58" s="637"/>
      <c r="EA58" s="643"/>
    </row>
    <row r="59" spans="1:131" s="91" customFormat="1" ht="22.65" customHeight="1" outlineLevel="1" x14ac:dyDescent="0.25">
      <c r="A59" s="92"/>
      <c r="B59" s="91" t="s">
        <v>268</v>
      </c>
      <c r="C59" s="91" t="s">
        <v>255</v>
      </c>
      <c r="D59" s="757" t="s">
        <v>53</v>
      </c>
      <c r="E59" s="92" t="s">
        <v>38</v>
      </c>
      <c r="F59" s="2" t="s">
        <v>53</v>
      </c>
      <c r="G59" s="832" t="s">
        <v>2300</v>
      </c>
      <c r="H59" s="831" t="s">
        <v>357</v>
      </c>
      <c r="I59" s="803" t="s">
        <v>165</v>
      </c>
      <c r="K59" s="320" t="s">
        <v>3040</v>
      </c>
      <c r="L59" s="523" t="s">
        <v>793</v>
      </c>
      <c r="M59" s="93" t="str">
        <f t="shared" si="700"/>
        <v>Cordão de fibra óptica, pré-conectorizado, 25 metros.</v>
      </c>
      <c r="N59" s="609">
        <f>20*N31+19*N44</f>
        <v>78</v>
      </c>
      <c r="O59" s="95" t="str">
        <f>IF(CQ59,std_ncm,IF(I59="Serviço","NA",IF(I59="Material",IFERROR(VLOOKUP(L59,tbl_materiais,COLUMN(head_mat_NCM)-COLUMN(head_mat_item)+1,FALSE),"?"),IFERROR(VLOOKUP(I59,tbl_TipoLinha,2,FALSE),"?"))))</f>
        <v>NA</v>
      </c>
      <c r="P59" s="96">
        <f>IF(AND(D59="Não",I59&lt;&gt;"Serviço",CD59="Não"),IFERROR(IF(flag_interestadual,CE59,IF(CF59,CF59,CE59)),"?"),0)</f>
        <v>0</v>
      </c>
      <c r="Q59" s="96">
        <f>IF(AND(D59="Não",I59&lt;&gt;"Serviço"),IF(I59="Material",IFERROR(VLOOKUP(L59,tbl_materiais,COLUMN(head_mat_IPI)-COLUMN(head_mat_item)+1,FALSE),"?"),IFERROR(VLOOKUP(O59,tbl_NCM_info,COLUMN(head_porNCM_IPI)-COLUMN(head_porNCM_NCM)+1,FALSE),"?")),0)</f>
        <v>0</v>
      </c>
      <c r="R59" s="96">
        <f>IF(AND(D59="Não",I59="Serviço"),IFERROR(VLOOKUP(CB59,tbl_ISS,5,FALSE),"?"),0)</f>
        <v>0.03</v>
      </c>
      <c r="S59" s="97">
        <f>IF(D59="Não",IF(reidi="Sim",0,IF(B59="Real",pis_naocum,pis_cum)),0)</f>
        <v>0</v>
      </c>
      <c r="T59" s="98">
        <f>IF(D59="Não",IF(reidi="Sim",0,IF(B59="Real",cofins_naocum,cofins_cum)),0)</f>
        <v>0</v>
      </c>
      <c r="U59" s="53" t="str" cm="1">
        <f t="array" ref="U59">IFERROR(IF(I59&lt;&gt;"Serviço",IF(AND(mlookup(tbl_DIFAL_data,UFdestino,tbl_DIFAL_UF,O59,tbl_DIFAL_NCM)&lt;&gt;"",C59="Consumo"),"Sim",""),""),"?")</f>
        <v/>
      </c>
      <c r="V59" s="99" t="str">
        <f>IFERROR(IF(I59&lt;&gt;"Serviço",IF(AND(D59="Não",mlookup(tbl_ST_data,UFdestino,tbl_ST_UF,O59,tbl_ST_NCM)&lt;&gt;"",C59="Revenda",CD59="Não"),"Sim",""),""),"?")</f>
        <v/>
      </c>
      <c r="W59" s="96">
        <f>IF(OR(U59="Sim",V59="Sim"),CG59,0)</f>
        <v>0</v>
      </c>
      <c r="X59" s="100">
        <f>IF(V59="Sim",mlookup(tbl_ST_data,UFdestino,tbl_ST_UF,O59,tbl_ST_NCM),0)</f>
        <v>0</v>
      </c>
      <c r="Z59" s="516">
        <f>IF(AND(N59&gt;0,CQ59=FALSE),IFERROR(VLOOKUP(L59,tbl_servicos,COLUMN(head_serv_CL)-COLUMN(head_serv_item)+1,FALSE),IF(D59="Sim",0,IF(B59="Real",VLOOKUP(L59,tbl_materiais,COLUMN(head_mat_CLreal)-COLUMN(head_mat_item)+1,FALSE),VLOOKUP(L59,tbl_materiais,COLUMN(head_mat_CLpresumido)-COLUMN(head_mat_item)+1,FALSE)))),0)</f>
        <v>80.096625000000003</v>
      </c>
      <c r="AA59" s="91">
        <f t="shared" ref="AA59" si="793">Z59*N59</f>
        <v>6247.5367500000002</v>
      </c>
      <c r="AC59" s="517">
        <f t="shared" si="628"/>
        <v>1.31243473968765E-2</v>
      </c>
      <c r="AD59" s="517">
        <f t="shared" ref="AD59" si="794">IF(F59="Sim",0,VLOOKUP(E59,tbl_mb,2,FALSE))</f>
        <v>0.15</v>
      </c>
      <c r="AF59" s="91">
        <f t="shared" ref="AF59" si="795">AI59*AC59</f>
        <v>97.977330833685599</v>
      </c>
      <c r="AG59" s="91">
        <f t="shared" ref="AG59" si="796">AI59*AD59</f>
        <v>1119.7966025000621</v>
      </c>
      <c r="AI59" s="91">
        <f t="shared" ref="AI59" si="797">AA59/(1-AC59-AD59)</f>
        <v>7465.3106833337479</v>
      </c>
      <c r="AK59" s="517">
        <f t="shared" si="629"/>
        <v>0</v>
      </c>
      <c r="AL59" s="91">
        <f t="shared" si="713"/>
        <v>0</v>
      </c>
      <c r="AM59" s="91">
        <f t="shared" si="714"/>
        <v>7465.3106833337479</v>
      </c>
      <c r="AO59" s="91" t="b">
        <f t="shared" ref="AO59" si="798">IF(ABS(SUM(AA59,AF59:AG59,AL59)-AM59)&lt;0.01,TRUE,FALSE)</f>
        <v>1</v>
      </c>
      <c r="AQ59" s="518">
        <f t="shared" ref="AQ59" si="799">IFERROR(AR59/N59,0)</f>
        <v>95.709111324791635</v>
      </c>
      <c r="AR59" s="518">
        <f t="shared" si="717"/>
        <v>7465.3106833337479</v>
      </c>
      <c r="AT59" s="518">
        <f t="shared" ref="AT59" si="800">IFERROR(AU59/N59,0)</f>
        <v>98.669186932774892</v>
      </c>
      <c r="AU59" s="518">
        <f t="shared" ref="AU59" si="801">IF(AND(N59&gt;0,CQ59=FALSE),IF(C59="Consumo",AR59*(1+Q59)/(1-P59*(1+Q59)-R59-S59-T59),AR59*(1+Q59)/(1-P59-R59-S59-T59)),0)</f>
        <v>7696.1965807564411</v>
      </c>
      <c r="AW59" s="518">
        <f t="shared" ref="AW59" si="802">IF(AU59&gt;0,AU59/(1+Q59),0)</f>
        <v>7696.1965807564411</v>
      </c>
      <c r="AX59" s="518">
        <f t="shared" ref="AX59" si="803">IF(AU59&gt;0,IF(C59="Consumo",AW59-AU59*P59,AW59*(1-P59)),0)</f>
        <v>7696.1965807564411</v>
      </c>
      <c r="AY59" s="518">
        <f t="shared" ref="AY59" si="804">AX59-AW59*R59</f>
        <v>7465.3106833337479</v>
      </c>
      <c r="AZ59" s="518">
        <f t="shared" ref="AZ59" si="805">AY59-AW59*(S59+T59)</f>
        <v>7465.3106833337479</v>
      </c>
      <c r="BB59" s="91">
        <f t="shared" ref="BB59" si="806">IF(AW59&gt;0,AW59*Q59,0)</f>
        <v>0</v>
      </c>
      <c r="BC59" s="91">
        <f t="shared" ref="BC59" si="807">IF(AW59&gt;0,IF(C59="Consumo",AU59*P59,AW59*P59),0)</f>
        <v>0</v>
      </c>
      <c r="BD59" s="91">
        <f t="shared" ref="BD59" si="808">AW59*R59</f>
        <v>230.88589742269323</v>
      </c>
      <c r="BE59" s="91">
        <f t="shared" ref="BE59" si="809">AW59*S59</f>
        <v>0</v>
      </c>
      <c r="BF59" s="91">
        <f t="shared" ref="BF59" si="810">AW59*T59</f>
        <v>0</v>
      </c>
      <c r="BH59" s="519">
        <f t="shared" ref="BH59" si="811">W59</f>
        <v>0</v>
      </c>
      <c r="BJ59" s="520">
        <f t="shared" ref="BJ59" si="812">IF(AND(U59&lt;&gt;"",C59="Consumo"),BH59-P59,0)</f>
        <v>0</v>
      </c>
      <c r="BK59" s="91">
        <f t="shared" ref="BK59" si="813">BJ59*AU59</f>
        <v>0</v>
      </c>
      <c r="BL59" s="91">
        <f t="shared" ref="BL59" si="814">AU59+BK59</f>
        <v>7696.1965807564411</v>
      </c>
      <c r="BN59" s="517">
        <f t="shared" ref="BN59" si="815">X59</f>
        <v>0</v>
      </c>
      <c r="BO59" s="91">
        <f t="shared" ref="BO59" si="816">AU59*(1+BN59)</f>
        <v>7696.1965807564411</v>
      </c>
      <c r="BP59" s="91">
        <f t="shared" ref="BP59" si="817">IF(AND(V59&lt;&gt;"",C59="Revenda"),BO59*BH59-BC59,0)</f>
        <v>0</v>
      </c>
      <c r="BQ59" s="91">
        <f t="shared" ref="BQ59" si="818">AU59+BP59</f>
        <v>7696.1965807564411</v>
      </c>
      <c r="BS59" s="518">
        <f t="shared" ref="BS59" si="819">AU59-SUM(BB59:BF59)</f>
        <v>7465.3106833337479</v>
      </c>
      <c r="BT59" s="91">
        <f t="shared" ref="BT59" si="820">AR59+SUM(BB59:BF59)</f>
        <v>7696.1965807564411</v>
      </c>
      <c r="BU59" s="91" t="b">
        <f t="shared" si="739"/>
        <v>1</v>
      </c>
      <c r="BW59" s="516" t="str">
        <f t="shared" ref="BW59" si="821">IF(AND(N59&gt;0,CQ59=FALSE),IF(D59="Sim","Fat. Direto",VLOOKUP(CB59,tbl_IRPJaux,2,FALSE)),"")</f>
        <v>Material</v>
      </c>
      <c r="BX59" s="91">
        <f t="shared" ref="BX59" si="822">IF(AND(BW59&lt;&gt;"NA",D59="Não"),MAX(BL59,BQ59),0)</f>
        <v>7696.1965807564411</v>
      </c>
      <c r="BY59" s="92">
        <f t="shared" si="742"/>
        <v>1</v>
      </c>
      <c r="BZ59" s="516">
        <f t="shared" ref="BZ59" si="823">IF(BX59&gt;0,AA59*BY59+AG59*recuperavel_MB_ir_real+AF59*recuperavel_coberturas_ir_real+SUM(BB59:BF59,BK59,BP59),0)</f>
        <v>6576.3999782563787</v>
      </c>
      <c r="CA59" s="516"/>
      <c r="CB59" s="516" t="str">
        <f t="shared" ref="CB59" si="824">IFERROR(VLOOKUP(L59,tbl_materiais,COLUMN(head_mat_WBS)-COLUMN(head_mat_item)+1,FALSE),IFERROR(VLOOKUP(L59,tbl_servicos,COLUMN(head_serv_WBS)-COLUMN(head_serv_item)+1,FALSE),"?"))</f>
        <v xml:space="preserve">  Comunicação</v>
      </c>
      <c r="CD59" s="91" t="str">
        <f t="shared" ref="CD59" si="825">IFERROR(VLOOKUP(L59,tbl_materiais,COLUMN(head_mat_st)-COLUMN(head_mat_item)+1,FALSE),"Não")</f>
        <v>Não</v>
      </c>
      <c r="CE59" s="519">
        <f>ifzero(mlookup(tbl_ICMSinterest_data,UFdestino,tbl_ICMSinterest_ufdest,UForigem,tbl_ICMSinterest_uforig))</f>
        <v>0.12</v>
      </c>
      <c r="CF59" s="519" t="str">
        <f>IF(N59&gt;0,IF(I59&lt;&gt;"Serviço",ifzero(mlookup(tbl_ICMSinterno_data,UForigem,tbl_ICMSinterno_UF,O59,tbl_ICMSinterno_NCM),mlookup(tbl_ICMSinterest_data,UForigem,tbl_ICMSinterest_ufdest,UForigem,tbl_ICMSinterest_uforig)),""),0)</f>
        <v/>
      </c>
      <c r="CG59" s="519" t="str">
        <f>IF(N59&gt;0,IF(I59&lt;&gt;"Serviço",ifzero(mlookup(tbl_ICMSinterno_data,UFdestino,tbl_ICMSinterno_UF,O59,tbl_ICMSinterno_NCM),mlookup(tbl_ICMSinterest_data,UFdestino,tbl_ICMSinterest_ufdest,UFdestino,tbl_ICMSinterest_uforig)),""),0)</f>
        <v/>
      </c>
      <c r="CI59" s="91">
        <f t="shared" ref="CI59" si="826">IFERROR(IF(AND(I59&lt;&gt;"Serviço",D59="Não"),N59*VLOOKUP(L59,tbl_materiais,COLUMN(head_mat_credito_ICMS)-COLUMN(head_mat_item)+1,FALSE),0),0)</f>
        <v>0</v>
      </c>
      <c r="CJ59" s="91">
        <f t="shared" ref="CJ59" si="827">IFERROR(IF(AND(I59&lt;&gt;"Serviço",D59="Não"),N59*VLOOKUP(L59,tbl_materiais,COLUMN(head_mat_credito_IPI)-COLUMN(head_mat_item)+1,FALSE),0),0)</f>
        <v>0</v>
      </c>
      <c r="CK59" s="91">
        <f t="shared" ref="CK59" si="828">IFERROR(IF(AND(I59&lt;&gt;"Serviço",D59="Não",B59="Real"),N59*VLOOKUP(L59,tbl_materiais,COLUMN(head_mat_credito_PIS)-COLUMN(head_mat_item)+1,FALSE),0),0)</f>
        <v>0</v>
      </c>
      <c r="CL59" s="91">
        <f t="shared" ref="CL59" si="829">IFERROR(IF(AND(I59&lt;&gt;"Serviço",D59="Não",B59="Real"),N59*VLOOKUP(L59,tbl_materiais,COLUMN(head_mat_credito_COFINS)-COLUMN(head_mat_item)+1,FALSE),0),0)</f>
        <v>0</v>
      </c>
      <c r="CN59" s="521">
        <f t="shared" ref="CN59" si="830">IFERROR(SUMIF(serv_col_item,"="&amp;L59,serv_col_totalhh),0)</f>
        <v>0</v>
      </c>
      <c r="CO59" s="91">
        <f t="shared" ref="CO59" si="831">IFERROR(SUMIF(serv_col_item,"="&amp;L59,serv_col_gdv),0)</f>
        <v>0</v>
      </c>
      <c r="CQ59" s="91" t="b">
        <f t="shared" ref="CQ59" si="832">IF(N59&gt;0,IF(ISERROR(HLOOKUP(L59,std_tbl4,1,FALSE)),FALSE,TRUE),FALSE)</f>
        <v>0</v>
      </c>
      <c r="CR59" s="91" t="b">
        <f t="shared" ref="CR59" si="833">IF(AND(CQ59,I59&lt;&gt;std_tiponcm),FALSE,TRUE)</f>
        <v>1</v>
      </c>
      <c r="CS59" s="91" t="b">
        <f t="shared" ref="CS59" si="834">IF(AND(CQ59,D59="Sim"),TRUE,FALSE)</f>
        <v>0</v>
      </c>
      <c r="CU59" s="91">
        <f t="shared" ref="CU59" si="835">IF(D59="Sim",VLOOKUP(L59,tbl_materiais,COLUMN(head_mat_fatdir)-COLUMN(head_mat_item)+1,FALSE),0)</f>
        <v>0</v>
      </c>
      <c r="CV59" s="516">
        <f t="shared" ref="CV59" si="836">CU59*N59</f>
        <v>0</v>
      </c>
      <c r="CW59" s="102">
        <f t="shared" si="757"/>
        <v>0</v>
      </c>
      <c r="CX59" s="516">
        <f t="shared" ref="CX59" si="837">CV59/(1-AK59)</f>
        <v>0</v>
      </c>
      <c r="CY59" s="610">
        <f t="shared" ref="CY59" si="838">IF(D59="Sim",VLOOKUP(L59,tbl_materiais,COLUMN(head_mat_ICMS_input)-COLUMN(head_mat_item)+1,FALSE),0)</f>
        <v>0</v>
      </c>
      <c r="CZ59" s="516">
        <f t="shared" si="760"/>
        <v>0</v>
      </c>
      <c r="DA59" s="610">
        <f t="shared" ref="DA59" si="839">IF(D59="Sim",VLOOKUP(L59,tbl_materiais,COLUMN(head_mat_ISS_input)-COLUMN(head_mat_item)+1,FALSE),0)</f>
        <v>0</v>
      </c>
      <c r="DB59" s="516">
        <f t="shared" si="762"/>
        <v>0</v>
      </c>
      <c r="DC59" s="610">
        <f t="shared" ref="DC59" si="840">IF(D59="Sim",VLOOKUP(L59,tbl_materiais,COLUMN(head_mat_IPI_input)-COLUMN(head_mat_item)+1,FALSE),0)</f>
        <v>0</v>
      </c>
      <c r="DD59" s="516">
        <f t="shared" si="764"/>
        <v>0</v>
      </c>
      <c r="DE59" s="611">
        <f>IF(D59="Sim",HLOOKUP($DH$5,Parametrização!$G$2:$H$4,2,FALSE),0)</f>
        <v>0</v>
      </c>
      <c r="DF59" s="516">
        <f t="shared" si="765"/>
        <v>0</v>
      </c>
      <c r="DG59" s="611">
        <f>IF(D59="Sim",HLOOKUP($DH$5,Parametrização!$G$2:$H$4,3,FALSE),0)</f>
        <v>0</v>
      </c>
      <c r="DH59" s="516">
        <f t="shared" si="766"/>
        <v>0</v>
      </c>
      <c r="DI59" s="516">
        <f t="shared" si="767"/>
        <v>0</v>
      </c>
      <c r="DK59" s="3" t="str">
        <f t="shared" ref="DK59" si="841">IF(AND(I59&lt;&gt;"Serviço",Z59&gt;0),P59,"NA")</f>
        <v>NA</v>
      </c>
      <c r="DL59" s="2">
        <f t="shared" ref="DL59" si="842">IF(AND(I59="Serviço",Z59&gt;0),R59,"NA")</f>
        <v>0.03</v>
      </c>
      <c r="DM59" s="3" t="str">
        <f t="shared" ref="DM59" si="843">IF(AND(I59&lt;&gt;"Serviço",Z59&gt;0),Q59,"NA")</f>
        <v>NA</v>
      </c>
      <c r="DN59" s="9">
        <f t="shared" ref="DN59" si="844">IF(Z59&gt;0,S59,"NA")</f>
        <v>0</v>
      </c>
      <c r="DO59" s="637">
        <f t="shared" ref="DO59" si="845">IF(Z59&gt;0,T59,"NA")</f>
        <v>0</v>
      </c>
      <c r="DP59" s="637"/>
      <c r="DQ59" s="3" t="str">
        <f t="shared" ref="DQ59" si="846">IF(AND(I59&lt;&gt;"Serviço",CU59&gt;0),CY59,"NA")</f>
        <v>NA</v>
      </c>
      <c r="DR59" s="2" t="str">
        <f t="shared" ref="DR59" si="847">IF(AND(I59="Serviço",CU59&gt;0),DA59,"NA")</f>
        <v>NA</v>
      </c>
      <c r="DS59" s="3" t="str">
        <f t="shared" ref="DS59" si="848">IF(AND(I59&lt;&gt;"Serviço",CU59&gt;0),DC59,"NA")</f>
        <v>NA</v>
      </c>
      <c r="DT59" s="9" t="str">
        <f t="shared" ref="DT59" si="849">IF(CU59&gt;0,DE59,"NA")</f>
        <v>NA</v>
      </c>
      <c r="DU59" s="637" t="str">
        <f t="shared" ref="DU59" si="850">IF(CU59&gt;0,DG59,"NA")</f>
        <v>NA</v>
      </c>
      <c r="DV59" s="637"/>
      <c r="DW59" s="2">
        <f t="shared" ref="DW59" si="851">IF(CQ59,N59*HLOOKUP(L59,std_tbl6,ROW(std_PL_real)-ROW(row_std_head)+1,FALSE),AA59)</f>
        <v>6247.5367500000002</v>
      </c>
      <c r="DX59" s="2">
        <f t="shared" ref="DX59" si="852">IF(CQ59,DW59/(1-AC59-AD59)/(1-AK59),AM59)</f>
        <v>7465.3106833337479</v>
      </c>
      <c r="DY59" s="2">
        <f t="shared" ref="DY59" si="853">IF(CQ59,IF(C59="Industrialização",DX59/(1-P59-S59-T59)*(1+Q59),DX59/(1-P59*(1+Q59)-S59-T59)*(1+Q59)),AU59)</f>
        <v>7696.1965807564411</v>
      </c>
      <c r="DZ59" s="637"/>
      <c r="EA59" s="643"/>
    </row>
    <row r="60" spans="1:131" s="91" customFormat="1" ht="35.4" customHeight="1" outlineLevel="1" x14ac:dyDescent="0.25">
      <c r="A60" s="92"/>
      <c r="B60" s="91" t="s">
        <v>268</v>
      </c>
      <c r="C60" s="91" t="s">
        <v>255</v>
      </c>
      <c r="D60" s="757" t="s">
        <v>53</v>
      </c>
      <c r="E60" s="92" t="s">
        <v>38</v>
      </c>
      <c r="F60" s="2" t="s">
        <v>53</v>
      </c>
      <c r="G60" s="831" t="s">
        <v>2300</v>
      </c>
      <c r="H60" s="831" t="s">
        <v>357</v>
      </c>
      <c r="I60" s="803" t="s">
        <v>165</v>
      </c>
      <c r="K60" s="320" t="s">
        <v>3041</v>
      </c>
      <c r="L60" s="523" t="s">
        <v>795</v>
      </c>
      <c r="M60" s="93" t="str">
        <f t="shared" si="700"/>
        <v>Sealtubo de 1" flexível fabricado com fita de aço galvanizado e revestido externamente com PVC extrudado, 1 metro.</v>
      </c>
      <c r="N60" s="609">
        <f>painel_total*2*25</f>
        <v>100</v>
      </c>
      <c r="O60" s="95" t="str">
        <f t="shared" ref="O60" si="854">IF(CQ60,std_ncm,IF(I60="Serviço","NA",IF(I60="Material",IFERROR(VLOOKUP(L60,tbl_materiais,COLUMN(head_mat_NCM)-COLUMN(head_mat_item)+1,FALSE),"?"),IFERROR(VLOOKUP(I60,tbl_TipoLinha,2,FALSE),"?"))))</f>
        <v>NA</v>
      </c>
      <c r="P60" s="96">
        <f t="shared" ref="P60" si="855">IF(AND(D60="Não",I60&lt;&gt;"Serviço",CD60="Não"),IFERROR(IF(flag_interestadual,CE60,IF(CF60,CF60,CE60)),"?"),0)</f>
        <v>0</v>
      </c>
      <c r="Q60" s="96">
        <f t="shared" ref="Q60" si="856">IF(AND(D60="Não",I60&lt;&gt;"Serviço"),IF(I60="Material",IFERROR(VLOOKUP(L60,tbl_materiais,COLUMN(head_mat_IPI)-COLUMN(head_mat_item)+1,FALSE),"?"),IFERROR(VLOOKUP(O60,tbl_NCM_info,COLUMN(head_porNCM_IPI)-COLUMN(head_porNCM_NCM)+1,FALSE),"?")),0)</f>
        <v>0</v>
      </c>
      <c r="R60" s="96">
        <f t="shared" ref="R60" si="857">IF(AND(D60="Não",I60="Serviço"),IFERROR(VLOOKUP(CB60,tbl_ISS,5,FALSE),"?"),0)</f>
        <v>0.03</v>
      </c>
      <c r="S60" s="97">
        <f t="shared" ref="S60" si="858">IF(D60="Não",IF(reidi="Sim",0,IF(B60="Real",pis_naocum,pis_cum)),0)</f>
        <v>0</v>
      </c>
      <c r="T60" s="98">
        <f t="shared" ref="T60" si="859">IF(D60="Não",IF(reidi="Sim",0,IF(B60="Real",cofins_naocum,cofins_cum)),0)</f>
        <v>0</v>
      </c>
      <c r="U60" s="53" t="str" cm="1">
        <f t="array" ref="U60">IFERROR(IF(I60&lt;&gt;"Serviço",IF(AND(mlookup(tbl_DIFAL_data,UFdestino,tbl_DIFAL_UF,O60,tbl_DIFAL_NCM)&lt;&gt;"",C60="Consumo"),"Sim",""),""),"?")</f>
        <v/>
      </c>
      <c r="V60" s="99" t="str">
        <f>IFERROR(IF(I60&lt;&gt;"Serviço",IF(AND(D60="Não",mlookup(tbl_ST_data,UFdestino,tbl_ST_UF,O60,tbl_ST_NCM)&lt;&gt;"",C60="Revenda",CD60="Não"),"Sim",""),""),"?")</f>
        <v/>
      </c>
      <c r="W60" s="96">
        <f t="shared" ref="W60" si="860">IF(OR(U60="Sim",V60="Sim"),CG60,0)</f>
        <v>0</v>
      </c>
      <c r="X60" s="100">
        <f>IF(V60="Sim",mlookup(tbl_ST_data,UFdestino,tbl_ST_UF,O60,tbl_ST_NCM),0)</f>
        <v>0</v>
      </c>
      <c r="Z60" s="516">
        <f t="shared" ref="Z60" si="861">IF(AND(N60&gt;0,CQ60=FALSE),IFERROR(VLOOKUP(L60,tbl_servicos,COLUMN(head_serv_CL)-COLUMN(head_serv_item)+1,FALSE),IF(D60="Sim",0,IF(B60="Real",VLOOKUP(L60,tbl_materiais,COLUMN(head_mat_CLreal)-COLUMN(head_mat_item)+1,FALSE),VLOOKUP(L60,tbl_materiais,COLUMN(head_mat_CLpresumido)-COLUMN(head_mat_item)+1,FALSE)))),0)</f>
        <v>2.3280000000000007</v>
      </c>
      <c r="AA60" s="91">
        <f t="shared" si="708"/>
        <v>232.80000000000007</v>
      </c>
      <c r="AC60" s="517">
        <f t="shared" si="628"/>
        <v>1.31243473968765E-2</v>
      </c>
      <c r="AD60" s="517">
        <f t="shared" ref="AD60" si="862">IF(F60="Sim",0,VLOOKUP(E60,tbl_mb,2,FALSE))</f>
        <v>0.15</v>
      </c>
      <c r="AF60" s="91">
        <f t="shared" ref="AF60" si="863">AI60*AC60</f>
        <v>3.6508985110142835</v>
      </c>
      <c r="AG60" s="91">
        <f t="shared" ref="AG60" si="864">AI60*AD60</f>
        <v>41.726629149002534</v>
      </c>
      <c r="AI60" s="91">
        <f t="shared" ref="AI60" si="865">AA60/(1-AC60-AD60)</f>
        <v>278.17752766001689</v>
      </c>
      <c r="AK60" s="517">
        <f t="shared" si="629"/>
        <v>0</v>
      </c>
      <c r="AL60" s="91">
        <f t="shared" si="713"/>
        <v>0</v>
      </c>
      <c r="AM60" s="91">
        <f t="shared" si="714"/>
        <v>278.17752766001689</v>
      </c>
      <c r="AO60" s="91" t="b">
        <f t="shared" ref="AO60" si="866">IF(ABS(SUM(AA60,AF60:AG60,AL60)-AM60)&lt;0.01,TRUE,FALSE)</f>
        <v>1</v>
      </c>
      <c r="AQ60" s="518">
        <f t="shared" ref="AQ60" si="867">IFERROR(AR60/N60,0)</f>
        <v>2.7817752766001691</v>
      </c>
      <c r="AR60" s="518">
        <f t="shared" si="717"/>
        <v>278.17752766001689</v>
      </c>
      <c r="AT60" s="518">
        <f t="shared" ref="AT60" si="868">IFERROR(AU60/N60,0)</f>
        <v>2.8678095635053289</v>
      </c>
      <c r="AU60" s="518">
        <f t="shared" ref="AU60" si="869">IF(AND(N60&gt;0,CQ60=FALSE),IF(C60="Consumo",AR60*(1+Q60)/(1-P60*(1+Q60)-R60-S60-T60),AR60*(1+Q60)/(1-P60-R60-S60-T60)),0)</f>
        <v>286.7809563505329</v>
      </c>
      <c r="AW60" s="518">
        <f t="shared" ref="AW60" si="870">IF(AU60&gt;0,AU60/(1+Q60),0)</f>
        <v>286.7809563505329</v>
      </c>
      <c r="AX60" s="518">
        <f t="shared" ref="AX60" si="871">IF(AU60&gt;0,IF(C60="Consumo",AW60-AU60*P60,AW60*(1-P60)),0)</f>
        <v>286.7809563505329</v>
      </c>
      <c r="AY60" s="518">
        <f t="shared" ref="AY60" si="872">AX60-AW60*R60</f>
        <v>278.17752766001689</v>
      </c>
      <c r="AZ60" s="518">
        <f t="shared" ref="AZ60" si="873">AY60-AW60*(S60+T60)</f>
        <v>278.17752766001689</v>
      </c>
      <c r="BB60" s="91">
        <f t="shared" ref="BB60" si="874">IF(AW60&gt;0,AW60*Q60,0)</f>
        <v>0</v>
      </c>
      <c r="BC60" s="91">
        <f t="shared" ref="BC60" si="875">IF(AW60&gt;0,IF(C60="Consumo",AU60*P60,AW60*P60),0)</f>
        <v>0</v>
      </c>
      <c r="BD60" s="91">
        <f t="shared" ref="BD60" si="876">AW60*R60</f>
        <v>8.6034286905159867</v>
      </c>
      <c r="BE60" s="91">
        <f t="shared" ref="BE60" si="877">AW60*S60</f>
        <v>0</v>
      </c>
      <c r="BF60" s="91">
        <f t="shared" ref="BF60" si="878">AW60*T60</f>
        <v>0</v>
      </c>
      <c r="BH60" s="519">
        <f t="shared" ref="BH60" si="879">W60</f>
        <v>0</v>
      </c>
      <c r="BJ60" s="520">
        <f t="shared" ref="BJ60" si="880">IF(AND(U60&lt;&gt;"",C60="Consumo"),BH60-P60,0)</f>
        <v>0</v>
      </c>
      <c r="BK60" s="91">
        <f t="shared" ref="BK60" si="881">BJ60*AU60</f>
        <v>0</v>
      </c>
      <c r="BL60" s="91">
        <f t="shared" ref="BL60" si="882">AU60+BK60</f>
        <v>286.7809563505329</v>
      </c>
      <c r="BN60" s="517">
        <f t="shared" ref="BN60" si="883">X60</f>
        <v>0</v>
      </c>
      <c r="BO60" s="91">
        <f t="shared" ref="BO60" si="884">AU60*(1+BN60)</f>
        <v>286.7809563505329</v>
      </c>
      <c r="BP60" s="91">
        <f t="shared" ref="BP60" si="885">IF(AND(V60&lt;&gt;"",C60="Revenda"),BO60*BH60-BC60,0)</f>
        <v>0</v>
      </c>
      <c r="BQ60" s="91">
        <f t="shared" ref="BQ60" si="886">AU60+BP60</f>
        <v>286.7809563505329</v>
      </c>
      <c r="BS60" s="518">
        <f t="shared" ref="BS60" si="887">AU60-SUM(BB60:BF60)</f>
        <v>278.17752766001689</v>
      </c>
      <c r="BT60" s="91">
        <f t="shared" ref="BT60" si="888">AR60+SUM(BB60:BF60)</f>
        <v>286.7809563505329</v>
      </c>
      <c r="BU60" s="91" t="b">
        <f t="shared" si="739"/>
        <v>1</v>
      </c>
      <c r="BW60" s="516" t="str">
        <f t="shared" ref="BW60" si="889">IF(AND(N60&gt;0,CQ60=FALSE),IF(D60="Sim","Fat. Direto",VLOOKUP(CB60,tbl_IRPJaux,2,FALSE)),"")</f>
        <v>Material</v>
      </c>
      <c r="BX60" s="91">
        <f t="shared" ref="BX60" si="890">IF(AND(BW60&lt;&gt;"NA",D60="Não"),MAX(BL60,BQ60),0)</f>
        <v>286.7809563505329</v>
      </c>
      <c r="BY60" s="92">
        <f t="shared" si="742"/>
        <v>1</v>
      </c>
      <c r="BZ60" s="516">
        <f t="shared" ref="BZ60" si="891">IF(BX60&gt;0,AA60*BY60+AG60*recuperavel_MB_ir_real+AF60*recuperavel_coberturas_ir_real+SUM(BB60:BF60,BK60,BP60),0)</f>
        <v>245.05432720153033</v>
      </c>
      <c r="CA60" s="516"/>
      <c r="CB60" s="516" t="str">
        <f t="shared" ref="CB60" si="892">IFERROR(VLOOKUP(L60,tbl_materiais,COLUMN(head_mat_WBS)-COLUMN(head_mat_item)+1,FALSE),IFERROR(VLOOKUP(L60,tbl_servicos,COLUMN(head_serv_WBS)-COLUMN(head_serv_item)+1,FALSE),"?"))</f>
        <v xml:space="preserve">  Comunicação</v>
      </c>
      <c r="CD60" s="91" t="str">
        <f t="shared" ref="CD60" si="893">IFERROR(VLOOKUP(L60,tbl_materiais,COLUMN(head_mat_st)-COLUMN(head_mat_item)+1,FALSE),"Não")</f>
        <v>Não</v>
      </c>
      <c r="CE60" s="519">
        <f>ifzero(mlookup(tbl_ICMSinterest_data,UFdestino,tbl_ICMSinterest_ufdest,UForigem,tbl_ICMSinterest_uforig))</f>
        <v>0.12</v>
      </c>
      <c r="CF60" s="519" t="str">
        <f>IF(N60&gt;0,IF(I60&lt;&gt;"Serviço",ifzero(mlookup(tbl_ICMSinterno_data,UForigem,tbl_ICMSinterno_UF,O60,tbl_ICMSinterno_NCM),mlookup(tbl_ICMSinterest_data,UForigem,tbl_ICMSinterest_ufdest,UForigem,tbl_ICMSinterest_uforig)),""),0)</f>
        <v/>
      </c>
      <c r="CG60" s="519" t="str">
        <f>IF(N60&gt;0,IF(I60&lt;&gt;"Serviço",ifzero(mlookup(tbl_ICMSinterno_data,UFdestino,tbl_ICMSinterno_UF,O60,tbl_ICMSinterno_NCM),mlookup(tbl_ICMSinterest_data,UFdestino,tbl_ICMSinterest_ufdest,UFdestino,tbl_ICMSinterest_uforig)),""),0)</f>
        <v/>
      </c>
      <c r="CI60" s="91">
        <f t="shared" ref="CI60" si="894">IFERROR(IF(AND(I60&lt;&gt;"Serviço",D60="Não"),N60*VLOOKUP(L60,tbl_materiais,COLUMN(head_mat_credito_ICMS)-COLUMN(head_mat_item)+1,FALSE),0),0)</f>
        <v>0</v>
      </c>
      <c r="CJ60" s="91">
        <f t="shared" ref="CJ60" si="895">IFERROR(IF(AND(I60&lt;&gt;"Serviço",D60="Não"),N60*VLOOKUP(L60,tbl_materiais,COLUMN(head_mat_credito_IPI)-COLUMN(head_mat_item)+1,FALSE),0),0)</f>
        <v>0</v>
      </c>
      <c r="CK60" s="91">
        <f t="shared" ref="CK60" si="896">IFERROR(IF(AND(I60&lt;&gt;"Serviço",D60="Não",B60="Real"),N60*VLOOKUP(L60,tbl_materiais,COLUMN(head_mat_credito_PIS)-COLUMN(head_mat_item)+1,FALSE),0),0)</f>
        <v>0</v>
      </c>
      <c r="CL60" s="91">
        <f t="shared" ref="CL60" si="897">IFERROR(IF(AND(I60&lt;&gt;"Serviço",D60="Não",B60="Real"),N60*VLOOKUP(L60,tbl_materiais,COLUMN(head_mat_credito_COFINS)-COLUMN(head_mat_item)+1,FALSE),0),0)</f>
        <v>0</v>
      </c>
      <c r="CN60" s="521">
        <f t="shared" ref="CN60" si="898">IFERROR(SUMIF(serv_col_item,"="&amp;L60,serv_col_totalhh),0)</f>
        <v>0</v>
      </c>
      <c r="CO60" s="91">
        <f t="shared" ref="CO60" si="899">IFERROR(SUMIF(serv_col_item,"="&amp;L60,serv_col_gdv),0)</f>
        <v>0</v>
      </c>
      <c r="CQ60" s="91" t="b">
        <f t="shared" ref="CQ60" si="900">IF(N60&gt;0,IF(ISERROR(HLOOKUP(L60,std_tbl4,1,FALSE)),FALSE,TRUE),FALSE)</f>
        <v>0</v>
      </c>
      <c r="CR60" s="91" t="b">
        <f t="shared" ref="CR60" si="901">IF(AND(CQ60,I60&lt;&gt;std_tiponcm),FALSE,TRUE)</f>
        <v>1</v>
      </c>
      <c r="CS60" s="91" t="b">
        <f t="shared" ref="CS60" si="902">IF(AND(CQ60,D60="Sim"),TRUE,FALSE)</f>
        <v>0</v>
      </c>
      <c r="CU60" s="91">
        <f t="shared" ref="CU60" si="903">IF(D60="Sim",VLOOKUP(L60,tbl_materiais,COLUMN(head_mat_fatdir)-COLUMN(head_mat_item)+1,FALSE),0)</f>
        <v>0</v>
      </c>
      <c r="CV60" s="516">
        <f t="shared" ref="CV60" si="904">CU60*N60</f>
        <v>0</v>
      </c>
      <c r="CW60" s="102">
        <f t="shared" si="757"/>
        <v>0</v>
      </c>
      <c r="CX60" s="516">
        <f t="shared" ref="CX60" si="905">CV60/(1-AK60)</f>
        <v>0</v>
      </c>
      <c r="CY60" s="610">
        <f t="shared" ref="CY60" si="906">IF(D60="Sim",VLOOKUP(L60,tbl_materiais,COLUMN(head_mat_ICMS_input)-COLUMN(head_mat_item)+1,FALSE),0)</f>
        <v>0</v>
      </c>
      <c r="CZ60" s="516">
        <f t="shared" si="760"/>
        <v>0</v>
      </c>
      <c r="DA60" s="610">
        <f t="shared" ref="DA60" si="907">IF(D60="Sim",VLOOKUP(L60,tbl_materiais,COLUMN(head_mat_ISS_input)-COLUMN(head_mat_item)+1,FALSE),0)</f>
        <v>0</v>
      </c>
      <c r="DB60" s="516">
        <f t="shared" si="762"/>
        <v>0</v>
      </c>
      <c r="DC60" s="610">
        <f t="shared" ref="DC60" si="908">IF(D60="Sim",VLOOKUP(L60,tbl_materiais,COLUMN(head_mat_IPI_input)-COLUMN(head_mat_item)+1,FALSE),0)</f>
        <v>0</v>
      </c>
      <c r="DD60" s="516">
        <f t="shared" si="764"/>
        <v>0</v>
      </c>
      <c r="DE60" s="611">
        <f>IF(D60="Sim",HLOOKUP($DH$5,Parametrização!$G$2:$H$4,2,FALSE),0)</f>
        <v>0</v>
      </c>
      <c r="DF60" s="516">
        <f t="shared" si="765"/>
        <v>0</v>
      </c>
      <c r="DG60" s="611">
        <f>IF(D60="Sim",HLOOKUP($DH$5,Parametrização!$G$2:$H$4,3,FALSE),0)</f>
        <v>0</v>
      </c>
      <c r="DH60" s="516">
        <f t="shared" si="766"/>
        <v>0</v>
      </c>
      <c r="DI60" s="516">
        <f t="shared" si="767"/>
        <v>0</v>
      </c>
      <c r="DK60" s="3" t="str">
        <f t="shared" ref="DK60" si="909">IF(AND(I60&lt;&gt;"Serviço",Z60&gt;0),P60,"NA")</f>
        <v>NA</v>
      </c>
      <c r="DL60" s="2">
        <f t="shared" ref="DL60" si="910">IF(AND(I60="Serviço",Z60&gt;0),R60,"NA")</f>
        <v>0.03</v>
      </c>
      <c r="DM60" s="3" t="str">
        <f t="shared" ref="DM60" si="911">IF(AND(I60&lt;&gt;"Serviço",Z60&gt;0),Q60,"NA")</f>
        <v>NA</v>
      </c>
      <c r="DN60" s="9">
        <f t="shared" ref="DN60" si="912">IF(Z60&gt;0,S60,"NA")</f>
        <v>0</v>
      </c>
      <c r="DO60" s="637">
        <f t="shared" ref="DO60" si="913">IF(Z60&gt;0,T60,"NA")</f>
        <v>0</v>
      </c>
      <c r="DP60" s="637"/>
      <c r="DQ60" s="3" t="str">
        <f t="shared" ref="DQ60" si="914">IF(AND(I60&lt;&gt;"Serviço",CU60&gt;0),CY60,"NA")</f>
        <v>NA</v>
      </c>
      <c r="DR60" s="2" t="str">
        <f t="shared" ref="DR60" si="915">IF(AND(I60="Serviço",CU60&gt;0),DA60,"NA")</f>
        <v>NA</v>
      </c>
      <c r="DS60" s="3" t="str">
        <f t="shared" ref="DS60" si="916">IF(AND(I60&lt;&gt;"Serviço",CU60&gt;0),DC60,"NA")</f>
        <v>NA</v>
      </c>
      <c r="DT60" s="9" t="str">
        <f t="shared" ref="DT60" si="917">IF(CU60&gt;0,DE60,"NA")</f>
        <v>NA</v>
      </c>
      <c r="DU60" s="637" t="str">
        <f t="shared" ref="DU60" si="918">IF(CU60&gt;0,DG60,"NA")</f>
        <v>NA</v>
      </c>
      <c r="DV60" s="637"/>
      <c r="DW60" s="2">
        <f t="shared" ref="DW60" si="919">IF(CQ60,N60*HLOOKUP(L60,std_tbl6,ROW(std_PL_real)-ROW(row_std_head)+1,FALSE),AA60)</f>
        <v>232.80000000000007</v>
      </c>
      <c r="DX60" s="2">
        <f t="shared" ref="DX60" si="920">IF(CQ60,DW60/(1-AC60-AD60)/(1-AK60),AM60)</f>
        <v>278.17752766001689</v>
      </c>
      <c r="DY60" s="2">
        <f t="shared" ref="DY60" si="921">IF(CQ60,IF(C60="Industrialização",DX60/(1-P60-S60-T60)*(1+Q60),DX60/(1-P60*(1+Q60)-S60-T60)*(1+Q60)),AU60)</f>
        <v>286.7809563505329</v>
      </c>
      <c r="DZ60" s="637"/>
      <c r="EA60" s="643"/>
    </row>
    <row r="61" spans="1:131" s="91" customFormat="1" ht="22.65" customHeight="1" outlineLevel="1" x14ac:dyDescent="0.25">
      <c r="A61" s="92"/>
      <c r="B61" s="91" t="s">
        <v>268</v>
      </c>
      <c r="C61" s="91" t="s">
        <v>255</v>
      </c>
      <c r="D61" s="757" t="s">
        <v>53</v>
      </c>
      <c r="E61" s="778" t="s">
        <v>1017</v>
      </c>
      <c r="F61" s="2" t="s">
        <v>53</v>
      </c>
      <c r="G61" s="831" t="s">
        <v>2300</v>
      </c>
      <c r="H61" s="255" t="s">
        <v>2794</v>
      </c>
      <c r="I61" s="803" t="s">
        <v>165</v>
      </c>
      <c r="K61" s="320" t="s">
        <v>3042</v>
      </c>
      <c r="L61" s="523" t="s">
        <v>26</v>
      </c>
      <c r="M61" s="93" t="str">
        <f>IFERROR(IFERROR(VLOOKUP(L61,tbl_materiais,COLUMN(head_mat_descricao)-COLUMN(head_mat_item)+1,FALSE),VLOOKUP(L61,tbl_servicos,COLUMN(head_serv_descricao)-COLUMN(head_serv_item)+1,FALSE)),"?")</f>
        <v>Comissão.</v>
      </c>
      <c r="N61" s="94">
        <v>1</v>
      </c>
      <c r="O61" s="95" t="str">
        <f>IF(CQ61,std_ncm,IF(I61="Serviço","NA",IF(I61="Material",IFERROR(VLOOKUP(L61,tbl_materiais,COLUMN(head_mat_NCM)-COLUMN(head_mat_item)+1,FALSE),"?"),IFERROR(VLOOKUP(I61,tbl_TipoLinha,2,FALSE),"?"))))</f>
        <v>NA</v>
      </c>
      <c r="P61" s="96">
        <f>IF(AND(D61="Não",I61&lt;&gt;"Serviço",CD61="Não"),IFERROR(IF(flag_interestadual,CE61,IF(CF61,CF61,CE61)),"?"),0)</f>
        <v>0</v>
      </c>
      <c r="Q61" s="96">
        <f>IF(AND(D61="Não",I61&lt;&gt;"Serviço"),IF(I61="Material",IFERROR(VLOOKUP(L61,tbl_materiais,COLUMN(head_mat_IPI)-COLUMN(head_mat_item)+1,FALSE),"?"),IFERROR(VLOOKUP(O61,tbl_NCM_info,COLUMN(head_porNCM_IPI)-COLUMN(head_porNCM_NCM)+1,FALSE),"?")),0)</f>
        <v>0</v>
      </c>
      <c r="R61" s="96">
        <f>IF(AND(D61="Não",I61="Serviço"),IFERROR(VLOOKUP(CB61,tbl_ISS,5,FALSE),"?"),0)</f>
        <v>0.03</v>
      </c>
      <c r="S61" s="97">
        <f>IF(D61="Não",IF(reidi="Sim",0,IF(B61="Real",pis_naocum,pis_cum)),0)</f>
        <v>0</v>
      </c>
      <c r="T61" s="98">
        <f>IF(D61="Não",IF(reidi="Sim",0,IF(B61="Real",cofins_naocum,cofins_cum)),0)</f>
        <v>0</v>
      </c>
      <c r="U61" s="53" t="str" cm="1">
        <f t="array" ref="U61">IFERROR(IF(I61&lt;&gt;"Serviço",IF(AND(mlookup(tbl_DIFAL_data,UFdestino,tbl_DIFAL_UF,O61,tbl_DIFAL_NCM)&lt;&gt;"",C61="Consumo"),"Sim",""),""),"?")</f>
        <v/>
      </c>
      <c r="V61" s="99" t="str">
        <f>IFERROR(IF(I61&lt;&gt;"Serviço",IF(AND(D61="Não",mlookup(tbl_ST_data,UFdestino,tbl_ST_UF,O61,tbl_ST_NCM)&lt;&gt;"",C61="Revenda",CD61="Não"),"Sim",""),""),"?")</f>
        <v/>
      </c>
      <c r="W61" s="96">
        <f>IF(OR(U61="Sim",V61="Sim"),CG61,0)</f>
        <v>0</v>
      </c>
      <c r="X61" s="100">
        <f>IF(V61="Sim",mlookup(tbl_ST_data,UFdestino,tbl_ST_UF,O61,tbl_ST_NCM),0)</f>
        <v>0</v>
      </c>
      <c r="Z61" s="516">
        <f>IF(AND(N61&gt;0,CQ61=FALSE),IFERROR(VLOOKUP(L61,tbl_servicos,COLUMN(head_serv_CL)-COLUMN(head_serv_item)+1,FALSE),IF(D61="Sim",0,IF(B61="Real",VLOOKUP(L61,tbl_materiais,COLUMN(head_mat_CLreal)-COLUMN(head_mat_item)+1,FALSE),VLOOKUP(L61,tbl_materiais,COLUMN(head_mat_CLpresumido)-COLUMN(head_mat_item)+1,FALSE)))),0)</f>
        <v>14403.004055612413</v>
      </c>
      <c r="AA61" s="91">
        <f>Z61*N61</f>
        <v>14403.004055612413</v>
      </c>
      <c r="AC61" s="517">
        <f t="shared" ref="AC61" si="922">cobertura_pc</f>
        <v>1.31243473968765E-2</v>
      </c>
      <c r="AD61" s="517">
        <f>IF(F61="Sim",0,VLOOKUP(E61,tbl_mb,2,FALSE))</f>
        <v>0.64794776875939952</v>
      </c>
      <c r="AF61" s="91">
        <f>AI61*AC61</f>
        <v>557.72935127296341</v>
      </c>
      <c r="AG61" s="91">
        <f>AI61*AD61</f>
        <v>27535.044433138803</v>
      </c>
      <c r="AI61" s="91">
        <f>AA61/(1-AC61-AD61)</f>
        <v>42495.77784002418</v>
      </c>
      <c r="AK61" s="517">
        <f t="shared" ref="AK61" si="923">mn_pc</f>
        <v>0</v>
      </c>
      <c r="AL61" s="91">
        <f>AM61*AK61</f>
        <v>0</v>
      </c>
      <c r="AM61" s="91">
        <f>AI61/(1-AK61)</f>
        <v>42495.77784002418</v>
      </c>
      <c r="AO61" s="91" t="b">
        <f>IF(ABS(SUM(AA61,AF61:AG61,AL61)-AM61)&lt;0.01,TRUE,FALSE)</f>
        <v>1</v>
      </c>
      <c r="AQ61" s="518">
        <f>IFERROR(AR61/N61,0)</f>
        <v>42495.77784002418</v>
      </c>
      <c r="AR61" s="518">
        <f>AM61</f>
        <v>42495.77784002418</v>
      </c>
      <c r="AT61" s="518">
        <f>IFERROR(AU61/N61,0)</f>
        <v>43810.080247447608</v>
      </c>
      <c r="AU61" s="518">
        <f>IF(AND(N61&gt;0,CQ61=FALSE),IF(C61="Consumo",AR61*(1+Q61)/(1-P61*(1+Q61)-R61-S61-T61),AR61*(1+Q61)/(1-P61-R61-S61-T61)),0)</f>
        <v>43810.080247447608</v>
      </c>
      <c r="AW61" s="518">
        <f>IF(AU61&gt;0,AU61/(1+Q61),0)</f>
        <v>43810.080247447608</v>
      </c>
      <c r="AX61" s="518">
        <f>IF(AU61&gt;0,IF(C61="Consumo",AW61-AU61*P61,AW61*(1-P61)),0)</f>
        <v>43810.080247447608</v>
      </c>
      <c r="AY61" s="518">
        <f>AX61-AW61*R61</f>
        <v>42495.77784002418</v>
      </c>
      <c r="AZ61" s="518">
        <f>AY61-AW61*(S61+T61)</f>
        <v>42495.77784002418</v>
      </c>
      <c r="BB61" s="91">
        <f>IF(AW61&gt;0,AW61*Q61,0)</f>
        <v>0</v>
      </c>
      <c r="BC61" s="91">
        <f>IF(AW61&gt;0,IF(C61="Consumo",AU61*P61,AW61*P61),0)</f>
        <v>0</v>
      </c>
      <c r="BD61" s="91">
        <f>AW61*R61</f>
        <v>1314.3024074234281</v>
      </c>
      <c r="BE61" s="91">
        <f>AW61*S61</f>
        <v>0</v>
      </c>
      <c r="BF61" s="91">
        <f>AW61*T61</f>
        <v>0</v>
      </c>
      <c r="BH61" s="519">
        <f>W61</f>
        <v>0</v>
      </c>
      <c r="BJ61" s="520">
        <f>IF(AND(U61&lt;&gt;"",C61="Consumo"),BH61-P61,0)</f>
        <v>0</v>
      </c>
      <c r="BK61" s="91">
        <f>BJ61*AU61</f>
        <v>0</v>
      </c>
      <c r="BL61" s="91">
        <f>AU61+BK61</f>
        <v>43810.080247447608</v>
      </c>
      <c r="BN61" s="517">
        <f>X61</f>
        <v>0</v>
      </c>
      <c r="BO61" s="91">
        <f>AU61*(1+BN61)</f>
        <v>43810.080247447608</v>
      </c>
      <c r="BP61" s="91">
        <f>IF(AND(V61&lt;&gt;"",C61="Revenda"),BO61*BH61-BC61,0)</f>
        <v>0</v>
      </c>
      <c r="BQ61" s="91">
        <f>AU61+BP61</f>
        <v>43810.080247447608</v>
      </c>
      <c r="BS61" s="518">
        <f>AU61-SUM(BB61:BF61)</f>
        <v>42495.77784002418</v>
      </c>
      <c r="BT61" s="91">
        <f>AR61+SUM(BB61:BF61)</f>
        <v>43810.080247447608</v>
      </c>
      <c r="BU61" s="91" t="b">
        <f>IF(ABS(BT61-BS61-SUM(BB61:BF61))&lt;0.01,TRUE,FALSE)</f>
        <v>1</v>
      </c>
      <c r="BW61" s="516" t="str">
        <f>IF(AND(N61&gt;0,CQ61=FALSE),IF(D61="Sim","Fat. Direto",VLOOKUP(CB61,tbl_IRPJaux,2,FALSE)),"")</f>
        <v>Serviço</v>
      </c>
      <c r="BX61" s="91">
        <f>IF(AND(BW61&lt;&gt;"NA",D61="Não"),MAX(BL61,BQ61),0)</f>
        <v>43810.080247447608</v>
      </c>
      <c r="BY61" s="92">
        <f t="shared" ref="BY61" si="924">IF(BX61&gt;0,VLOOKUP(CB61,tbl_IRPJaux,3,FALSE),0)</f>
        <v>1</v>
      </c>
      <c r="BZ61" s="516">
        <f>IF(BX61&gt;0,AA61*BY61+AG61*recuperavel_MB_ir_real+AF61*recuperavel_coberturas_ir_real+SUM(BB61:BF61,BK61,BP61),0)</f>
        <v>16275.035814308805</v>
      </c>
      <c r="CA61" s="516"/>
      <c r="CB61" s="516" t="str">
        <f>IFERROR(VLOOKUP(L61,tbl_materiais,COLUMN(head_mat_WBS)-COLUMN(head_mat_item)+1,FALSE),IFERROR(VLOOKUP(L61,tbl_servicos,COLUMN(head_serv_WBS)-COLUMN(head_serv_item)+1,FALSE),"?"))</f>
        <v>Comissão</v>
      </c>
      <c r="CD61" s="91" t="str">
        <f>IFERROR(VLOOKUP(L61,tbl_materiais,COLUMN(head_mat_st)-COLUMN(head_mat_item)+1,FALSE),"Não")</f>
        <v>Não</v>
      </c>
      <c r="CE61" s="519">
        <f>ifzero(mlookup(tbl_ICMSinterest_data,UFdestino,tbl_ICMSinterest_ufdest,UForigem,tbl_ICMSinterest_uforig))</f>
        <v>0.12</v>
      </c>
      <c r="CF61" s="519" t="str">
        <f>IF(N61&gt;0,IF(I61&lt;&gt;"Serviço",ifzero(mlookup(tbl_ICMSinterno_data,UForigem,tbl_ICMSinterno_UF,O61,tbl_ICMSinterno_NCM),mlookup(tbl_ICMSinterest_data,UForigem,tbl_ICMSinterest_ufdest,UForigem,tbl_ICMSinterest_uforig)),""),0)</f>
        <v/>
      </c>
      <c r="CG61" s="519" t="str">
        <f>IF(N61&gt;0,IF(I61&lt;&gt;"Serviço",ifzero(mlookup(tbl_ICMSinterno_data,UFdestino,tbl_ICMSinterno_UF,O61,tbl_ICMSinterno_NCM),mlookup(tbl_ICMSinterest_data,UFdestino,tbl_ICMSinterest_ufdest,UFdestino,tbl_ICMSinterest_uforig)),""),0)</f>
        <v/>
      </c>
      <c r="CI61" s="91">
        <f>IFERROR(IF(AND(I61&lt;&gt;"Serviço",D61="Não"),N61*VLOOKUP(L61,tbl_materiais,COLUMN(head_mat_credito_ICMS)-COLUMN(head_mat_item)+1,FALSE),0),0)</f>
        <v>0</v>
      </c>
      <c r="CJ61" s="91">
        <f>IFERROR(IF(AND(I61&lt;&gt;"Serviço",D61="Não"),N61*VLOOKUP(L61,tbl_materiais,COLUMN(head_mat_credito_IPI)-COLUMN(head_mat_item)+1,FALSE),0),0)</f>
        <v>0</v>
      </c>
      <c r="CK61" s="91">
        <f>IFERROR(IF(AND(I61&lt;&gt;"Serviço",D61="Não",B61="Real"),N61*VLOOKUP(L61,tbl_materiais,COLUMN(head_mat_credito_PIS)-COLUMN(head_mat_item)+1,FALSE),0),0)</f>
        <v>0</v>
      </c>
      <c r="CL61" s="91">
        <f>IFERROR(IF(AND(I61&lt;&gt;"Serviço",D61="Não",B61="Real"),N61*VLOOKUP(L61,tbl_materiais,COLUMN(head_mat_credito_COFINS)-COLUMN(head_mat_item)+1,FALSE),0),0)</f>
        <v>0</v>
      </c>
      <c r="CN61" s="521">
        <f>IFERROR(SUMIF(serv_col_item,"="&amp;L61,serv_col_totalhh),0)</f>
        <v>0</v>
      </c>
      <c r="CO61" s="91">
        <f>IFERROR(SUMIF(serv_col_item,"="&amp;L61,serv_col_gdv),0)</f>
        <v>0</v>
      </c>
      <c r="CQ61" s="91" t="b">
        <f>IF(N61&gt;0,IF(ISERROR(HLOOKUP(L61,std_tbl4,1,FALSE)),FALSE,TRUE),FALSE)</f>
        <v>0</v>
      </c>
      <c r="CR61" s="91" t="b">
        <f>IF(AND(CQ61,I61&lt;&gt;std_tiponcm),FALSE,TRUE)</f>
        <v>1</v>
      </c>
      <c r="CS61" s="91" t="b">
        <f>IF(AND(CQ61,D61="Sim"),TRUE,FALSE)</f>
        <v>0</v>
      </c>
      <c r="CU61" s="91">
        <f>IF(D61="Sim",VLOOKUP(L61,tbl_materiais,COLUMN(head_mat_fatdir)-COLUMN(head_mat_item)+1,FALSE),0)</f>
        <v>0</v>
      </c>
      <c r="CV61" s="516">
        <f>CU61*N61</f>
        <v>0</v>
      </c>
      <c r="CW61" s="102">
        <f>CX61*(1-CY61-DA61-DE61-DG61)/(1+DC61)</f>
        <v>0</v>
      </c>
      <c r="CX61" s="516">
        <f>CV61/(1-AK61)</f>
        <v>0</v>
      </c>
      <c r="CY61" s="610">
        <f>IF(D61="Sim",VLOOKUP(L61,tbl_materiais,COLUMN(head_mat_ICMS_input)-COLUMN(head_mat_item)+1,FALSE),0)</f>
        <v>0</v>
      </c>
      <c r="CZ61" s="516">
        <f>CX61*CY61</f>
        <v>0</v>
      </c>
      <c r="DA61" s="610">
        <f>IF(D61="Sim",VLOOKUP(L61,tbl_materiais,COLUMN(head_mat_ISS_input)-COLUMN(head_mat_item)+1,FALSE),0)</f>
        <v>0</v>
      </c>
      <c r="DB61" s="516">
        <f t="shared" ref="DB61" si="925">CX61*DA61</f>
        <v>0</v>
      </c>
      <c r="DC61" s="610">
        <f>IF(D61="Sim",VLOOKUP(L61,tbl_materiais,COLUMN(head_mat_IPI_input)-COLUMN(head_mat_item)+1,FALSE),0)</f>
        <v>0</v>
      </c>
      <c r="DD61" s="516">
        <f t="shared" ref="DD61" si="926">CX61*DC61/(1+DC61)</f>
        <v>0</v>
      </c>
      <c r="DE61" s="611">
        <f>IF(D61="Sim",HLOOKUP($DH$5,Parametrização!$G$2:$H$4,2,FALSE),0)</f>
        <v>0</v>
      </c>
      <c r="DF61" s="516">
        <f>(CX61-DD61)*DE61</f>
        <v>0</v>
      </c>
      <c r="DG61" s="611">
        <f>IF(D61="Sim",HLOOKUP($DH$5,Parametrização!$G$2:$H$4,3,FALSE),0)</f>
        <v>0</v>
      </c>
      <c r="DH61" s="516">
        <f>(CX61-DD61)*DG61</f>
        <v>0</v>
      </c>
      <c r="DI61" s="516">
        <f>CX61-CZ61-DD61-DF61-DH61</f>
        <v>0</v>
      </c>
      <c r="DK61" s="3" t="str">
        <f>IF(AND(I61&lt;&gt;"Serviço",Z61&gt;0),P61,"NA")</f>
        <v>NA</v>
      </c>
      <c r="DL61" s="2">
        <f>IF(AND(I61="Serviço",Z61&gt;0),R61,"NA")</f>
        <v>0.03</v>
      </c>
      <c r="DM61" s="3" t="str">
        <f>IF(AND(I61&lt;&gt;"Serviço",Z61&gt;0),Q61,"NA")</f>
        <v>NA</v>
      </c>
      <c r="DN61" s="9">
        <f>IF(Z61&gt;0,S61,"NA")</f>
        <v>0</v>
      </c>
      <c r="DO61" s="637">
        <f>IF(Z61&gt;0,T61,"NA")</f>
        <v>0</v>
      </c>
      <c r="DP61" s="637"/>
      <c r="DQ61" s="3" t="str">
        <f>IF(AND(I61&lt;&gt;"Serviço",CU61&gt;0),CY61,"NA")</f>
        <v>NA</v>
      </c>
      <c r="DR61" s="2" t="str">
        <f>IF(AND(I61="Serviço",CU61&gt;0),DA61,"NA")</f>
        <v>NA</v>
      </c>
      <c r="DS61" s="3" t="str">
        <f>IF(AND(I61&lt;&gt;"Serviço",CU61&gt;0),DC61,"NA")</f>
        <v>NA</v>
      </c>
      <c r="DT61" s="9" t="str">
        <f>IF(CU61&gt;0,DE61,"NA")</f>
        <v>NA</v>
      </c>
      <c r="DU61" s="637" t="str">
        <f>IF(CU61&gt;0,DG61,"NA")</f>
        <v>NA</v>
      </c>
      <c r="DV61" s="637"/>
      <c r="DW61" s="2">
        <f>IF(CQ61,N61*HLOOKUP(L61,std_tbl6,ROW(std_PL_real)-ROW(row_std_head)+1,FALSE),AA61)</f>
        <v>14403.004055612413</v>
      </c>
      <c r="DX61" s="2">
        <f>IF(CQ61,DW61/(1-AC61-AD61)/(1-AK61),AM61)</f>
        <v>42495.77784002418</v>
      </c>
      <c r="DY61" s="2">
        <f>IF(CQ61,IF(C61="Industrialização",DX61/(1-P61-S61-T61)*(1+Q61),DX61/(1-P61*(1+Q61)-S61-T61)*(1+Q61)),AU61)</f>
        <v>43810.080247447608</v>
      </c>
      <c r="DZ61" s="637"/>
      <c r="EA61" s="643"/>
    </row>
    <row r="62" spans="1:131" s="371" customFormat="1" ht="20.100000000000001" customHeight="1" x14ac:dyDescent="0.25">
      <c r="A62" s="372" t="s">
        <v>348</v>
      </c>
      <c r="B62"/>
      <c r="C62"/>
      <c r="D62"/>
      <c r="E62"/>
      <c r="F62"/>
      <c r="G62"/>
      <c r="H62"/>
      <c r="I62"/>
      <c r="K62" s="622" t="s">
        <v>2376</v>
      </c>
      <c r="L62" s="748" t="s">
        <v>376</v>
      </c>
      <c r="M62" s="373"/>
      <c r="N62" s="374"/>
      <c r="O62" s="375"/>
      <c r="P62" s="376"/>
      <c r="Q62" s="376"/>
      <c r="R62" s="376"/>
      <c r="S62" s="376"/>
      <c r="T62" s="377"/>
      <c r="U62" s="378"/>
      <c r="V62" s="376"/>
      <c r="W62" s="376"/>
      <c r="X62" s="377"/>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s="643"/>
    </row>
    <row r="63" spans="1:131" s="355" customFormat="1" ht="20.100000000000001" customHeight="1" outlineLevel="1" x14ac:dyDescent="0.25">
      <c r="A63" s="356"/>
      <c r="B63" s="355" t="s">
        <v>268</v>
      </c>
      <c r="C63" s="681" t="s">
        <v>255</v>
      </c>
      <c r="D63" s="355" t="s">
        <v>53</v>
      </c>
      <c r="E63" s="18" t="s">
        <v>38</v>
      </c>
      <c r="F63" s="355" t="s">
        <v>53</v>
      </c>
      <c r="G63" s="683" t="s">
        <v>726</v>
      </c>
      <c r="H63" s="255" t="s">
        <v>377</v>
      </c>
      <c r="I63" s="356" t="str">
        <f t="shared" ref="I63:I126" si="927">std_tiponcm</f>
        <v>Sistema</v>
      </c>
      <c r="K63" s="318" t="s">
        <v>2377</v>
      </c>
      <c r="L63" s="749" t="str">
        <f>IF(Padrões!JF4&lt;&gt;"",Padrões!JF4,"")</f>
        <v>Painel P&amp;C</v>
      </c>
      <c r="M63" s="358" t="str">
        <f t="shared" ref="M63:M126" si="928">IFERROR(IFERROR(VLOOKUP(L63,tbl_materiais,COLUMN(head_mat_descricao)-COLUMN(head_mat_item)+1,FALSE),VLOOKUP(L63,tbl_servicos,COLUMN(head_serv_descricao)-COLUMN(head_serv_item)+1,FALSE)),"?")</f>
        <v>Chaparia completa para proteção e controle com seus acessórios (relés auxiliares, minidisjuntores, contatores, bornes), medidas 800x800x2300 (LxPxA), chapa de bitola 14/16, grau de proteção IP54 (abrigado), porta frontal externa com visor, porta interna basculante e porta traseira, venezianas, limitador de porta, olhal de içamento, cor a definir. Fabricante: PSI.</v>
      </c>
      <c r="N63" s="359">
        <f>Padrões!JI4</f>
        <v>0</v>
      </c>
      <c r="O63" s="381" t="str">
        <f t="shared" ref="O63:O126" si="929">IF(CQ63,std_ncm,IF(I63="Serviço","NA",IF(I63="Material",IFERROR(VLOOKUP(L63,tbl_materiais,COLUMN(head_mat_NCM)-COLUMN(head_mat_item)+1,FALSE),"?"),IFERROR(VLOOKUP(I63,tbl_TipoLinha,2,FALSE),"?"))))</f>
        <v>?</v>
      </c>
      <c r="P63" s="360">
        <f t="shared" ref="P63:P126" si="930">IF(AND(D63="Não",I63&lt;&gt;"Serviço",CD63="Não"),IFERROR(IF(flag_interestadual,CE63,IF(CF63,CF63,CE63)),"?"),0)</f>
        <v>0.12</v>
      </c>
      <c r="Q63" s="360" t="str">
        <f t="shared" ref="Q63:Q126" si="931">IF(AND(D63="Não",I63&lt;&gt;"Serviço"),IF(I63="Material",IFERROR(VLOOKUP(L63,tbl_materiais,COLUMN(head_mat_IPI)-COLUMN(head_mat_item)+1,FALSE),"?"),IFERROR(VLOOKUP(O63,tbl_NCM_info,COLUMN(head_porNCM_IPI)-COLUMN(head_porNCM_NCM)+1,FALSE),"?")),0)</f>
        <v>?</v>
      </c>
      <c r="R63" s="360">
        <f t="shared" ref="R63:R126" si="932">IF(AND(D63="Não",I63="Serviço"),IFERROR(VLOOKUP(CB63,tbl_ISS,5,FALSE),"?"),0)</f>
        <v>0</v>
      </c>
      <c r="S63" s="361">
        <f t="shared" ref="S63:S126" si="933">IF(D63="Não",IF(reidi="Sim",0,IF(B63="Real",pis_naocum,pis_cum)),0)</f>
        <v>0</v>
      </c>
      <c r="T63" s="362">
        <f t="shared" ref="T63:T126" si="934">IF(D63="Não",IF(reidi="Sim",0,IF(B63="Real",cofins_naocum,cofins_cum)),0)</f>
        <v>0</v>
      </c>
      <c r="U63" s="53" t="str" cm="1">
        <f t="array" ref="U63">IFERROR(IF(I63&lt;&gt;"Serviço",IF(AND(mlookup(tbl_DIFAL_data,UFdestino,tbl_DIFAL_UF,O63,tbl_DIFAL_NCM)&lt;&gt;"",C63="Consumo"),"Sim",""),""),"?")</f>
        <v>?</v>
      </c>
      <c r="V63" s="363" t="str">
        <f>IFERROR(IF(I63&lt;&gt;"Serviço",IF(AND(D63="Não",mlookup(tbl_ST_data,UFdestino,tbl_ST_UF,O63,tbl_ST_NCM)&lt;&gt;"",C63="Revenda",CD63="Não"),"Sim",""),""),"?")</f>
        <v>?</v>
      </c>
      <c r="W63" s="364">
        <f t="shared" ref="W63:W126" si="935">IF(OR(U63="Sim",V63="Sim"),CG63,0)</f>
        <v>0</v>
      </c>
      <c r="X63" s="365">
        <f>IF(V63="Sim",mlookup(tbl_ST_data,UFdestino,tbl_ST_UF,O63,tbl_ST_NCM),0)</f>
        <v>0</v>
      </c>
      <c r="Z63" s="355">
        <f t="shared" ref="Z63:Z126" si="936">IF(AND(N63&gt;0,CQ63=FALSE),IFERROR(VLOOKUP(L63,tbl_servicos,COLUMN(head_serv_CL)-COLUMN(head_serv_item)+1,FALSE),IF(D63="Sim",0,IF(B63="Real",VLOOKUP(L63,tbl_materiais,COLUMN(head_mat_CLreal)-COLUMN(head_mat_item)+1,FALSE),VLOOKUP(L63,tbl_materiais,COLUMN(head_mat_CLpresumido)-COLUMN(head_mat_item)+1,FALSE)))),0)</f>
        <v>0</v>
      </c>
      <c r="AA63" s="355">
        <f t="shared" ref="AA63:AA117" si="937">Z63*N63</f>
        <v>0</v>
      </c>
      <c r="AC63" s="366">
        <f t="shared" ref="AC63:AC67" si="938">cobertura_pc</f>
        <v>1.31243473968765E-2</v>
      </c>
      <c r="AD63" s="366">
        <f t="shared" ref="AD63:AD126" si="939">IF(F63="Sim",0,VLOOKUP(E63,tbl_mb,2,FALSE))</f>
        <v>0.15</v>
      </c>
      <c r="AF63" s="355">
        <f t="shared" ref="AF63:AF126" si="940">AI63*AC63</f>
        <v>0</v>
      </c>
      <c r="AG63" s="355">
        <f t="shared" ref="AG63:AG126" si="941">AI63*AD63</f>
        <v>0</v>
      </c>
      <c r="AI63" s="355">
        <f t="shared" ref="AI63:AI126" si="942">AA63/(1-AC63-AD63)</f>
        <v>0</v>
      </c>
      <c r="AK63" s="366">
        <f t="shared" ref="AK63:AK67" si="943">mn_pc</f>
        <v>0</v>
      </c>
      <c r="AL63" s="355">
        <f t="shared" ref="AL63:AL117" si="944">AM63*AK63</f>
        <v>0</v>
      </c>
      <c r="AM63" s="355">
        <f t="shared" ref="AM63:AM117" si="945">AI63/(1-AK63)</f>
        <v>0</v>
      </c>
      <c r="AO63" s="355" t="b">
        <f t="shared" ref="AO63:AO126" si="946">IF(ABS(SUM(AA63,AF63:AG63,AL63)-AM63)&lt;0.01,TRUE,FALSE)</f>
        <v>1</v>
      </c>
      <c r="AQ63" s="367">
        <f t="shared" ref="AQ63:AQ126" si="947">IFERROR(AR63/N63,0)</f>
        <v>0</v>
      </c>
      <c r="AR63" s="367">
        <f t="shared" ref="AR63:AR117" si="948">AM63</f>
        <v>0</v>
      </c>
      <c r="AT63" s="367">
        <f t="shared" ref="AT63:AT126" si="949">IFERROR(AU63/N63,0)</f>
        <v>0</v>
      </c>
      <c r="AU63" s="367">
        <f t="shared" ref="AU63:AU126" si="950">IF(AND(N63&gt;0,CQ63=FALSE),IF(C63="Consumo",AR63*(1+Q63)/(1-P63*(1+Q63)-R63-S63-T63),AR63*(1+Q63)/(1-P63-R63-S63-T63)),0)</f>
        <v>0</v>
      </c>
      <c r="AW63" s="367">
        <f t="shared" ref="AW63:AW126" si="951">IF(AU63&gt;0,AU63/(1+Q63),0)</f>
        <v>0</v>
      </c>
      <c r="AX63" s="367">
        <f t="shared" ref="AX63:AX126" si="952">IF(AU63&gt;0,IF(C63="Consumo",AW63-AU63*P63,AW63*(1-P63)),0)</f>
        <v>0</v>
      </c>
      <c r="AY63" s="367">
        <f t="shared" ref="AY63:AY126" si="953">AX63-AW63*R63</f>
        <v>0</v>
      </c>
      <c r="AZ63" s="367">
        <f t="shared" ref="AZ63:AZ126" si="954">AY63-AW63*(S63+T63)</f>
        <v>0</v>
      </c>
      <c r="BB63" s="355">
        <f t="shared" ref="BB63:BB126" si="955">IF(AW63&gt;0,AW63*Q63,0)</f>
        <v>0</v>
      </c>
      <c r="BC63" s="355">
        <f t="shared" ref="BC63:BC126" si="956">IF(AW63&gt;0,IF(C63="Consumo",AU63*P63,AW63*P63),0)</f>
        <v>0</v>
      </c>
      <c r="BD63" s="355">
        <f t="shared" ref="BD63:BD126" si="957">AW63*R63</f>
        <v>0</v>
      </c>
      <c r="BE63" s="355">
        <f t="shared" ref="BE63:BE126" si="958">AW63*S63</f>
        <v>0</v>
      </c>
      <c r="BF63" s="355">
        <f t="shared" ref="BF63:BF126" si="959">AW63*T63</f>
        <v>0</v>
      </c>
      <c r="BH63" s="368">
        <f t="shared" ref="BH63:BH126" si="960">W63</f>
        <v>0</v>
      </c>
      <c r="BJ63" s="369">
        <f t="shared" ref="BJ63:BJ126" si="961">IF(AND(U63&lt;&gt;"",C63="Consumo"),BH63-P63,0)</f>
        <v>-0.12</v>
      </c>
      <c r="BK63" s="355">
        <f t="shared" ref="BK63:BK126" si="962">BJ63*AU63</f>
        <v>0</v>
      </c>
      <c r="BL63" s="355">
        <f t="shared" ref="BL63:BL126" si="963">AU63+BK63</f>
        <v>0</v>
      </c>
      <c r="BN63" s="366">
        <f t="shared" ref="BN63:BN126" si="964">X63</f>
        <v>0</v>
      </c>
      <c r="BO63" s="355">
        <f t="shared" ref="BO63:BO126" si="965">AU63*(1+BN63)</f>
        <v>0</v>
      </c>
      <c r="BP63" s="355">
        <f t="shared" ref="BP63:BP126" si="966">IF(AND(V63&lt;&gt;"",C63="Revenda"),BO63*BH63-BC63,0)</f>
        <v>0</v>
      </c>
      <c r="BQ63" s="355">
        <f t="shared" ref="BQ63:BQ126" si="967">AU63+BP63</f>
        <v>0</v>
      </c>
      <c r="BS63" s="367">
        <f t="shared" ref="BS63:BS126" si="968">AU63-SUM(BB63:BF63)</f>
        <v>0</v>
      </c>
      <c r="BT63" s="355">
        <f t="shared" ref="BT63:BT126" si="969">AR63+SUM(BB63:BF63)</f>
        <v>0</v>
      </c>
      <c r="BU63" s="355" t="b">
        <f t="shared" ref="BU63:BU117" si="970">IF(ABS(BT63-BS63-SUM(BB63:BF63))&lt;0.01,TRUE,FALSE)</f>
        <v>1</v>
      </c>
      <c r="BW63" s="355" t="str">
        <f t="shared" ref="BW63:BW126" si="971">IF(AND(N63&gt;0,CQ63=FALSE),IF(D63="Sim","Fat. Direto",VLOOKUP(CB63,tbl_IRPJaux,2,FALSE)),"")</f>
        <v/>
      </c>
      <c r="BX63" s="355">
        <f t="shared" ref="BX63:BX126" si="972">IF(AND(BW63&lt;&gt;"NA",D63="Não"),MAX(BL63,BQ63),0)</f>
        <v>0</v>
      </c>
      <c r="BY63" s="356">
        <f t="shared" ref="BY63:BY69" si="973">IF(BX63&gt;0,VLOOKUP(CB63,tbl_IRPJaux,3,FALSE),0)</f>
        <v>0</v>
      </c>
      <c r="BZ63" s="355">
        <f t="shared" ref="BZ63:BZ126" si="974">IF(BX63&gt;0,AA63*BY63+AG63*recuperavel_MB_ir_real+AF63*recuperavel_coberturas_ir_real+SUM(BB63:BF63,BK63,BP63),0)</f>
        <v>0</v>
      </c>
      <c r="CB63" s="102" t="str">
        <f t="shared" ref="CB63:CB126" si="975">IFERROR(VLOOKUP(L63,tbl_materiais,COLUMN(head_mat_WBS)-COLUMN(head_mat_item)+1,FALSE),IFERROR(VLOOKUP(L63,tbl_servicos,COLUMN(head_serv_WBS)-COLUMN(head_serv_item)+1,FALSE),"?"))</f>
        <v xml:space="preserve">  Chaparia</v>
      </c>
      <c r="CD63" s="355" t="str">
        <f t="shared" ref="CD63:CD126" si="976">IFERROR(VLOOKUP(L63,tbl_materiais,COLUMN(head_mat_st)-COLUMN(head_mat_item)+1,FALSE),"Não")</f>
        <v>Não</v>
      </c>
      <c r="CE63" s="368">
        <f>ifzero(mlookup(tbl_ICMSinterest_data,UFdestino,tbl_ICMSinterest_ufdest,UForigem,tbl_ICMSinterest_uforig))</f>
        <v>0.12</v>
      </c>
      <c r="CF63" s="368">
        <f>IF(N63&gt;0,IF(I63&lt;&gt;"Serviço",ifzero(mlookup(tbl_ICMSinterno_data,UForigem,tbl_ICMSinterno_UF,O63,tbl_ICMSinterno_NCM),mlookup(tbl_ICMSinterest_data,UForigem,tbl_ICMSinterest_ufdest,UForigem,tbl_ICMSinterest_uforig)),""),0)</f>
        <v>0</v>
      </c>
      <c r="CG63" s="368">
        <f>IF(N63&gt;0,IF(I63&lt;&gt;"Serviço",ifzero(mlookup(tbl_ICMSinterno_data,UFdestino,tbl_ICMSinterno_UF,O63,tbl_ICMSinterno_NCM),mlookup(tbl_ICMSinterest_data,UFdestino,tbl_ICMSinterest_ufdest,UFdestino,tbl_ICMSinterest_uforig)),""),0)</f>
        <v>0</v>
      </c>
      <c r="CI63" s="355">
        <f t="shared" ref="CI63:CI126" si="977">IFERROR(IF(AND(I63&lt;&gt;"Serviço",D63="Não"),N63*VLOOKUP(L63,tbl_materiais,COLUMN(head_mat_credito_ICMS)-COLUMN(head_mat_item)+1,FALSE),0),0)</f>
        <v>0</v>
      </c>
      <c r="CJ63" s="355">
        <f t="shared" ref="CJ63:CJ126" si="978">IFERROR(IF(AND(I63&lt;&gt;"Serviço",D63="Não"),N63*VLOOKUP(L63,tbl_materiais,COLUMN(head_mat_credito_IPI)-COLUMN(head_mat_item)+1,FALSE),0),0)</f>
        <v>0</v>
      </c>
      <c r="CK63" s="355">
        <f t="shared" ref="CK63:CK126" si="979">IFERROR(IF(AND(I63&lt;&gt;"Serviço",D63="Não",B63="Real"),N63*VLOOKUP(L63,tbl_materiais,COLUMN(head_mat_credito_PIS)-COLUMN(head_mat_item)+1,FALSE),0),0)</f>
        <v>0</v>
      </c>
      <c r="CL63" s="355">
        <f t="shared" ref="CL63:CL126" si="980">IFERROR(IF(AND(I63&lt;&gt;"Serviço",D63="Não",B63="Real"),N63*VLOOKUP(L63,tbl_materiais,COLUMN(head_mat_credito_COFINS)-COLUMN(head_mat_item)+1,FALSE),0),0)</f>
        <v>0</v>
      </c>
      <c r="CN63" s="370">
        <f t="shared" ref="CN63:CN126" si="981">IFERROR(SUMIF(serv_col_item,"="&amp;L63,serv_col_totalhh),0)</f>
        <v>0</v>
      </c>
      <c r="CO63" s="355">
        <f t="shared" ref="CO63:CO126" si="982">IFERROR(SUMIF(serv_col_item,"="&amp;L63,serv_col_gdv),0)</f>
        <v>0</v>
      </c>
      <c r="CQ63" s="355" t="b">
        <f t="shared" ref="CQ63:CQ126" si="983">IF(N63&gt;0,IF(ISERROR(HLOOKUP(L63,std_tbl4,1,FALSE)),FALSE,TRUE),FALSE)</f>
        <v>0</v>
      </c>
      <c r="CR63" s="355" t="b">
        <f t="shared" ref="CR63:CR126" si="984">IF(AND(CQ63,I63&lt;&gt;std_tiponcm),FALSE,TRUE)</f>
        <v>1</v>
      </c>
      <c r="CS63" s="355" t="b">
        <f t="shared" ref="CS63:CS126" si="985">IF(AND(CQ63,D63="Sim"),TRUE,FALSE)</f>
        <v>0</v>
      </c>
      <c r="CU63" s="2">
        <f t="shared" ref="CU63:CU126" si="986">IF(D63="Sim",VLOOKUP(L63,tbl_materiais,COLUMN(head_mat_fatdir)-COLUMN(head_mat_item)+1,FALSE),0)</f>
        <v>0</v>
      </c>
      <c r="CV63" s="102">
        <f t="shared" ref="CV63:CV126" si="987">CU63*N63</f>
        <v>0</v>
      </c>
      <c r="CW63" s="102">
        <f t="shared" ref="CW63:CW95" si="988">CX63*(1-CY63-DA63-DE63-DG63)/(1+DC63)</f>
        <v>0</v>
      </c>
      <c r="CX63" s="102">
        <f t="shared" ref="CX63:CX126" si="989">CV63/(1-AK63)</f>
        <v>0</v>
      </c>
      <c r="CY63" s="290">
        <f t="shared" ref="CY63:CY126" si="990">IF(D63="Sim",VLOOKUP(L63,tbl_materiais,COLUMN(head_mat_ICMS_input)-COLUMN(head_mat_item)+1,FALSE),0)</f>
        <v>0</v>
      </c>
      <c r="CZ63" s="102">
        <f t="shared" ref="CZ63:CZ108" si="991">CX63*CY63</f>
        <v>0</v>
      </c>
      <c r="DA63" s="290">
        <f t="shared" ref="DA63:DA126" si="992">IF(D63="Sim",VLOOKUP(L63,tbl_materiais,COLUMN(head_mat_ISS_input)-COLUMN(head_mat_item)+1,FALSE),0)</f>
        <v>0</v>
      </c>
      <c r="DB63" s="102">
        <f t="shared" ref="DB63:DB108" si="993">CX63*DA63</f>
        <v>0</v>
      </c>
      <c r="DC63" s="290">
        <f t="shared" ref="DC63:DC126" si="994">IF(D63="Sim",VLOOKUP(L63,tbl_materiais,COLUMN(head_mat_IPI_input)-COLUMN(head_mat_item)+1,FALSE),0)</f>
        <v>0</v>
      </c>
      <c r="DD63" s="102">
        <f t="shared" ref="DD63:DD105" si="995">CX63*DC63/(1+DC63)</f>
        <v>0</v>
      </c>
      <c r="DE63" s="592">
        <f>IF(D63="Sim",HLOOKUP($DH$5,Parametrização!$G$2:$H$4,2,FALSE),0)</f>
        <v>0</v>
      </c>
      <c r="DF63" s="102">
        <f t="shared" ref="DF63:DF108" si="996">(CX63-DD63)*DE63</f>
        <v>0</v>
      </c>
      <c r="DG63" s="592">
        <f>IF(D63="Sim",HLOOKUP($DH$5,Parametrização!$G$2:$H$4,3,FALSE),0)</f>
        <v>0</v>
      </c>
      <c r="DH63" s="102">
        <f t="shared" ref="DH63:DH108" si="997">(CX63-DD63)*DG63</f>
        <v>0</v>
      </c>
      <c r="DI63" s="102">
        <f t="shared" ref="DI63:DI108" si="998">CX63-CZ63-DD63-DF63-DH63</f>
        <v>0</v>
      </c>
      <c r="DK63" s="3" t="str">
        <f t="shared" ref="DK63:DK126" si="999">IF(AND(I63&lt;&gt;"Serviço",Z63&gt;0),P63,"NA")</f>
        <v>NA</v>
      </c>
      <c r="DL63" s="2" t="str">
        <f t="shared" ref="DL63:DL126" si="1000">IF(AND(I63="Serviço",Z63&gt;0),R63,"NA")</f>
        <v>NA</v>
      </c>
      <c r="DM63" s="3" t="str">
        <f t="shared" ref="DM63:DM126" si="1001">IF(AND(I63&lt;&gt;"Serviço",Z63&gt;0),Q63,"NA")</f>
        <v>NA</v>
      </c>
      <c r="DN63" s="9" t="str">
        <f t="shared" ref="DN63:DN126" si="1002">IF(Z63&gt;0,S63,"NA")</f>
        <v>NA</v>
      </c>
      <c r="DO63" s="637" t="str">
        <f t="shared" ref="DO63:DO126" si="1003">IF(Z63&gt;0,T63,"NA")</f>
        <v>NA</v>
      </c>
      <c r="DP63" s="637"/>
      <c r="DQ63" s="3" t="str">
        <f t="shared" ref="DQ63:DQ126" si="1004">IF(AND(I63&lt;&gt;"Serviço",CU63&gt;0),CY63,"NA")</f>
        <v>NA</v>
      </c>
      <c r="DR63" s="2" t="str">
        <f t="shared" ref="DR63:DR126" si="1005">IF(AND(I63="Serviço",CU63&gt;0),DA63,"NA")</f>
        <v>NA</v>
      </c>
      <c r="DS63" s="3" t="str">
        <f t="shared" ref="DS63:DS126" si="1006">IF(AND(I63&lt;&gt;"Serviço",CU63&gt;0),DC63,"NA")</f>
        <v>NA</v>
      </c>
      <c r="DT63" s="9" t="str">
        <f t="shared" ref="DT63:DT108" si="1007">IF(CU63&gt;0,DE63,"NA")</f>
        <v>NA</v>
      </c>
      <c r="DU63" s="637" t="str">
        <f t="shared" ref="DU63:DU108" si="1008">IF(CU63&gt;0,DG63,"NA")</f>
        <v>NA</v>
      </c>
      <c r="DV63" s="637"/>
      <c r="DW63" s="682"/>
      <c r="DX63" s="682"/>
      <c r="DY63" s="682"/>
      <c r="DZ63" s="637"/>
      <c r="EA63" s="643"/>
    </row>
    <row r="64" spans="1:131" s="355" customFormat="1" ht="20.100000000000001" customHeight="1" outlineLevel="1" x14ac:dyDescent="0.25">
      <c r="A64" s="356"/>
      <c r="B64" s="355" t="s">
        <v>268</v>
      </c>
      <c r="C64" s="355" t="str">
        <f>$C$63</f>
        <v>Consumo</v>
      </c>
      <c r="D64" s="355" t="s">
        <v>53</v>
      </c>
      <c r="E64" s="18" t="s">
        <v>38</v>
      </c>
      <c r="F64" s="355" t="s">
        <v>53</v>
      </c>
      <c r="G64" s="357" t="str">
        <f>$G$63</f>
        <v>Geral</v>
      </c>
      <c r="H64" s="255" t="s">
        <v>377</v>
      </c>
      <c r="I64" s="356" t="str">
        <f t="shared" si="927"/>
        <v>Sistema</v>
      </c>
      <c r="K64" s="318" t="s">
        <v>2378</v>
      </c>
      <c r="L64" s="749" t="str">
        <f>IF(Padrões!JF5&lt;&gt;"",Padrões!JF5,"")</f>
        <v>Painel Automação</v>
      </c>
      <c r="M64" s="358" t="str">
        <f t="shared" si="928"/>
        <v>Chaparia completa para automação e rede com seus acessórios (bandejamento interno, canaletas, organizadores), medidas 800x800x2300 (LxPxA), chapa de bitola 14/16, grau de proteção IP54 (abrigado), porta frontal externa com visor, porta interna basculante e porta traseira, venezianas, limitador de porta, olhal de içamento, cor a definir. Fabricante: PSI.</v>
      </c>
      <c r="N64" s="359">
        <f>Padrões!JI5</f>
        <v>0</v>
      </c>
      <c r="O64" s="381" t="str">
        <f t="shared" si="929"/>
        <v>?</v>
      </c>
      <c r="P64" s="360">
        <f t="shared" si="930"/>
        <v>0.12</v>
      </c>
      <c r="Q64" s="360" t="str">
        <f t="shared" si="931"/>
        <v>?</v>
      </c>
      <c r="R64" s="360">
        <f t="shared" si="932"/>
        <v>0</v>
      </c>
      <c r="S64" s="361">
        <f t="shared" si="933"/>
        <v>0</v>
      </c>
      <c r="T64" s="362">
        <f t="shared" si="934"/>
        <v>0</v>
      </c>
      <c r="U64" s="53" t="str" cm="1">
        <f t="array" ref="U64">IFERROR(IF(I64&lt;&gt;"Serviço",IF(AND(mlookup(tbl_DIFAL_data,UFdestino,tbl_DIFAL_UF,O64,tbl_DIFAL_NCM)&lt;&gt;"",C64="Consumo"),"Sim",""),""),"?")</f>
        <v>?</v>
      </c>
      <c r="V64" s="363" t="str">
        <f>IFERROR(IF(I64&lt;&gt;"Serviço",IF(AND(D64="Não",mlookup(tbl_ST_data,UFdestino,tbl_ST_UF,O64,tbl_ST_NCM)&lt;&gt;"",C64="Revenda",CD64="Não"),"Sim",""),""),"?")</f>
        <v>?</v>
      </c>
      <c r="W64" s="364">
        <f t="shared" si="935"/>
        <v>0</v>
      </c>
      <c r="X64" s="365">
        <f>IF(V64="Sim",mlookup(tbl_ST_data,UFdestino,tbl_ST_UF,O64,tbl_ST_NCM),0)</f>
        <v>0</v>
      </c>
      <c r="Z64" s="355">
        <f t="shared" si="936"/>
        <v>0</v>
      </c>
      <c r="AA64" s="355">
        <f t="shared" si="937"/>
        <v>0</v>
      </c>
      <c r="AC64" s="366">
        <f t="shared" si="938"/>
        <v>1.31243473968765E-2</v>
      </c>
      <c r="AD64" s="366">
        <f t="shared" si="939"/>
        <v>0.15</v>
      </c>
      <c r="AF64" s="355">
        <f t="shared" si="940"/>
        <v>0</v>
      </c>
      <c r="AG64" s="355">
        <f t="shared" si="941"/>
        <v>0</v>
      </c>
      <c r="AI64" s="355">
        <f t="shared" si="942"/>
        <v>0</v>
      </c>
      <c r="AK64" s="366">
        <f t="shared" si="943"/>
        <v>0</v>
      </c>
      <c r="AL64" s="355">
        <f t="shared" si="944"/>
        <v>0</v>
      </c>
      <c r="AM64" s="355">
        <f t="shared" si="945"/>
        <v>0</v>
      </c>
      <c r="AO64" s="355" t="b">
        <f t="shared" si="946"/>
        <v>1</v>
      </c>
      <c r="AQ64" s="367">
        <f t="shared" si="947"/>
        <v>0</v>
      </c>
      <c r="AR64" s="367">
        <f t="shared" si="948"/>
        <v>0</v>
      </c>
      <c r="AT64" s="367">
        <f t="shared" si="949"/>
        <v>0</v>
      </c>
      <c r="AU64" s="367">
        <f t="shared" si="950"/>
        <v>0</v>
      </c>
      <c r="AW64" s="367">
        <f t="shared" si="951"/>
        <v>0</v>
      </c>
      <c r="AX64" s="367">
        <f t="shared" si="952"/>
        <v>0</v>
      </c>
      <c r="AY64" s="367">
        <f t="shared" si="953"/>
        <v>0</v>
      </c>
      <c r="AZ64" s="367">
        <f t="shared" si="954"/>
        <v>0</v>
      </c>
      <c r="BB64" s="355">
        <f t="shared" si="955"/>
        <v>0</v>
      </c>
      <c r="BC64" s="355">
        <f t="shared" si="956"/>
        <v>0</v>
      </c>
      <c r="BD64" s="355">
        <f t="shared" si="957"/>
        <v>0</v>
      </c>
      <c r="BE64" s="355">
        <f t="shared" si="958"/>
        <v>0</v>
      </c>
      <c r="BF64" s="355">
        <f t="shared" si="959"/>
        <v>0</v>
      </c>
      <c r="BH64" s="368">
        <f t="shared" si="960"/>
        <v>0</v>
      </c>
      <c r="BJ64" s="369">
        <f t="shared" si="961"/>
        <v>-0.12</v>
      </c>
      <c r="BK64" s="355">
        <f t="shared" si="962"/>
        <v>0</v>
      </c>
      <c r="BL64" s="355">
        <f t="shared" si="963"/>
        <v>0</v>
      </c>
      <c r="BN64" s="366">
        <f t="shared" si="964"/>
        <v>0</v>
      </c>
      <c r="BO64" s="355">
        <f t="shared" si="965"/>
        <v>0</v>
      </c>
      <c r="BP64" s="355">
        <f t="shared" si="966"/>
        <v>0</v>
      </c>
      <c r="BQ64" s="355">
        <f t="shared" si="967"/>
        <v>0</v>
      </c>
      <c r="BS64" s="367">
        <f t="shared" si="968"/>
        <v>0</v>
      </c>
      <c r="BT64" s="355">
        <f t="shared" si="969"/>
        <v>0</v>
      </c>
      <c r="BU64" s="355" t="b">
        <f t="shared" si="970"/>
        <v>1</v>
      </c>
      <c r="BW64" s="355" t="str">
        <f t="shared" si="971"/>
        <v/>
      </c>
      <c r="BX64" s="355">
        <f t="shared" si="972"/>
        <v>0</v>
      </c>
      <c r="BY64" s="356">
        <f t="shared" si="973"/>
        <v>0</v>
      </c>
      <c r="BZ64" s="355">
        <f t="shared" si="974"/>
        <v>0</v>
      </c>
      <c r="CB64" s="102" t="str">
        <f t="shared" si="975"/>
        <v xml:space="preserve">  Chaparia</v>
      </c>
      <c r="CD64" s="355" t="str">
        <f t="shared" si="976"/>
        <v>Não</v>
      </c>
      <c r="CE64" s="368">
        <f>ifzero(mlookup(tbl_ICMSinterest_data,UFdestino,tbl_ICMSinterest_ufdest,UForigem,tbl_ICMSinterest_uforig))</f>
        <v>0.12</v>
      </c>
      <c r="CF64" s="368">
        <f>IF(N64&gt;0,IF(I64&lt;&gt;"Serviço",ifzero(mlookup(tbl_ICMSinterno_data,UForigem,tbl_ICMSinterno_UF,O64,tbl_ICMSinterno_NCM),mlookup(tbl_ICMSinterest_data,UForigem,tbl_ICMSinterest_ufdest,UForigem,tbl_ICMSinterest_uforig)),""),0)</f>
        <v>0</v>
      </c>
      <c r="CG64" s="368">
        <f>IF(N64&gt;0,IF(I64&lt;&gt;"Serviço",ifzero(mlookup(tbl_ICMSinterno_data,UFdestino,tbl_ICMSinterno_UF,O64,tbl_ICMSinterno_NCM),mlookup(tbl_ICMSinterest_data,UFdestino,tbl_ICMSinterest_ufdest,UFdestino,tbl_ICMSinterest_uforig)),""),0)</f>
        <v>0</v>
      </c>
      <c r="CI64" s="355">
        <f t="shared" si="977"/>
        <v>0</v>
      </c>
      <c r="CJ64" s="355">
        <f t="shared" si="978"/>
        <v>0</v>
      </c>
      <c r="CK64" s="355">
        <f t="shared" si="979"/>
        <v>0</v>
      </c>
      <c r="CL64" s="355">
        <f t="shared" si="980"/>
        <v>0</v>
      </c>
      <c r="CN64" s="370">
        <f t="shared" si="981"/>
        <v>0</v>
      </c>
      <c r="CO64" s="355">
        <f t="shared" si="982"/>
        <v>0</v>
      </c>
      <c r="CQ64" s="355" t="b">
        <f t="shared" si="983"/>
        <v>0</v>
      </c>
      <c r="CR64" s="355" t="b">
        <f t="shared" si="984"/>
        <v>1</v>
      </c>
      <c r="CS64" s="355" t="b">
        <f t="shared" si="985"/>
        <v>0</v>
      </c>
      <c r="CU64" s="2">
        <f t="shared" si="986"/>
        <v>0</v>
      </c>
      <c r="CV64" s="102">
        <f t="shared" si="987"/>
        <v>0</v>
      </c>
      <c r="CW64" s="102">
        <f t="shared" si="988"/>
        <v>0</v>
      </c>
      <c r="CX64" s="102">
        <f t="shared" si="989"/>
        <v>0</v>
      </c>
      <c r="CY64" s="290">
        <f t="shared" si="990"/>
        <v>0</v>
      </c>
      <c r="CZ64" s="102">
        <f t="shared" si="991"/>
        <v>0</v>
      </c>
      <c r="DA64" s="290">
        <f t="shared" si="992"/>
        <v>0</v>
      </c>
      <c r="DB64" s="102">
        <f t="shared" si="993"/>
        <v>0</v>
      </c>
      <c r="DC64" s="290">
        <f t="shared" si="994"/>
        <v>0</v>
      </c>
      <c r="DD64" s="102">
        <f t="shared" si="995"/>
        <v>0</v>
      </c>
      <c r="DE64" s="592">
        <f>IF(D64="Sim",HLOOKUP($DH$5,Parametrização!$G$2:$H$4,2,FALSE),0)</f>
        <v>0</v>
      </c>
      <c r="DF64" s="102">
        <f t="shared" si="996"/>
        <v>0</v>
      </c>
      <c r="DG64" s="592">
        <f>IF(D64="Sim",HLOOKUP($DH$5,Parametrização!$G$2:$H$4,3,FALSE),0)</f>
        <v>0</v>
      </c>
      <c r="DH64" s="102">
        <f t="shared" si="997"/>
        <v>0</v>
      </c>
      <c r="DI64" s="102">
        <f t="shared" si="998"/>
        <v>0</v>
      </c>
      <c r="DK64" s="3" t="str">
        <f t="shared" si="999"/>
        <v>NA</v>
      </c>
      <c r="DL64" s="2" t="str">
        <f t="shared" si="1000"/>
        <v>NA</v>
      </c>
      <c r="DM64" s="3" t="str">
        <f t="shared" si="1001"/>
        <v>NA</v>
      </c>
      <c r="DN64" s="9" t="str">
        <f t="shared" si="1002"/>
        <v>NA</v>
      </c>
      <c r="DO64" s="637" t="str">
        <f t="shared" si="1003"/>
        <v>NA</v>
      </c>
      <c r="DP64" s="637"/>
      <c r="DQ64" s="3" t="str">
        <f t="shared" si="1004"/>
        <v>NA</v>
      </c>
      <c r="DR64" s="2" t="str">
        <f t="shared" si="1005"/>
        <v>NA</v>
      </c>
      <c r="DS64" s="3" t="str">
        <f t="shared" si="1006"/>
        <v>NA</v>
      </c>
      <c r="DT64" s="9" t="str">
        <f t="shared" si="1007"/>
        <v>NA</v>
      </c>
      <c r="DU64" s="637" t="str">
        <f t="shared" si="1008"/>
        <v>NA</v>
      </c>
      <c r="DV64" s="637"/>
      <c r="DW64" s="682"/>
      <c r="DX64" s="682"/>
      <c r="DY64" s="682"/>
      <c r="DZ64" s="637"/>
      <c r="EA64" s="643"/>
    </row>
    <row r="65" spans="1:131" s="355" customFormat="1" ht="20.100000000000001" customHeight="1" outlineLevel="1" x14ac:dyDescent="0.25">
      <c r="A65" s="356"/>
      <c r="B65" s="355" t="s">
        <v>268</v>
      </c>
      <c r="C65" s="355" t="str">
        <f t="shared" ref="C65:C128" si="1009">$C$63</f>
        <v>Consumo</v>
      </c>
      <c r="D65" s="355" t="s">
        <v>53</v>
      </c>
      <c r="E65" s="18" t="s">
        <v>38</v>
      </c>
      <c r="F65" s="355" t="s">
        <v>53</v>
      </c>
      <c r="G65" s="357" t="str">
        <f t="shared" ref="G65:G128" si="1010">$G$63</f>
        <v>Geral</v>
      </c>
      <c r="H65" s="255" t="s">
        <v>377</v>
      </c>
      <c r="I65" s="356" t="str">
        <f t="shared" si="927"/>
        <v>Sistema</v>
      </c>
      <c r="K65" s="318" t="s">
        <v>2379</v>
      </c>
      <c r="L65" s="749" t="str">
        <f>IF(Padrões!JF6&lt;&gt;"",Padrões!JF6,"")</f>
        <v>Painel Interface</v>
      </c>
      <c r="M65" s="358" t="str">
        <f t="shared" si="928"/>
        <v>?</v>
      </c>
      <c r="N65" s="359">
        <f>Padrões!JI6</f>
        <v>0</v>
      </c>
      <c r="O65" s="381" t="str">
        <f t="shared" si="929"/>
        <v>?</v>
      </c>
      <c r="P65" s="360">
        <f t="shared" si="930"/>
        <v>0.12</v>
      </c>
      <c r="Q65" s="360" t="str">
        <f t="shared" si="931"/>
        <v>?</v>
      </c>
      <c r="R65" s="360">
        <f t="shared" si="932"/>
        <v>0</v>
      </c>
      <c r="S65" s="361">
        <f t="shared" si="933"/>
        <v>0</v>
      </c>
      <c r="T65" s="362">
        <f t="shared" si="934"/>
        <v>0</v>
      </c>
      <c r="U65" s="53" t="str" cm="1">
        <f t="array" ref="U65">IFERROR(IF(I65&lt;&gt;"Serviço",IF(AND(mlookup(tbl_DIFAL_data,UFdestino,tbl_DIFAL_UF,O65,tbl_DIFAL_NCM)&lt;&gt;"",C65="Consumo"),"Sim",""),""),"?")</f>
        <v>?</v>
      </c>
      <c r="V65" s="363" t="str">
        <f>IFERROR(IF(I65&lt;&gt;"Serviço",IF(AND(D65="Não",mlookup(tbl_ST_data,UFdestino,tbl_ST_UF,O65,tbl_ST_NCM)&lt;&gt;"",C65="Revenda",CD65="Não"),"Sim",""),""),"?")</f>
        <v>?</v>
      </c>
      <c r="W65" s="364">
        <f t="shared" si="935"/>
        <v>0</v>
      </c>
      <c r="X65" s="365">
        <f>IF(V65="Sim",mlookup(tbl_ST_data,UFdestino,tbl_ST_UF,O65,tbl_ST_NCM),0)</f>
        <v>0</v>
      </c>
      <c r="Z65" s="355">
        <f t="shared" si="936"/>
        <v>0</v>
      </c>
      <c r="AA65" s="355">
        <f t="shared" si="937"/>
        <v>0</v>
      </c>
      <c r="AC65" s="366">
        <f t="shared" si="938"/>
        <v>1.31243473968765E-2</v>
      </c>
      <c r="AD65" s="366">
        <f t="shared" si="939"/>
        <v>0.15</v>
      </c>
      <c r="AF65" s="355">
        <f t="shared" si="940"/>
        <v>0</v>
      </c>
      <c r="AG65" s="355">
        <f t="shared" si="941"/>
        <v>0</v>
      </c>
      <c r="AI65" s="355">
        <f t="shared" si="942"/>
        <v>0</v>
      </c>
      <c r="AK65" s="366">
        <f t="shared" si="943"/>
        <v>0</v>
      </c>
      <c r="AL65" s="355">
        <f t="shared" si="944"/>
        <v>0</v>
      </c>
      <c r="AM65" s="355">
        <f t="shared" si="945"/>
        <v>0</v>
      </c>
      <c r="AO65" s="355" t="b">
        <f t="shared" si="946"/>
        <v>1</v>
      </c>
      <c r="AQ65" s="367">
        <f t="shared" si="947"/>
        <v>0</v>
      </c>
      <c r="AR65" s="367">
        <f t="shared" si="948"/>
        <v>0</v>
      </c>
      <c r="AT65" s="367">
        <f t="shared" si="949"/>
        <v>0</v>
      </c>
      <c r="AU65" s="367">
        <f t="shared" si="950"/>
        <v>0</v>
      </c>
      <c r="AW65" s="367">
        <f t="shared" si="951"/>
        <v>0</v>
      </c>
      <c r="AX65" s="367">
        <f t="shared" si="952"/>
        <v>0</v>
      </c>
      <c r="AY65" s="367">
        <f t="shared" si="953"/>
        <v>0</v>
      </c>
      <c r="AZ65" s="367">
        <f t="shared" si="954"/>
        <v>0</v>
      </c>
      <c r="BB65" s="355">
        <f t="shared" si="955"/>
        <v>0</v>
      </c>
      <c r="BC65" s="355">
        <f t="shared" si="956"/>
        <v>0</v>
      </c>
      <c r="BD65" s="355">
        <f t="shared" si="957"/>
        <v>0</v>
      </c>
      <c r="BE65" s="355">
        <f t="shared" si="958"/>
        <v>0</v>
      </c>
      <c r="BF65" s="355">
        <f t="shared" si="959"/>
        <v>0</v>
      </c>
      <c r="BH65" s="368">
        <f t="shared" si="960"/>
        <v>0</v>
      </c>
      <c r="BJ65" s="369">
        <f t="shared" si="961"/>
        <v>-0.12</v>
      </c>
      <c r="BK65" s="355">
        <f t="shared" si="962"/>
        <v>0</v>
      </c>
      <c r="BL65" s="355">
        <f t="shared" si="963"/>
        <v>0</v>
      </c>
      <c r="BN65" s="366">
        <f t="shared" si="964"/>
        <v>0</v>
      </c>
      <c r="BO65" s="355">
        <f t="shared" si="965"/>
        <v>0</v>
      </c>
      <c r="BP65" s="355">
        <f t="shared" si="966"/>
        <v>0</v>
      </c>
      <c r="BQ65" s="355">
        <f t="shared" si="967"/>
        <v>0</v>
      </c>
      <c r="BS65" s="367">
        <f t="shared" si="968"/>
        <v>0</v>
      </c>
      <c r="BT65" s="355">
        <f t="shared" si="969"/>
        <v>0</v>
      </c>
      <c r="BU65" s="355" t="b">
        <f t="shared" si="970"/>
        <v>1</v>
      </c>
      <c r="BW65" s="355" t="str">
        <f t="shared" si="971"/>
        <v/>
      </c>
      <c r="BX65" s="355">
        <f t="shared" si="972"/>
        <v>0</v>
      </c>
      <c r="BY65" s="356">
        <f t="shared" si="973"/>
        <v>0</v>
      </c>
      <c r="BZ65" s="355">
        <f t="shared" si="974"/>
        <v>0</v>
      </c>
      <c r="CB65" s="102" t="str">
        <f t="shared" si="975"/>
        <v>?</v>
      </c>
      <c r="CD65" s="355" t="str">
        <f t="shared" si="976"/>
        <v>Não</v>
      </c>
      <c r="CE65" s="368">
        <f>ifzero(mlookup(tbl_ICMSinterest_data,UFdestino,tbl_ICMSinterest_ufdest,UForigem,tbl_ICMSinterest_uforig))</f>
        <v>0.12</v>
      </c>
      <c r="CF65" s="368">
        <f>IF(N65&gt;0,IF(I65&lt;&gt;"Serviço",ifzero(mlookup(tbl_ICMSinterno_data,UForigem,tbl_ICMSinterno_UF,O65,tbl_ICMSinterno_NCM),mlookup(tbl_ICMSinterest_data,UForigem,tbl_ICMSinterest_ufdest,UForigem,tbl_ICMSinterest_uforig)),""),0)</f>
        <v>0</v>
      </c>
      <c r="CG65" s="368">
        <f>IF(N65&gt;0,IF(I65&lt;&gt;"Serviço",ifzero(mlookup(tbl_ICMSinterno_data,UFdestino,tbl_ICMSinterno_UF,O65,tbl_ICMSinterno_NCM),mlookup(tbl_ICMSinterest_data,UFdestino,tbl_ICMSinterest_ufdest,UFdestino,tbl_ICMSinterest_uforig)),""),0)</f>
        <v>0</v>
      </c>
      <c r="CI65" s="355">
        <f t="shared" si="977"/>
        <v>0</v>
      </c>
      <c r="CJ65" s="355">
        <f t="shared" si="978"/>
        <v>0</v>
      </c>
      <c r="CK65" s="355">
        <f t="shared" si="979"/>
        <v>0</v>
      </c>
      <c r="CL65" s="355">
        <f t="shared" si="980"/>
        <v>0</v>
      </c>
      <c r="CN65" s="370">
        <f t="shared" si="981"/>
        <v>0</v>
      </c>
      <c r="CO65" s="355">
        <f t="shared" si="982"/>
        <v>0</v>
      </c>
      <c r="CQ65" s="355" t="b">
        <f t="shared" si="983"/>
        <v>0</v>
      </c>
      <c r="CR65" s="355" t="b">
        <f t="shared" si="984"/>
        <v>1</v>
      </c>
      <c r="CS65" s="355" t="b">
        <f t="shared" si="985"/>
        <v>0</v>
      </c>
      <c r="CU65" s="2">
        <f t="shared" si="986"/>
        <v>0</v>
      </c>
      <c r="CV65" s="102">
        <f t="shared" si="987"/>
        <v>0</v>
      </c>
      <c r="CW65" s="102">
        <f t="shared" si="988"/>
        <v>0</v>
      </c>
      <c r="CX65" s="102">
        <f t="shared" si="989"/>
        <v>0</v>
      </c>
      <c r="CY65" s="290">
        <f t="shared" si="990"/>
        <v>0</v>
      </c>
      <c r="CZ65" s="102">
        <f t="shared" si="991"/>
        <v>0</v>
      </c>
      <c r="DA65" s="290">
        <f t="shared" si="992"/>
        <v>0</v>
      </c>
      <c r="DB65" s="102">
        <f t="shared" si="993"/>
        <v>0</v>
      </c>
      <c r="DC65" s="290">
        <f t="shared" si="994"/>
        <v>0</v>
      </c>
      <c r="DD65" s="102">
        <f t="shared" si="995"/>
        <v>0</v>
      </c>
      <c r="DE65" s="592">
        <f>IF(D65="Sim",HLOOKUP($DH$5,Parametrização!$G$2:$H$4,2,FALSE),0)</f>
        <v>0</v>
      </c>
      <c r="DF65" s="102">
        <f t="shared" si="996"/>
        <v>0</v>
      </c>
      <c r="DG65" s="592">
        <f>IF(D65="Sim",HLOOKUP($DH$5,Parametrização!$G$2:$H$4,3,FALSE),0)</f>
        <v>0</v>
      </c>
      <c r="DH65" s="102">
        <f t="shared" si="997"/>
        <v>0</v>
      </c>
      <c r="DI65" s="102">
        <f t="shared" si="998"/>
        <v>0</v>
      </c>
      <c r="DK65" s="3" t="str">
        <f t="shared" si="999"/>
        <v>NA</v>
      </c>
      <c r="DL65" s="2" t="str">
        <f t="shared" si="1000"/>
        <v>NA</v>
      </c>
      <c r="DM65" s="3" t="str">
        <f t="shared" si="1001"/>
        <v>NA</v>
      </c>
      <c r="DN65" s="9" t="str">
        <f t="shared" si="1002"/>
        <v>NA</v>
      </c>
      <c r="DO65" s="637" t="str">
        <f t="shared" si="1003"/>
        <v>NA</v>
      </c>
      <c r="DP65" s="637"/>
      <c r="DQ65" s="3" t="str">
        <f t="shared" si="1004"/>
        <v>NA</v>
      </c>
      <c r="DR65" s="2" t="str">
        <f t="shared" si="1005"/>
        <v>NA</v>
      </c>
      <c r="DS65" s="3" t="str">
        <f t="shared" si="1006"/>
        <v>NA</v>
      </c>
      <c r="DT65" s="9" t="str">
        <f t="shared" si="1007"/>
        <v>NA</v>
      </c>
      <c r="DU65" s="637" t="str">
        <f t="shared" si="1008"/>
        <v>NA</v>
      </c>
      <c r="DV65" s="637"/>
      <c r="DW65" s="682"/>
      <c r="DX65" s="682"/>
      <c r="DY65" s="682"/>
      <c r="DZ65" s="637"/>
      <c r="EA65" s="643"/>
    </row>
    <row r="66" spans="1:131" s="355" customFormat="1" ht="20.100000000000001" customHeight="1" outlineLevel="1" x14ac:dyDescent="0.25">
      <c r="A66" s="356"/>
      <c r="B66" s="355" t="s">
        <v>268</v>
      </c>
      <c r="C66" s="355" t="str">
        <f t="shared" si="1009"/>
        <v>Consumo</v>
      </c>
      <c r="D66" s="355" t="s">
        <v>53</v>
      </c>
      <c r="E66" s="18" t="s">
        <v>38</v>
      </c>
      <c r="F66" s="355" t="s">
        <v>53</v>
      </c>
      <c r="G66" s="357" t="str">
        <f t="shared" si="1010"/>
        <v>Geral</v>
      </c>
      <c r="H66" s="255" t="s">
        <v>377</v>
      </c>
      <c r="I66" s="356" t="str">
        <f t="shared" si="927"/>
        <v>Sistema</v>
      </c>
      <c r="K66" s="318" t="s">
        <v>2819</v>
      </c>
      <c r="L66" s="749" t="str">
        <f>IF(Padrões!JF7&lt;&gt;"",Padrões!JF7,"")</f>
        <v/>
      </c>
      <c r="M66" s="358" t="str">
        <f t="shared" si="928"/>
        <v>?</v>
      </c>
      <c r="N66" s="359">
        <f>Padrões!JI7</f>
        <v>0</v>
      </c>
      <c r="O66" s="381" t="str">
        <f t="shared" si="929"/>
        <v>?</v>
      </c>
      <c r="P66" s="360">
        <f t="shared" si="930"/>
        <v>0.12</v>
      </c>
      <c r="Q66" s="360" t="str">
        <f t="shared" si="931"/>
        <v>?</v>
      </c>
      <c r="R66" s="360">
        <f t="shared" si="932"/>
        <v>0</v>
      </c>
      <c r="S66" s="361">
        <f t="shared" si="933"/>
        <v>0</v>
      </c>
      <c r="T66" s="362">
        <f t="shared" si="934"/>
        <v>0</v>
      </c>
      <c r="U66" s="53" t="str" cm="1">
        <f t="array" ref="U66">IFERROR(IF(I66&lt;&gt;"Serviço",IF(AND(mlookup(tbl_DIFAL_data,UFdestino,tbl_DIFAL_UF,O66,tbl_DIFAL_NCM)&lt;&gt;"",C66="Consumo"),"Sim",""),""),"?")</f>
        <v>?</v>
      </c>
      <c r="V66" s="363" t="str">
        <f>IFERROR(IF(I66&lt;&gt;"Serviço",IF(AND(D66="Não",mlookup(tbl_ST_data,UFdestino,tbl_ST_UF,O66,tbl_ST_NCM)&lt;&gt;"",C66="Revenda",CD66="Não"),"Sim",""),""),"?")</f>
        <v>?</v>
      </c>
      <c r="W66" s="364">
        <f t="shared" si="935"/>
        <v>0</v>
      </c>
      <c r="X66" s="365">
        <f>IF(V66="Sim",mlookup(tbl_ST_data,UFdestino,tbl_ST_UF,O66,tbl_ST_NCM),0)</f>
        <v>0</v>
      </c>
      <c r="Z66" s="355">
        <f t="shared" si="936"/>
        <v>0</v>
      </c>
      <c r="AA66" s="355">
        <f t="shared" si="937"/>
        <v>0</v>
      </c>
      <c r="AC66" s="366">
        <f t="shared" si="938"/>
        <v>1.31243473968765E-2</v>
      </c>
      <c r="AD66" s="366">
        <f t="shared" si="939"/>
        <v>0.15</v>
      </c>
      <c r="AF66" s="355">
        <f t="shared" si="940"/>
        <v>0</v>
      </c>
      <c r="AG66" s="355">
        <f t="shared" si="941"/>
        <v>0</v>
      </c>
      <c r="AI66" s="355">
        <f t="shared" si="942"/>
        <v>0</v>
      </c>
      <c r="AK66" s="366">
        <f t="shared" si="943"/>
        <v>0</v>
      </c>
      <c r="AL66" s="355">
        <f t="shared" si="944"/>
        <v>0</v>
      </c>
      <c r="AM66" s="355">
        <f t="shared" si="945"/>
        <v>0</v>
      </c>
      <c r="AO66" s="355" t="b">
        <f t="shared" si="946"/>
        <v>1</v>
      </c>
      <c r="AQ66" s="367">
        <f t="shared" si="947"/>
        <v>0</v>
      </c>
      <c r="AR66" s="367">
        <f t="shared" si="948"/>
        <v>0</v>
      </c>
      <c r="AT66" s="367">
        <f t="shared" si="949"/>
        <v>0</v>
      </c>
      <c r="AU66" s="367">
        <f t="shared" si="950"/>
        <v>0</v>
      </c>
      <c r="AW66" s="367">
        <f t="shared" si="951"/>
        <v>0</v>
      </c>
      <c r="AX66" s="367">
        <f t="shared" si="952"/>
        <v>0</v>
      </c>
      <c r="AY66" s="367">
        <f t="shared" si="953"/>
        <v>0</v>
      </c>
      <c r="AZ66" s="367">
        <f t="shared" si="954"/>
        <v>0</v>
      </c>
      <c r="BB66" s="355">
        <f t="shared" si="955"/>
        <v>0</v>
      </c>
      <c r="BC66" s="355">
        <f t="shared" si="956"/>
        <v>0</v>
      </c>
      <c r="BD66" s="355">
        <f t="shared" si="957"/>
        <v>0</v>
      </c>
      <c r="BE66" s="355">
        <f t="shared" si="958"/>
        <v>0</v>
      </c>
      <c r="BF66" s="355">
        <f t="shared" si="959"/>
        <v>0</v>
      </c>
      <c r="BH66" s="368">
        <f t="shared" si="960"/>
        <v>0</v>
      </c>
      <c r="BJ66" s="369">
        <f t="shared" si="961"/>
        <v>-0.12</v>
      </c>
      <c r="BK66" s="355">
        <f t="shared" si="962"/>
        <v>0</v>
      </c>
      <c r="BL66" s="355">
        <f t="shared" si="963"/>
        <v>0</v>
      </c>
      <c r="BN66" s="366">
        <f t="shared" si="964"/>
        <v>0</v>
      </c>
      <c r="BO66" s="355">
        <f t="shared" si="965"/>
        <v>0</v>
      </c>
      <c r="BP66" s="355">
        <f t="shared" si="966"/>
        <v>0</v>
      </c>
      <c r="BQ66" s="355">
        <f t="shared" si="967"/>
        <v>0</v>
      </c>
      <c r="BS66" s="367">
        <f t="shared" si="968"/>
        <v>0</v>
      </c>
      <c r="BT66" s="355">
        <f t="shared" si="969"/>
        <v>0</v>
      </c>
      <c r="BU66" s="355" t="b">
        <f t="shared" si="970"/>
        <v>1</v>
      </c>
      <c r="BW66" s="355" t="str">
        <f t="shared" si="971"/>
        <v/>
      </c>
      <c r="BX66" s="355">
        <f t="shared" si="972"/>
        <v>0</v>
      </c>
      <c r="BY66" s="356">
        <f t="shared" si="973"/>
        <v>0</v>
      </c>
      <c r="BZ66" s="355">
        <f t="shared" si="974"/>
        <v>0</v>
      </c>
      <c r="CB66" s="102" t="str">
        <f t="shared" si="975"/>
        <v>?</v>
      </c>
      <c r="CD66" s="355" t="str">
        <f t="shared" si="976"/>
        <v>Não</v>
      </c>
      <c r="CE66" s="368">
        <f>ifzero(mlookup(tbl_ICMSinterest_data,UFdestino,tbl_ICMSinterest_ufdest,UForigem,tbl_ICMSinterest_uforig))</f>
        <v>0.12</v>
      </c>
      <c r="CF66" s="368">
        <f>IF(N66&gt;0,IF(I66&lt;&gt;"Serviço",ifzero(mlookup(tbl_ICMSinterno_data,UForigem,tbl_ICMSinterno_UF,O66,tbl_ICMSinterno_NCM),mlookup(tbl_ICMSinterest_data,UForigem,tbl_ICMSinterest_ufdest,UForigem,tbl_ICMSinterest_uforig)),""),0)</f>
        <v>0</v>
      </c>
      <c r="CG66" s="368">
        <f>IF(N66&gt;0,IF(I66&lt;&gt;"Serviço",ifzero(mlookup(tbl_ICMSinterno_data,UFdestino,tbl_ICMSinterno_UF,O66,tbl_ICMSinterno_NCM),mlookup(tbl_ICMSinterest_data,UFdestino,tbl_ICMSinterest_ufdest,UFdestino,tbl_ICMSinterest_uforig)),""),0)</f>
        <v>0</v>
      </c>
      <c r="CI66" s="355">
        <f t="shared" si="977"/>
        <v>0</v>
      </c>
      <c r="CJ66" s="355">
        <f t="shared" si="978"/>
        <v>0</v>
      </c>
      <c r="CK66" s="355">
        <f t="shared" si="979"/>
        <v>0</v>
      </c>
      <c r="CL66" s="355">
        <f t="shared" si="980"/>
        <v>0</v>
      </c>
      <c r="CN66" s="370">
        <f t="shared" si="981"/>
        <v>1540</v>
      </c>
      <c r="CO66" s="355">
        <f t="shared" si="982"/>
        <v>0</v>
      </c>
      <c r="CQ66" s="355" t="b">
        <f t="shared" si="983"/>
        <v>0</v>
      </c>
      <c r="CR66" s="355" t="b">
        <f t="shared" si="984"/>
        <v>1</v>
      </c>
      <c r="CS66" s="355" t="b">
        <f t="shared" si="985"/>
        <v>0</v>
      </c>
      <c r="CU66" s="2">
        <f t="shared" si="986"/>
        <v>0</v>
      </c>
      <c r="CV66" s="102">
        <f t="shared" si="987"/>
        <v>0</v>
      </c>
      <c r="CW66" s="102">
        <f t="shared" si="988"/>
        <v>0</v>
      </c>
      <c r="CX66" s="102">
        <f t="shared" si="989"/>
        <v>0</v>
      </c>
      <c r="CY66" s="290">
        <f t="shared" si="990"/>
        <v>0</v>
      </c>
      <c r="CZ66" s="102">
        <f t="shared" si="991"/>
        <v>0</v>
      </c>
      <c r="DA66" s="290">
        <f t="shared" si="992"/>
        <v>0</v>
      </c>
      <c r="DB66" s="102">
        <f t="shared" si="993"/>
        <v>0</v>
      </c>
      <c r="DC66" s="290">
        <f t="shared" si="994"/>
        <v>0</v>
      </c>
      <c r="DD66" s="102">
        <f t="shared" si="995"/>
        <v>0</v>
      </c>
      <c r="DE66" s="592">
        <f>IF(D66="Sim",HLOOKUP($DH$5,Parametrização!$G$2:$H$4,2,FALSE),0)</f>
        <v>0</v>
      </c>
      <c r="DF66" s="102">
        <f t="shared" si="996"/>
        <v>0</v>
      </c>
      <c r="DG66" s="592">
        <f>IF(D66="Sim",HLOOKUP($DH$5,Parametrização!$G$2:$H$4,3,FALSE),0)</f>
        <v>0</v>
      </c>
      <c r="DH66" s="102">
        <f t="shared" si="997"/>
        <v>0</v>
      </c>
      <c r="DI66" s="102">
        <f t="shared" si="998"/>
        <v>0</v>
      </c>
      <c r="DK66" s="3" t="str">
        <f t="shared" si="999"/>
        <v>NA</v>
      </c>
      <c r="DL66" s="2" t="str">
        <f t="shared" si="1000"/>
        <v>NA</v>
      </c>
      <c r="DM66" s="3" t="str">
        <f t="shared" si="1001"/>
        <v>NA</v>
      </c>
      <c r="DN66" s="9" t="str">
        <f t="shared" si="1002"/>
        <v>NA</v>
      </c>
      <c r="DO66" s="637" t="str">
        <f t="shared" si="1003"/>
        <v>NA</v>
      </c>
      <c r="DP66" s="637"/>
      <c r="DQ66" s="3" t="str">
        <f t="shared" si="1004"/>
        <v>NA</v>
      </c>
      <c r="DR66" s="2" t="str">
        <f t="shared" si="1005"/>
        <v>NA</v>
      </c>
      <c r="DS66" s="3" t="str">
        <f t="shared" si="1006"/>
        <v>NA</v>
      </c>
      <c r="DT66" s="9" t="str">
        <f t="shared" si="1007"/>
        <v>NA</v>
      </c>
      <c r="DU66" s="637" t="str">
        <f t="shared" si="1008"/>
        <v>NA</v>
      </c>
      <c r="DV66" s="637"/>
      <c r="DW66" s="682"/>
      <c r="DX66" s="682"/>
      <c r="DY66" s="682"/>
      <c r="DZ66" s="637"/>
      <c r="EA66" s="643"/>
    </row>
    <row r="67" spans="1:131" s="355" customFormat="1" ht="20.100000000000001" customHeight="1" outlineLevel="1" x14ac:dyDescent="0.25">
      <c r="A67" s="356"/>
      <c r="B67" s="355" t="s">
        <v>268</v>
      </c>
      <c r="C67" s="355" t="str">
        <f t="shared" si="1009"/>
        <v>Consumo</v>
      </c>
      <c r="D67" s="355" t="s">
        <v>53</v>
      </c>
      <c r="E67" s="18" t="s">
        <v>38</v>
      </c>
      <c r="F67" s="355" t="s">
        <v>53</v>
      </c>
      <c r="G67" s="357" t="str">
        <f t="shared" si="1010"/>
        <v>Geral</v>
      </c>
      <c r="H67" s="255" t="s">
        <v>377</v>
      </c>
      <c r="I67" s="356" t="str">
        <f t="shared" si="927"/>
        <v>Sistema</v>
      </c>
      <c r="K67" s="318" t="s">
        <v>2820</v>
      </c>
      <c r="L67" s="749" t="str">
        <f>IF(Padrões!JF8&lt;&gt;"",Padrões!JF8,"")</f>
        <v>RDP (4I/4U)</v>
      </c>
      <c r="M67" s="358" t="str">
        <f t="shared" si="928"/>
        <v>Registrador de perturbações, 4 TC, 4 TP, 32 BI, garantia 10 anos. Fabricante: Siemens ou GE/Reason.</v>
      </c>
      <c r="N67" s="359">
        <f>Padrões!JI8</f>
        <v>0</v>
      </c>
      <c r="O67" s="381" t="str">
        <f t="shared" si="929"/>
        <v>?</v>
      </c>
      <c r="P67" s="360">
        <f t="shared" si="930"/>
        <v>0.12</v>
      </c>
      <c r="Q67" s="360" t="str">
        <f t="shared" si="931"/>
        <v>?</v>
      </c>
      <c r="R67" s="360">
        <f t="shared" si="932"/>
        <v>0</v>
      </c>
      <c r="S67" s="361">
        <f t="shared" si="933"/>
        <v>0</v>
      </c>
      <c r="T67" s="362">
        <f t="shared" si="934"/>
        <v>0</v>
      </c>
      <c r="U67" s="53" t="str" cm="1">
        <f t="array" ref="U67">IFERROR(IF(I67&lt;&gt;"Serviço",IF(AND(mlookup(tbl_DIFAL_data,UFdestino,tbl_DIFAL_UF,O67,tbl_DIFAL_NCM)&lt;&gt;"",C67="Consumo"),"Sim",""),""),"?")</f>
        <v>?</v>
      </c>
      <c r="V67" s="363" t="str">
        <f>IFERROR(IF(I67&lt;&gt;"Serviço",IF(AND(D67="Não",mlookup(tbl_ST_data,UFdestino,tbl_ST_UF,O67,tbl_ST_NCM)&lt;&gt;"",C67="Revenda",CD67="Não"),"Sim",""),""),"?")</f>
        <v>?</v>
      </c>
      <c r="W67" s="364">
        <f t="shared" si="935"/>
        <v>0</v>
      </c>
      <c r="X67" s="365">
        <f>IF(V67="Sim",mlookup(tbl_ST_data,UFdestino,tbl_ST_UF,O67,tbl_ST_NCM),0)</f>
        <v>0</v>
      </c>
      <c r="Z67" s="355">
        <f t="shared" si="936"/>
        <v>0</v>
      </c>
      <c r="AA67" s="355">
        <f t="shared" si="937"/>
        <v>0</v>
      </c>
      <c r="AC67" s="366">
        <f t="shared" si="938"/>
        <v>1.31243473968765E-2</v>
      </c>
      <c r="AD67" s="366">
        <f t="shared" si="939"/>
        <v>0.15</v>
      </c>
      <c r="AF67" s="355">
        <f t="shared" si="940"/>
        <v>0</v>
      </c>
      <c r="AG67" s="355">
        <f t="shared" si="941"/>
        <v>0</v>
      </c>
      <c r="AI67" s="355">
        <f t="shared" si="942"/>
        <v>0</v>
      </c>
      <c r="AK67" s="366">
        <f t="shared" si="943"/>
        <v>0</v>
      </c>
      <c r="AL67" s="355">
        <f t="shared" si="944"/>
        <v>0</v>
      </c>
      <c r="AM67" s="355">
        <f t="shared" si="945"/>
        <v>0</v>
      </c>
      <c r="AO67" s="355" t="b">
        <f t="shared" si="946"/>
        <v>1</v>
      </c>
      <c r="AQ67" s="367">
        <f t="shared" si="947"/>
        <v>0</v>
      </c>
      <c r="AR67" s="367">
        <f t="shared" si="948"/>
        <v>0</v>
      </c>
      <c r="AT67" s="367">
        <f t="shared" si="949"/>
        <v>0</v>
      </c>
      <c r="AU67" s="367">
        <f t="shared" si="950"/>
        <v>0</v>
      </c>
      <c r="AW67" s="367">
        <f t="shared" si="951"/>
        <v>0</v>
      </c>
      <c r="AX67" s="367">
        <f t="shared" si="952"/>
        <v>0</v>
      </c>
      <c r="AY67" s="367">
        <f t="shared" si="953"/>
        <v>0</v>
      </c>
      <c r="AZ67" s="367">
        <f t="shared" si="954"/>
        <v>0</v>
      </c>
      <c r="BB67" s="355">
        <f t="shared" si="955"/>
        <v>0</v>
      </c>
      <c r="BC67" s="355">
        <f t="shared" si="956"/>
        <v>0</v>
      </c>
      <c r="BD67" s="355">
        <f t="shared" si="957"/>
        <v>0</v>
      </c>
      <c r="BE67" s="355">
        <f t="shared" si="958"/>
        <v>0</v>
      </c>
      <c r="BF67" s="355">
        <f t="shared" si="959"/>
        <v>0</v>
      </c>
      <c r="BH67" s="368">
        <f t="shared" si="960"/>
        <v>0</v>
      </c>
      <c r="BJ67" s="369">
        <f t="shared" si="961"/>
        <v>-0.12</v>
      </c>
      <c r="BK67" s="355">
        <f t="shared" si="962"/>
        <v>0</v>
      </c>
      <c r="BL67" s="355">
        <f t="shared" si="963"/>
        <v>0</v>
      </c>
      <c r="BN67" s="366">
        <f t="shared" si="964"/>
        <v>0</v>
      </c>
      <c r="BO67" s="355">
        <f t="shared" si="965"/>
        <v>0</v>
      </c>
      <c r="BP67" s="355">
        <f t="shared" si="966"/>
        <v>0</v>
      </c>
      <c r="BQ67" s="355">
        <f t="shared" si="967"/>
        <v>0</v>
      </c>
      <c r="BS67" s="367">
        <f t="shared" si="968"/>
        <v>0</v>
      </c>
      <c r="BT67" s="355">
        <f t="shared" si="969"/>
        <v>0</v>
      </c>
      <c r="BU67" s="355" t="b">
        <f t="shared" si="970"/>
        <v>1</v>
      </c>
      <c r="BW67" s="355" t="str">
        <f t="shared" si="971"/>
        <v/>
      </c>
      <c r="BX67" s="355">
        <f t="shared" si="972"/>
        <v>0</v>
      </c>
      <c r="BY67" s="356">
        <f t="shared" si="973"/>
        <v>0</v>
      </c>
      <c r="BZ67" s="355">
        <f t="shared" si="974"/>
        <v>0</v>
      </c>
      <c r="CB67" s="102" t="str">
        <f t="shared" si="975"/>
        <v xml:space="preserve">  IED</v>
      </c>
      <c r="CD67" s="355" t="str">
        <f t="shared" si="976"/>
        <v>Não</v>
      </c>
      <c r="CE67" s="368">
        <f>ifzero(mlookup(tbl_ICMSinterest_data,UFdestino,tbl_ICMSinterest_ufdest,UForigem,tbl_ICMSinterest_uforig))</f>
        <v>0.12</v>
      </c>
      <c r="CF67" s="368">
        <f>IF(N67&gt;0,IF(I67&lt;&gt;"Serviço",ifzero(mlookup(tbl_ICMSinterno_data,UForigem,tbl_ICMSinterno_UF,O67,tbl_ICMSinterno_NCM),mlookup(tbl_ICMSinterest_data,UForigem,tbl_ICMSinterest_ufdest,UForigem,tbl_ICMSinterest_uforig)),""),0)</f>
        <v>0</v>
      </c>
      <c r="CG67" s="368">
        <f>IF(N67&gt;0,IF(I67&lt;&gt;"Serviço",ifzero(mlookup(tbl_ICMSinterno_data,UFdestino,tbl_ICMSinterno_UF,O67,tbl_ICMSinterno_NCM),mlookup(tbl_ICMSinterest_data,UFdestino,tbl_ICMSinterest_ufdest,UFdestino,tbl_ICMSinterest_uforig)),""),0)</f>
        <v>0</v>
      </c>
      <c r="CI67" s="355">
        <f t="shared" si="977"/>
        <v>0</v>
      </c>
      <c r="CJ67" s="355">
        <f t="shared" si="978"/>
        <v>0</v>
      </c>
      <c r="CK67" s="355">
        <f t="shared" si="979"/>
        <v>0</v>
      </c>
      <c r="CL67" s="355">
        <f t="shared" si="980"/>
        <v>0</v>
      </c>
      <c r="CN67" s="370">
        <f t="shared" si="981"/>
        <v>0</v>
      </c>
      <c r="CO67" s="355">
        <f t="shared" si="982"/>
        <v>0</v>
      </c>
      <c r="CQ67" s="355" t="b">
        <f t="shared" si="983"/>
        <v>0</v>
      </c>
      <c r="CR67" s="355" t="b">
        <f t="shared" si="984"/>
        <v>1</v>
      </c>
      <c r="CS67" s="355" t="b">
        <f t="shared" si="985"/>
        <v>0</v>
      </c>
      <c r="CU67" s="2">
        <f t="shared" si="986"/>
        <v>0</v>
      </c>
      <c r="CV67" s="102">
        <f t="shared" si="987"/>
        <v>0</v>
      </c>
      <c r="CW67" s="102">
        <f t="shared" si="988"/>
        <v>0</v>
      </c>
      <c r="CX67" s="102">
        <f t="shared" si="989"/>
        <v>0</v>
      </c>
      <c r="CY67" s="290">
        <f t="shared" si="990"/>
        <v>0</v>
      </c>
      <c r="CZ67" s="102">
        <f t="shared" si="991"/>
        <v>0</v>
      </c>
      <c r="DA67" s="290">
        <f t="shared" si="992"/>
        <v>0</v>
      </c>
      <c r="DB67" s="102">
        <f t="shared" si="993"/>
        <v>0</v>
      </c>
      <c r="DC67" s="290">
        <f t="shared" si="994"/>
        <v>0</v>
      </c>
      <c r="DD67" s="102">
        <f t="shared" si="995"/>
        <v>0</v>
      </c>
      <c r="DE67" s="592">
        <f>IF(D67="Sim",HLOOKUP($DH$5,Parametrização!$G$2:$H$4,2,FALSE),0)</f>
        <v>0</v>
      </c>
      <c r="DF67" s="102">
        <f t="shared" si="996"/>
        <v>0</v>
      </c>
      <c r="DG67" s="592">
        <f>IF(D67="Sim",HLOOKUP($DH$5,Parametrização!$G$2:$H$4,3,FALSE),0)</f>
        <v>0</v>
      </c>
      <c r="DH67" s="102">
        <f t="shared" si="997"/>
        <v>0</v>
      </c>
      <c r="DI67" s="102">
        <f t="shared" si="998"/>
        <v>0</v>
      </c>
      <c r="DK67" s="3" t="str">
        <f t="shared" si="999"/>
        <v>NA</v>
      </c>
      <c r="DL67" s="2" t="str">
        <f t="shared" si="1000"/>
        <v>NA</v>
      </c>
      <c r="DM67" s="3" t="str">
        <f t="shared" si="1001"/>
        <v>NA</v>
      </c>
      <c r="DN67" s="9" t="str">
        <f t="shared" si="1002"/>
        <v>NA</v>
      </c>
      <c r="DO67" s="637" t="str">
        <f t="shared" si="1003"/>
        <v>NA</v>
      </c>
      <c r="DP67" s="637"/>
      <c r="DQ67" s="3" t="str">
        <f t="shared" si="1004"/>
        <v>NA</v>
      </c>
      <c r="DR67" s="2" t="str">
        <f t="shared" si="1005"/>
        <v>NA</v>
      </c>
      <c r="DS67" s="3" t="str">
        <f t="shared" si="1006"/>
        <v>NA</v>
      </c>
      <c r="DT67" s="9" t="str">
        <f t="shared" si="1007"/>
        <v>NA</v>
      </c>
      <c r="DU67" s="637" t="str">
        <f t="shared" si="1008"/>
        <v>NA</v>
      </c>
      <c r="DV67" s="637"/>
      <c r="DW67" s="682"/>
      <c r="DX67" s="682"/>
      <c r="DY67" s="682"/>
      <c r="DZ67" s="637"/>
      <c r="EA67" s="643"/>
    </row>
    <row r="68" spans="1:131" s="355" customFormat="1" ht="20.100000000000001" customHeight="1" outlineLevel="1" x14ac:dyDescent="0.25">
      <c r="A68" s="356"/>
      <c r="B68" s="355" t="s">
        <v>268</v>
      </c>
      <c r="C68" s="355" t="str">
        <f t="shared" si="1009"/>
        <v>Consumo</v>
      </c>
      <c r="D68" s="355" t="s">
        <v>53</v>
      </c>
      <c r="E68" s="18" t="s">
        <v>38</v>
      </c>
      <c r="F68" s="355" t="s">
        <v>53</v>
      </c>
      <c r="G68" s="357" t="str">
        <f t="shared" si="1010"/>
        <v>Geral</v>
      </c>
      <c r="H68" s="255" t="s">
        <v>377</v>
      </c>
      <c r="I68" s="356" t="str">
        <f t="shared" si="927"/>
        <v>Sistema</v>
      </c>
      <c r="K68" s="318" t="s">
        <v>2821</v>
      </c>
      <c r="L68" s="749" t="str">
        <f>IF(Padrões!JF9&lt;&gt;"",Padrões!JF9,"")</f>
        <v>RDP (8I/8U)</v>
      </c>
      <c r="M68" s="358" t="str">
        <f t="shared" si="928"/>
        <v>Registrador de perturbações, 8 TC, 8 TP, 32 BI, garantia 10 anos. Fabricante: Siemens ou GE/Reason.</v>
      </c>
      <c r="N68" s="359">
        <f>Padrões!JI9</f>
        <v>0</v>
      </c>
      <c r="O68" s="381" t="str">
        <f t="shared" si="929"/>
        <v>?</v>
      </c>
      <c r="P68" s="360">
        <f t="shared" si="930"/>
        <v>0.12</v>
      </c>
      <c r="Q68" s="360" t="str">
        <f t="shared" si="931"/>
        <v>?</v>
      </c>
      <c r="R68" s="360">
        <f t="shared" si="932"/>
        <v>0</v>
      </c>
      <c r="S68" s="361">
        <f t="shared" si="933"/>
        <v>0</v>
      </c>
      <c r="T68" s="362">
        <f t="shared" si="934"/>
        <v>0</v>
      </c>
      <c r="U68" s="53" t="str" cm="1">
        <f t="array" ref="U68">IFERROR(IF(I68&lt;&gt;"Serviço",IF(AND(mlookup(tbl_DIFAL_data,UFdestino,tbl_DIFAL_UF,O68,tbl_DIFAL_NCM)&lt;&gt;"",C68="Consumo"),"Sim",""),""),"?")</f>
        <v>?</v>
      </c>
      <c r="V68" s="363" t="str">
        <f>IFERROR(IF(I68&lt;&gt;"Serviço",IF(AND(D68="Não",mlookup(tbl_ST_data,UFdestino,tbl_ST_UF,O68,tbl_ST_NCM)&lt;&gt;"",C68="Revenda",CD68="Não"),"Sim",""),""),"?")</f>
        <v>?</v>
      </c>
      <c r="W68" s="364">
        <f t="shared" si="935"/>
        <v>0</v>
      </c>
      <c r="X68" s="365">
        <f>IF(V68="Sim",mlookup(tbl_ST_data,UFdestino,tbl_ST_UF,O68,tbl_ST_NCM),0)</f>
        <v>0</v>
      </c>
      <c r="Z68" s="355">
        <f t="shared" si="936"/>
        <v>0</v>
      </c>
      <c r="AA68" s="355">
        <f t="shared" si="937"/>
        <v>0</v>
      </c>
      <c r="AC68" s="366">
        <f t="shared" ref="AC68:AC131" si="1011">cobertura_pc</f>
        <v>1.31243473968765E-2</v>
      </c>
      <c r="AD68" s="366">
        <f t="shared" si="939"/>
        <v>0.15</v>
      </c>
      <c r="AF68" s="355">
        <f t="shared" si="940"/>
        <v>0</v>
      </c>
      <c r="AG68" s="355">
        <f t="shared" si="941"/>
        <v>0</v>
      </c>
      <c r="AI68" s="355">
        <f t="shared" si="942"/>
        <v>0</v>
      </c>
      <c r="AK68" s="366">
        <f t="shared" ref="AK68:AK131" si="1012">mn_pc</f>
        <v>0</v>
      </c>
      <c r="AL68" s="355">
        <f t="shared" si="944"/>
        <v>0</v>
      </c>
      <c r="AM68" s="355">
        <f t="shared" si="945"/>
        <v>0</v>
      </c>
      <c r="AO68" s="355" t="b">
        <f t="shared" si="946"/>
        <v>1</v>
      </c>
      <c r="AQ68" s="367">
        <f t="shared" si="947"/>
        <v>0</v>
      </c>
      <c r="AR68" s="367">
        <f t="shared" si="948"/>
        <v>0</v>
      </c>
      <c r="AT68" s="367">
        <f t="shared" si="949"/>
        <v>0</v>
      </c>
      <c r="AU68" s="367">
        <f t="shared" si="950"/>
        <v>0</v>
      </c>
      <c r="AW68" s="367">
        <f t="shared" si="951"/>
        <v>0</v>
      </c>
      <c r="AX68" s="367">
        <f t="shared" si="952"/>
        <v>0</v>
      </c>
      <c r="AY68" s="367">
        <f t="shared" si="953"/>
        <v>0</v>
      </c>
      <c r="AZ68" s="367">
        <f t="shared" si="954"/>
        <v>0</v>
      </c>
      <c r="BB68" s="355">
        <f t="shared" si="955"/>
        <v>0</v>
      </c>
      <c r="BC68" s="355">
        <f t="shared" si="956"/>
        <v>0</v>
      </c>
      <c r="BD68" s="355">
        <f t="shared" si="957"/>
        <v>0</v>
      </c>
      <c r="BE68" s="355">
        <f t="shared" si="958"/>
        <v>0</v>
      </c>
      <c r="BF68" s="355">
        <f t="shared" si="959"/>
        <v>0</v>
      </c>
      <c r="BH68" s="368">
        <f t="shared" si="960"/>
        <v>0</v>
      </c>
      <c r="BJ68" s="369">
        <f t="shared" si="961"/>
        <v>-0.12</v>
      </c>
      <c r="BK68" s="355">
        <f t="shared" si="962"/>
        <v>0</v>
      </c>
      <c r="BL68" s="355">
        <f t="shared" si="963"/>
        <v>0</v>
      </c>
      <c r="BN68" s="366">
        <f t="shared" si="964"/>
        <v>0</v>
      </c>
      <c r="BO68" s="355">
        <f t="shared" si="965"/>
        <v>0</v>
      </c>
      <c r="BP68" s="355">
        <f t="shared" si="966"/>
        <v>0</v>
      </c>
      <c r="BQ68" s="355">
        <f t="shared" si="967"/>
        <v>0</v>
      </c>
      <c r="BS68" s="367">
        <f t="shared" si="968"/>
        <v>0</v>
      </c>
      <c r="BT68" s="355">
        <f t="shared" si="969"/>
        <v>0</v>
      </c>
      <c r="BU68" s="355" t="b">
        <f t="shared" si="970"/>
        <v>1</v>
      </c>
      <c r="BW68" s="355" t="str">
        <f t="shared" si="971"/>
        <v/>
      </c>
      <c r="BX68" s="355">
        <f t="shared" si="972"/>
        <v>0</v>
      </c>
      <c r="BY68" s="356">
        <f t="shared" si="973"/>
        <v>0</v>
      </c>
      <c r="BZ68" s="355">
        <f t="shared" si="974"/>
        <v>0</v>
      </c>
      <c r="CB68" s="102" t="str">
        <f t="shared" si="975"/>
        <v xml:space="preserve">  IED</v>
      </c>
      <c r="CD68" s="355" t="str">
        <f t="shared" si="976"/>
        <v>Não</v>
      </c>
      <c r="CE68" s="368">
        <f>ifzero(mlookup(tbl_ICMSinterest_data,UFdestino,tbl_ICMSinterest_ufdest,UForigem,tbl_ICMSinterest_uforig))</f>
        <v>0.12</v>
      </c>
      <c r="CF68" s="368">
        <f>IF(N68&gt;0,IF(I68&lt;&gt;"Serviço",ifzero(mlookup(tbl_ICMSinterno_data,UForigem,tbl_ICMSinterno_UF,O68,tbl_ICMSinterno_NCM),mlookup(tbl_ICMSinterest_data,UForigem,tbl_ICMSinterest_ufdest,UForigem,tbl_ICMSinterest_uforig)),""),0)</f>
        <v>0</v>
      </c>
      <c r="CG68" s="368">
        <f>IF(N68&gt;0,IF(I68&lt;&gt;"Serviço",ifzero(mlookup(tbl_ICMSinterno_data,UFdestino,tbl_ICMSinterno_UF,O68,tbl_ICMSinterno_NCM),mlookup(tbl_ICMSinterest_data,UFdestino,tbl_ICMSinterest_ufdest,UFdestino,tbl_ICMSinterest_uforig)),""),0)</f>
        <v>0</v>
      </c>
      <c r="CI68" s="355">
        <f t="shared" si="977"/>
        <v>0</v>
      </c>
      <c r="CJ68" s="355">
        <f t="shared" si="978"/>
        <v>0</v>
      </c>
      <c r="CK68" s="355">
        <f t="shared" si="979"/>
        <v>0</v>
      </c>
      <c r="CL68" s="355">
        <f t="shared" si="980"/>
        <v>0</v>
      </c>
      <c r="CN68" s="370">
        <f t="shared" si="981"/>
        <v>0</v>
      </c>
      <c r="CO68" s="355">
        <f t="shared" si="982"/>
        <v>0</v>
      </c>
      <c r="CQ68" s="355" t="b">
        <f t="shared" si="983"/>
        <v>0</v>
      </c>
      <c r="CR68" s="355" t="b">
        <f t="shared" si="984"/>
        <v>1</v>
      </c>
      <c r="CS68" s="355" t="b">
        <f t="shared" si="985"/>
        <v>0</v>
      </c>
      <c r="CU68" s="2">
        <f t="shared" si="986"/>
        <v>0</v>
      </c>
      <c r="CV68" s="102">
        <f t="shared" si="987"/>
        <v>0</v>
      </c>
      <c r="CW68" s="102">
        <f t="shared" si="988"/>
        <v>0</v>
      </c>
      <c r="CX68" s="102">
        <f t="shared" si="989"/>
        <v>0</v>
      </c>
      <c r="CY68" s="290">
        <f t="shared" si="990"/>
        <v>0</v>
      </c>
      <c r="CZ68" s="102">
        <f t="shared" si="991"/>
        <v>0</v>
      </c>
      <c r="DA68" s="290">
        <f t="shared" si="992"/>
        <v>0</v>
      </c>
      <c r="DB68" s="102">
        <f t="shared" si="993"/>
        <v>0</v>
      </c>
      <c r="DC68" s="290">
        <f t="shared" si="994"/>
        <v>0</v>
      </c>
      <c r="DD68" s="102">
        <f t="shared" si="995"/>
        <v>0</v>
      </c>
      <c r="DE68" s="592">
        <f>IF(D68="Sim",HLOOKUP($DH$5,Parametrização!$G$2:$H$4,2,FALSE),0)</f>
        <v>0</v>
      </c>
      <c r="DF68" s="102">
        <f t="shared" si="996"/>
        <v>0</v>
      </c>
      <c r="DG68" s="592">
        <f>IF(D68="Sim",HLOOKUP($DH$5,Parametrização!$G$2:$H$4,3,FALSE),0)</f>
        <v>0</v>
      </c>
      <c r="DH68" s="102">
        <f t="shared" si="997"/>
        <v>0</v>
      </c>
      <c r="DI68" s="102">
        <f t="shared" si="998"/>
        <v>0</v>
      </c>
      <c r="DK68" s="3" t="str">
        <f t="shared" si="999"/>
        <v>NA</v>
      </c>
      <c r="DL68" s="2" t="str">
        <f t="shared" si="1000"/>
        <v>NA</v>
      </c>
      <c r="DM68" s="3" t="str">
        <f t="shared" si="1001"/>
        <v>NA</v>
      </c>
      <c r="DN68" s="9" t="str">
        <f t="shared" si="1002"/>
        <v>NA</v>
      </c>
      <c r="DO68" s="637" t="str">
        <f t="shared" si="1003"/>
        <v>NA</v>
      </c>
      <c r="DP68" s="637"/>
      <c r="DQ68" s="3" t="str">
        <f t="shared" si="1004"/>
        <v>NA</v>
      </c>
      <c r="DR68" s="2" t="str">
        <f t="shared" si="1005"/>
        <v>NA</v>
      </c>
      <c r="DS68" s="3" t="str">
        <f t="shared" si="1006"/>
        <v>NA</v>
      </c>
      <c r="DT68" s="9" t="str">
        <f t="shared" si="1007"/>
        <v>NA</v>
      </c>
      <c r="DU68" s="637" t="str">
        <f t="shared" si="1008"/>
        <v>NA</v>
      </c>
      <c r="DV68" s="637"/>
      <c r="DW68" s="682"/>
      <c r="DX68" s="682"/>
      <c r="DY68" s="682"/>
      <c r="DZ68" s="637"/>
      <c r="EA68" s="643"/>
    </row>
    <row r="69" spans="1:131" s="355" customFormat="1" ht="20.100000000000001" customHeight="1" outlineLevel="1" x14ac:dyDescent="0.25">
      <c r="A69" s="356"/>
      <c r="B69" s="355" t="s">
        <v>268</v>
      </c>
      <c r="C69" s="355" t="str">
        <f t="shared" si="1009"/>
        <v>Consumo</v>
      </c>
      <c r="D69" s="355" t="s">
        <v>53</v>
      </c>
      <c r="E69" s="18" t="s">
        <v>38</v>
      </c>
      <c r="F69" s="355" t="s">
        <v>53</v>
      </c>
      <c r="G69" s="357" t="str">
        <f t="shared" si="1010"/>
        <v>Geral</v>
      </c>
      <c r="H69" s="255" t="s">
        <v>377</v>
      </c>
      <c r="I69" s="356" t="str">
        <f t="shared" si="927"/>
        <v>Sistema</v>
      </c>
      <c r="K69" s="318" t="s">
        <v>2822</v>
      </c>
      <c r="L69" s="749" t="str">
        <f>IF(Padrões!JF10&lt;&gt;"",Padrões!JF10,"")</f>
        <v>RDP (12I/12U)</v>
      </c>
      <c r="M69" s="358" t="str">
        <f t="shared" si="928"/>
        <v>Registrador de perturbações, 12 TC, 12 TP, 32 BI, garantia 10 anos. Fabricante: Siemens ou GE/Reason.</v>
      </c>
      <c r="N69" s="359">
        <f>Padrões!JI10</f>
        <v>0</v>
      </c>
      <c r="O69" s="381" t="str">
        <f t="shared" si="929"/>
        <v>?</v>
      </c>
      <c r="P69" s="360">
        <f t="shared" si="930"/>
        <v>0.12</v>
      </c>
      <c r="Q69" s="360" t="str">
        <f t="shared" si="931"/>
        <v>?</v>
      </c>
      <c r="R69" s="360">
        <f t="shared" si="932"/>
        <v>0</v>
      </c>
      <c r="S69" s="361">
        <f t="shared" si="933"/>
        <v>0</v>
      </c>
      <c r="T69" s="362">
        <f t="shared" si="934"/>
        <v>0</v>
      </c>
      <c r="U69" s="53" t="str" cm="1">
        <f t="array" ref="U69">IFERROR(IF(I69&lt;&gt;"Serviço",IF(AND(mlookup(tbl_DIFAL_data,UFdestino,tbl_DIFAL_UF,O69,tbl_DIFAL_NCM)&lt;&gt;"",C69="Consumo"),"Sim",""),""),"?")</f>
        <v>?</v>
      </c>
      <c r="V69" s="363" t="str">
        <f>IFERROR(IF(I69&lt;&gt;"Serviço",IF(AND(D69="Não",mlookup(tbl_ST_data,UFdestino,tbl_ST_UF,O69,tbl_ST_NCM)&lt;&gt;"",C69="Revenda",CD69="Não"),"Sim",""),""),"?")</f>
        <v>?</v>
      </c>
      <c r="W69" s="364">
        <f t="shared" si="935"/>
        <v>0</v>
      </c>
      <c r="X69" s="365">
        <f>IF(V69="Sim",mlookup(tbl_ST_data,UFdestino,tbl_ST_UF,O69,tbl_ST_NCM),0)</f>
        <v>0</v>
      </c>
      <c r="Z69" s="355">
        <f t="shared" si="936"/>
        <v>0</v>
      </c>
      <c r="AA69" s="355">
        <f t="shared" si="937"/>
        <v>0</v>
      </c>
      <c r="AC69" s="366">
        <f t="shared" si="1011"/>
        <v>1.31243473968765E-2</v>
      </c>
      <c r="AD69" s="366">
        <f t="shared" si="939"/>
        <v>0.15</v>
      </c>
      <c r="AF69" s="355">
        <f t="shared" si="940"/>
        <v>0</v>
      </c>
      <c r="AG69" s="355">
        <f t="shared" si="941"/>
        <v>0</v>
      </c>
      <c r="AI69" s="355">
        <f t="shared" si="942"/>
        <v>0</v>
      </c>
      <c r="AK69" s="366">
        <f t="shared" si="1012"/>
        <v>0</v>
      </c>
      <c r="AL69" s="355">
        <f t="shared" si="944"/>
        <v>0</v>
      </c>
      <c r="AM69" s="355">
        <f t="shared" si="945"/>
        <v>0</v>
      </c>
      <c r="AO69" s="355" t="b">
        <f t="shared" si="946"/>
        <v>1</v>
      </c>
      <c r="AQ69" s="367">
        <f t="shared" si="947"/>
        <v>0</v>
      </c>
      <c r="AR69" s="367">
        <f t="shared" si="948"/>
        <v>0</v>
      </c>
      <c r="AT69" s="367">
        <f t="shared" si="949"/>
        <v>0</v>
      </c>
      <c r="AU69" s="367">
        <f t="shared" si="950"/>
        <v>0</v>
      </c>
      <c r="AW69" s="367">
        <f t="shared" si="951"/>
        <v>0</v>
      </c>
      <c r="AX69" s="367">
        <f t="shared" si="952"/>
        <v>0</v>
      </c>
      <c r="AY69" s="367">
        <f t="shared" si="953"/>
        <v>0</v>
      </c>
      <c r="AZ69" s="367">
        <f t="shared" si="954"/>
        <v>0</v>
      </c>
      <c r="BB69" s="355">
        <f t="shared" si="955"/>
        <v>0</v>
      </c>
      <c r="BC69" s="355">
        <f t="shared" si="956"/>
        <v>0</v>
      </c>
      <c r="BD69" s="355">
        <f t="shared" si="957"/>
        <v>0</v>
      </c>
      <c r="BE69" s="355">
        <f t="shared" si="958"/>
        <v>0</v>
      </c>
      <c r="BF69" s="355">
        <f t="shared" si="959"/>
        <v>0</v>
      </c>
      <c r="BH69" s="368">
        <f t="shared" si="960"/>
        <v>0</v>
      </c>
      <c r="BJ69" s="369">
        <f t="shared" si="961"/>
        <v>-0.12</v>
      </c>
      <c r="BK69" s="355">
        <f t="shared" si="962"/>
        <v>0</v>
      </c>
      <c r="BL69" s="355">
        <f t="shared" si="963"/>
        <v>0</v>
      </c>
      <c r="BN69" s="366">
        <f t="shared" si="964"/>
        <v>0</v>
      </c>
      <c r="BO69" s="355">
        <f t="shared" si="965"/>
        <v>0</v>
      </c>
      <c r="BP69" s="355">
        <f t="shared" si="966"/>
        <v>0</v>
      </c>
      <c r="BQ69" s="355">
        <f t="shared" si="967"/>
        <v>0</v>
      </c>
      <c r="BS69" s="367">
        <f t="shared" si="968"/>
        <v>0</v>
      </c>
      <c r="BT69" s="355">
        <f t="shared" si="969"/>
        <v>0</v>
      </c>
      <c r="BU69" s="355" t="b">
        <f t="shared" si="970"/>
        <v>1</v>
      </c>
      <c r="BW69" s="355" t="str">
        <f t="shared" si="971"/>
        <v/>
      </c>
      <c r="BX69" s="355">
        <f t="shared" si="972"/>
        <v>0</v>
      </c>
      <c r="BY69" s="356">
        <f t="shared" si="973"/>
        <v>0</v>
      </c>
      <c r="BZ69" s="355">
        <f t="shared" si="974"/>
        <v>0</v>
      </c>
      <c r="CB69" s="102" t="str">
        <f t="shared" si="975"/>
        <v xml:space="preserve">  IED</v>
      </c>
      <c r="CD69" s="355" t="str">
        <f t="shared" si="976"/>
        <v>Não</v>
      </c>
      <c r="CE69" s="368">
        <f>ifzero(mlookup(tbl_ICMSinterest_data,UFdestino,tbl_ICMSinterest_ufdest,UForigem,tbl_ICMSinterest_uforig))</f>
        <v>0.12</v>
      </c>
      <c r="CF69" s="368">
        <f>IF(N69&gt;0,IF(I69&lt;&gt;"Serviço",ifzero(mlookup(tbl_ICMSinterno_data,UForigem,tbl_ICMSinterno_UF,O69,tbl_ICMSinterno_NCM),mlookup(tbl_ICMSinterest_data,UForigem,tbl_ICMSinterest_ufdest,UForigem,tbl_ICMSinterest_uforig)),""),0)</f>
        <v>0</v>
      </c>
      <c r="CG69" s="368">
        <f>IF(N69&gt;0,IF(I69&lt;&gt;"Serviço",ifzero(mlookup(tbl_ICMSinterno_data,UFdestino,tbl_ICMSinterno_UF,O69,tbl_ICMSinterno_NCM),mlookup(tbl_ICMSinterest_data,UFdestino,tbl_ICMSinterest_ufdest,UFdestino,tbl_ICMSinterest_uforig)),""),0)</f>
        <v>0</v>
      </c>
      <c r="CI69" s="355">
        <f t="shared" si="977"/>
        <v>0</v>
      </c>
      <c r="CJ69" s="355">
        <f t="shared" si="978"/>
        <v>0</v>
      </c>
      <c r="CK69" s="355">
        <f t="shared" si="979"/>
        <v>0</v>
      </c>
      <c r="CL69" s="355">
        <f t="shared" si="980"/>
        <v>0</v>
      </c>
      <c r="CN69" s="370">
        <f t="shared" si="981"/>
        <v>0</v>
      </c>
      <c r="CO69" s="355">
        <f t="shared" si="982"/>
        <v>0</v>
      </c>
      <c r="CQ69" s="355" t="b">
        <f t="shared" si="983"/>
        <v>0</v>
      </c>
      <c r="CR69" s="355" t="b">
        <f t="shared" si="984"/>
        <v>1</v>
      </c>
      <c r="CS69" s="355" t="b">
        <f t="shared" si="985"/>
        <v>0</v>
      </c>
      <c r="CU69" s="2">
        <f t="shared" si="986"/>
        <v>0</v>
      </c>
      <c r="CV69" s="102">
        <f t="shared" si="987"/>
        <v>0</v>
      </c>
      <c r="CW69" s="102">
        <f t="shared" si="988"/>
        <v>0</v>
      </c>
      <c r="CX69" s="102">
        <f t="shared" si="989"/>
        <v>0</v>
      </c>
      <c r="CY69" s="290">
        <f t="shared" si="990"/>
        <v>0</v>
      </c>
      <c r="CZ69" s="102">
        <f t="shared" si="991"/>
        <v>0</v>
      </c>
      <c r="DA69" s="290">
        <f t="shared" si="992"/>
        <v>0</v>
      </c>
      <c r="DB69" s="102">
        <f t="shared" si="993"/>
        <v>0</v>
      </c>
      <c r="DC69" s="290">
        <f t="shared" si="994"/>
        <v>0</v>
      </c>
      <c r="DD69" s="102">
        <f t="shared" si="995"/>
        <v>0</v>
      </c>
      <c r="DE69" s="592">
        <f>IF(D69="Sim",HLOOKUP($DH$5,Parametrização!$G$2:$H$4,2,FALSE),0)</f>
        <v>0</v>
      </c>
      <c r="DF69" s="102">
        <f t="shared" si="996"/>
        <v>0</v>
      </c>
      <c r="DG69" s="592">
        <f>IF(D69="Sim",HLOOKUP($DH$5,Parametrização!$G$2:$H$4,3,FALSE),0)</f>
        <v>0</v>
      </c>
      <c r="DH69" s="102">
        <f t="shared" si="997"/>
        <v>0</v>
      </c>
      <c r="DI69" s="102">
        <f t="shared" si="998"/>
        <v>0</v>
      </c>
      <c r="DK69" s="3" t="str">
        <f t="shared" si="999"/>
        <v>NA</v>
      </c>
      <c r="DL69" s="2" t="str">
        <f t="shared" si="1000"/>
        <v>NA</v>
      </c>
      <c r="DM69" s="3" t="str">
        <f t="shared" si="1001"/>
        <v>NA</v>
      </c>
      <c r="DN69" s="9" t="str">
        <f t="shared" si="1002"/>
        <v>NA</v>
      </c>
      <c r="DO69" s="637" t="str">
        <f t="shared" si="1003"/>
        <v>NA</v>
      </c>
      <c r="DP69" s="637"/>
      <c r="DQ69" s="3" t="str">
        <f t="shared" si="1004"/>
        <v>NA</v>
      </c>
      <c r="DR69" s="2" t="str">
        <f t="shared" si="1005"/>
        <v>NA</v>
      </c>
      <c r="DS69" s="3" t="str">
        <f t="shared" si="1006"/>
        <v>NA</v>
      </c>
      <c r="DT69" s="9" t="str">
        <f t="shared" si="1007"/>
        <v>NA</v>
      </c>
      <c r="DU69" s="637" t="str">
        <f t="shared" si="1008"/>
        <v>NA</v>
      </c>
      <c r="DV69" s="637"/>
      <c r="DW69" s="682"/>
      <c r="DX69" s="682"/>
      <c r="DY69" s="682"/>
      <c r="DZ69" s="637"/>
      <c r="EA69" s="643"/>
    </row>
    <row r="70" spans="1:131" s="355" customFormat="1" ht="20.100000000000001" customHeight="1" outlineLevel="1" x14ac:dyDescent="0.25">
      <c r="A70" s="356"/>
      <c r="B70" s="355" t="s">
        <v>268</v>
      </c>
      <c r="C70" s="355" t="str">
        <f t="shared" si="1009"/>
        <v>Consumo</v>
      </c>
      <c r="D70" s="355" t="s">
        <v>53</v>
      </c>
      <c r="E70" s="18" t="s">
        <v>38</v>
      </c>
      <c r="F70" s="355" t="s">
        <v>53</v>
      </c>
      <c r="G70" s="357" t="str">
        <f t="shared" si="1010"/>
        <v>Geral</v>
      </c>
      <c r="H70" s="255" t="s">
        <v>377</v>
      </c>
      <c r="I70" s="356" t="str">
        <f t="shared" si="927"/>
        <v>Sistema</v>
      </c>
      <c r="K70" s="318" t="s">
        <v>2823</v>
      </c>
      <c r="L70" s="749" t="str">
        <f>IF(Padrões!JF11&lt;&gt;"",Padrões!JF11,"")</f>
        <v>Relé 21</v>
      </c>
      <c r="M70" s="358" t="str">
        <f t="shared" si="928"/>
        <v>Relé digital para linhas de transmissão, proteção de distância, 4 TC, 4 TP, 40 BI, 30 BO, display gráfico, garantia 10 anos. Fabricante: Siemens, ABB, SEL ou GE/Alstom.</v>
      </c>
      <c r="N70" s="359">
        <f>Padrões!JI11</f>
        <v>0</v>
      </c>
      <c r="O70" s="381" t="str">
        <f t="shared" si="929"/>
        <v>?</v>
      </c>
      <c r="P70" s="360">
        <f t="shared" si="930"/>
        <v>0.12</v>
      </c>
      <c r="Q70" s="360" t="str">
        <f t="shared" si="931"/>
        <v>?</v>
      </c>
      <c r="R70" s="360">
        <f t="shared" si="932"/>
        <v>0</v>
      </c>
      <c r="S70" s="361">
        <f t="shared" si="933"/>
        <v>0</v>
      </c>
      <c r="T70" s="362">
        <f t="shared" si="934"/>
        <v>0</v>
      </c>
      <c r="U70" s="53" t="str" cm="1">
        <f t="array" ref="U70">IFERROR(IF(I70&lt;&gt;"Serviço",IF(AND(mlookup(tbl_DIFAL_data,UFdestino,tbl_DIFAL_UF,O70,tbl_DIFAL_NCM)&lt;&gt;"",C70="Consumo"),"Sim",""),""),"?")</f>
        <v>?</v>
      </c>
      <c r="V70" s="363" t="str">
        <f>IFERROR(IF(I70&lt;&gt;"Serviço",IF(AND(D70="Não",mlookup(tbl_ST_data,UFdestino,tbl_ST_UF,O70,tbl_ST_NCM)&lt;&gt;"",C70="Revenda",CD70="Não"),"Sim",""),""),"?")</f>
        <v>?</v>
      </c>
      <c r="W70" s="364">
        <f t="shared" si="935"/>
        <v>0</v>
      </c>
      <c r="X70" s="365">
        <f>IF(V70="Sim",mlookup(tbl_ST_data,UFdestino,tbl_ST_UF,O70,tbl_ST_NCM),0)</f>
        <v>0</v>
      </c>
      <c r="Z70" s="355">
        <f t="shared" si="936"/>
        <v>0</v>
      </c>
      <c r="AA70" s="355">
        <f t="shared" si="937"/>
        <v>0</v>
      </c>
      <c r="AC70" s="366">
        <f t="shared" si="1011"/>
        <v>1.31243473968765E-2</v>
      </c>
      <c r="AD70" s="366">
        <f t="shared" si="939"/>
        <v>0.15</v>
      </c>
      <c r="AF70" s="355">
        <f t="shared" si="940"/>
        <v>0</v>
      </c>
      <c r="AG70" s="355">
        <f t="shared" si="941"/>
        <v>0</v>
      </c>
      <c r="AI70" s="355">
        <f t="shared" si="942"/>
        <v>0</v>
      </c>
      <c r="AK70" s="366">
        <f t="shared" si="1012"/>
        <v>0</v>
      </c>
      <c r="AL70" s="355">
        <f t="shared" si="944"/>
        <v>0</v>
      </c>
      <c r="AM70" s="355">
        <f t="shared" si="945"/>
        <v>0</v>
      </c>
      <c r="AO70" s="355" t="b">
        <f t="shared" si="946"/>
        <v>1</v>
      </c>
      <c r="AQ70" s="367">
        <f t="shared" si="947"/>
        <v>0</v>
      </c>
      <c r="AR70" s="367">
        <f t="shared" si="948"/>
        <v>0</v>
      </c>
      <c r="AT70" s="367">
        <f t="shared" si="949"/>
        <v>0</v>
      </c>
      <c r="AU70" s="367">
        <f t="shared" si="950"/>
        <v>0</v>
      </c>
      <c r="AW70" s="367">
        <f t="shared" si="951"/>
        <v>0</v>
      </c>
      <c r="AX70" s="367">
        <f t="shared" si="952"/>
        <v>0</v>
      </c>
      <c r="AY70" s="367">
        <f t="shared" si="953"/>
        <v>0</v>
      </c>
      <c r="AZ70" s="367">
        <f t="shared" si="954"/>
        <v>0</v>
      </c>
      <c r="BB70" s="355">
        <f t="shared" si="955"/>
        <v>0</v>
      </c>
      <c r="BC70" s="355">
        <f t="shared" si="956"/>
        <v>0</v>
      </c>
      <c r="BD70" s="355">
        <f t="shared" si="957"/>
        <v>0</v>
      </c>
      <c r="BE70" s="355">
        <f t="shared" si="958"/>
        <v>0</v>
      </c>
      <c r="BF70" s="355">
        <f t="shared" si="959"/>
        <v>0</v>
      </c>
      <c r="BH70" s="368">
        <f t="shared" si="960"/>
        <v>0</v>
      </c>
      <c r="BJ70" s="369">
        <f t="shared" si="961"/>
        <v>-0.12</v>
      </c>
      <c r="BK70" s="355">
        <f t="shared" si="962"/>
        <v>0</v>
      </c>
      <c r="BL70" s="355">
        <f t="shared" si="963"/>
        <v>0</v>
      </c>
      <c r="BN70" s="366">
        <f t="shared" si="964"/>
        <v>0</v>
      </c>
      <c r="BO70" s="355">
        <f t="shared" si="965"/>
        <v>0</v>
      </c>
      <c r="BP70" s="355">
        <f t="shared" si="966"/>
        <v>0</v>
      </c>
      <c r="BQ70" s="355">
        <f t="shared" si="967"/>
        <v>0</v>
      </c>
      <c r="BS70" s="367">
        <f t="shared" si="968"/>
        <v>0</v>
      </c>
      <c r="BT70" s="355">
        <f t="shared" si="969"/>
        <v>0</v>
      </c>
      <c r="BU70" s="355" t="b">
        <f t="shared" si="970"/>
        <v>1</v>
      </c>
      <c r="BW70" s="355" t="str">
        <f t="shared" si="971"/>
        <v/>
      </c>
      <c r="BX70" s="355">
        <f t="shared" si="972"/>
        <v>0</v>
      </c>
      <c r="BY70" s="356">
        <f t="shared" ref="BY70:BY133" si="1013">IF(BX70&gt;0,VLOOKUP(CB70,tbl_IRPJaux,3,FALSE),0)</f>
        <v>0</v>
      </c>
      <c r="BZ70" s="355">
        <f t="shared" si="974"/>
        <v>0</v>
      </c>
      <c r="CB70" s="102" t="str">
        <f t="shared" si="975"/>
        <v xml:space="preserve">  IED</v>
      </c>
      <c r="CD70" s="355" t="str">
        <f t="shared" si="976"/>
        <v>Não</v>
      </c>
      <c r="CE70" s="368">
        <f>ifzero(mlookup(tbl_ICMSinterest_data,UFdestino,tbl_ICMSinterest_ufdest,UForigem,tbl_ICMSinterest_uforig))</f>
        <v>0.12</v>
      </c>
      <c r="CF70" s="368">
        <f>IF(N70&gt;0,IF(I70&lt;&gt;"Serviço",ifzero(mlookup(tbl_ICMSinterno_data,UForigem,tbl_ICMSinterno_UF,O70,tbl_ICMSinterno_NCM),mlookup(tbl_ICMSinterest_data,UForigem,tbl_ICMSinterest_ufdest,UForigem,tbl_ICMSinterest_uforig)),""),0)</f>
        <v>0</v>
      </c>
      <c r="CG70" s="368">
        <f>IF(N70&gt;0,IF(I70&lt;&gt;"Serviço",ifzero(mlookup(tbl_ICMSinterno_data,UFdestino,tbl_ICMSinterno_UF,O70,tbl_ICMSinterno_NCM),mlookup(tbl_ICMSinterest_data,UFdestino,tbl_ICMSinterest_ufdest,UFdestino,tbl_ICMSinterest_uforig)),""),0)</f>
        <v>0</v>
      </c>
      <c r="CI70" s="355">
        <f t="shared" si="977"/>
        <v>0</v>
      </c>
      <c r="CJ70" s="355">
        <f t="shared" si="978"/>
        <v>0</v>
      </c>
      <c r="CK70" s="355">
        <f t="shared" si="979"/>
        <v>0</v>
      </c>
      <c r="CL70" s="355">
        <f t="shared" si="980"/>
        <v>0</v>
      </c>
      <c r="CN70" s="370">
        <f t="shared" si="981"/>
        <v>0</v>
      </c>
      <c r="CO70" s="355">
        <f t="shared" si="982"/>
        <v>0</v>
      </c>
      <c r="CQ70" s="355" t="b">
        <f t="shared" si="983"/>
        <v>0</v>
      </c>
      <c r="CR70" s="355" t="b">
        <f t="shared" si="984"/>
        <v>1</v>
      </c>
      <c r="CS70" s="355" t="b">
        <f t="shared" si="985"/>
        <v>0</v>
      </c>
      <c r="CU70" s="2">
        <f t="shared" si="986"/>
        <v>0</v>
      </c>
      <c r="CV70" s="102">
        <f t="shared" si="987"/>
        <v>0</v>
      </c>
      <c r="CW70" s="102">
        <f t="shared" si="988"/>
        <v>0</v>
      </c>
      <c r="CX70" s="102">
        <f t="shared" si="989"/>
        <v>0</v>
      </c>
      <c r="CY70" s="290">
        <f t="shared" si="990"/>
        <v>0</v>
      </c>
      <c r="CZ70" s="102">
        <f t="shared" si="991"/>
        <v>0</v>
      </c>
      <c r="DA70" s="290">
        <f t="shared" si="992"/>
        <v>0</v>
      </c>
      <c r="DB70" s="102">
        <f t="shared" si="993"/>
        <v>0</v>
      </c>
      <c r="DC70" s="290">
        <f t="shared" si="994"/>
        <v>0</v>
      </c>
      <c r="DD70" s="102">
        <f t="shared" si="995"/>
        <v>0</v>
      </c>
      <c r="DE70" s="592">
        <f>IF(D70="Sim",HLOOKUP($DH$5,Parametrização!$G$2:$H$4,2,FALSE),0)</f>
        <v>0</v>
      </c>
      <c r="DF70" s="102">
        <f t="shared" si="996"/>
        <v>0</v>
      </c>
      <c r="DG70" s="592">
        <f>IF(D70="Sim",HLOOKUP($DH$5,Parametrização!$G$2:$H$4,3,FALSE),0)</f>
        <v>0</v>
      </c>
      <c r="DH70" s="102">
        <f t="shared" si="997"/>
        <v>0</v>
      </c>
      <c r="DI70" s="102">
        <f t="shared" si="998"/>
        <v>0</v>
      </c>
      <c r="DK70" s="3" t="str">
        <f t="shared" si="999"/>
        <v>NA</v>
      </c>
      <c r="DL70" s="2" t="str">
        <f t="shared" si="1000"/>
        <v>NA</v>
      </c>
      <c r="DM70" s="3" t="str">
        <f t="shared" si="1001"/>
        <v>NA</v>
      </c>
      <c r="DN70" s="9" t="str">
        <f t="shared" si="1002"/>
        <v>NA</v>
      </c>
      <c r="DO70" s="637" t="str">
        <f t="shared" si="1003"/>
        <v>NA</v>
      </c>
      <c r="DP70" s="637"/>
      <c r="DQ70" s="3" t="str">
        <f t="shared" si="1004"/>
        <v>NA</v>
      </c>
      <c r="DR70" s="2" t="str">
        <f t="shared" si="1005"/>
        <v>NA</v>
      </c>
      <c r="DS70" s="3" t="str">
        <f t="shared" si="1006"/>
        <v>NA</v>
      </c>
      <c r="DT70" s="9" t="str">
        <f t="shared" si="1007"/>
        <v>NA</v>
      </c>
      <c r="DU70" s="637" t="str">
        <f t="shared" si="1008"/>
        <v>NA</v>
      </c>
      <c r="DV70" s="637"/>
      <c r="DW70" s="682"/>
      <c r="DX70" s="682"/>
      <c r="DY70" s="682"/>
      <c r="DZ70" s="637"/>
      <c r="EA70" s="643"/>
    </row>
    <row r="71" spans="1:131" s="355" customFormat="1" ht="20.100000000000001" customHeight="1" outlineLevel="1" x14ac:dyDescent="0.25">
      <c r="A71" s="356"/>
      <c r="B71" s="355" t="s">
        <v>268</v>
      </c>
      <c r="C71" s="355" t="str">
        <f t="shared" si="1009"/>
        <v>Consumo</v>
      </c>
      <c r="D71" s="355" t="s">
        <v>53</v>
      </c>
      <c r="E71" s="18" t="s">
        <v>38</v>
      </c>
      <c r="F71" s="355" t="s">
        <v>53</v>
      </c>
      <c r="G71" s="357" t="str">
        <f t="shared" si="1010"/>
        <v>Geral</v>
      </c>
      <c r="H71" s="255" t="s">
        <v>377</v>
      </c>
      <c r="I71" s="356" t="str">
        <f t="shared" si="927"/>
        <v>Sistema</v>
      </c>
      <c r="K71" s="318" t="s">
        <v>2824</v>
      </c>
      <c r="L71" s="749" t="str">
        <f>IF(Padrões!JF12&lt;&gt;"",Padrões!JF12,"")</f>
        <v>Relé 21+87L</v>
      </c>
      <c r="M71" s="358" t="str">
        <f t="shared" si="928"/>
        <v>Relé digital para linhas de transmissão, proteção diferencial e de distância, 4 TC, 4 TP, 40 BI, 30 BO, display gráfico, garantia 10 anos. Fabricante: Siemens, ABB, SEL ou GE/Alstom.</v>
      </c>
      <c r="N71" s="359">
        <f>Padrões!JI12</f>
        <v>0</v>
      </c>
      <c r="O71" s="381" t="str">
        <f t="shared" si="929"/>
        <v>?</v>
      </c>
      <c r="P71" s="360">
        <f t="shared" si="930"/>
        <v>0.12</v>
      </c>
      <c r="Q71" s="360" t="str">
        <f t="shared" si="931"/>
        <v>?</v>
      </c>
      <c r="R71" s="360">
        <f t="shared" si="932"/>
        <v>0</v>
      </c>
      <c r="S71" s="361">
        <f t="shared" si="933"/>
        <v>0</v>
      </c>
      <c r="T71" s="362">
        <f t="shared" si="934"/>
        <v>0</v>
      </c>
      <c r="U71" s="53" t="str" cm="1">
        <f t="array" ref="U71">IFERROR(IF(I71&lt;&gt;"Serviço",IF(AND(mlookup(tbl_DIFAL_data,UFdestino,tbl_DIFAL_UF,O71,tbl_DIFAL_NCM)&lt;&gt;"",C71="Consumo"),"Sim",""),""),"?")</f>
        <v>?</v>
      </c>
      <c r="V71" s="363" t="str">
        <f>IFERROR(IF(I71&lt;&gt;"Serviço",IF(AND(D71="Não",mlookup(tbl_ST_data,UFdestino,tbl_ST_UF,O71,tbl_ST_NCM)&lt;&gt;"",C71="Revenda",CD71="Não"),"Sim",""),""),"?")</f>
        <v>?</v>
      </c>
      <c r="W71" s="364">
        <f t="shared" si="935"/>
        <v>0</v>
      </c>
      <c r="X71" s="365">
        <f>IF(V71="Sim",mlookup(tbl_ST_data,UFdestino,tbl_ST_UF,O71,tbl_ST_NCM),0)</f>
        <v>0</v>
      </c>
      <c r="Z71" s="355">
        <f t="shared" si="936"/>
        <v>0</v>
      </c>
      <c r="AA71" s="355">
        <f t="shared" si="937"/>
        <v>0</v>
      </c>
      <c r="AC71" s="366">
        <f t="shared" si="1011"/>
        <v>1.31243473968765E-2</v>
      </c>
      <c r="AD71" s="366">
        <f t="shared" si="939"/>
        <v>0.15</v>
      </c>
      <c r="AF71" s="355">
        <f t="shared" si="940"/>
        <v>0</v>
      </c>
      <c r="AG71" s="355">
        <f t="shared" si="941"/>
        <v>0</v>
      </c>
      <c r="AI71" s="355">
        <f t="shared" si="942"/>
        <v>0</v>
      </c>
      <c r="AK71" s="366">
        <f t="shared" si="1012"/>
        <v>0</v>
      </c>
      <c r="AL71" s="355">
        <f t="shared" si="944"/>
        <v>0</v>
      </c>
      <c r="AM71" s="355">
        <f t="shared" si="945"/>
        <v>0</v>
      </c>
      <c r="AO71" s="355" t="b">
        <f t="shared" si="946"/>
        <v>1</v>
      </c>
      <c r="AQ71" s="367">
        <f t="shared" si="947"/>
        <v>0</v>
      </c>
      <c r="AR71" s="367">
        <f t="shared" si="948"/>
        <v>0</v>
      </c>
      <c r="AT71" s="367">
        <f t="shared" si="949"/>
        <v>0</v>
      </c>
      <c r="AU71" s="367">
        <f t="shared" si="950"/>
        <v>0</v>
      </c>
      <c r="AW71" s="367">
        <f t="shared" si="951"/>
        <v>0</v>
      </c>
      <c r="AX71" s="367">
        <f t="shared" si="952"/>
        <v>0</v>
      </c>
      <c r="AY71" s="367">
        <f t="shared" si="953"/>
        <v>0</v>
      </c>
      <c r="AZ71" s="367">
        <f t="shared" si="954"/>
        <v>0</v>
      </c>
      <c r="BB71" s="355">
        <f t="shared" si="955"/>
        <v>0</v>
      </c>
      <c r="BC71" s="355">
        <f t="shared" si="956"/>
        <v>0</v>
      </c>
      <c r="BD71" s="355">
        <f t="shared" si="957"/>
        <v>0</v>
      </c>
      <c r="BE71" s="355">
        <f t="shared" si="958"/>
        <v>0</v>
      </c>
      <c r="BF71" s="355">
        <f t="shared" si="959"/>
        <v>0</v>
      </c>
      <c r="BH71" s="368">
        <f t="shared" si="960"/>
        <v>0</v>
      </c>
      <c r="BJ71" s="369">
        <f t="shared" si="961"/>
        <v>-0.12</v>
      </c>
      <c r="BK71" s="355">
        <f t="shared" si="962"/>
        <v>0</v>
      </c>
      <c r="BL71" s="355">
        <f t="shared" si="963"/>
        <v>0</v>
      </c>
      <c r="BN71" s="366">
        <f t="shared" si="964"/>
        <v>0</v>
      </c>
      <c r="BO71" s="355">
        <f t="shared" si="965"/>
        <v>0</v>
      </c>
      <c r="BP71" s="355">
        <f t="shared" si="966"/>
        <v>0</v>
      </c>
      <c r="BQ71" s="355">
        <f t="shared" si="967"/>
        <v>0</v>
      </c>
      <c r="BS71" s="367">
        <f t="shared" si="968"/>
        <v>0</v>
      </c>
      <c r="BT71" s="355">
        <f t="shared" si="969"/>
        <v>0</v>
      </c>
      <c r="BU71" s="355" t="b">
        <f t="shared" si="970"/>
        <v>1</v>
      </c>
      <c r="BW71" s="355" t="str">
        <f t="shared" si="971"/>
        <v/>
      </c>
      <c r="BX71" s="355">
        <f t="shared" si="972"/>
        <v>0</v>
      </c>
      <c r="BY71" s="356">
        <f t="shared" si="1013"/>
        <v>0</v>
      </c>
      <c r="BZ71" s="355">
        <f t="shared" si="974"/>
        <v>0</v>
      </c>
      <c r="CB71" s="102" t="str">
        <f t="shared" si="975"/>
        <v xml:space="preserve">  IED</v>
      </c>
      <c r="CD71" s="355" t="str">
        <f t="shared" si="976"/>
        <v>Não</v>
      </c>
      <c r="CE71" s="368">
        <f>ifzero(mlookup(tbl_ICMSinterest_data,UFdestino,tbl_ICMSinterest_ufdest,UForigem,tbl_ICMSinterest_uforig))</f>
        <v>0.12</v>
      </c>
      <c r="CF71" s="368">
        <f>IF(N71&gt;0,IF(I71&lt;&gt;"Serviço",ifzero(mlookup(tbl_ICMSinterno_data,UForigem,tbl_ICMSinterno_UF,O71,tbl_ICMSinterno_NCM),mlookup(tbl_ICMSinterest_data,UForigem,tbl_ICMSinterest_ufdest,UForigem,tbl_ICMSinterest_uforig)),""),0)</f>
        <v>0</v>
      </c>
      <c r="CG71" s="368">
        <f>IF(N71&gt;0,IF(I71&lt;&gt;"Serviço",ifzero(mlookup(tbl_ICMSinterno_data,UFdestino,tbl_ICMSinterno_UF,O71,tbl_ICMSinterno_NCM),mlookup(tbl_ICMSinterest_data,UFdestino,tbl_ICMSinterest_ufdest,UFdestino,tbl_ICMSinterest_uforig)),""),0)</f>
        <v>0</v>
      </c>
      <c r="CI71" s="355">
        <f t="shared" si="977"/>
        <v>0</v>
      </c>
      <c r="CJ71" s="355">
        <f t="shared" si="978"/>
        <v>0</v>
      </c>
      <c r="CK71" s="355">
        <f t="shared" si="979"/>
        <v>0</v>
      </c>
      <c r="CL71" s="355">
        <f t="shared" si="980"/>
        <v>0</v>
      </c>
      <c r="CN71" s="370">
        <f t="shared" si="981"/>
        <v>0</v>
      </c>
      <c r="CO71" s="355">
        <f t="shared" si="982"/>
        <v>0</v>
      </c>
      <c r="CQ71" s="355" t="b">
        <f t="shared" si="983"/>
        <v>0</v>
      </c>
      <c r="CR71" s="355" t="b">
        <f t="shared" si="984"/>
        <v>1</v>
      </c>
      <c r="CS71" s="355" t="b">
        <f t="shared" si="985"/>
        <v>0</v>
      </c>
      <c r="CU71" s="2">
        <f t="shared" si="986"/>
        <v>0</v>
      </c>
      <c r="CV71" s="102">
        <f t="shared" si="987"/>
        <v>0</v>
      </c>
      <c r="CW71" s="102">
        <f t="shared" si="988"/>
        <v>0</v>
      </c>
      <c r="CX71" s="102">
        <f t="shared" si="989"/>
        <v>0</v>
      </c>
      <c r="CY71" s="290">
        <f t="shared" si="990"/>
        <v>0</v>
      </c>
      <c r="CZ71" s="102">
        <f t="shared" si="991"/>
        <v>0</v>
      </c>
      <c r="DA71" s="290">
        <f t="shared" si="992"/>
        <v>0</v>
      </c>
      <c r="DB71" s="102">
        <f t="shared" si="993"/>
        <v>0</v>
      </c>
      <c r="DC71" s="290">
        <f t="shared" si="994"/>
        <v>0</v>
      </c>
      <c r="DD71" s="102">
        <f t="shared" si="995"/>
        <v>0</v>
      </c>
      <c r="DE71" s="592">
        <f>IF(D71="Sim",HLOOKUP($DH$5,Parametrização!$G$2:$H$4,2,FALSE),0)</f>
        <v>0</v>
      </c>
      <c r="DF71" s="102">
        <f t="shared" si="996"/>
        <v>0</v>
      </c>
      <c r="DG71" s="592">
        <f>IF(D71="Sim",HLOOKUP($DH$5,Parametrização!$G$2:$H$4,3,FALSE),0)</f>
        <v>0</v>
      </c>
      <c r="DH71" s="102">
        <f t="shared" si="997"/>
        <v>0</v>
      </c>
      <c r="DI71" s="102">
        <f t="shared" si="998"/>
        <v>0</v>
      </c>
      <c r="DK71" s="3" t="str">
        <f t="shared" si="999"/>
        <v>NA</v>
      </c>
      <c r="DL71" s="2" t="str">
        <f t="shared" si="1000"/>
        <v>NA</v>
      </c>
      <c r="DM71" s="3" t="str">
        <f t="shared" si="1001"/>
        <v>NA</v>
      </c>
      <c r="DN71" s="9" t="str">
        <f t="shared" si="1002"/>
        <v>NA</v>
      </c>
      <c r="DO71" s="637" t="str">
        <f t="shared" si="1003"/>
        <v>NA</v>
      </c>
      <c r="DP71" s="637"/>
      <c r="DQ71" s="3" t="str">
        <f t="shared" si="1004"/>
        <v>NA</v>
      </c>
      <c r="DR71" s="2" t="str">
        <f t="shared" si="1005"/>
        <v>NA</v>
      </c>
      <c r="DS71" s="3" t="str">
        <f t="shared" si="1006"/>
        <v>NA</v>
      </c>
      <c r="DT71" s="9" t="str">
        <f t="shared" si="1007"/>
        <v>NA</v>
      </c>
      <c r="DU71" s="637" t="str">
        <f t="shared" si="1008"/>
        <v>NA</v>
      </c>
      <c r="DV71" s="637"/>
      <c r="DW71" s="682"/>
      <c r="DX71" s="682"/>
      <c r="DY71" s="682"/>
      <c r="DZ71" s="637"/>
      <c r="EA71" s="643"/>
    </row>
    <row r="72" spans="1:131" s="355" customFormat="1" ht="20.100000000000001" customHeight="1" outlineLevel="1" x14ac:dyDescent="0.25">
      <c r="A72" s="356"/>
      <c r="B72" s="355" t="s">
        <v>268</v>
      </c>
      <c r="C72" s="355" t="str">
        <f t="shared" si="1009"/>
        <v>Consumo</v>
      </c>
      <c r="D72" s="355" t="s">
        <v>53</v>
      </c>
      <c r="E72" s="18" t="s">
        <v>38</v>
      </c>
      <c r="F72" s="355" t="s">
        <v>53</v>
      </c>
      <c r="G72" s="357" t="str">
        <f t="shared" si="1010"/>
        <v>Geral</v>
      </c>
      <c r="H72" s="255" t="s">
        <v>377</v>
      </c>
      <c r="I72" s="356" t="str">
        <f t="shared" si="927"/>
        <v>Sistema</v>
      </c>
      <c r="K72" s="318" t="s">
        <v>2825</v>
      </c>
      <c r="L72" s="749" t="str">
        <f>IF(Padrões!JF13&lt;&gt;"",Padrões!JF13,"")</f>
        <v>Relé 87L</v>
      </c>
      <c r="M72" s="358" t="str">
        <f t="shared" si="928"/>
        <v>Relé digital para linhas de transmissão, proteção diferencial, 4 TC, 4 TP, 40 BI, 30 BO, display gráfico, garantia 10 anos. Fabricante: Siemens, ABB, SEL ou GE/Alstom.</v>
      </c>
      <c r="N72" s="359">
        <f>Padrões!JI13</f>
        <v>0</v>
      </c>
      <c r="O72" s="381" t="str">
        <f t="shared" si="929"/>
        <v>?</v>
      </c>
      <c r="P72" s="360">
        <f t="shared" si="930"/>
        <v>0.12</v>
      </c>
      <c r="Q72" s="360" t="str">
        <f t="shared" si="931"/>
        <v>?</v>
      </c>
      <c r="R72" s="360">
        <f t="shared" si="932"/>
        <v>0</v>
      </c>
      <c r="S72" s="361">
        <f t="shared" si="933"/>
        <v>0</v>
      </c>
      <c r="T72" s="362">
        <f t="shared" si="934"/>
        <v>0</v>
      </c>
      <c r="U72" s="53" t="str" cm="1">
        <f t="array" ref="U72">IFERROR(IF(I72&lt;&gt;"Serviço",IF(AND(mlookup(tbl_DIFAL_data,UFdestino,tbl_DIFAL_UF,O72,tbl_DIFAL_NCM)&lt;&gt;"",C72="Consumo"),"Sim",""),""),"?")</f>
        <v>?</v>
      </c>
      <c r="V72" s="363" t="str">
        <f>IFERROR(IF(I72&lt;&gt;"Serviço",IF(AND(D72="Não",mlookup(tbl_ST_data,UFdestino,tbl_ST_UF,O72,tbl_ST_NCM)&lt;&gt;"",C72="Revenda",CD72="Não"),"Sim",""),""),"?")</f>
        <v>?</v>
      </c>
      <c r="W72" s="364">
        <f t="shared" si="935"/>
        <v>0</v>
      </c>
      <c r="X72" s="365">
        <f>IF(V72="Sim",mlookup(tbl_ST_data,UFdestino,tbl_ST_UF,O72,tbl_ST_NCM),0)</f>
        <v>0</v>
      </c>
      <c r="Z72" s="355">
        <f t="shared" si="936"/>
        <v>0</v>
      </c>
      <c r="AA72" s="355">
        <f t="shared" si="937"/>
        <v>0</v>
      </c>
      <c r="AC72" s="366">
        <f t="shared" si="1011"/>
        <v>1.31243473968765E-2</v>
      </c>
      <c r="AD72" s="366">
        <f t="shared" si="939"/>
        <v>0.15</v>
      </c>
      <c r="AF72" s="355">
        <f t="shared" si="940"/>
        <v>0</v>
      </c>
      <c r="AG72" s="355">
        <f t="shared" si="941"/>
        <v>0</v>
      </c>
      <c r="AI72" s="355">
        <f t="shared" si="942"/>
        <v>0</v>
      </c>
      <c r="AK72" s="366">
        <f t="shared" si="1012"/>
        <v>0</v>
      </c>
      <c r="AL72" s="355">
        <f t="shared" si="944"/>
        <v>0</v>
      </c>
      <c r="AM72" s="355">
        <f t="shared" si="945"/>
        <v>0</v>
      </c>
      <c r="AO72" s="355" t="b">
        <f t="shared" si="946"/>
        <v>1</v>
      </c>
      <c r="AQ72" s="367">
        <f t="shared" si="947"/>
        <v>0</v>
      </c>
      <c r="AR72" s="367">
        <f t="shared" si="948"/>
        <v>0</v>
      </c>
      <c r="AT72" s="367">
        <f t="shared" si="949"/>
        <v>0</v>
      </c>
      <c r="AU72" s="367">
        <f t="shared" si="950"/>
        <v>0</v>
      </c>
      <c r="AW72" s="367">
        <f t="shared" si="951"/>
        <v>0</v>
      </c>
      <c r="AX72" s="367">
        <f t="shared" si="952"/>
        <v>0</v>
      </c>
      <c r="AY72" s="367">
        <f t="shared" si="953"/>
        <v>0</v>
      </c>
      <c r="AZ72" s="367">
        <f t="shared" si="954"/>
        <v>0</v>
      </c>
      <c r="BB72" s="355">
        <f t="shared" si="955"/>
        <v>0</v>
      </c>
      <c r="BC72" s="355">
        <f t="shared" si="956"/>
        <v>0</v>
      </c>
      <c r="BD72" s="355">
        <f t="shared" si="957"/>
        <v>0</v>
      </c>
      <c r="BE72" s="355">
        <f t="shared" si="958"/>
        <v>0</v>
      </c>
      <c r="BF72" s="355">
        <f t="shared" si="959"/>
        <v>0</v>
      </c>
      <c r="BH72" s="368">
        <f t="shared" si="960"/>
        <v>0</v>
      </c>
      <c r="BJ72" s="369">
        <f t="shared" si="961"/>
        <v>-0.12</v>
      </c>
      <c r="BK72" s="355">
        <f t="shared" si="962"/>
        <v>0</v>
      </c>
      <c r="BL72" s="355">
        <f t="shared" si="963"/>
        <v>0</v>
      </c>
      <c r="BN72" s="366">
        <f t="shared" si="964"/>
        <v>0</v>
      </c>
      <c r="BO72" s="355">
        <f t="shared" si="965"/>
        <v>0</v>
      </c>
      <c r="BP72" s="355">
        <f t="shared" si="966"/>
        <v>0</v>
      </c>
      <c r="BQ72" s="355">
        <f t="shared" si="967"/>
        <v>0</v>
      </c>
      <c r="BS72" s="367">
        <f t="shared" si="968"/>
        <v>0</v>
      </c>
      <c r="BT72" s="355">
        <f t="shared" si="969"/>
        <v>0</v>
      </c>
      <c r="BU72" s="355" t="b">
        <f t="shared" si="970"/>
        <v>1</v>
      </c>
      <c r="BW72" s="355" t="str">
        <f t="shared" si="971"/>
        <v/>
      </c>
      <c r="BX72" s="355">
        <f t="shared" si="972"/>
        <v>0</v>
      </c>
      <c r="BY72" s="356">
        <f t="shared" si="1013"/>
        <v>0</v>
      </c>
      <c r="BZ72" s="355">
        <f t="shared" si="974"/>
        <v>0</v>
      </c>
      <c r="CB72" s="102" t="str">
        <f t="shared" si="975"/>
        <v xml:space="preserve">  IED</v>
      </c>
      <c r="CD72" s="355" t="str">
        <f t="shared" si="976"/>
        <v>Não</v>
      </c>
      <c r="CE72" s="368">
        <f>ifzero(mlookup(tbl_ICMSinterest_data,UFdestino,tbl_ICMSinterest_ufdest,UForigem,tbl_ICMSinterest_uforig))</f>
        <v>0.12</v>
      </c>
      <c r="CF72" s="368">
        <f>IF(N72&gt;0,IF(I72&lt;&gt;"Serviço",ifzero(mlookup(tbl_ICMSinterno_data,UForigem,tbl_ICMSinterno_UF,O72,tbl_ICMSinterno_NCM),mlookup(tbl_ICMSinterest_data,UForigem,tbl_ICMSinterest_ufdest,UForigem,tbl_ICMSinterest_uforig)),""),0)</f>
        <v>0</v>
      </c>
      <c r="CG72" s="368">
        <f>IF(N72&gt;0,IF(I72&lt;&gt;"Serviço",ifzero(mlookup(tbl_ICMSinterno_data,UFdestino,tbl_ICMSinterno_UF,O72,tbl_ICMSinterno_NCM),mlookup(tbl_ICMSinterest_data,UFdestino,tbl_ICMSinterest_ufdest,UFdestino,tbl_ICMSinterest_uforig)),""),0)</f>
        <v>0</v>
      </c>
      <c r="CI72" s="355">
        <f t="shared" si="977"/>
        <v>0</v>
      </c>
      <c r="CJ72" s="355">
        <f t="shared" si="978"/>
        <v>0</v>
      </c>
      <c r="CK72" s="355">
        <f t="shared" si="979"/>
        <v>0</v>
      </c>
      <c r="CL72" s="355">
        <f t="shared" si="980"/>
        <v>0</v>
      </c>
      <c r="CN72" s="370">
        <f t="shared" si="981"/>
        <v>0</v>
      </c>
      <c r="CO72" s="355">
        <f t="shared" si="982"/>
        <v>0</v>
      </c>
      <c r="CQ72" s="355" t="b">
        <f t="shared" si="983"/>
        <v>0</v>
      </c>
      <c r="CR72" s="355" t="b">
        <f t="shared" si="984"/>
        <v>1</v>
      </c>
      <c r="CS72" s="355" t="b">
        <f t="shared" si="985"/>
        <v>0</v>
      </c>
      <c r="CU72" s="2">
        <f t="shared" si="986"/>
        <v>0</v>
      </c>
      <c r="CV72" s="102">
        <f t="shared" si="987"/>
        <v>0</v>
      </c>
      <c r="CW72" s="102">
        <f t="shared" si="988"/>
        <v>0</v>
      </c>
      <c r="CX72" s="102">
        <f t="shared" si="989"/>
        <v>0</v>
      </c>
      <c r="CY72" s="290">
        <f t="shared" si="990"/>
        <v>0</v>
      </c>
      <c r="CZ72" s="102">
        <f t="shared" si="991"/>
        <v>0</v>
      </c>
      <c r="DA72" s="290">
        <f t="shared" si="992"/>
        <v>0</v>
      </c>
      <c r="DB72" s="102">
        <f t="shared" si="993"/>
        <v>0</v>
      </c>
      <c r="DC72" s="290">
        <f t="shared" si="994"/>
        <v>0</v>
      </c>
      <c r="DD72" s="102">
        <f t="shared" si="995"/>
        <v>0</v>
      </c>
      <c r="DE72" s="592">
        <f>IF(D72="Sim",HLOOKUP($DH$5,Parametrização!$G$2:$H$4,2,FALSE),0)</f>
        <v>0</v>
      </c>
      <c r="DF72" s="102">
        <f t="shared" si="996"/>
        <v>0</v>
      </c>
      <c r="DG72" s="592">
        <f>IF(D72="Sim",HLOOKUP($DH$5,Parametrização!$G$2:$H$4,3,FALSE),0)</f>
        <v>0</v>
      </c>
      <c r="DH72" s="102">
        <f t="shared" si="997"/>
        <v>0</v>
      </c>
      <c r="DI72" s="102">
        <f t="shared" si="998"/>
        <v>0</v>
      </c>
      <c r="DK72" s="3" t="str">
        <f t="shared" si="999"/>
        <v>NA</v>
      </c>
      <c r="DL72" s="2" t="str">
        <f t="shared" si="1000"/>
        <v>NA</v>
      </c>
      <c r="DM72" s="3" t="str">
        <f t="shared" si="1001"/>
        <v>NA</v>
      </c>
      <c r="DN72" s="9" t="str">
        <f t="shared" si="1002"/>
        <v>NA</v>
      </c>
      <c r="DO72" s="637" t="str">
        <f t="shared" si="1003"/>
        <v>NA</v>
      </c>
      <c r="DP72" s="637"/>
      <c r="DQ72" s="3" t="str">
        <f t="shared" si="1004"/>
        <v>NA</v>
      </c>
      <c r="DR72" s="2" t="str">
        <f t="shared" si="1005"/>
        <v>NA</v>
      </c>
      <c r="DS72" s="3" t="str">
        <f t="shared" si="1006"/>
        <v>NA</v>
      </c>
      <c r="DT72" s="9" t="str">
        <f t="shared" si="1007"/>
        <v>NA</v>
      </c>
      <c r="DU72" s="637" t="str">
        <f t="shared" si="1008"/>
        <v>NA</v>
      </c>
      <c r="DV72" s="637"/>
      <c r="DW72" s="682"/>
      <c r="DX72" s="682"/>
      <c r="DY72" s="682"/>
      <c r="DZ72" s="637"/>
      <c r="EA72" s="643"/>
    </row>
    <row r="73" spans="1:131" s="355" customFormat="1" ht="20.100000000000001" customHeight="1" outlineLevel="1" x14ac:dyDescent="0.25">
      <c r="A73" s="356"/>
      <c r="B73" s="355" t="s">
        <v>268</v>
      </c>
      <c r="C73" s="355" t="str">
        <f t="shared" si="1009"/>
        <v>Consumo</v>
      </c>
      <c r="D73" s="355" t="s">
        <v>53</v>
      </c>
      <c r="E73" s="18" t="s">
        <v>38</v>
      </c>
      <c r="F73" s="355" t="s">
        <v>53</v>
      </c>
      <c r="G73" s="357" t="str">
        <f t="shared" si="1010"/>
        <v>Geral</v>
      </c>
      <c r="H73" s="255" t="s">
        <v>377</v>
      </c>
      <c r="I73" s="356" t="str">
        <f t="shared" si="927"/>
        <v>Sistema</v>
      </c>
      <c r="K73" s="318" t="s">
        <v>2826</v>
      </c>
      <c r="L73" s="749" t="str">
        <f>IF(Padrões!JF14&lt;&gt;"",Padrões!JF14,"")</f>
        <v>Relé 50BF</v>
      </c>
      <c r="M73" s="358" t="str">
        <f t="shared" si="928"/>
        <v>Relé digital, proteção de falha disjuntor, 4 TC, 4 TP, 30 BI, 20 BO, display gráfico, garantia 10 anos. Fabricante: Siemens, ABB, SEL ou GE/Alstom.</v>
      </c>
      <c r="N73" s="359">
        <f>Padrões!JI14</f>
        <v>0</v>
      </c>
      <c r="O73" s="381" t="str">
        <f t="shared" si="929"/>
        <v>?</v>
      </c>
      <c r="P73" s="360">
        <f t="shared" si="930"/>
        <v>0.12</v>
      </c>
      <c r="Q73" s="360" t="str">
        <f t="shared" si="931"/>
        <v>?</v>
      </c>
      <c r="R73" s="360">
        <f t="shared" si="932"/>
        <v>0</v>
      </c>
      <c r="S73" s="361">
        <f t="shared" si="933"/>
        <v>0</v>
      </c>
      <c r="T73" s="362">
        <f t="shared" si="934"/>
        <v>0</v>
      </c>
      <c r="U73" s="53" t="str" cm="1">
        <f t="array" ref="U73">IFERROR(IF(I73&lt;&gt;"Serviço",IF(AND(mlookup(tbl_DIFAL_data,UFdestino,tbl_DIFAL_UF,O73,tbl_DIFAL_NCM)&lt;&gt;"",C73="Consumo"),"Sim",""),""),"?")</f>
        <v>?</v>
      </c>
      <c r="V73" s="363" t="str">
        <f>IFERROR(IF(I73&lt;&gt;"Serviço",IF(AND(D73="Não",mlookup(tbl_ST_data,UFdestino,tbl_ST_UF,O73,tbl_ST_NCM)&lt;&gt;"",C73="Revenda",CD73="Não"),"Sim",""),""),"?")</f>
        <v>?</v>
      </c>
      <c r="W73" s="364">
        <f t="shared" si="935"/>
        <v>0</v>
      </c>
      <c r="X73" s="365">
        <f>IF(V73="Sim",mlookup(tbl_ST_data,UFdestino,tbl_ST_UF,O73,tbl_ST_NCM),0)</f>
        <v>0</v>
      </c>
      <c r="Z73" s="355">
        <f t="shared" si="936"/>
        <v>0</v>
      </c>
      <c r="AA73" s="355">
        <f t="shared" si="937"/>
        <v>0</v>
      </c>
      <c r="AC73" s="366">
        <f t="shared" si="1011"/>
        <v>1.31243473968765E-2</v>
      </c>
      <c r="AD73" s="366">
        <f t="shared" si="939"/>
        <v>0.15</v>
      </c>
      <c r="AF73" s="355">
        <f t="shared" si="940"/>
        <v>0</v>
      </c>
      <c r="AG73" s="355">
        <f t="shared" si="941"/>
        <v>0</v>
      </c>
      <c r="AI73" s="355">
        <f t="shared" si="942"/>
        <v>0</v>
      </c>
      <c r="AK73" s="366">
        <f t="shared" si="1012"/>
        <v>0</v>
      </c>
      <c r="AL73" s="355">
        <f t="shared" si="944"/>
        <v>0</v>
      </c>
      <c r="AM73" s="355">
        <f t="shared" si="945"/>
        <v>0</v>
      </c>
      <c r="AO73" s="355" t="b">
        <f t="shared" si="946"/>
        <v>1</v>
      </c>
      <c r="AQ73" s="367">
        <f t="shared" si="947"/>
        <v>0</v>
      </c>
      <c r="AR73" s="367">
        <f t="shared" si="948"/>
        <v>0</v>
      </c>
      <c r="AT73" s="367">
        <f t="shared" si="949"/>
        <v>0</v>
      </c>
      <c r="AU73" s="367">
        <f t="shared" si="950"/>
        <v>0</v>
      </c>
      <c r="AW73" s="367">
        <f t="shared" si="951"/>
        <v>0</v>
      </c>
      <c r="AX73" s="367">
        <f t="shared" si="952"/>
        <v>0</v>
      </c>
      <c r="AY73" s="367">
        <f t="shared" si="953"/>
        <v>0</v>
      </c>
      <c r="AZ73" s="367">
        <f t="shared" si="954"/>
        <v>0</v>
      </c>
      <c r="BB73" s="355">
        <f t="shared" si="955"/>
        <v>0</v>
      </c>
      <c r="BC73" s="355">
        <f t="shared" si="956"/>
        <v>0</v>
      </c>
      <c r="BD73" s="355">
        <f t="shared" si="957"/>
        <v>0</v>
      </c>
      <c r="BE73" s="355">
        <f t="shared" si="958"/>
        <v>0</v>
      </c>
      <c r="BF73" s="355">
        <f t="shared" si="959"/>
        <v>0</v>
      </c>
      <c r="BH73" s="368">
        <f t="shared" si="960"/>
        <v>0</v>
      </c>
      <c r="BJ73" s="369">
        <f t="shared" si="961"/>
        <v>-0.12</v>
      </c>
      <c r="BK73" s="355">
        <f t="shared" si="962"/>
        <v>0</v>
      </c>
      <c r="BL73" s="355">
        <f t="shared" si="963"/>
        <v>0</v>
      </c>
      <c r="BN73" s="366">
        <f t="shared" si="964"/>
        <v>0</v>
      </c>
      <c r="BO73" s="355">
        <f t="shared" si="965"/>
        <v>0</v>
      </c>
      <c r="BP73" s="355">
        <f t="shared" si="966"/>
        <v>0</v>
      </c>
      <c r="BQ73" s="355">
        <f t="shared" si="967"/>
        <v>0</v>
      </c>
      <c r="BS73" s="367">
        <f t="shared" si="968"/>
        <v>0</v>
      </c>
      <c r="BT73" s="355">
        <f t="shared" si="969"/>
        <v>0</v>
      </c>
      <c r="BU73" s="355" t="b">
        <f t="shared" si="970"/>
        <v>1</v>
      </c>
      <c r="BW73" s="355" t="str">
        <f t="shared" si="971"/>
        <v/>
      </c>
      <c r="BX73" s="355">
        <f t="shared" si="972"/>
        <v>0</v>
      </c>
      <c r="BY73" s="356">
        <f t="shared" si="1013"/>
        <v>0</v>
      </c>
      <c r="BZ73" s="355">
        <f t="shared" si="974"/>
        <v>0</v>
      </c>
      <c r="CB73" s="102" t="str">
        <f t="shared" si="975"/>
        <v xml:space="preserve">  IED</v>
      </c>
      <c r="CD73" s="355" t="str">
        <f t="shared" si="976"/>
        <v>Não</v>
      </c>
      <c r="CE73" s="368">
        <f>ifzero(mlookup(tbl_ICMSinterest_data,UFdestino,tbl_ICMSinterest_ufdest,UForigem,tbl_ICMSinterest_uforig))</f>
        <v>0.12</v>
      </c>
      <c r="CF73" s="368">
        <f>IF(N73&gt;0,IF(I73&lt;&gt;"Serviço",ifzero(mlookup(tbl_ICMSinterno_data,UForigem,tbl_ICMSinterno_UF,O73,tbl_ICMSinterno_NCM),mlookup(tbl_ICMSinterest_data,UForigem,tbl_ICMSinterest_ufdest,UForigem,tbl_ICMSinterest_uforig)),""),0)</f>
        <v>0</v>
      </c>
      <c r="CG73" s="368">
        <f>IF(N73&gt;0,IF(I73&lt;&gt;"Serviço",ifzero(mlookup(tbl_ICMSinterno_data,UFdestino,tbl_ICMSinterno_UF,O73,tbl_ICMSinterno_NCM),mlookup(tbl_ICMSinterest_data,UFdestino,tbl_ICMSinterest_ufdest,UFdestino,tbl_ICMSinterest_uforig)),""),0)</f>
        <v>0</v>
      </c>
      <c r="CI73" s="355">
        <f t="shared" si="977"/>
        <v>0</v>
      </c>
      <c r="CJ73" s="355">
        <f t="shared" si="978"/>
        <v>0</v>
      </c>
      <c r="CK73" s="355">
        <f t="shared" si="979"/>
        <v>0</v>
      </c>
      <c r="CL73" s="355">
        <f t="shared" si="980"/>
        <v>0</v>
      </c>
      <c r="CN73" s="370">
        <f t="shared" si="981"/>
        <v>0</v>
      </c>
      <c r="CO73" s="355">
        <f t="shared" si="982"/>
        <v>0</v>
      </c>
      <c r="CQ73" s="355" t="b">
        <f t="shared" si="983"/>
        <v>0</v>
      </c>
      <c r="CR73" s="355" t="b">
        <f t="shared" si="984"/>
        <v>1</v>
      </c>
      <c r="CS73" s="355" t="b">
        <f t="shared" si="985"/>
        <v>0</v>
      </c>
      <c r="CU73" s="2">
        <f t="shared" si="986"/>
        <v>0</v>
      </c>
      <c r="CV73" s="102">
        <f t="shared" si="987"/>
        <v>0</v>
      </c>
      <c r="CW73" s="102">
        <f t="shared" si="988"/>
        <v>0</v>
      </c>
      <c r="CX73" s="102">
        <f t="shared" si="989"/>
        <v>0</v>
      </c>
      <c r="CY73" s="290">
        <f t="shared" si="990"/>
        <v>0</v>
      </c>
      <c r="CZ73" s="102">
        <f t="shared" si="991"/>
        <v>0</v>
      </c>
      <c r="DA73" s="290">
        <f t="shared" si="992"/>
        <v>0</v>
      </c>
      <c r="DB73" s="102">
        <f t="shared" si="993"/>
        <v>0</v>
      </c>
      <c r="DC73" s="290">
        <f t="shared" si="994"/>
        <v>0</v>
      </c>
      <c r="DD73" s="102">
        <f t="shared" si="995"/>
        <v>0</v>
      </c>
      <c r="DE73" s="592">
        <f>IF(D73="Sim",HLOOKUP($DH$5,Parametrização!$G$2:$H$4,2,FALSE),0)</f>
        <v>0</v>
      </c>
      <c r="DF73" s="102">
        <f t="shared" si="996"/>
        <v>0</v>
      </c>
      <c r="DG73" s="592">
        <f>IF(D73="Sim",HLOOKUP($DH$5,Parametrização!$G$2:$H$4,3,FALSE),0)</f>
        <v>0</v>
      </c>
      <c r="DH73" s="102">
        <f t="shared" si="997"/>
        <v>0</v>
      </c>
      <c r="DI73" s="102">
        <f t="shared" si="998"/>
        <v>0</v>
      </c>
      <c r="DK73" s="3" t="str">
        <f t="shared" si="999"/>
        <v>NA</v>
      </c>
      <c r="DL73" s="2" t="str">
        <f t="shared" si="1000"/>
        <v>NA</v>
      </c>
      <c r="DM73" s="3" t="str">
        <f t="shared" si="1001"/>
        <v>NA</v>
      </c>
      <c r="DN73" s="9" t="str">
        <f t="shared" si="1002"/>
        <v>NA</v>
      </c>
      <c r="DO73" s="637" t="str">
        <f t="shared" si="1003"/>
        <v>NA</v>
      </c>
      <c r="DP73" s="637"/>
      <c r="DQ73" s="3" t="str">
        <f t="shared" si="1004"/>
        <v>NA</v>
      </c>
      <c r="DR73" s="2" t="str">
        <f t="shared" si="1005"/>
        <v>NA</v>
      </c>
      <c r="DS73" s="3" t="str">
        <f t="shared" si="1006"/>
        <v>NA</v>
      </c>
      <c r="DT73" s="9" t="str">
        <f t="shared" si="1007"/>
        <v>NA</v>
      </c>
      <c r="DU73" s="637" t="str">
        <f t="shared" si="1008"/>
        <v>NA</v>
      </c>
      <c r="DV73" s="637"/>
      <c r="DW73" s="682"/>
      <c r="DX73" s="682"/>
      <c r="DY73" s="682"/>
      <c r="DZ73" s="637"/>
      <c r="EA73" s="643"/>
    </row>
    <row r="74" spans="1:131" s="355" customFormat="1" ht="20.100000000000001" customHeight="1" outlineLevel="1" x14ac:dyDescent="0.25">
      <c r="A74" s="356"/>
      <c r="B74" s="355" t="s">
        <v>268</v>
      </c>
      <c r="C74" s="355" t="str">
        <f t="shared" si="1009"/>
        <v>Consumo</v>
      </c>
      <c r="D74" s="355" t="s">
        <v>53</v>
      </c>
      <c r="E74" s="18" t="s">
        <v>38</v>
      </c>
      <c r="F74" s="355" t="s">
        <v>53</v>
      </c>
      <c r="G74" s="357" t="str">
        <f t="shared" si="1010"/>
        <v>Geral</v>
      </c>
      <c r="H74" s="255" t="s">
        <v>377</v>
      </c>
      <c r="I74" s="356" t="str">
        <f t="shared" si="927"/>
        <v>Sistema</v>
      </c>
      <c r="K74" s="318" t="s">
        <v>2827</v>
      </c>
      <c r="L74" s="749" t="str">
        <f>IF(Padrões!JF15&lt;&gt;"",Padrões!JF15,"")</f>
        <v>Relé 50/51</v>
      </c>
      <c r="M74" s="358" t="str">
        <f t="shared" si="928"/>
        <v>Relé digital, proteção de sobrecorrente, 4 TC, 4 TP, 20 BI, 10 BO, display gráfico, garantia 10 anos. Fabricante: Siemens, ABB, SEL ou GE/Alstom.</v>
      </c>
      <c r="N74" s="359">
        <f>Padrões!JI15</f>
        <v>0</v>
      </c>
      <c r="O74" s="381" t="str">
        <f t="shared" si="929"/>
        <v>?</v>
      </c>
      <c r="P74" s="360">
        <f t="shared" si="930"/>
        <v>0.12</v>
      </c>
      <c r="Q74" s="360" t="str">
        <f t="shared" si="931"/>
        <v>?</v>
      </c>
      <c r="R74" s="360">
        <f t="shared" si="932"/>
        <v>0</v>
      </c>
      <c r="S74" s="361">
        <f t="shared" si="933"/>
        <v>0</v>
      </c>
      <c r="T74" s="362">
        <f t="shared" si="934"/>
        <v>0</v>
      </c>
      <c r="U74" s="53" t="str" cm="1">
        <f t="array" ref="U74">IFERROR(IF(I74&lt;&gt;"Serviço",IF(AND(mlookup(tbl_DIFAL_data,UFdestino,tbl_DIFAL_UF,O74,tbl_DIFAL_NCM)&lt;&gt;"",C74="Consumo"),"Sim",""),""),"?")</f>
        <v>?</v>
      </c>
      <c r="V74" s="363" t="str">
        <f>IFERROR(IF(I74&lt;&gt;"Serviço",IF(AND(D74="Não",mlookup(tbl_ST_data,UFdestino,tbl_ST_UF,O74,tbl_ST_NCM)&lt;&gt;"",C74="Revenda",CD74="Não"),"Sim",""),""),"?")</f>
        <v>?</v>
      </c>
      <c r="W74" s="364">
        <f t="shared" si="935"/>
        <v>0</v>
      </c>
      <c r="X74" s="365">
        <f>IF(V74="Sim",mlookup(tbl_ST_data,UFdestino,tbl_ST_UF,O74,tbl_ST_NCM),0)</f>
        <v>0</v>
      </c>
      <c r="Z74" s="355">
        <f t="shared" si="936"/>
        <v>0</v>
      </c>
      <c r="AA74" s="355">
        <f t="shared" si="937"/>
        <v>0</v>
      </c>
      <c r="AC74" s="366">
        <f t="shared" si="1011"/>
        <v>1.31243473968765E-2</v>
      </c>
      <c r="AD74" s="366">
        <f t="shared" si="939"/>
        <v>0.15</v>
      </c>
      <c r="AF74" s="355">
        <f t="shared" si="940"/>
        <v>0</v>
      </c>
      <c r="AG74" s="355">
        <f t="shared" si="941"/>
        <v>0</v>
      </c>
      <c r="AI74" s="355">
        <f t="shared" si="942"/>
        <v>0</v>
      </c>
      <c r="AK74" s="366">
        <f t="shared" si="1012"/>
        <v>0</v>
      </c>
      <c r="AL74" s="355">
        <f t="shared" si="944"/>
        <v>0</v>
      </c>
      <c r="AM74" s="355">
        <f t="shared" si="945"/>
        <v>0</v>
      </c>
      <c r="AO74" s="355" t="b">
        <f t="shared" si="946"/>
        <v>1</v>
      </c>
      <c r="AQ74" s="367">
        <f t="shared" si="947"/>
        <v>0</v>
      </c>
      <c r="AR74" s="367">
        <f t="shared" si="948"/>
        <v>0</v>
      </c>
      <c r="AT74" s="367">
        <f t="shared" si="949"/>
        <v>0</v>
      </c>
      <c r="AU74" s="367">
        <f t="shared" si="950"/>
        <v>0</v>
      </c>
      <c r="AW74" s="367">
        <f t="shared" si="951"/>
        <v>0</v>
      </c>
      <c r="AX74" s="367">
        <f t="shared" si="952"/>
        <v>0</v>
      </c>
      <c r="AY74" s="367">
        <f t="shared" si="953"/>
        <v>0</v>
      </c>
      <c r="AZ74" s="367">
        <f t="shared" si="954"/>
        <v>0</v>
      </c>
      <c r="BB74" s="355">
        <f t="shared" si="955"/>
        <v>0</v>
      </c>
      <c r="BC74" s="355">
        <f t="shared" si="956"/>
        <v>0</v>
      </c>
      <c r="BD74" s="355">
        <f t="shared" si="957"/>
        <v>0</v>
      </c>
      <c r="BE74" s="355">
        <f t="shared" si="958"/>
        <v>0</v>
      </c>
      <c r="BF74" s="355">
        <f t="shared" si="959"/>
        <v>0</v>
      </c>
      <c r="BH74" s="368">
        <f t="shared" si="960"/>
        <v>0</v>
      </c>
      <c r="BJ74" s="369">
        <f t="shared" si="961"/>
        <v>-0.12</v>
      </c>
      <c r="BK74" s="355">
        <f t="shared" si="962"/>
        <v>0</v>
      </c>
      <c r="BL74" s="355">
        <f t="shared" si="963"/>
        <v>0</v>
      </c>
      <c r="BN74" s="366">
        <f t="shared" si="964"/>
        <v>0</v>
      </c>
      <c r="BO74" s="355">
        <f t="shared" si="965"/>
        <v>0</v>
      </c>
      <c r="BP74" s="355">
        <f t="shared" si="966"/>
        <v>0</v>
      </c>
      <c r="BQ74" s="355">
        <f t="shared" si="967"/>
        <v>0</v>
      </c>
      <c r="BS74" s="367">
        <f t="shared" si="968"/>
        <v>0</v>
      </c>
      <c r="BT74" s="355">
        <f t="shared" si="969"/>
        <v>0</v>
      </c>
      <c r="BU74" s="355" t="b">
        <f t="shared" si="970"/>
        <v>1</v>
      </c>
      <c r="BW74" s="355" t="str">
        <f t="shared" si="971"/>
        <v/>
      </c>
      <c r="BX74" s="355">
        <f t="shared" si="972"/>
        <v>0</v>
      </c>
      <c r="BY74" s="356">
        <f t="shared" si="1013"/>
        <v>0</v>
      </c>
      <c r="BZ74" s="355">
        <f t="shared" si="974"/>
        <v>0</v>
      </c>
      <c r="CB74" s="102" t="str">
        <f t="shared" si="975"/>
        <v xml:space="preserve">  IED</v>
      </c>
      <c r="CD74" s="355" t="str">
        <f t="shared" si="976"/>
        <v>Não</v>
      </c>
      <c r="CE74" s="368">
        <f>ifzero(mlookup(tbl_ICMSinterest_data,UFdestino,tbl_ICMSinterest_ufdest,UForigem,tbl_ICMSinterest_uforig))</f>
        <v>0.12</v>
      </c>
      <c r="CF74" s="368">
        <f>IF(N74&gt;0,IF(I74&lt;&gt;"Serviço",ifzero(mlookup(tbl_ICMSinterno_data,UForigem,tbl_ICMSinterno_UF,O74,tbl_ICMSinterno_NCM),mlookup(tbl_ICMSinterest_data,UForigem,tbl_ICMSinterest_ufdest,UForigem,tbl_ICMSinterest_uforig)),""),0)</f>
        <v>0</v>
      </c>
      <c r="CG74" s="368">
        <f>IF(N74&gt;0,IF(I74&lt;&gt;"Serviço",ifzero(mlookup(tbl_ICMSinterno_data,UFdestino,tbl_ICMSinterno_UF,O74,tbl_ICMSinterno_NCM),mlookup(tbl_ICMSinterest_data,UFdestino,tbl_ICMSinterest_ufdest,UFdestino,tbl_ICMSinterest_uforig)),""),0)</f>
        <v>0</v>
      </c>
      <c r="CI74" s="355">
        <f t="shared" si="977"/>
        <v>0</v>
      </c>
      <c r="CJ74" s="355">
        <f t="shared" si="978"/>
        <v>0</v>
      </c>
      <c r="CK74" s="355">
        <f t="shared" si="979"/>
        <v>0</v>
      </c>
      <c r="CL74" s="355">
        <f t="shared" si="980"/>
        <v>0</v>
      </c>
      <c r="CN74" s="370">
        <f t="shared" si="981"/>
        <v>0</v>
      </c>
      <c r="CO74" s="355">
        <f t="shared" si="982"/>
        <v>0</v>
      </c>
      <c r="CQ74" s="355" t="b">
        <f t="shared" si="983"/>
        <v>0</v>
      </c>
      <c r="CR74" s="355" t="b">
        <f t="shared" si="984"/>
        <v>1</v>
      </c>
      <c r="CS74" s="355" t="b">
        <f t="shared" si="985"/>
        <v>0</v>
      </c>
      <c r="CU74" s="2">
        <f t="shared" si="986"/>
        <v>0</v>
      </c>
      <c r="CV74" s="102">
        <f t="shared" si="987"/>
        <v>0</v>
      </c>
      <c r="CW74" s="102">
        <f t="shared" si="988"/>
        <v>0</v>
      </c>
      <c r="CX74" s="102">
        <f t="shared" si="989"/>
        <v>0</v>
      </c>
      <c r="CY74" s="290">
        <f t="shared" si="990"/>
        <v>0</v>
      </c>
      <c r="CZ74" s="102">
        <f t="shared" si="991"/>
        <v>0</v>
      </c>
      <c r="DA74" s="290">
        <f t="shared" si="992"/>
        <v>0</v>
      </c>
      <c r="DB74" s="102">
        <f t="shared" si="993"/>
        <v>0</v>
      </c>
      <c r="DC74" s="290">
        <f t="shared" si="994"/>
        <v>0</v>
      </c>
      <c r="DD74" s="102">
        <f t="shared" si="995"/>
        <v>0</v>
      </c>
      <c r="DE74" s="592">
        <f>IF(D74="Sim",HLOOKUP($DH$5,Parametrização!$G$2:$H$4,2,FALSE),0)</f>
        <v>0</v>
      </c>
      <c r="DF74" s="102">
        <f t="shared" si="996"/>
        <v>0</v>
      </c>
      <c r="DG74" s="592">
        <f>IF(D74="Sim",HLOOKUP($DH$5,Parametrização!$G$2:$H$4,3,FALSE),0)</f>
        <v>0</v>
      </c>
      <c r="DH74" s="102">
        <f t="shared" si="997"/>
        <v>0</v>
      </c>
      <c r="DI74" s="102">
        <f t="shared" si="998"/>
        <v>0</v>
      </c>
      <c r="DK74" s="3" t="str">
        <f t="shared" si="999"/>
        <v>NA</v>
      </c>
      <c r="DL74" s="2" t="str">
        <f t="shared" si="1000"/>
        <v>NA</v>
      </c>
      <c r="DM74" s="3" t="str">
        <f t="shared" si="1001"/>
        <v>NA</v>
      </c>
      <c r="DN74" s="9" t="str">
        <f t="shared" si="1002"/>
        <v>NA</v>
      </c>
      <c r="DO74" s="637" t="str">
        <f t="shared" si="1003"/>
        <v>NA</v>
      </c>
      <c r="DP74" s="637"/>
      <c r="DQ74" s="3" t="str">
        <f t="shared" si="1004"/>
        <v>NA</v>
      </c>
      <c r="DR74" s="2" t="str">
        <f t="shared" si="1005"/>
        <v>NA</v>
      </c>
      <c r="DS74" s="3" t="str">
        <f t="shared" si="1006"/>
        <v>NA</v>
      </c>
      <c r="DT74" s="9" t="str">
        <f t="shared" si="1007"/>
        <v>NA</v>
      </c>
      <c r="DU74" s="637" t="str">
        <f t="shared" si="1008"/>
        <v>NA</v>
      </c>
      <c r="DV74" s="637"/>
      <c r="DW74" s="682"/>
      <c r="DX74" s="682"/>
      <c r="DY74" s="682"/>
      <c r="DZ74" s="637"/>
      <c r="EA74" s="643"/>
    </row>
    <row r="75" spans="1:131" s="355" customFormat="1" ht="20.100000000000001" customHeight="1" outlineLevel="1" x14ac:dyDescent="0.25">
      <c r="A75" s="356"/>
      <c r="B75" s="355" t="s">
        <v>268</v>
      </c>
      <c r="C75" s="355" t="str">
        <f t="shared" si="1009"/>
        <v>Consumo</v>
      </c>
      <c r="D75" s="355" t="s">
        <v>53</v>
      </c>
      <c r="E75" s="18" t="s">
        <v>38</v>
      </c>
      <c r="F75" s="355" t="s">
        <v>53</v>
      </c>
      <c r="G75" s="357" t="str">
        <f t="shared" si="1010"/>
        <v>Geral</v>
      </c>
      <c r="H75" s="255" t="s">
        <v>377</v>
      </c>
      <c r="I75" s="356" t="str">
        <f t="shared" si="927"/>
        <v>Sistema</v>
      </c>
      <c r="K75" s="318" t="s">
        <v>2828</v>
      </c>
      <c r="L75" s="749" t="str">
        <f>IF(Padrões!JF16&lt;&gt;"",Padrões!JF16,"")</f>
        <v>Relé 87R</v>
      </c>
      <c r="M75" s="358" t="str">
        <f t="shared" si="928"/>
        <v>Relé digital para transformadores, proteção diferencial, 4 TC, 4 TP, 10 BI, 15 BO, display gráfico, garantia 10 anos. Fabricante: Siemens, ABB, SEL ou GE/Alstom.</v>
      </c>
      <c r="N75" s="359">
        <f>Padrões!JI16</f>
        <v>0</v>
      </c>
      <c r="O75" s="381" t="str">
        <f t="shared" si="929"/>
        <v>?</v>
      </c>
      <c r="P75" s="360">
        <f t="shared" si="930"/>
        <v>0.12</v>
      </c>
      <c r="Q75" s="360" t="str">
        <f t="shared" si="931"/>
        <v>?</v>
      </c>
      <c r="R75" s="360">
        <f t="shared" si="932"/>
        <v>0</v>
      </c>
      <c r="S75" s="361">
        <f t="shared" si="933"/>
        <v>0</v>
      </c>
      <c r="T75" s="362">
        <f t="shared" si="934"/>
        <v>0</v>
      </c>
      <c r="U75" s="53" t="str" cm="1">
        <f t="array" ref="U75">IFERROR(IF(I75&lt;&gt;"Serviço",IF(AND(mlookup(tbl_DIFAL_data,UFdestino,tbl_DIFAL_UF,O75,tbl_DIFAL_NCM)&lt;&gt;"",C75="Consumo"),"Sim",""),""),"?")</f>
        <v>?</v>
      </c>
      <c r="V75" s="363" t="str">
        <f>IFERROR(IF(I75&lt;&gt;"Serviço",IF(AND(D75="Não",mlookup(tbl_ST_data,UFdestino,tbl_ST_UF,O75,tbl_ST_NCM)&lt;&gt;"",C75="Revenda",CD75="Não"),"Sim",""),""),"?")</f>
        <v>?</v>
      </c>
      <c r="W75" s="364">
        <f t="shared" si="935"/>
        <v>0</v>
      </c>
      <c r="X75" s="365">
        <f>IF(V75="Sim",mlookup(tbl_ST_data,UFdestino,tbl_ST_UF,O75,tbl_ST_NCM),0)</f>
        <v>0</v>
      </c>
      <c r="Z75" s="355">
        <f t="shared" si="936"/>
        <v>0</v>
      </c>
      <c r="AA75" s="355">
        <f t="shared" si="937"/>
        <v>0</v>
      </c>
      <c r="AC75" s="366">
        <f t="shared" si="1011"/>
        <v>1.31243473968765E-2</v>
      </c>
      <c r="AD75" s="366">
        <f t="shared" si="939"/>
        <v>0.15</v>
      </c>
      <c r="AF75" s="355">
        <f t="shared" si="940"/>
        <v>0</v>
      </c>
      <c r="AG75" s="355">
        <f t="shared" si="941"/>
        <v>0</v>
      </c>
      <c r="AI75" s="355">
        <f t="shared" si="942"/>
        <v>0</v>
      </c>
      <c r="AK75" s="366">
        <f t="shared" si="1012"/>
        <v>0</v>
      </c>
      <c r="AL75" s="355">
        <f t="shared" si="944"/>
        <v>0</v>
      </c>
      <c r="AM75" s="355">
        <f t="shared" si="945"/>
        <v>0</v>
      </c>
      <c r="AO75" s="355" t="b">
        <f t="shared" si="946"/>
        <v>1</v>
      </c>
      <c r="AQ75" s="367">
        <f t="shared" si="947"/>
        <v>0</v>
      </c>
      <c r="AR75" s="367">
        <f t="shared" si="948"/>
        <v>0</v>
      </c>
      <c r="AT75" s="367">
        <f t="shared" si="949"/>
        <v>0</v>
      </c>
      <c r="AU75" s="367">
        <f t="shared" si="950"/>
        <v>0</v>
      </c>
      <c r="AW75" s="367">
        <f t="shared" si="951"/>
        <v>0</v>
      </c>
      <c r="AX75" s="367">
        <f t="shared" si="952"/>
        <v>0</v>
      </c>
      <c r="AY75" s="367">
        <f t="shared" si="953"/>
        <v>0</v>
      </c>
      <c r="AZ75" s="367">
        <f t="shared" si="954"/>
        <v>0</v>
      </c>
      <c r="BB75" s="355">
        <f t="shared" si="955"/>
        <v>0</v>
      </c>
      <c r="BC75" s="355">
        <f t="shared" si="956"/>
        <v>0</v>
      </c>
      <c r="BD75" s="355">
        <f t="shared" si="957"/>
        <v>0</v>
      </c>
      <c r="BE75" s="355">
        <f t="shared" si="958"/>
        <v>0</v>
      </c>
      <c r="BF75" s="355">
        <f t="shared" si="959"/>
        <v>0</v>
      </c>
      <c r="BH75" s="368">
        <f t="shared" si="960"/>
        <v>0</v>
      </c>
      <c r="BJ75" s="369">
        <f t="shared" si="961"/>
        <v>-0.12</v>
      </c>
      <c r="BK75" s="355">
        <f t="shared" si="962"/>
        <v>0</v>
      </c>
      <c r="BL75" s="355">
        <f t="shared" si="963"/>
        <v>0</v>
      </c>
      <c r="BN75" s="366">
        <f t="shared" si="964"/>
        <v>0</v>
      </c>
      <c r="BO75" s="355">
        <f t="shared" si="965"/>
        <v>0</v>
      </c>
      <c r="BP75" s="355">
        <f t="shared" si="966"/>
        <v>0</v>
      </c>
      <c r="BQ75" s="355">
        <f t="shared" si="967"/>
        <v>0</v>
      </c>
      <c r="BS75" s="367">
        <f t="shared" si="968"/>
        <v>0</v>
      </c>
      <c r="BT75" s="355">
        <f t="shared" si="969"/>
        <v>0</v>
      </c>
      <c r="BU75" s="355" t="b">
        <f t="shared" si="970"/>
        <v>1</v>
      </c>
      <c r="BW75" s="355" t="str">
        <f t="shared" si="971"/>
        <v/>
      </c>
      <c r="BX75" s="355">
        <f t="shared" si="972"/>
        <v>0</v>
      </c>
      <c r="BY75" s="356">
        <f t="shared" si="1013"/>
        <v>0</v>
      </c>
      <c r="BZ75" s="355">
        <f t="shared" si="974"/>
        <v>0</v>
      </c>
      <c r="CB75" s="102" t="str">
        <f t="shared" si="975"/>
        <v xml:space="preserve">  IED</v>
      </c>
      <c r="CD75" s="355" t="str">
        <f t="shared" si="976"/>
        <v>Não</v>
      </c>
      <c r="CE75" s="368">
        <f>ifzero(mlookup(tbl_ICMSinterest_data,UFdestino,tbl_ICMSinterest_ufdest,UForigem,tbl_ICMSinterest_uforig))</f>
        <v>0.12</v>
      </c>
      <c r="CF75" s="368">
        <f>IF(N75&gt;0,IF(I75&lt;&gt;"Serviço",ifzero(mlookup(tbl_ICMSinterno_data,UForigem,tbl_ICMSinterno_UF,O75,tbl_ICMSinterno_NCM),mlookup(tbl_ICMSinterest_data,UForigem,tbl_ICMSinterest_ufdest,UForigem,tbl_ICMSinterest_uforig)),""),0)</f>
        <v>0</v>
      </c>
      <c r="CG75" s="368">
        <f>IF(N75&gt;0,IF(I75&lt;&gt;"Serviço",ifzero(mlookup(tbl_ICMSinterno_data,UFdestino,tbl_ICMSinterno_UF,O75,tbl_ICMSinterno_NCM),mlookup(tbl_ICMSinterest_data,UFdestino,tbl_ICMSinterest_ufdest,UFdestino,tbl_ICMSinterest_uforig)),""),0)</f>
        <v>0</v>
      </c>
      <c r="CI75" s="355">
        <f t="shared" si="977"/>
        <v>0</v>
      </c>
      <c r="CJ75" s="355">
        <f t="shared" si="978"/>
        <v>0</v>
      </c>
      <c r="CK75" s="355">
        <f t="shared" si="979"/>
        <v>0</v>
      </c>
      <c r="CL75" s="355">
        <f t="shared" si="980"/>
        <v>0</v>
      </c>
      <c r="CN75" s="370">
        <f t="shared" si="981"/>
        <v>0</v>
      </c>
      <c r="CO75" s="355">
        <f t="shared" si="982"/>
        <v>0</v>
      </c>
      <c r="CQ75" s="355" t="b">
        <f t="shared" si="983"/>
        <v>0</v>
      </c>
      <c r="CR75" s="355" t="b">
        <f t="shared" si="984"/>
        <v>1</v>
      </c>
      <c r="CS75" s="355" t="b">
        <f t="shared" si="985"/>
        <v>0</v>
      </c>
      <c r="CU75" s="2">
        <f t="shared" si="986"/>
        <v>0</v>
      </c>
      <c r="CV75" s="102">
        <f t="shared" si="987"/>
        <v>0</v>
      </c>
      <c r="CW75" s="102">
        <f t="shared" si="988"/>
        <v>0</v>
      </c>
      <c r="CX75" s="102">
        <f t="shared" si="989"/>
        <v>0</v>
      </c>
      <c r="CY75" s="290">
        <f t="shared" si="990"/>
        <v>0</v>
      </c>
      <c r="CZ75" s="102">
        <f t="shared" si="991"/>
        <v>0</v>
      </c>
      <c r="DA75" s="290">
        <f t="shared" si="992"/>
        <v>0</v>
      </c>
      <c r="DB75" s="102">
        <f t="shared" si="993"/>
        <v>0</v>
      </c>
      <c r="DC75" s="290">
        <f t="shared" si="994"/>
        <v>0</v>
      </c>
      <c r="DD75" s="102">
        <f t="shared" si="995"/>
        <v>0</v>
      </c>
      <c r="DE75" s="592">
        <f>IF(D75="Sim",HLOOKUP($DH$5,Parametrização!$G$2:$H$4,2,FALSE),0)</f>
        <v>0</v>
      </c>
      <c r="DF75" s="102">
        <f t="shared" si="996"/>
        <v>0</v>
      </c>
      <c r="DG75" s="592">
        <f>IF(D75="Sim",HLOOKUP($DH$5,Parametrização!$G$2:$H$4,3,FALSE),0)</f>
        <v>0</v>
      </c>
      <c r="DH75" s="102">
        <f t="shared" si="997"/>
        <v>0</v>
      </c>
      <c r="DI75" s="102">
        <f t="shared" si="998"/>
        <v>0</v>
      </c>
      <c r="DK75" s="3" t="str">
        <f t="shared" si="999"/>
        <v>NA</v>
      </c>
      <c r="DL75" s="2" t="str">
        <f t="shared" si="1000"/>
        <v>NA</v>
      </c>
      <c r="DM75" s="3" t="str">
        <f t="shared" si="1001"/>
        <v>NA</v>
      </c>
      <c r="DN75" s="9" t="str">
        <f t="shared" si="1002"/>
        <v>NA</v>
      </c>
      <c r="DO75" s="637" t="str">
        <f t="shared" si="1003"/>
        <v>NA</v>
      </c>
      <c r="DP75" s="637"/>
      <c r="DQ75" s="3" t="str">
        <f t="shared" si="1004"/>
        <v>NA</v>
      </c>
      <c r="DR75" s="2" t="str">
        <f t="shared" si="1005"/>
        <v>NA</v>
      </c>
      <c r="DS75" s="3" t="str">
        <f t="shared" si="1006"/>
        <v>NA</v>
      </c>
      <c r="DT75" s="9" t="str">
        <f t="shared" si="1007"/>
        <v>NA</v>
      </c>
      <c r="DU75" s="637" t="str">
        <f t="shared" si="1008"/>
        <v>NA</v>
      </c>
      <c r="DV75" s="637"/>
      <c r="DW75" s="682"/>
      <c r="DX75" s="682"/>
      <c r="DY75" s="682"/>
      <c r="DZ75" s="637"/>
      <c r="EA75" s="643"/>
    </row>
    <row r="76" spans="1:131" s="355" customFormat="1" ht="20.100000000000001" customHeight="1" outlineLevel="1" x14ac:dyDescent="0.25">
      <c r="A76" s="356"/>
      <c r="B76" s="355" t="s">
        <v>268</v>
      </c>
      <c r="C76" s="355" t="str">
        <f t="shared" si="1009"/>
        <v>Consumo</v>
      </c>
      <c r="D76" s="355" t="s">
        <v>53</v>
      </c>
      <c r="E76" s="18" t="s">
        <v>38</v>
      </c>
      <c r="F76" s="355" t="s">
        <v>53</v>
      </c>
      <c r="G76" s="357" t="str">
        <f t="shared" si="1010"/>
        <v>Geral</v>
      </c>
      <c r="H76" s="255" t="s">
        <v>377</v>
      </c>
      <c r="I76" s="356" t="str">
        <f t="shared" si="927"/>
        <v>Sistema</v>
      </c>
      <c r="K76" s="318" t="s">
        <v>2829</v>
      </c>
      <c r="L76" s="749" t="str">
        <f>IF(Padrões!JF17&lt;&gt;"",Padrões!JF17,"")</f>
        <v>Relé 87T</v>
      </c>
      <c r="M76" s="358" t="str">
        <f t="shared" si="928"/>
        <v>Relé digital para transformadores, proteção diferencial, 12 TC, 4 TP, 10 BI, 15 BO, display gráfico, garantia 10 anos. Fabricante: Siemens, ABB, SEL ou GE/Alstom.</v>
      </c>
      <c r="N76" s="359">
        <f>Padrões!JI17</f>
        <v>0</v>
      </c>
      <c r="O76" s="381" t="str">
        <f t="shared" si="929"/>
        <v>?</v>
      </c>
      <c r="P76" s="360">
        <f t="shared" si="930"/>
        <v>0.12</v>
      </c>
      <c r="Q76" s="360" t="str">
        <f t="shared" si="931"/>
        <v>?</v>
      </c>
      <c r="R76" s="360">
        <f t="shared" si="932"/>
        <v>0</v>
      </c>
      <c r="S76" s="361">
        <f t="shared" si="933"/>
        <v>0</v>
      </c>
      <c r="T76" s="362">
        <f t="shared" si="934"/>
        <v>0</v>
      </c>
      <c r="U76" s="53" t="str" cm="1">
        <f t="array" ref="U76">IFERROR(IF(I76&lt;&gt;"Serviço",IF(AND(mlookup(tbl_DIFAL_data,UFdestino,tbl_DIFAL_UF,O76,tbl_DIFAL_NCM)&lt;&gt;"",C76="Consumo"),"Sim",""),""),"?")</f>
        <v>?</v>
      </c>
      <c r="V76" s="363" t="str">
        <f>IFERROR(IF(I76&lt;&gt;"Serviço",IF(AND(D76="Não",mlookup(tbl_ST_data,UFdestino,tbl_ST_UF,O76,tbl_ST_NCM)&lt;&gt;"",C76="Revenda",CD76="Não"),"Sim",""),""),"?")</f>
        <v>?</v>
      </c>
      <c r="W76" s="364">
        <f t="shared" si="935"/>
        <v>0</v>
      </c>
      <c r="X76" s="365">
        <f>IF(V76="Sim",mlookup(tbl_ST_data,UFdestino,tbl_ST_UF,O76,tbl_ST_NCM),0)</f>
        <v>0</v>
      </c>
      <c r="Z76" s="355">
        <f t="shared" si="936"/>
        <v>0</v>
      </c>
      <c r="AA76" s="355">
        <f t="shared" si="937"/>
        <v>0</v>
      </c>
      <c r="AC76" s="366">
        <f t="shared" si="1011"/>
        <v>1.31243473968765E-2</v>
      </c>
      <c r="AD76" s="366">
        <f t="shared" si="939"/>
        <v>0.15</v>
      </c>
      <c r="AF76" s="355">
        <f t="shared" si="940"/>
        <v>0</v>
      </c>
      <c r="AG76" s="355">
        <f t="shared" si="941"/>
        <v>0</v>
      </c>
      <c r="AI76" s="355">
        <f t="shared" si="942"/>
        <v>0</v>
      </c>
      <c r="AK76" s="366">
        <f t="shared" si="1012"/>
        <v>0</v>
      </c>
      <c r="AL76" s="355">
        <f t="shared" si="944"/>
        <v>0</v>
      </c>
      <c r="AM76" s="355">
        <f t="shared" si="945"/>
        <v>0</v>
      </c>
      <c r="AO76" s="355" t="b">
        <f t="shared" si="946"/>
        <v>1</v>
      </c>
      <c r="AQ76" s="367">
        <f t="shared" si="947"/>
        <v>0</v>
      </c>
      <c r="AR76" s="367">
        <f t="shared" si="948"/>
        <v>0</v>
      </c>
      <c r="AT76" s="367">
        <f t="shared" si="949"/>
        <v>0</v>
      </c>
      <c r="AU76" s="367">
        <f t="shared" si="950"/>
        <v>0</v>
      </c>
      <c r="AW76" s="367">
        <f t="shared" si="951"/>
        <v>0</v>
      </c>
      <c r="AX76" s="367">
        <f t="shared" si="952"/>
        <v>0</v>
      </c>
      <c r="AY76" s="367">
        <f t="shared" si="953"/>
        <v>0</v>
      </c>
      <c r="AZ76" s="367">
        <f t="shared" si="954"/>
        <v>0</v>
      </c>
      <c r="BB76" s="355">
        <f t="shared" si="955"/>
        <v>0</v>
      </c>
      <c r="BC76" s="355">
        <f t="shared" si="956"/>
        <v>0</v>
      </c>
      <c r="BD76" s="355">
        <f t="shared" si="957"/>
        <v>0</v>
      </c>
      <c r="BE76" s="355">
        <f t="shared" si="958"/>
        <v>0</v>
      </c>
      <c r="BF76" s="355">
        <f t="shared" si="959"/>
        <v>0</v>
      </c>
      <c r="BH76" s="368">
        <f t="shared" si="960"/>
        <v>0</v>
      </c>
      <c r="BJ76" s="369">
        <f t="shared" si="961"/>
        <v>-0.12</v>
      </c>
      <c r="BK76" s="355">
        <f t="shared" si="962"/>
        <v>0</v>
      </c>
      <c r="BL76" s="355">
        <f t="shared" si="963"/>
        <v>0</v>
      </c>
      <c r="BN76" s="366">
        <f t="shared" si="964"/>
        <v>0</v>
      </c>
      <c r="BO76" s="355">
        <f t="shared" si="965"/>
        <v>0</v>
      </c>
      <c r="BP76" s="355">
        <f t="shared" si="966"/>
        <v>0</v>
      </c>
      <c r="BQ76" s="355">
        <f t="shared" si="967"/>
        <v>0</v>
      </c>
      <c r="BS76" s="367">
        <f t="shared" si="968"/>
        <v>0</v>
      </c>
      <c r="BT76" s="355">
        <f t="shared" si="969"/>
        <v>0</v>
      </c>
      <c r="BU76" s="355" t="b">
        <f t="shared" si="970"/>
        <v>1</v>
      </c>
      <c r="BW76" s="355" t="str">
        <f t="shared" si="971"/>
        <v/>
      </c>
      <c r="BX76" s="355">
        <f t="shared" si="972"/>
        <v>0</v>
      </c>
      <c r="BY76" s="356">
        <f t="shared" si="1013"/>
        <v>0</v>
      </c>
      <c r="BZ76" s="355">
        <f t="shared" si="974"/>
        <v>0</v>
      </c>
      <c r="CB76" s="102" t="str">
        <f t="shared" si="975"/>
        <v xml:space="preserve">  IED</v>
      </c>
      <c r="CD76" s="355" t="str">
        <f t="shared" si="976"/>
        <v>Não</v>
      </c>
      <c r="CE76" s="368">
        <f>ifzero(mlookup(tbl_ICMSinterest_data,UFdestino,tbl_ICMSinterest_ufdest,UForigem,tbl_ICMSinterest_uforig))</f>
        <v>0.12</v>
      </c>
      <c r="CF76" s="368">
        <f>IF(N76&gt;0,IF(I76&lt;&gt;"Serviço",ifzero(mlookup(tbl_ICMSinterno_data,UForigem,tbl_ICMSinterno_UF,O76,tbl_ICMSinterno_NCM),mlookup(tbl_ICMSinterest_data,UForigem,tbl_ICMSinterest_ufdest,UForigem,tbl_ICMSinterest_uforig)),""),0)</f>
        <v>0</v>
      </c>
      <c r="CG76" s="368">
        <f>IF(N76&gt;0,IF(I76&lt;&gt;"Serviço",ifzero(mlookup(tbl_ICMSinterno_data,UFdestino,tbl_ICMSinterno_UF,O76,tbl_ICMSinterno_NCM),mlookup(tbl_ICMSinterest_data,UFdestino,tbl_ICMSinterest_ufdest,UFdestino,tbl_ICMSinterest_uforig)),""),0)</f>
        <v>0</v>
      </c>
      <c r="CI76" s="355">
        <f t="shared" si="977"/>
        <v>0</v>
      </c>
      <c r="CJ76" s="355">
        <f t="shared" si="978"/>
        <v>0</v>
      </c>
      <c r="CK76" s="355">
        <f t="shared" si="979"/>
        <v>0</v>
      </c>
      <c r="CL76" s="355">
        <f t="shared" si="980"/>
        <v>0</v>
      </c>
      <c r="CN76" s="370">
        <f t="shared" si="981"/>
        <v>0</v>
      </c>
      <c r="CO76" s="355">
        <f t="shared" si="982"/>
        <v>0</v>
      </c>
      <c r="CQ76" s="355" t="b">
        <f t="shared" si="983"/>
        <v>0</v>
      </c>
      <c r="CR76" s="355" t="b">
        <f t="shared" si="984"/>
        <v>1</v>
      </c>
      <c r="CS76" s="355" t="b">
        <f t="shared" si="985"/>
        <v>0</v>
      </c>
      <c r="CU76" s="2">
        <f t="shared" si="986"/>
        <v>0</v>
      </c>
      <c r="CV76" s="102">
        <f t="shared" si="987"/>
        <v>0</v>
      </c>
      <c r="CW76" s="102">
        <f t="shared" si="988"/>
        <v>0</v>
      </c>
      <c r="CX76" s="102">
        <f t="shared" si="989"/>
        <v>0</v>
      </c>
      <c r="CY76" s="290">
        <f t="shared" si="990"/>
        <v>0</v>
      </c>
      <c r="CZ76" s="102">
        <f t="shared" si="991"/>
        <v>0</v>
      </c>
      <c r="DA76" s="290">
        <f t="shared" si="992"/>
        <v>0</v>
      </c>
      <c r="DB76" s="102">
        <f t="shared" si="993"/>
        <v>0</v>
      </c>
      <c r="DC76" s="290">
        <f t="shared" si="994"/>
        <v>0</v>
      </c>
      <c r="DD76" s="102">
        <f t="shared" si="995"/>
        <v>0</v>
      </c>
      <c r="DE76" s="592">
        <f>IF(D76="Sim",HLOOKUP($DH$5,Parametrização!$G$2:$H$4,2,FALSE),0)</f>
        <v>0</v>
      </c>
      <c r="DF76" s="102">
        <f t="shared" si="996"/>
        <v>0</v>
      </c>
      <c r="DG76" s="592">
        <f>IF(D76="Sim",HLOOKUP($DH$5,Parametrização!$G$2:$H$4,3,FALSE),0)</f>
        <v>0</v>
      </c>
      <c r="DH76" s="102">
        <f t="shared" si="997"/>
        <v>0</v>
      </c>
      <c r="DI76" s="102">
        <f t="shared" si="998"/>
        <v>0</v>
      </c>
      <c r="DK76" s="3" t="str">
        <f t="shared" si="999"/>
        <v>NA</v>
      </c>
      <c r="DL76" s="2" t="str">
        <f t="shared" si="1000"/>
        <v>NA</v>
      </c>
      <c r="DM76" s="3" t="str">
        <f t="shared" si="1001"/>
        <v>NA</v>
      </c>
      <c r="DN76" s="9" t="str">
        <f t="shared" si="1002"/>
        <v>NA</v>
      </c>
      <c r="DO76" s="637" t="str">
        <f t="shared" si="1003"/>
        <v>NA</v>
      </c>
      <c r="DP76" s="637"/>
      <c r="DQ76" s="3" t="str">
        <f t="shared" si="1004"/>
        <v>NA</v>
      </c>
      <c r="DR76" s="2" t="str">
        <f t="shared" si="1005"/>
        <v>NA</v>
      </c>
      <c r="DS76" s="3" t="str">
        <f t="shared" si="1006"/>
        <v>NA</v>
      </c>
      <c r="DT76" s="9" t="str">
        <f t="shared" si="1007"/>
        <v>NA</v>
      </c>
      <c r="DU76" s="637" t="str">
        <f t="shared" si="1008"/>
        <v>NA</v>
      </c>
      <c r="DV76" s="637"/>
      <c r="DW76" s="682"/>
      <c r="DX76" s="682"/>
      <c r="DY76" s="682"/>
      <c r="DZ76" s="637"/>
      <c r="EA76" s="643"/>
    </row>
    <row r="77" spans="1:131" s="355" customFormat="1" ht="20.100000000000001" customHeight="1" outlineLevel="1" x14ac:dyDescent="0.25">
      <c r="A77" s="356"/>
      <c r="B77" s="355" t="s">
        <v>268</v>
      </c>
      <c r="C77" s="355" t="str">
        <f t="shared" si="1009"/>
        <v>Consumo</v>
      </c>
      <c r="D77" s="355" t="s">
        <v>53</v>
      </c>
      <c r="E77" s="18" t="s">
        <v>38</v>
      </c>
      <c r="F77" s="355" t="s">
        <v>53</v>
      </c>
      <c r="G77" s="357" t="str">
        <f t="shared" si="1010"/>
        <v>Geral</v>
      </c>
      <c r="H77" s="255" t="s">
        <v>377</v>
      </c>
      <c r="I77" s="356" t="str">
        <f t="shared" si="927"/>
        <v>Sistema</v>
      </c>
      <c r="K77" s="318" t="s">
        <v>2830</v>
      </c>
      <c r="L77" s="749" t="str">
        <f>IF(Padrões!JF18&lt;&gt;"",Padrões!JF18,"")</f>
        <v>87B CU</v>
      </c>
      <c r="M77" s="358" t="str">
        <f t="shared" si="928"/>
        <v>Relé digital barramentos, proteção diferencial (unidade central), com conexões suficientes para a aplicação e mais 1 bay reserva, garantia 10 anos. Fabricante: Siemens, ABB, SEL ou GE/Alstom.</v>
      </c>
      <c r="N77" s="359">
        <f>Padrões!JI18</f>
        <v>0</v>
      </c>
      <c r="O77" s="381" t="str">
        <f t="shared" si="929"/>
        <v>?</v>
      </c>
      <c r="P77" s="360">
        <f t="shared" si="930"/>
        <v>0.12</v>
      </c>
      <c r="Q77" s="360" t="str">
        <f t="shared" si="931"/>
        <v>?</v>
      </c>
      <c r="R77" s="360">
        <f t="shared" si="932"/>
        <v>0</v>
      </c>
      <c r="S77" s="361">
        <f t="shared" si="933"/>
        <v>0</v>
      </c>
      <c r="T77" s="362">
        <f t="shared" si="934"/>
        <v>0</v>
      </c>
      <c r="U77" s="53" t="str" cm="1">
        <f t="array" ref="U77">IFERROR(IF(I77&lt;&gt;"Serviço",IF(AND(mlookup(tbl_DIFAL_data,UFdestino,tbl_DIFAL_UF,O77,tbl_DIFAL_NCM)&lt;&gt;"",C77="Consumo"),"Sim",""),""),"?")</f>
        <v>?</v>
      </c>
      <c r="V77" s="363" t="str">
        <f>IFERROR(IF(I77&lt;&gt;"Serviço",IF(AND(D77="Não",mlookup(tbl_ST_data,UFdestino,tbl_ST_UF,O77,tbl_ST_NCM)&lt;&gt;"",C77="Revenda",CD77="Não"),"Sim",""),""),"?")</f>
        <v>?</v>
      </c>
      <c r="W77" s="364">
        <f t="shared" si="935"/>
        <v>0</v>
      </c>
      <c r="X77" s="365">
        <f>IF(V77="Sim",mlookup(tbl_ST_data,UFdestino,tbl_ST_UF,O77,tbl_ST_NCM),0)</f>
        <v>0</v>
      </c>
      <c r="Z77" s="355">
        <f t="shared" si="936"/>
        <v>0</v>
      </c>
      <c r="AA77" s="355">
        <f t="shared" si="937"/>
        <v>0</v>
      </c>
      <c r="AC77" s="366">
        <f t="shared" si="1011"/>
        <v>1.31243473968765E-2</v>
      </c>
      <c r="AD77" s="366">
        <f t="shared" si="939"/>
        <v>0.15</v>
      </c>
      <c r="AF77" s="355">
        <f t="shared" si="940"/>
        <v>0</v>
      </c>
      <c r="AG77" s="355">
        <f t="shared" si="941"/>
        <v>0</v>
      </c>
      <c r="AI77" s="355">
        <f t="shared" si="942"/>
        <v>0</v>
      </c>
      <c r="AK77" s="366">
        <f t="shared" si="1012"/>
        <v>0</v>
      </c>
      <c r="AL77" s="355">
        <f t="shared" si="944"/>
        <v>0</v>
      </c>
      <c r="AM77" s="355">
        <f t="shared" si="945"/>
        <v>0</v>
      </c>
      <c r="AO77" s="355" t="b">
        <f t="shared" si="946"/>
        <v>1</v>
      </c>
      <c r="AQ77" s="367">
        <f t="shared" si="947"/>
        <v>0</v>
      </c>
      <c r="AR77" s="367">
        <f t="shared" si="948"/>
        <v>0</v>
      </c>
      <c r="AT77" s="367">
        <f t="shared" si="949"/>
        <v>0</v>
      </c>
      <c r="AU77" s="367">
        <f t="shared" si="950"/>
        <v>0</v>
      </c>
      <c r="AW77" s="367">
        <f t="shared" si="951"/>
        <v>0</v>
      </c>
      <c r="AX77" s="367">
        <f t="shared" si="952"/>
        <v>0</v>
      </c>
      <c r="AY77" s="367">
        <f t="shared" si="953"/>
        <v>0</v>
      </c>
      <c r="AZ77" s="367">
        <f t="shared" si="954"/>
        <v>0</v>
      </c>
      <c r="BB77" s="355">
        <f t="shared" si="955"/>
        <v>0</v>
      </c>
      <c r="BC77" s="355">
        <f t="shared" si="956"/>
        <v>0</v>
      </c>
      <c r="BD77" s="355">
        <f t="shared" si="957"/>
        <v>0</v>
      </c>
      <c r="BE77" s="355">
        <f t="shared" si="958"/>
        <v>0</v>
      </c>
      <c r="BF77" s="355">
        <f t="shared" si="959"/>
        <v>0</v>
      </c>
      <c r="BH77" s="368">
        <f t="shared" si="960"/>
        <v>0</v>
      </c>
      <c r="BJ77" s="369">
        <f t="shared" si="961"/>
        <v>-0.12</v>
      </c>
      <c r="BK77" s="355">
        <f t="shared" si="962"/>
        <v>0</v>
      </c>
      <c r="BL77" s="355">
        <f t="shared" si="963"/>
        <v>0</v>
      </c>
      <c r="BN77" s="366">
        <f t="shared" si="964"/>
        <v>0</v>
      </c>
      <c r="BO77" s="355">
        <f t="shared" si="965"/>
        <v>0</v>
      </c>
      <c r="BP77" s="355">
        <f t="shared" si="966"/>
        <v>0</v>
      </c>
      <c r="BQ77" s="355">
        <f t="shared" si="967"/>
        <v>0</v>
      </c>
      <c r="BS77" s="367">
        <f t="shared" si="968"/>
        <v>0</v>
      </c>
      <c r="BT77" s="355">
        <f t="shared" si="969"/>
        <v>0</v>
      </c>
      <c r="BU77" s="355" t="b">
        <f t="shared" si="970"/>
        <v>1</v>
      </c>
      <c r="BW77" s="355" t="str">
        <f t="shared" si="971"/>
        <v/>
      </c>
      <c r="BX77" s="355">
        <f t="shared" si="972"/>
        <v>0</v>
      </c>
      <c r="BY77" s="356">
        <f t="shared" si="1013"/>
        <v>0</v>
      </c>
      <c r="BZ77" s="355">
        <f t="shared" si="974"/>
        <v>0</v>
      </c>
      <c r="CB77" s="102" t="str">
        <f t="shared" si="975"/>
        <v xml:space="preserve">  IED</v>
      </c>
      <c r="CD77" s="355" t="str">
        <f t="shared" si="976"/>
        <v>Não</v>
      </c>
      <c r="CE77" s="368">
        <f>ifzero(mlookup(tbl_ICMSinterest_data,UFdestino,tbl_ICMSinterest_ufdest,UForigem,tbl_ICMSinterest_uforig))</f>
        <v>0.12</v>
      </c>
      <c r="CF77" s="368">
        <f>IF(N77&gt;0,IF(I77&lt;&gt;"Serviço",ifzero(mlookup(tbl_ICMSinterno_data,UForigem,tbl_ICMSinterno_UF,O77,tbl_ICMSinterno_NCM),mlookup(tbl_ICMSinterest_data,UForigem,tbl_ICMSinterest_ufdest,UForigem,tbl_ICMSinterest_uforig)),""),0)</f>
        <v>0</v>
      </c>
      <c r="CG77" s="368">
        <f>IF(N77&gt;0,IF(I77&lt;&gt;"Serviço",ifzero(mlookup(tbl_ICMSinterno_data,UFdestino,tbl_ICMSinterno_UF,O77,tbl_ICMSinterno_NCM),mlookup(tbl_ICMSinterest_data,UFdestino,tbl_ICMSinterest_ufdest,UFdestino,tbl_ICMSinterest_uforig)),""),0)</f>
        <v>0</v>
      </c>
      <c r="CI77" s="355">
        <f t="shared" si="977"/>
        <v>0</v>
      </c>
      <c r="CJ77" s="355">
        <f t="shared" si="978"/>
        <v>0</v>
      </c>
      <c r="CK77" s="355">
        <f t="shared" si="979"/>
        <v>0</v>
      </c>
      <c r="CL77" s="355">
        <f t="shared" si="980"/>
        <v>0</v>
      </c>
      <c r="CN77" s="370">
        <f t="shared" si="981"/>
        <v>0</v>
      </c>
      <c r="CO77" s="355">
        <f t="shared" si="982"/>
        <v>0</v>
      </c>
      <c r="CQ77" s="355" t="b">
        <f t="shared" si="983"/>
        <v>0</v>
      </c>
      <c r="CR77" s="355" t="b">
        <f t="shared" si="984"/>
        <v>1</v>
      </c>
      <c r="CS77" s="355" t="b">
        <f t="shared" si="985"/>
        <v>0</v>
      </c>
      <c r="CU77" s="2">
        <f t="shared" si="986"/>
        <v>0</v>
      </c>
      <c r="CV77" s="102">
        <f t="shared" si="987"/>
        <v>0</v>
      </c>
      <c r="CW77" s="102">
        <f t="shared" si="988"/>
        <v>0</v>
      </c>
      <c r="CX77" s="102">
        <f t="shared" si="989"/>
        <v>0</v>
      </c>
      <c r="CY77" s="290">
        <f t="shared" si="990"/>
        <v>0</v>
      </c>
      <c r="CZ77" s="102">
        <f t="shared" si="991"/>
        <v>0</v>
      </c>
      <c r="DA77" s="290">
        <f t="shared" si="992"/>
        <v>0</v>
      </c>
      <c r="DB77" s="102">
        <f t="shared" si="993"/>
        <v>0</v>
      </c>
      <c r="DC77" s="290">
        <f t="shared" si="994"/>
        <v>0</v>
      </c>
      <c r="DD77" s="102">
        <f t="shared" si="995"/>
        <v>0</v>
      </c>
      <c r="DE77" s="592">
        <f>IF(D77="Sim",HLOOKUP($DH$5,Parametrização!$G$2:$H$4,2,FALSE),0)</f>
        <v>0</v>
      </c>
      <c r="DF77" s="102">
        <f t="shared" si="996"/>
        <v>0</v>
      </c>
      <c r="DG77" s="592">
        <f>IF(D77="Sim",HLOOKUP($DH$5,Parametrização!$G$2:$H$4,3,FALSE),0)</f>
        <v>0</v>
      </c>
      <c r="DH77" s="102">
        <f t="shared" si="997"/>
        <v>0</v>
      </c>
      <c r="DI77" s="102">
        <f t="shared" si="998"/>
        <v>0</v>
      </c>
      <c r="DK77" s="3" t="str">
        <f t="shared" si="999"/>
        <v>NA</v>
      </c>
      <c r="DL77" s="2" t="str">
        <f t="shared" si="1000"/>
        <v>NA</v>
      </c>
      <c r="DM77" s="3" t="str">
        <f t="shared" si="1001"/>
        <v>NA</v>
      </c>
      <c r="DN77" s="9" t="str">
        <f t="shared" si="1002"/>
        <v>NA</v>
      </c>
      <c r="DO77" s="637" t="str">
        <f t="shared" si="1003"/>
        <v>NA</v>
      </c>
      <c r="DP77" s="637"/>
      <c r="DQ77" s="3" t="str">
        <f t="shared" si="1004"/>
        <v>NA</v>
      </c>
      <c r="DR77" s="2" t="str">
        <f t="shared" si="1005"/>
        <v>NA</v>
      </c>
      <c r="DS77" s="3" t="str">
        <f t="shared" si="1006"/>
        <v>NA</v>
      </c>
      <c r="DT77" s="9" t="str">
        <f t="shared" si="1007"/>
        <v>NA</v>
      </c>
      <c r="DU77" s="637" t="str">
        <f t="shared" si="1008"/>
        <v>NA</v>
      </c>
      <c r="DV77" s="637"/>
      <c r="DW77" s="682"/>
      <c r="DX77" s="682"/>
      <c r="DY77" s="682"/>
      <c r="DZ77" s="637"/>
      <c r="EA77" s="643"/>
    </row>
    <row r="78" spans="1:131" s="355" customFormat="1" ht="20.100000000000001" customHeight="1" outlineLevel="1" x14ac:dyDescent="0.25">
      <c r="A78" s="356"/>
      <c r="B78" s="355" t="s">
        <v>268</v>
      </c>
      <c r="C78" s="355" t="str">
        <f t="shared" si="1009"/>
        <v>Consumo</v>
      </c>
      <c r="D78" s="355" t="s">
        <v>53</v>
      </c>
      <c r="E78" s="18" t="s">
        <v>38</v>
      </c>
      <c r="F78" s="355" t="s">
        <v>53</v>
      </c>
      <c r="G78" s="357" t="str">
        <f t="shared" si="1010"/>
        <v>Geral</v>
      </c>
      <c r="H78" s="255" t="s">
        <v>377</v>
      </c>
      <c r="I78" s="356" t="str">
        <f t="shared" si="927"/>
        <v>Sistema</v>
      </c>
      <c r="K78" s="318" t="s">
        <v>2831</v>
      </c>
      <c r="L78" s="749" t="str">
        <f>IF(Padrões!JF19&lt;&gt;"",Padrões!JF19,"")</f>
        <v>87B BU</v>
      </c>
      <c r="M78" s="358" t="str">
        <f t="shared" si="928"/>
        <v>Relé digital barramentos, proteção diferencial (unidade de bay), 4 TC, 10 BI, 5 BO, garantia 10 anos. Fabricante: Siemens, ABB, SEL ou GE/Alstom.</v>
      </c>
      <c r="N78" s="359">
        <f>Padrões!JI19</f>
        <v>0</v>
      </c>
      <c r="O78" s="381" t="str">
        <f t="shared" si="929"/>
        <v>?</v>
      </c>
      <c r="P78" s="360">
        <f t="shared" si="930"/>
        <v>0.12</v>
      </c>
      <c r="Q78" s="360" t="str">
        <f t="shared" si="931"/>
        <v>?</v>
      </c>
      <c r="R78" s="360">
        <f t="shared" si="932"/>
        <v>0</v>
      </c>
      <c r="S78" s="361">
        <f t="shared" si="933"/>
        <v>0</v>
      </c>
      <c r="T78" s="362">
        <f t="shared" si="934"/>
        <v>0</v>
      </c>
      <c r="U78" s="53" t="str" cm="1">
        <f t="array" ref="U78">IFERROR(IF(I78&lt;&gt;"Serviço",IF(AND(mlookup(tbl_DIFAL_data,UFdestino,tbl_DIFAL_UF,O78,tbl_DIFAL_NCM)&lt;&gt;"",C78="Consumo"),"Sim",""),""),"?")</f>
        <v>?</v>
      </c>
      <c r="V78" s="363" t="str">
        <f>IFERROR(IF(I78&lt;&gt;"Serviço",IF(AND(D78="Não",mlookup(tbl_ST_data,UFdestino,tbl_ST_UF,O78,tbl_ST_NCM)&lt;&gt;"",C78="Revenda",CD78="Não"),"Sim",""),""),"?")</f>
        <v>?</v>
      </c>
      <c r="W78" s="364">
        <f t="shared" si="935"/>
        <v>0</v>
      </c>
      <c r="X78" s="365">
        <f>IF(V78="Sim",mlookup(tbl_ST_data,UFdestino,tbl_ST_UF,O78,tbl_ST_NCM),0)</f>
        <v>0</v>
      </c>
      <c r="Z78" s="355">
        <f t="shared" si="936"/>
        <v>0</v>
      </c>
      <c r="AA78" s="355">
        <f t="shared" si="937"/>
        <v>0</v>
      </c>
      <c r="AC78" s="366">
        <f t="shared" si="1011"/>
        <v>1.31243473968765E-2</v>
      </c>
      <c r="AD78" s="366">
        <f t="shared" si="939"/>
        <v>0.15</v>
      </c>
      <c r="AF78" s="355">
        <f t="shared" si="940"/>
        <v>0</v>
      </c>
      <c r="AG78" s="355">
        <f t="shared" si="941"/>
        <v>0</v>
      </c>
      <c r="AI78" s="355">
        <f t="shared" si="942"/>
        <v>0</v>
      </c>
      <c r="AK78" s="366">
        <f t="shared" si="1012"/>
        <v>0</v>
      </c>
      <c r="AL78" s="355">
        <f t="shared" si="944"/>
        <v>0</v>
      </c>
      <c r="AM78" s="355">
        <f t="shared" si="945"/>
        <v>0</v>
      </c>
      <c r="AO78" s="355" t="b">
        <f t="shared" si="946"/>
        <v>1</v>
      </c>
      <c r="AQ78" s="367">
        <f t="shared" si="947"/>
        <v>0</v>
      </c>
      <c r="AR78" s="367">
        <f t="shared" si="948"/>
        <v>0</v>
      </c>
      <c r="AT78" s="367">
        <f t="shared" si="949"/>
        <v>0</v>
      </c>
      <c r="AU78" s="367">
        <f t="shared" si="950"/>
        <v>0</v>
      </c>
      <c r="AW78" s="367">
        <f t="shared" si="951"/>
        <v>0</v>
      </c>
      <c r="AX78" s="367">
        <f t="shared" si="952"/>
        <v>0</v>
      </c>
      <c r="AY78" s="367">
        <f t="shared" si="953"/>
        <v>0</v>
      </c>
      <c r="AZ78" s="367">
        <f t="shared" si="954"/>
        <v>0</v>
      </c>
      <c r="BB78" s="355">
        <f t="shared" si="955"/>
        <v>0</v>
      </c>
      <c r="BC78" s="355">
        <f t="shared" si="956"/>
        <v>0</v>
      </c>
      <c r="BD78" s="355">
        <f t="shared" si="957"/>
        <v>0</v>
      </c>
      <c r="BE78" s="355">
        <f t="shared" si="958"/>
        <v>0</v>
      </c>
      <c r="BF78" s="355">
        <f t="shared" si="959"/>
        <v>0</v>
      </c>
      <c r="BH78" s="368">
        <f t="shared" si="960"/>
        <v>0</v>
      </c>
      <c r="BJ78" s="369">
        <f t="shared" si="961"/>
        <v>-0.12</v>
      </c>
      <c r="BK78" s="355">
        <f t="shared" si="962"/>
        <v>0</v>
      </c>
      <c r="BL78" s="355">
        <f t="shared" si="963"/>
        <v>0</v>
      </c>
      <c r="BN78" s="366">
        <f t="shared" si="964"/>
        <v>0</v>
      </c>
      <c r="BO78" s="355">
        <f t="shared" si="965"/>
        <v>0</v>
      </c>
      <c r="BP78" s="355">
        <f t="shared" si="966"/>
        <v>0</v>
      </c>
      <c r="BQ78" s="355">
        <f t="shared" si="967"/>
        <v>0</v>
      </c>
      <c r="BS78" s="367">
        <f t="shared" si="968"/>
        <v>0</v>
      </c>
      <c r="BT78" s="355">
        <f t="shared" si="969"/>
        <v>0</v>
      </c>
      <c r="BU78" s="355" t="b">
        <f t="shared" si="970"/>
        <v>1</v>
      </c>
      <c r="BW78" s="355" t="str">
        <f t="shared" si="971"/>
        <v/>
      </c>
      <c r="BX78" s="355">
        <f t="shared" si="972"/>
        <v>0</v>
      </c>
      <c r="BY78" s="356">
        <f t="shared" si="1013"/>
        <v>0</v>
      </c>
      <c r="BZ78" s="355">
        <f t="shared" si="974"/>
        <v>0</v>
      </c>
      <c r="CB78" s="102" t="str">
        <f t="shared" si="975"/>
        <v xml:space="preserve">  IED</v>
      </c>
      <c r="CD78" s="355" t="str">
        <f t="shared" si="976"/>
        <v>Não</v>
      </c>
      <c r="CE78" s="368">
        <f>ifzero(mlookup(tbl_ICMSinterest_data,UFdestino,tbl_ICMSinterest_ufdest,UForigem,tbl_ICMSinterest_uforig))</f>
        <v>0.12</v>
      </c>
      <c r="CF78" s="368">
        <f>IF(N78&gt;0,IF(I78&lt;&gt;"Serviço",ifzero(mlookup(tbl_ICMSinterno_data,UForigem,tbl_ICMSinterno_UF,O78,tbl_ICMSinterno_NCM),mlookup(tbl_ICMSinterest_data,UForigem,tbl_ICMSinterest_ufdest,UForigem,tbl_ICMSinterest_uforig)),""),0)</f>
        <v>0</v>
      </c>
      <c r="CG78" s="368">
        <f>IF(N78&gt;0,IF(I78&lt;&gt;"Serviço",ifzero(mlookup(tbl_ICMSinterno_data,UFdestino,tbl_ICMSinterno_UF,O78,tbl_ICMSinterno_NCM),mlookup(tbl_ICMSinterest_data,UFdestino,tbl_ICMSinterest_ufdest,UFdestino,tbl_ICMSinterest_uforig)),""),0)</f>
        <v>0</v>
      </c>
      <c r="CI78" s="355">
        <f t="shared" si="977"/>
        <v>0</v>
      </c>
      <c r="CJ78" s="355">
        <f t="shared" si="978"/>
        <v>0</v>
      </c>
      <c r="CK78" s="355">
        <f t="shared" si="979"/>
        <v>0</v>
      </c>
      <c r="CL78" s="355">
        <f t="shared" si="980"/>
        <v>0</v>
      </c>
      <c r="CN78" s="370">
        <f t="shared" si="981"/>
        <v>0</v>
      </c>
      <c r="CO78" s="355">
        <f t="shared" si="982"/>
        <v>0</v>
      </c>
      <c r="CQ78" s="355" t="b">
        <f t="shared" si="983"/>
        <v>0</v>
      </c>
      <c r="CR78" s="355" t="b">
        <f t="shared" si="984"/>
        <v>1</v>
      </c>
      <c r="CS78" s="355" t="b">
        <f t="shared" si="985"/>
        <v>0</v>
      </c>
      <c r="CU78" s="2">
        <f t="shared" si="986"/>
        <v>0</v>
      </c>
      <c r="CV78" s="102">
        <f t="shared" si="987"/>
        <v>0</v>
      </c>
      <c r="CW78" s="102">
        <f t="shared" si="988"/>
        <v>0</v>
      </c>
      <c r="CX78" s="102">
        <f t="shared" si="989"/>
        <v>0</v>
      </c>
      <c r="CY78" s="290">
        <f t="shared" si="990"/>
        <v>0</v>
      </c>
      <c r="CZ78" s="102">
        <f t="shared" si="991"/>
        <v>0</v>
      </c>
      <c r="DA78" s="290">
        <f t="shared" si="992"/>
        <v>0</v>
      </c>
      <c r="DB78" s="102">
        <f t="shared" si="993"/>
        <v>0</v>
      </c>
      <c r="DC78" s="290">
        <f t="shared" si="994"/>
        <v>0</v>
      </c>
      <c r="DD78" s="102">
        <f t="shared" si="995"/>
        <v>0</v>
      </c>
      <c r="DE78" s="592">
        <f>IF(D78="Sim",HLOOKUP($DH$5,Parametrização!$G$2:$H$4,2,FALSE),0)</f>
        <v>0</v>
      </c>
      <c r="DF78" s="102">
        <f t="shared" si="996"/>
        <v>0</v>
      </c>
      <c r="DG78" s="592">
        <f>IF(D78="Sim",HLOOKUP($DH$5,Parametrização!$G$2:$H$4,3,FALSE),0)</f>
        <v>0</v>
      </c>
      <c r="DH78" s="102">
        <f t="shared" si="997"/>
        <v>0</v>
      </c>
      <c r="DI78" s="102">
        <f t="shared" si="998"/>
        <v>0</v>
      </c>
      <c r="DK78" s="3" t="str">
        <f t="shared" si="999"/>
        <v>NA</v>
      </c>
      <c r="DL78" s="2" t="str">
        <f t="shared" si="1000"/>
        <v>NA</v>
      </c>
      <c r="DM78" s="3" t="str">
        <f t="shared" si="1001"/>
        <v>NA</v>
      </c>
      <c r="DN78" s="9" t="str">
        <f t="shared" si="1002"/>
        <v>NA</v>
      </c>
      <c r="DO78" s="637" t="str">
        <f t="shared" si="1003"/>
        <v>NA</v>
      </c>
      <c r="DP78" s="637"/>
      <c r="DQ78" s="3" t="str">
        <f t="shared" si="1004"/>
        <v>NA</v>
      </c>
      <c r="DR78" s="2" t="str">
        <f t="shared" si="1005"/>
        <v>NA</v>
      </c>
      <c r="DS78" s="3" t="str">
        <f t="shared" si="1006"/>
        <v>NA</v>
      </c>
      <c r="DT78" s="9" t="str">
        <f t="shared" si="1007"/>
        <v>NA</v>
      </c>
      <c r="DU78" s="637" t="str">
        <f t="shared" si="1008"/>
        <v>NA</v>
      </c>
      <c r="DV78" s="637"/>
      <c r="DW78" s="682"/>
      <c r="DX78" s="682"/>
      <c r="DY78" s="682"/>
      <c r="DZ78" s="637"/>
      <c r="EA78" s="643"/>
    </row>
    <row r="79" spans="1:131" s="355" customFormat="1" ht="20.100000000000001" customHeight="1" outlineLevel="1" x14ac:dyDescent="0.25">
      <c r="A79" s="356"/>
      <c r="B79" s="355" t="s">
        <v>268</v>
      </c>
      <c r="C79" s="355" t="str">
        <f t="shared" si="1009"/>
        <v>Consumo</v>
      </c>
      <c r="D79" s="355" t="s">
        <v>53</v>
      </c>
      <c r="E79" s="18" t="s">
        <v>38</v>
      </c>
      <c r="F79" s="355" t="s">
        <v>53</v>
      </c>
      <c r="G79" s="357" t="str">
        <f t="shared" si="1010"/>
        <v>Geral</v>
      </c>
      <c r="H79" s="255" t="s">
        <v>377</v>
      </c>
      <c r="I79" s="356" t="str">
        <f t="shared" si="927"/>
        <v>Sistema</v>
      </c>
      <c r="K79" s="318" t="s">
        <v>2832</v>
      </c>
      <c r="L79" s="749" t="str">
        <f>IF(Padrões!JF20&lt;&gt;"",Padrões!JF20,"")</f>
        <v>87B concentrado (4 bays)</v>
      </c>
      <c r="M79" s="358" t="str">
        <f t="shared" si="928"/>
        <v>Relé digital barramentos, proteção diferencial, até 4 bays, 16 TC, 40 BI, 20 BO, garantia 10 anos. Fabricante: Siemens, ABB, SEL ou GE/Alstom.</v>
      </c>
      <c r="N79" s="359">
        <f>Padrões!JI20</f>
        <v>0</v>
      </c>
      <c r="O79" s="381" t="str">
        <f t="shared" si="929"/>
        <v>?</v>
      </c>
      <c r="P79" s="360">
        <f t="shared" si="930"/>
        <v>0.12</v>
      </c>
      <c r="Q79" s="360" t="str">
        <f t="shared" si="931"/>
        <v>?</v>
      </c>
      <c r="R79" s="360">
        <f t="shared" si="932"/>
        <v>0</v>
      </c>
      <c r="S79" s="361">
        <f t="shared" si="933"/>
        <v>0</v>
      </c>
      <c r="T79" s="362">
        <f t="shared" si="934"/>
        <v>0</v>
      </c>
      <c r="U79" s="53" t="str" cm="1">
        <f t="array" ref="U79">IFERROR(IF(I79&lt;&gt;"Serviço",IF(AND(mlookup(tbl_DIFAL_data,UFdestino,tbl_DIFAL_UF,O79,tbl_DIFAL_NCM)&lt;&gt;"",C79="Consumo"),"Sim",""),""),"?")</f>
        <v>?</v>
      </c>
      <c r="V79" s="363" t="str">
        <f>IFERROR(IF(I79&lt;&gt;"Serviço",IF(AND(D79="Não",mlookup(tbl_ST_data,UFdestino,tbl_ST_UF,O79,tbl_ST_NCM)&lt;&gt;"",C79="Revenda",CD79="Não"),"Sim",""),""),"?")</f>
        <v>?</v>
      </c>
      <c r="W79" s="364">
        <f t="shared" si="935"/>
        <v>0</v>
      </c>
      <c r="X79" s="365">
        <f>IF(V79="Sim",mlookup(tbl_ST_data,UFdestino,tbl_ST_UF,O79,tbl_ST_NCM),0)</f>
        <v>0</v>
      </c>
      <c r="Z79" s="355">
        <f t="shared" si="936"/>
        <v>0</v>
      </c>
      <c r="AA79" s="355">
        <f t="shared" si="937"/>
        <v>0</v>
      </c>
      <c r="AC79" s="366">
        <f t="shared" si="1011"/>
        <v>1.31243473968765E-2</v>
      </c>
      <c r="AD79" s="366">
        <f t="shared" si="939"/>
        <v>0.15</v>
      </c>
      <c r="AF79" s="355">
        <f t="shared" si="940"/>
        <v>0</v>
      </c>
      <c r="AG79" s="355">
        <f t="shared" si="941"/>
        <v>0</v>
      </c>
      <c r="AI79" s="355">
        <f t="shared" si="942"/>
        <v>0</v>
      </c>
      <c r="AK79" s="366">
        <f t="shared" si="1012"/>
        <v>0</v>
      </c>
      <c r="AL79" s="355">
        <f t="shared" si="944"/>
        <v>0</v>
      </c>
      <c r="AM79" s="355">
        <f t="shared" si="945"/>
        <v>0</v>
      </c>
      <c r="AO79" s="355" t="b">
        <f t="shared" si="946"/>
        <v>1</v>
      </c>
      <c r="AQ79" s="367">
        <f t="shared" si="947"/>
        <v>0</v>
      </c>
      <c r="AR79" s="367">
        <f t="shared" si="948"/>
        <v>0</v>
      </c>
      <c r="AT79" s="367">
        <f t="shared" si="949"/>
        <v>0</v>
      </c>
      <c r="AU79" s="367">
        <f t="shared" si="950"/>
        <v>0</v>
      </c>
      <c r="AW79" s="367">
        <f t="shared" si="951"/>
        <v>0</v>
      </c>
      <c r="AX79" s="367">
        <f t="shared" si="952"/>
        <v>0</v>
      </c>
      <c r="AY79" s="367">
        <f t="shared" si="953"/>
        <v>0</v>
      </c>
      <c r="AZ79" s="367">
        <f t="shared" si="954"/>
        <v>0</v>
      </c>
      <c r="BB79" s="355">
        <f t="shared" si="955"/>
        <v>0</v>
      </c>
      <c r="BC79" s="355">
        <f t="shared" si="956"/>
        <v>0</v>
      </c>
      <c r="BD79" s="355">
        <f t="shared" si="957"/>
        <v>0</v>
      </c>
      <c r="BE79" s="355">
        <f t="shared" si="958"/>
        <v>0</v>
      </c>
      <c r="BF79" s="355">
        <f t="shared" si="959"/>
        <v>0</v>
      </c>
      <c r="BH79" s="368">
        <f t="shared" si="960"/>
        <v>0</v>
      </c>
      <c r="BJ79" s="369">
        <f t="shared" si="961"/>
        <v>-0.12</v>
      </c>
      <c r="BK79" s="355">
        <f t="shared" si="962"/>
        <v>0</v>
      </c>
      <c r="BL79" s="355">
        <f t="shared" si="963"/>
        <v>0</v>
      </c>
      <c r="BN79" s="366">
        <f t="shared" si="964"/>
        <v>0</v>
      </c>
      <c r="BO79" s="355">
        <f t="shared" si="965"/>
        <v>0</v>
      </c>
      <c r="BP79" s="355">
        <f t="shared" si="966"/>
        <v>0</v>
      </c>
      <c r="BQ79" s="355">
        <f t="shared" si="967"/>
        <v>0</v>
      </c>
      <c r="BS79" s="367">
        <f t="shared" si="968"/>
        <v>0</v>
      </c>
      <c r="BT79" s="355">
        <f t="shared" si="969"/>
        <v>0</v>
      </c>
      <c r="BU79" s="355" t="b">
        <f t="shared" si="970"/>
        <v>1</v>
      </c>
      <c r="BW79" s="355" t="str">
        <f t="shared" si="971"/>
        <v/>
      </c>
      <c r="BX79" s="355">
        <f t="shared" si="972"/>
        <v>0</v>
      </c>
      <c r="BY79" s="356">
        <f t="shared" si="1013"/>
        <v>0</v>
      </c>
      <c r="BZ79" s="355">
        <f t="shared" si="974"/>
        <v>0</v>
      </c>
      <c r="CB79" s="102" t="str">
        <f t="shared" si="975"/>
        <v xml:space="preserve">  IED</v>
      </c>
      <c r="CD79" s="355" t="str">
        <f t="shared" si="976"/>
        <v>Não</v>
      </c>
      <c r="CE79" s="368">
        <f>ifzero(mlookup(tbl_ICMSinterest_data,UFdestino,tbl_ICMSinterest_ufdest,UForigem,tbl_ICMSinterest_uforig))</f>
        <v>0.12</v>
      </c>
      <c r="CF79" s="368">
        <f>IF(N79&gt;0,IF(I79&lt;&gt;"Serviço",ifzero(mlookup(tbl_ICMSinterno_data,UForigem,tbl_ICMSinterno_UF,O79,tbl_ICMSinterno_NCM),mlookup(tbl_ICMSinterest_data,UForigem,tbl_ICMSinterest_ufdest,UForigem,tbl_ICMSinterest_uforig)),""),0)</f>
        <v>0</v>
      </c>
      <c r="CG79" s="368">
        <f>IF(N79&gt;0,IF(I79&lt;&gt;"Serviço",ifzero(mlookup(tbl_ICMSinterno_data,UFdestino,tbl_ICMSinterno_UF,O79,tbl_ICMSinterno_NCM),mlookup(tbl_ICMSinterest_data,UFdestino,tbl_ICMSinterest_ufdest,UFdestino,tbl_ICMSinterest_uforig)),""),0)</f>
        <v>0</v>
      </c>
      <c r="CI79" s="355">
        <f t="shared" si="977"/>
        <v>0</v>
      </c>
      <c r="CJ79" s="355">
        <f t="shared" si="978"/>
        <v>0</v>
      </c>
      <c r="CK79" s="355">
        <f t="shared" si="979"/>
        <v>0</v>
      </c>
      <c r="CL79" s="355">
        <f t="shared" si="980"/>
        <v>0</v>
      </c>
      <c r="CN79" s="370">
        <f t="shared" si="981"/>
        <v>0</v>
      </c>
      <c r="CO79" s="355">
        <f t="shared" si="982"/>
        <v>0</v>
      </c>
      <c r="CQ79" s="355" t="b">
        <f t="shared" si="983"/>
        <v>0</v>
      </c>
      <c r="CR79" s="355" t="b">
        <f t="shared" si="984"/>
        <v>1</v>
      </c>
      <c r="CS79" s="355" t="b">
        <f t="shared" si="985"/>
        <v>0</v>
      </c>
      <c r="CU79" s="2">
        <f t="shared" si="986"/>
        <v>0</v>
      </c>
      <c r="CV79" s="102">
        <f t="shared" si="987"/>
        <v>0</v>
      </c>
      <c r="CW79" s="102">
        <f t="shared" si="988"/>
        <v>0</v>
      </c>
      <c r="CX79" s="102">
        <f t="shared" si="989"/>
        <v>0</v>
      </c>
      <c r="CY79" s="290">
        <f t="shared" si="990"/>
        <v>0</v>
      </c>
      <c r="CZ79" s="102">
        <f t="shared" si="991"/>
        <v>0</v>
      </c>
      <c r="DA79" s="290">
        <f t="shared" si="992"/>
        <v>0</v>
      </c>
      <c r="DB79" s="102">
        <f t="shared" si="993"/>
        <v>0</v>
      </c>
      <c r="DC79" s="290">
        <f t="shared" si="994"/>
        <v>0</v>
      </c>
      <c r="DD79" s="102">
        <f t="shared" si="995"/>
        <v>0</v>
      </c>
      <c r="DE79" s="592">
        <f>IF(D79="Sim",HLOOKUP($DH$5,Parametrização!$G$2:$H$4,2,FALSE),0)</f>
        <v>0</v>
      </c>
      <c r="DF79" s="102">
        <f t="shared" si="996"/>
        <v>0</v>
      </c>
      <c r="DG79" s="592">
        <f>IF(D79="Sim",HLOOKUP($DH$5,Parametrização!$G$2:$H$4,3,FALSE),0)</f>
        <v>0</v>
      </c>
      <c r="DH79" s="102">
        <f t="shared" si="997"/>
        <v>0</v>
      </c>
      <c r="DI79" s="102">
        <f t="shared" si="998"/>
        <v>0</v>
      </c>
      <c r="DK79" s="3" t="str">
        <f t="shared" si="999"/>
        <v>NA</v>
      </c>
      <c r="DL79" s="2" t="str">
        <f t="shared" si="1000"/>
        <v>NA</v>
      </c>
      <c r="DM79" s="3" t="str">
        <f t="shared" si="1001"/>
        <v>NA</v>
      </c>
      <c r="DN79" s="9" t="str">
        <f t="shared" si="1002"/>
        <v>NA</v>
      </c>
      <c r="DO79" s="637" t="str">
        <f t="shared" si="1003"/>
        <v>NA</v>
      </c>
      <c r="DP79" s="637"/>
      <c r="DQ79" s="3" t="str">
        <f t="shared" si="1004"/>
        <v>NA</v>
      </c>
      <c r="DR79" s="2" t="str">
        <f t="shared" si="1005"/>
        <v>NA</v>
      </c>
      <c r="DS79" s="3" t="str">
        <f t="shared" si="1006"/>
        <v>NA</v>
      </c>
      <c r="DT79" s="9" t="str">
        <f t="shared" si="1007"/>
        <v>NA</v>
      </c>
      <c r="DU79" s="637" t="str">
        <f t="shared" si="1008"/>
        <v>NA</v>
      </c>
      <c r="DV79" s="637"/>
      <c r="DW79" s="682"/>
      <c r="DX79" s="682"/>
      <c r="DY79" s="682"/>
      <c r="DZ79" s="637"/>
      <c r="EA79" s="643"/>
    </row>
    <row r="80" spans="1:131" s="355" customFormat="1" ht="20.100000000000001" customHeight="1" outlineLevel="1" x14ac:dyDescent="0.25">
      <c r="A80" s="356"/>
      <c r="B80" s="355" t="s">
        <v>268</v>
      </c>
      <c r="C80" s="355" t="str">
        <f t="shared" si="1009"/>
        <v>Consumo</v>
      </c>
      <c r="D80" s="355" t="s">
        <v>53</v>
      </c>
      <c r="E80" s="18" t="s">
        <v>38</v>
      </c>
      <c r="F80" s="355" t="s">
        <v>53</v>
      </c>
      <c r="G80" s="357" t="str">
        <f t="shared" si="1010"/>
        <v>Geral</v>
      </c>
      <c r="H80" s="255" t="s">
        <v>377</v>
      </c>
      <c r="I80" s="356" t="str">
        <f t="shared" si="927"/>
        <v>Sistema</v>
      </c>
      <c r="K80" s="318" t="s">
        <v>2833</v>
      </c>
      <c r="L80" s="749" t="str">
        <f>IF(Padrões!JF21&lt;&gt;"",Padrões!JF21,"")</f>
        <v>87B concentrado (5 bays)</v>
      </c>
      <c r="M80" s="358" t="str">
        <f t="shared" si="928"/>
        <v>Relé digital barramentos, proteção diferencial, até 5 bays, 20 TC, 50 BI, 25 BO, garantia 10 anos. Fabricante: Siemens, ABB, SEL ou GE/Alstom.</v>
      </c>
      <c r="N80" s="359">
        <f>Padrões!JI21</f>
        <v>0</v>
      </c>
      <c r="O80" s="381" t="str">
        <f t="shared" si="929"/>
        <v>?</v>
      </c>
      <c r="P80" s="360">
        <f t="shared" si="930"/>
        <v>0.12</v>
      </c>
      <c r="Q80" s="360" t="str">
        <f t="shared" si="931"/>
        <v>?</v>
      </c>
      <c r="R80" s="360">
        <f t="shared" si="932"/>
        <v>0</v>
      </c>
      <c r="S80" s="361">
        <f t="shared" si="933"/>
        <v>0</v>
      </c>
      <c r="T80" s="362">
        <f t="shared" si="934"/>
        <v>0</v>
      </c>
      <c r="U80" s="53" t="str" cm="1">
        <f t="array" ref="U80">IFERROR(IF(I80&lt;&gt;"Serviço",IF(AND(mlookup(tbl_DIFAL_data,UFdestino,tbl_DIFAL_UF,O80,tbl_DIFAL_NCM)&lt;&gt;"",C80="Consumo"),"Sim",""),""),"?")</f>
        <v>?</v>
      </c>
      <c r="V80" s="363" t="str">
        <f>IFERROR(IF(I80&lt;&gt;"Serviço",IF(AND(D80="Não",mlookup(tbl_ST_data,UFdestino,tbl_ST_UF,O80,tbl_ST_NCM)&lt;&gt;"",C80="Revenda",CD80="Não"),"Sim",""),""),"?")</f>
        <v>?</v>
      </c>
      <c r="W80" s="364">
        <f t="shared" si="935"/>
        <v>0</v>
      </c>
      <c r="X80" s="365">
        <f>IF(V80="Sim",mlookup(tbl_ST_data,UFdestino,tbl_ST_UF,O80,tbl_ST_NCM),0)</f>
        <v>0</v>
      </c>
      <c r="Z80" s="355">
        <f t="shared" si="936"/>
        <v>0</v>
      </c>
      <c r="AA80" s="355">
        <f t="shared" si="937"/>
        <v>0</v>
      </c>
      <c r="AC80" s="366">
        <f t="shared" si="1011"/>
        <v>1.31243473968765E-2</v>
      </c>
      <c r="AD80" s="366">
        <f t="shared" si="939"/>
        <v>0.15</v>
      </c>
      <c r="AF80" s="355">
        <f t="shared" si="940"/>
        <v>0</v>
      </c>
      <c r="AG80" s="355">
        <f t="shared" si="941"/>
        <v>0</v>
      </c>
      <c r="AI80" s="355">
        <f t="shared" si="942"/>
        <v>0</v>
      </c>
      <c r="AK80" s="366">
        <f t="shared" si="1012"/>
        <v>0</v>
      </c>
      <c r="AL80" s="355">
        <f t="shared" si="944"/>
        <v>0</v>
      </c>
      <c r="AM80" s="355">
        <f t="shared" si="945"/>
        <v>0</v>
      </c>
      <c r="AO80" s="355" t="b">
        <f t="shared" si="946"/>
        <v>1</v>
      </c>
      <c r="AQ80" s="367">
        <f t="shared" si="947"/>
        <v>0</v>
      </c>
      <c r="AR80" s="367">
        <f t="shared" si="948"/>
        <v>0</v>
      </c>
      <c r="AT80" s="367">
        <f t="shared" si="949"/>
        <v>0</v>
      </c>
      <c r="AU80" s="367">
        <f t="shared" si="950"/>
        <v>0</v>
      </c>
      <c r="AW80" s="367">
        <f t="shared" si="951"/>
        <v>0</v>
      </c>
      <c r="AX80" s="367">
        <f t="shared" si="952"/>
        <v>0</v>
      </c>
      <c r="AY80" s="367">
        <f t="shared" si="953"/>
        <v>0</v>
      </c>
      <c r="AZ80" s="367">
        <f t="shared" si="954"/>
        <v>0</v>
      </c>
      <c r="BB80" s="355">
        <f t="shared" si="955"/>
        <v>0</v>
      </c>
      <c r="BC80" s="355">
        <f t="shared" si="956"/>
        <v>0</v>
      </c>
      <c r="BD80" s="355">
        <f t="shared" si="957"/>
        <v>0</v>
      </c>
      <c r="BE80" s="355">
        <f t="shared" si="958"/>
        <v>0</v>
      </c>
      <c r="BF80" s="355">
        <f t="shared" si="959"/>
        <v>0</v>
      </c>
      <c r="BH80" s="368">
        <f t="shared" si="960"/>
        <v>0</v>
      </c>
      <c r="BJ80" s="369">
        <f t="shared" si="961"/>
        <v>-0.12</v>
      </c>
      <c r="BK80" s="355">
        <f t="shared" si="962"/>
        <v>0</v>
      </c>
      <c r="BL80" s="355">
        <f t="shared" si="963"/>
        <v>0</v>
      </c>
      <c r="BN80" s="366">
        <f t="shared" si="964"/>
        <v>0</v>
      </c>
      <c r="BO80" s="355">
        <f t="shared" si="965"/>
        <v>0</v>
      </c>
      <c r="BP80" s="355">
        <f t="shared" si="966"/>
        <v>0</v>
      </c>
      <c r="BQ80" s="355">
        <f t="shared" si="967"/>
        <v>0</v>
      </c>
      <c r="BS80" s="367">
        <f t="shared" si="968"/>
        <v>0</v>
      </c>
      <c r="BT80" s="355">
        <f t="shared" si="969"/>
        <v>0</v>
      </c>
      <c r="BU80" s="355" t="b">
        <f t="shared" si="970"/>
        <v>1</v>
      </c>
      <c r="BW80" s="355" t="str">
        <f t="shared" si="971"/>
        <v/>
      </c>
      <c r="BX80" s="355">
        <f t="shared" si="972"/>
        <v>0</v>
      </c>
      <c r="BY80" s="356">
        <f t="shared" si="1013"/>
        <v>0</v>
      </c>
      <c r="BZ80" s="355">
        <f t="shared" si="974"/>
        <v>0</v>
      </c>
      <c r="CB80" s="102" t="str">
        <f t="shared" si="975"/>
        <v xml:space="preserve">  IED</v>
      </c>
      <c r="CD80" s="355" t="str">
        <f t="shared" si="976"/>
        <v>Não</v>
      </c>
      <c r="CE80" s="368">
        <f>ifzero(mlookup(tbl_ICMSinterest_data,UFdestino,tbl_ICMSinterest_ufdest,UForigem,tbl_ICMSinterest_uforig))</f>
        <v>0.12</v>
      </c>
      <c r="CF80" s="368">
        <f>IF(N80&gt;0,IF(I80&lt;&gt;"Serviço",ifzero(mlookup(tbl_ICMSinterno_data,UForigem,tbl_ICMSinterno_UF,O80,tbl_ICMSinterno_NCM),mlookup(tbl_ICMSinterest_data,UForigem,tbl_ICMSinterest_ufdest,UForigem,tbl_ICMSinterest_uforig)),""),0)</f>
        <v>0</v>
      </c>
      <c r="CG80" s="368">
        <f>IF(N80&gt;0,IF(I80&lt;&gt;"Serviço",ifzero(mlookup(tbl_ICMSinterno_data,UFdestino,tbl_ICMSinterno_UF,O80,tbl_ICMSinterno_NCM),mlookup(tbl_ICMSinterest_data,UFdestino,tbl_ICMSinterest_ufdest,UFdestino,tbl_ICMSinterest_uforig)),""),0)</f>
        <v>0</v>
      </c>
      <c r="CI80" s="355">
        <f t="shared" si="977"/>
        <v>0</v>
      </c>
      <c r="CJ80" s="355">
        <f t="shared" si="978"/>
        <v>0</v>
      </c>
      <c r="CK80" s="355">
        <f t="shared" si="979"/>
        <v>0</v>
      </c>
      <c r="CL80" s="355">
        <f t="shared" si="980"/>
        <v>0</v>
      </c>
      <c r="CN80" s="370">
        <f t="shared" si="981"/>
        <v>0</v>
      </c>
      <c r="CO80" s="355">
        <f t="shared" si="982"/>
        <v>0</v>
      </c>
      <c r="CQ80" s="355" t="b">
        <f t="shared" si="983"/>
        <v>0</v>
      </c>
      <c r="CR80" s="355" t="b">
        <f t="shared" si="984"/>
        <v>1</v>
      </c>
      <c r="CS80" s="355" t="b">
        <f t="shared" si="985"/>
        <v>0</v>
      </c>
      <c r="CU80" s="2">
        <f t="shared" si="986"/>
        <v>0</v>
      </c>
      <c r="CV80" s="102">
        <f t="shared" si="987"/>
        <v>0</v>
      </c>
      <c r="CW80" s="102">
        <f t="shared" si="988"/>
        <v>0</v>
      </c>
      <c r="CX80" s="102">
        <f t="shared" si="989"/>
        <v>0</v>
      </c>
      <c r="CY80" s="290">
        <f t="shared" si="990"/>
        <v>0</v>
      </c>
      <c r="CZ80" s="102">
        <f t="shared" si="991"/>
        <v>0</v>
      </c>
      <c r="DA80" s="290">
        <f t="shared" si="992"/>
        <v>0</v>
      </c>
      <c r="DB80" s="102">
        <f t="shared" si="993"/>
        <v>0</v>
      </c>
      <c r="DC80" s="290">
        <f t="shared" si="994"/>
        <v>0</v>
      </c>
      <c r="DD80" s="102">
        <f t="shared" si="995"/>
        <v>0</v>
      </c>
      <c r="DE80" s="592">
        <f>IF(D80="Sim",HLOOKUP($DH$5,Parametrização!$G$2:$H$4,2,FALSE),0)</f>
        <v>0</v>
      </c>
      <c r="DF80" s="102">
        <f t="shared" si="996"/>
        <v>0</v>
      </c>
      <c r="DG80" s="592">
        <f>IF(D80="Sim",HLOOKUP($DH$5,Parametrização!$G$2:$H$4,3,FALSE),0)</f>
        <v>0</v>
      </c>
      <c r="DH80" s="102">
        <f t="shared" si="997"/>
        <v>0</v>
      </c>
      <c r="DI80" s="102">
        <f t="shared" si="998"/>
        <v>0</v>
      </c>
      <c r="DK80" s="3" t="str">
        <f t="shared" si="999"/>
        <v>NA</v>
      </c>
      <c r="DL80" s="2" t="str">
        <f t="shared" si="1000"/>
        <v>NA</v>
      </c>
      <c r="DM80" s="3" t="str">
        <f t="shared" si="1001"/>
        <v>NA</v>
      </c>
      <c r="DN80" s="9" t="str">
        <f t="shared" si="1002"/>
        <v>NA</v>
      </c>
      <c r="DO80" s="637" t="str">
        <f t="shared" si="1003"/>
        <v>NA</v>
      </c>
      <c r="DP80" s="637"/>
      <c r="DQ80" s="3" t="str">
        <f t="shared" si="1004"/>
        <v>NA</v>
      </c>
      <c r="DR80" s="2" t="str">
        <f t="shared" si="1005"/>
        <v>NA</v>
      </c>
      <c r="DS80" s="3" t="str">
        <f t="shared" si="1006"/>
        <v>NA</v>
      </c>
      <c r="DT80" s="9" t="str">
        <f t="shared" si="1007"/>
        <v>NA</v>
      </c>
      <c r="DU80" s="637" t="str">
        <f t="shared" si="1008"/>
        <v>NA</v>
      </c>
      <c r="DV80" s="637"/>
      <c r="DW80" s="682"/>
      <c r="DX80" s="682"/>
      <c r="DY80" s="682"/>
      <c r="DZ80" s="637"/>
      <c r="EA80" s="643"/>
    </row>
    <row r="81" spans="1:131" s="355" customFormat="1" ht="20.100000000000001" customHeight="1" outlineLevel="1" x14ac:dyDescent="0.25">
      <c r="A81" s="356"/>
      <c r="B81" s="355" t="s">
        <v>268</v>
      </c>
      <c r="C81" s="355" t="str">
        <f t="shared" si="1009"/>
        <v>Consumo</v>
      </c>
      <c r="D81" s="355" t="s">
        <v>53</v>
      </c>
      <c r="E81" s="18" t="s">
        <v>38</v>
      </c>
      <c r="F81" s="355" t="s">
        <v>53</v>
      </c>
      <c r="G81" s="357" t="str">
        <f t="shared" si="1010"/>
        <v>Geral</v>
      </c>
      <c r="H81" s="255" t="s">
        <v>377</v>
      </c>
      <c r="I81" s="356" t="str">
        <f t="shared" si="927"/>
        <v>Sistema</v>
      </c>
      <c r="K81" s="318" t="s">
        <v>2834</v>
      </c>
      <c r="L81" s="749" t="str">
        <f>IF(Padrões!JF22&lt;&gt;"",Padrões!JF22,"")</f>
        <v>87B concentrado (6 bays)</v>
      </c>
      <c r="M81" s="358" t="str">
        <f t="shared" si="928"/>
        <v>Relé digital barramentos, proteção diferencial, até 6 bays, 24 TC, 60 BI, 30 BO, garantia 10 anos. Fabricante: Siemens, ABB, SEL ou GE/Alstom.</v>
      </c>
      <c r="N81" s="359">
        <f>Padrões!JI22</f>
        <v>0</v>
      </c>
      <c r="O81" s="381" t="str">
        <f t="shared" si="929"/>
        <v>?</v>
      </c>
      <c r="P81" s="360">
        <f t="shared" si="930"/>
        <v>0.12</v>
      </c>
      <c r="Q81" s="360" t="str">
        <f t="shared" si="931"/>
        <v>?</v>
      </c>
      <c r="R81" s="360">
        <f t="shared" si="932"/>
        <v>0</v>
      </c>
      <c r="S81" s="361">
        <f t="shared" si="933"/>
        <v>0</v>
      </c>
      <c r="T81" s="362">
        <f t="shared" si="934"/>
        <v>0</v>
      </c>
      <c r="U81" s="53" t="str" cm="1">
        <f t="array" ref="U81">IFERROR(IF(I81&lt;&gt;"Serviço",IF(AND(mlookup(tbl_DIFAL_data,UFdestino,tbl_DIFAL_UF,O81,tbl_DIFAL_NCM)&lt;&gt;"",C81="Consumo"),"Sim",""),""),"?")</f>
        <v>?</v>
      </c>
      <c r="V81" s="363" t="str">
        <f>IFERROR(IF(I81&lt;&gt;"Serviço",IF(AND(D81="Não",mlookup(tbl_ST_data,UFdestino,tbl_ST_UF,O81,tbl_ST_NCM)&lt;&gt;"",C81="Revenda",CD81="Não"),"Sim",""),""),"?")</f>
        <v>?</v>
      </c>
      <c r="W81" s="364">
        <f t="shared" si="935"/>
        <v>0</v>
      </c>
      <c r="X81" s="365">
        <f>IF(V81="Sim",mlookup(tbl_ST_data,UFdestino,tbl_ST_UF,O81,tbl_ST_NCM),0)</f>
        <v>0</v>
      </c>
      <c r="Z81" s="355">
        <f t="shared" si="936"/>
        <v>0</v>
      </c>
      <c r="AA81" s="355">
        <f t="shared" si="937"/>
        <v>0</v>
      </c>
      <c r="AC81" s="366">
        <f t="shared" si="1011"/>
        <v>1.31243473968765E-2</v>
      </c>
      <c r="AD81" s="366">
        <f t="shared" si="939"/>
        <v>0.15</v>
      </c>
      <c r="AF81" s="355">
        <f t="shared" si="940"/>
        <v>0</v>
      </c>
      <c r="AG81" s="355">
        <f t="shared" si="941"/>
        <v>0</v>
      </c>
      <c r="AI81" s="355">
        <f t="shared" si="942"/>
        <v>0</v>
      </c>
      <c r="AK81" s="366">
        <f t="shared" si="1012"/>
        <v>0</v>
      </c>
      <c r="AL81" s="355">
        <f t="shared" si="944"/>
        <v>0</v>
      </c>
      <c r="AM81" s="355">
        <f t="shared" si="945"/>
        <v>0</v>
      </c>
      <c r="AO81" s="355" t="b">
        <f t="shared" si="946"/>
        <v>1</v>
      </c>
      <c r="AQ81" s="367">
        <f t="shared" si="947"/>
        <v>0</v>
      </c>
      <c r="AR81" s="367">
        <f t="shared" si="948"/>
        <v>0</v>
      </c>
      <c r="AT81" s="367">
        <f t="shared" si="949"/>
        <v>0</v>
      </c>
      <c r="AU81" s="367">
        <f t="shared" si="950"/>
        <v>0</v>
      </c>
      <c r="AW81" s="367">
        <f t="shared" si="951"/>
        <v>0</v>
      </c>
      <c r="AX81" s="367">
        <f t="shared" si="952"/>
        <v>0</v>
      </c>
      <c r="AY81" s="367">
        <f t="shared" si="953"/>
        <v>0</v>
      </c>
      <c r="AZ81" s="367">
        <f t="shared" si="954"/>
        <v>0</v>
      </c>
      <c r="BB81" s="355">
        <f t="shared" si="955"/>
        <v>0</v>
      </c>
      <c r="BC81" s="355">
        <f t="shared" si="956"/>
        <v>0</v>
      </c>
      <c r="BD81" s="355">
        <f t="shared" si="957"/>
        <v>0</v>
      </c>
      <c r="BE81" s="355">
        <f t="shared" si="958"/>
        <v>0</v>
      </c>
      <c r="BF81" s="355">
        <f t="shared" si="959"/>
        <v>0</v>
      </c>
      <c r="BH81" s="368">
        <f t="shared" si="960"/>
        <v>0</v>
      </c>
      <c r="BJ81" s="369">
        <f t="shared" si="961"/>
        <v>-0.12</v>
      </c>
      <c r="BK81" s="355">
        <f t="shared" si="962"/>
        <v>0</v>
      </c>
      <c r="BL81" s="355">
        <f t="shared" si="963"/>
        <v>0</v>
      </c>
      <c r="BN81" s="366">
        <f t="shared" si="964"/>
        <v>0</v>
      </c>
      <c r="BO81" s="355">
        <f t="shared" si="965"/>
        <v>0</v>
      </c>
      <c r="BP81" s="355">
        <f t="shared" si="966"/>
        <v>0</v>
      </c>
      <c r="BQ81" s="355">
        <f t="shared" si="967"/>
        <v>0</v>
      </c>
      <c r="BS81" s="367">
        <f t="shared" si="968"/>
        <v>0</v>
      </c>
      <c r="BT81" s="355">
        <f t="shared" si="969"/>
        <v>0</v>
      </c>
      <c r="BU81" s="355" t="b">
        <f t="shared" si="970"/>
        <v>1</v>
      </c>
      <c r="BW81" s="355" t="str">
        <f t="shared" si="971"/>
        <v/>
      </c>
      <c r="BX81" s="355">
        <f t="shared" si="972"/>
        <v>0</v>
      </c>
      <c r="BY81" s="356">
        <f t="shared" si="1013"/>
        <v>0</v>
      </c>
      <c r="BZ81" s="355">
        <f t="shared" si="974"/>
        <v>0</v>
      </c>
      <c r="CB81" s="102" t="str">
        <f t="shared" si="975"/>
        <v xml:space="preserve">  IED</v>
      </c>
      <c r="CD81" s="355" t="str">
        <f t="shared" si="976"/>
        <v>Não</v>
      </c>
      <c r="CE81" s="368">
        <f>ifzero(mlookup(tbl_ICMSinterest_data,UFdestino,tbl_ICMSinterest_ufdest,UForigem,tbl_ICMSinterest_uforig))</f>
        <v>0.12</v>
      </c>
      <c r="CF81" s="368">
        <f>IF(N81&gt;0,IF(I81&lt;&gt;"Serviço",ifzero(mlookup(tbl_ICMSinterno_data,UForigem,tbl_ICMSinterno_UF,O81,tbl_ICMSinterno_NCM),mlookup(tbl_ICMSinterest_data,UForigem,tbl_ICMSinterest_ufdest,UForigem,tbl_ICMSinterest_uforig)),""),0)</f>
        <v>0</v>
      </c>
      <c r="CG81" s="368">
        <f>IF(N81&gt;0,IF(I81&lt;&gt;"Serviço",ifzero(mlookup(tbl_ICMSinterno_data,UFdestino,tbl_ICMSinterno_UF,O81,tbl_ICMSinterno_NCM),mlookup(tbl_ICMSinterest_data,UFdestino,tbl_ICMSinterest_ufdest,UFdestino,tbl_ICMSinterest_uforig)),""),0)</f>
        <v>0</v>
      </c>
      <c r="CI81" s="355">
        <f t="shared" si="977"/>
        <v>0</v>
      </c>
      <c r="CJ81" s="355">
        <f t="shared" si="978"/>
        <v>0</v>
      </c>
      <c r="CK81" s="355">
        <f t="shared" si="979"/>
        <v>0</v>
      </c>
      <c r="CL81" s="355">
        <f t="shared" si="980"/>
        <v>0</v>
      </c>
      <c r="CN81" s="370">
        <f t="shared" si="981"/>
        <v>0</v>
      </c>
      <c r="CO81" s="355">
        <f t="shared" si="982"/>
        <v>0</v>
      </c>
      <c r="CQ81" s="355" t="b">
        <f t="shared" si="983"/>
        <v>0</v>
      </c>
      <c r="CR81" s="355" t="b">
        <f t="shared" si="984"/>
        <v>1</v>
      </c>
      <c r="CS81" s="355" t="b">
        <f t="shared" si="985"/>
        <v>0</v>
      </c>
      <c r="CU81" s="2">
        <f t="shared" si="986"/>
        <v>0</v>
      </c>
      <c r="CV81" s="102">
        <f t="shared" si="987"/>
        <v>0</v>
      </c>
      <c r="CW81" s="102">
        <f t="shared" si="988"/>
        <v>0</v>
      </c>
      <c r="CX81" s="102">
        <f t="shared" si="989"/>
        <v>0</v>
      </c>
      <c r="CY81" s="290">
        <f t="shared" si="990"/>
        <v>0</v>
      </c>
      <c r="CZ81" s="102">
        <f t="shared" si="991"/>
        <v>0</v>
      </c>
      <c r="DA81" s="290">
        <f t="shared" si="992"/>
        <v>0</v>
      </c>
      <c r="DB81" s="102">
        <f t="shared" si="993"/>
        <v>0</v>
      </c>
      <c r="DC81" s="290">
        <f t="shared" si="994"/>
        <v>0</v>
      </c>
      <c r="DD81" s="102">
        <f t="shared" si="995"/>
        <v>0</v>
      </c>
      <c r="DE81" s="592">
        <f>IF(D81="Sim",HLOOKUP($DH$5,Parametrização!$G$2:$H$4,2,FALSE),0)</f>
        <v>0</v>
      </c>
      <c r="DF81" s="102">
        <f t="shared" si="996"/>
        <v>0</v>
      </c>
      <c r="DG81" s="592">
        <f>IF(D81="Sim",HLOOKUP($DH$5,Parametrização!$G$2:$H$4,3,FALSE),0)</f>
        <v>0</v>
      </c>
      <c r="DH81" s="102">
        <f t="shared" si="997"/>
        <v>0</v>
      </c>
      <c r="DI81" s="102">
        <f t="shared" si="998"/>
        <v>0</v>
      </c>
      <c r="DK81" s="3" t="str">
        <f t="shared" si="999"/>
        <v>NA</v>
      </c>
      <c r="DL81" s="2" t="str">
        <f t="shared" si="1000"/>
        <v>NA</v>
      </c>
      <c r="DM81" s="3" t="str">
        <f t="shared" si="1001"/>
        <v>NA</v>
      </c>
      <c r="DN81" s="9" t="str">
        <f t="shared" si="1002"/>
        <v>NA</v>
      </c>
      <c r="DO81" s="637" t="str">
        <f t="shared" si="1003"/>
        <v>NA</v>
      </c>
      <c r="DP81" s="637"/>
      <c r="DQ81" s="3" t="str">
        <f t="shared" si="1004"/>
        <v>NA</v>
      </c>
      <c r="DR81" s="2" t="str">
        <f t="shared" si="1005"/>
        <v>NA</v>
      </c>
      <c r="DS81" s="3" t="str">
        <f t="shared" si="1006"/>
        <v>NA</v>
      </c>
      <c r="DT81" s="9" t="str">
        <f t="shared" si="1007"/>
        <v>NA</v>
      </c>
      <c r="DU81" s="637" t="str">
        <f t="shared" si="1008"/>
        <v>NA</v>
      </c>
      <c r="DV81" s="637"/>
      <c r="DW81" s="682"/>
      <c r="DX81" s="682"/>
      <c r="DY81" s="682"/>
      <c r="DZ81" s="637"/>
      <c r="EA81" s="643"/>
    </row>
    <row r="82" spans="1:131" s="355" customFormat="1" ht="20.100000000000001" customHeight="1" outlineLevel="1" x14ac:dyDescent="0.25">
      <c r="A82" s="356"/>
      <c r="B82" s="355" t="s">
        <v>268</v>
      </c>
      <c r="C82" s="355" t="str">
        <f t="shared" si="1009"/>
        <v>Consumo</v>
      </c>
      <c r="D82" s="355" t="s">
        <v>53</v>
      </c>
      <c r="E82" s="18" t="s">
        <v>38</v>
      </c>
      <c r="F82" s="355" t="s">
        <v>53</v>
      </c>
      <c r="G82" s="357" t="str">
        <f t="shared" si="1010"/>
        <v>Geral</v>
      </c>
      <c r="H82" s="255" t="s">
        <v>377</v>
      </c>
      <c r="I82" s="356" t="str">
        <f t="shared" si="927"/>
        <v>Sistema</v>
      </c>
      <c r="K82" s="318" t="s">
        <v>2835</v>
      </c>
      <c r="L82" s="749" t="str">
        <f>IF(Padrões!JF23&lt;&gt;"",Padrões!JF23,"")</f>
        <v>87B concentrado (8 bays)</v>
      </c>
      <c r="M82" s="358" t="str">
        <f t="shared" si="928"/>
        <v>Relé digital barramentos, proteção diferencial, até 8 bays, 32 TC, 80 BI, 40 BO, garantia 10 anos. Fabricante: Siemens, ABB, SEL ou GE/Alstom.</v>
      </c>
      <c r="N82" s="359">
        <f>Padrões!JI23</f>
        <v>0</v>
      </c>
      <c r="O82" s="381" t="str">
        <f t="shared" si="929"/>
        <v>?</v>
      </c>
      <c r="P82" s="360">
        <f t="shared" si="930"/>
        <v>0.12</v>
      </c>
      <c r="Q82" s="360" t="str">
        <f t="shared" si="931"/>
        <v>?</v>
      </c>
      <c r="R82" s="360">
        <f t="shared" si="932"/>
        <v>0</v>
      </c>
      <c r="S82" s="361">
        <f t="shared" si="933"/>
        <v>0</v>
      </c>
      <c r="T82" s="362">
        <f t="shared" si="934"/>
        <v>0</v>
      </c>
      <c r="U82" s="53" t="str" cm="1">
        <f t="array" ref="U82">IFERROR(IF(I82&lt;&gt;"Serviço",IF(AND(mlookup(tbl_DIFAL_data,UFdestino,tbl_DIFAL_UF,O82,tbl_DIFAL_NCM)&lt;&gt;"",C82="Consumo"),"Sim",""),""),"?")</f>
        <v>?</v>
      </c>
      <c r="V82" s="363" t="str">
        <f>IFERROR(IF(I82&lt;&gt;"Serviço",IF(AND(D82="Não",mlookup(tbl_ST_data,UFdestino,tbl_ST_UF,O82,tbl_ST_NCM)&lt;&gt;"",C82="Revenda",CD82="Não"),"Sim",""),""),"?")</f>
        <v>?</v>
      </c>
      <c r="W82" s="364">
        <f t="shared" si="935"/>
        <v>0</v>
      </c>
      <c r="X82" s="365">
        <f>IF(V82="Sim",mlookup(tbl_ST_data,UFdestino,tbl_ST_UF,O82,tbl_ST_NCM),0)</f>
        <v>0</v>
      </c>
      <c r="Z82" s="355">
        <f t="shared" si="936"/>
        <v>0</v>
      </c>
      <c r="AA82" s="355">
        <f t="shared" si="937"/>
        <v>0</v>
      </c>
      <c r="AC82" s="366">
        <f t="shared" si="1011"/>
        <v>1.31243473968765E-2</v>
      </c>
      <c r="AD82" s="366">
        <f t="shared" si="939"/>
        <v>0.15</v>
      </c>
      <c r="AF82" s="355">
        <f t="shared" si="940"/>
        <v>0</v>
      </c>
      <c r="AG82" s="355">
        <f t="shared" si="941"/>
        <v>0</v>
      </c>
      <c r="AI82" s="355">
        <f t="shared" si="942"/>
        <v>0</v>
      </c>
      <c r="AK82" s="366">
        <f t="shared" si="1012"/>
        <v>0</v>
      </c>
      <c r="AL82" s="355">
        <f t="shared" si="944"/>
        <v>0</v>
      </c>
      <c r="AM82" s="355">
        <f t="shared" si="945"/>
        <v>0</v>
      </c>
      <c r="AO82" s="355" t="b">
        <f t="shared" si="946"/>
        <v>1</v>
      </c>
      <c r="AQ82" s="367">
        <f t="shared" si="947"/>
        <v>0</v>
      </c>
      <c r="AR82" s="367">
        <f t="shared" si="948"/>
        <v>0</v>
      </c>
      <c r="AT82" s="367">
        <f t="shared" si="949"/>
        <v>0</v>
      </c>
      <c r="AU82" s="367">
        <f t="shared" si="950"/>
        <v>0</v>
      </c>
      <c r="AW82" s="367">
        <f t="shared" si="951"/>
        <v>0</v>
      </c>
      <c r="AX82" s="367">
        <f t="shared" si="952"/>
        <v>0</v>
      </c>
      <c r="AY82" s="367">
        <f t="shared" si="953"/>
        <v>0</v>
      </c>
      <c r="AZ82" s="367">
        <f t="shared" si="954"/>
        <v>0</v>
      </c>
      <c r="BB82" s="355">
        <f t="shared" si="955"/>
        <v>0</v>
      </c>
      <c r="BC82" s="355">
        <f t="shared" si="956"/>
        <v>0</v>
      </c>
      <c r="BD82" s="355">
        <f t="shared" si="957"/>
        <v>0</v>
      </c>
      <c r="BE82" s="355">
        <f t="shared" si="958"/>
        <v>0</v>
      </c>
      <c r="BF82" s="355">
        <f t="shared" si="959"/>
        <v>0</v>
      </c>
      <c r="BH82" s="368">
        <f t="shared" si="960"/>
        <v>0</v>
      </c>
      <c r="BJ82" s="369">
        <f t="shared" si="961"/>
        <v>-0.12</v>
      </c>
      <c r="BK82" s="355">
        <f t="shared" si="962"/>
        <v>0</v>
      </c>
      <c r="BL82" s="355">
        <f t="shared" si="963"/>
        <v>0</v>
      </c>
      <c r="BN82" s="366">
        <f t="shared" si="964"/>
        <v>0</v>
      </c>
      <c r="BO82" s="355">
        <f t="shared" si="965"/>
        <v>0</v>
      </c>
      <c r="BP82" s="355">
        <f t="shared" si="966"/>
        <v>0</v>
      </c>
      <c r="BQ82" s="355">
        <f t="shared" si="967"/>
        <v>0</v>
      </c>
      <c r="BS82" s="367">
        <f t="shared" si="968"/>
        <v>0</v>
      </c>
      <c r="BT82" s="355">
        <f t="shared" si="969"/>
        <v>0</v>
      </c>
      <c r="BU82" s="355" t="b">
        <f t="shared" si="970"/>
        <v>1</v>
      </c>
      <c r="BW82" s="355" t="str">
        <f t="shared" si="971"/>
        <v/>
      </c>
      <c r="BX82" s="355">
        <f t="shared" si="972"/>
        <v>0</v>
      </c>
      <c r="BY82" s="356">
        <f t="shared" si="1013"/>
        <v>0</v>
      </c>
      <c r="BZ82" s="355">
        <f t="shared" si="974"/>
        <v>0</v>
      </c>
      <c r="CB82" s="102" t="str">
        <f t="shared" si="975"/>
        <v xml:space="preserve">  IED</v>
      </c>
      <c r="CD82" s="355" t="str">
        <f t="shared" si="976"/>
        <v>Não</v>
      </c>
      <c r="CE82" s="368">
        <f>ifzero(mlookup(tbl_ICMSinterest_data,UFdestino,tbl_ICMSinterest_ufdest,UForigem,tbl_ICMSinterest_uforig))</f>
        <v>0.12</v>
      </c>
      <c r="CF82" s="368">
        <f>IF(N82&gt;0,IF(I82&lt;&gt;"Serviço",ifzero(mlookup(tbl_ICMSinterno_data,UForigem,tbl_ICMSinterno_UF,O82,tbl_ICMSinterno_NCM),mlookup(tbl_ICMSinterest_data,UForigem,tbl_ICMSinterest_ufdest,UForigem,tbl_ICMSinterest_uforig)),""),0)</f>
        <v>0</v>
      </c>
      <c r="CG82" s="368">
        <f>IF(N82&gt;0,IF(I82&lt;&gt;"Serviço",ifzero(mlookup(tbl_ICMSinterno_data,UFdestino,tbl_ICMSinterno_UF,O82,tbl_ICMSinterno_NCM),mlookup(tbl_ICMSinterest_data,UFdestino,tbl_ICMSinterest_ufdest,UFdestino,tbl_ICMSinterest_uforig)),""),0)</f>
        <v>0</v>
      </c>
      <c r="CI82" s="355">
        <f t="shared" si="977"/>
        <v>0</v>
      </c>
      <c r="CJ82" s="355">
        <f t="shared" si="978"/>
        <v>0</v>
      </c>
      <c r="CK82" s="355">
        <f t="shared" si="979"/>
        <v>0</v>
      </c>
      <c r="CL82" s="355">
        <f t="shared" si="980"/>
        <v>0</v>
      </c>
      <c r="CN82" s="370">
        <f t="shared" si="981"/>
        <v>0</v>
      </c>
      <c r="CO82" s="355">
        <f t="shared" si="982"/>
        <v>0</v>
      </c>
      <c r="CQ82" s="355" t="b">
        <f t="shared" si="983"/>
        <v>0</v>
      </c>
      <c r="CR82" s="355" t="b">
        <f t="shared" si="984"/>
        <v>1</v>
      </c>
      <c r="CS82" s="355" t="b">
        <f t="shared" si="985"/>
        <v>0</v>
      </c>
      <c r="CU82" s="2">
        <f t="shared" si="986"/>
        <v>0</v>
      </c>
      <c r="CV82" s="102">
        <f t="shared" si="987"/>
        <v>0</v>
      </c>
      <c r="CW82" s="102">
        <f t="shared" si="988"/>
        <v>0</v>
      </c>
      <c r="CX82" s="102">
        <f t="shared" si="989"/>
        <v>0</v>
      </c>
      <c r="CY82" s="290">
        <f t="shared" si="990"/>
        <v>0</v>
      </c>
      <c r="CZ82" s="102">
        <f t="shared" si="991"/>
        <v>0</v>
      </c>
      <c r="DA82" s="290">
        <f t="shared" si="992"/>
        <v>0</v>
      </c>
      <c r="DB82" s="102">
        <f t="shared" si="993"/>
        <v>0</v>
      </c>
      <c r="DC82" s="290">
        <f t="shared" si="994"/>
        <v>0</v>
      </c>
      <c r="DD82" s="102">
        <f t="shared" si="995"/>
        <v>0</v>
      </c>
      <c r="DE82" s="592">
        <f>IF(D82="Sim",HLOOKUP($DH$5,Parametrização!$G$2:$H$4,2,FALSE),0)</f>
        <v>0</v>
      </c>
      <c r="DF82" s="102">
        <f t="shared" si="996"/>
        <v>0</v>
      </c>
      <c r="DG82" s="592">
        <f>IF(D82="Sim",HLOOKUP($DH$5,Parametrização!$G$2:$H$4,3,FALSE),0)</f>
        <v>0</v>
      </c>
      <c r="DH82" s="102">
        <f t="shared" si="997"/>
        <v>0</v>
      </c>
      <c r="DI82" s="102">
        <f t="shared" si="998"/>
        <v>0</v>
      </c>
      <c r="DK82" s="3" t="str">
        <f t="shared" si="999"/>
        <v>NA</v>
      </c>
      <c r="DL82" s="2" t="str">
        <f t="shared" si="1000"/>
        <v>NA</v>
      </c>
      <c r="DM82" s="3" t="str">
        <f t="shared" si="1001"/>
        <v>NA</v>
      </c>
      <c r="DN82" s="9" t="str">
        <f t="shared" si="1002"/>
        <v>NA</v>
      </c>
      <c r="DO82" s="637" t="str">
        <f t="shared" si="1003"/>
        <v>NA</v>
      </c>
      <c r="DP82" s="637"/>
      <c r="DQ82" s="3" t="str">
        <f t="shared" si="1004"/>
        <v>NA</v>
      </c>
      <c r="DR82" s="2" t="str">
        <f t="shared" si="1005"/>
        <v>NA</v>
      </c>
      <c r="DS82" s="3" t="str">
        <f t="shared" si="1006"/>
        <v>NA</v>
      </c>
      <c r="DT82" s="9" t="str">
        <f t="shared" si="1007"/>
        <v>NA</v>
      </c>
      <c r="DU82" s="637" t="str">
        <f t="shared" si="1008"/>
        <v>NA</v>
      </c>
      <c r="DV82" s="637"/>
      <c r="DW82" s="682"/>
      <c r="DX82" s="682"/>
      <c r="DY82" s="682"/>
      <c r="DZ82" s="637"/>
      <c r="EA82" s="643"/>
    </row>
    <row r="83" spans="1:131" s="355" customFormat="1" ht="20.100000000000001" customHeight="1" outlineLevel="1" x14ac:dyDescent="0.25">
      <c r="A83" s="356"/>
      <c r="B83" s="355" t="s">
        <v>268</v>
      </c>
      <c r="C83" s="355" t="str">
        <f t="shared" si="1009"/>
        <v>Consumo</v>
      </c>
      <c r="D83" s="355" t="s">
        <v>53</v>
      </c>
      <c r="E83" s="18" t="s">
        <v>38</v>
      </c>
      <c r="F83" s="355" t="s">
        <v>53</v>
      </c>
      <c r="G83" s="357" t="str">
        <f t="shared" si="1010"/>
        <v>Geral</v>
      </c>
      <c r="H83" s="255" t="s">
        <v>377</v>
      </c>
      <c r="I83" s="356" t="str">
        <f t="shared" si="927"/>
        <v>Sistema</v>
      </c>
      <c r="K83" s="318" t="s">
        <v>2836</v>
      </c>
      <c r="L83" s="749" t="str">
        <f>IF(Padrões!JF24&lt;&gt;"",Padrões!JF24,"")</f>
        <v>87B concentrado (10 bays)</v>
      </c>
      <c r="M83" s="358" t="str">
        <f t="shared" si="928"/>
        <v>Relé digital barramentos, proteção diferencial, até 10 bays, 40 TC, 100 BI, 50 BO, garantia 10 anos. Fabricante: Siemens, ABB, SEL ou GE/Alstom.</v>
      </c>
      <c r="N83" s="359">
        <f>Padrões!JI24</f>
        <v>0</v>
      </c>
      <c r="O83" s="381" t="str">
        <f t="shared" si="929"/>
        <v>?</v>
      </c>
      <c r="P83" s="360">
        <f t="shared" si="930"/>
        <v>0.12</v>
      </c>
      <c r="Q83" s="360" t="str">
        <f t="shared" si="931"/>
        <v>?</v>
      </c>
      <c r="R83" s="360">
        <f t="shared" si="932"/>
        <v>0</v>
      </c>
      <c r="S83" s="361">
        <f t="shared" si="933"/>
        <v>0</v>
      </c>
      <c r="T83" s="362">
        <f t="shared" si="934"/>
        <v>0</v>
      </c>
      <c r="U83" s="53" t="str" cm="1">
        <f t="array" ref="U83">IFERROR(IF(I83&lt;&gt;"Serviço",IF(AND(mlookup(tbl_DIFAL_data,UFdestino,tbl_DIFAL_UF,O83,tbl_DIFAL_NCM)&lt;&gt;"",C83="Consumo"),"Sim",""),""),"?")</f>
        <v>?</v>
      </c>
      <c r="V83" s="363" t="str">
        <f>IFERROR(IF(I83&lt;&gt;"Serviço",IF(AND(D83="Não",mlookup(tbl_ST_data,UFdestino,tbl_ST_UF,O83,tbl_ST_NCM)&lt;&gt;"",C83="Revenda",CD83="Não"),"Sim",""),""),"?")</f>
        <v>?</v>
      </c>
      <c r="W83" s="364">
        <f t="shared" si="935"/>
        <v>0</v>
      </c>
      <c r="X83" s="365">
        <f>IF(V83="Sim",mlookup(tbl_ST_data,UFdestino,tbl_ST_UF,O83,tbl_ST_NCM),0)</f>
        <v>0</v>
      </c>
      <c r="Z83" s="355">
        <f t="shared" si="936"/>
        <v>0</v>
      </c>
      <c r="AA83" s="355">
        <f t="shared" si="937"/>
        <v>0</v>
      </c>
      <c r="AC83" s="366">
        <f t="shared" si="1011"/>
        <v>1.31243473968765E-2</v>
      </c>
      <c r="AD83" s="366">
        <f t="shared" si="939"/>
        <v>0.15</v>
      </c>
      <c r="AF83" s="355">
        <f t="shared" si="940"/>
        <v>0</v>
      </c>
      <c r="AG83" s="355">
        <f t="shared" si="941"/>
        <v>0</v>
      </c>
      <c r="AI83" s="355">
        <f t="shared" si="942"/>
        <v>0</v>
      </c>
      <c r="AK83" s="366">
        <f t="shared" si="1012"/>
        <v>0</v>
      </c>
      <c r="AL83" s="355">
        <f t="shared" si="944"/>
        <v>0</v>
      </c>
      <c r="AM83" s="355">
        <f t="shared" si="945"/>
        <v>0</v>
      </c>
      <c r="AO83" s="355" t="b">
        <f t="shared" si="946"/>
        <v>1</v>
      </c>
      <c r="AQ83" s="367">
        <f t="shared" si="947"/>
        <v>0</v>
      </c>
      <c r="AR83" s="367">
        <f t="shared" si="948"/>
        <v>0</v>
      </c>
      <c r="AT83" s="367">
        <f t="shared" si="949"/>
        <v>0</v>
      </c>
      <c r="AU83" s="367">
        <f t="shared" si="950"/>
        <v>0</v>
      </c>
      <c r="AW83" s="367">
        <f t="shared" si="951"/>
        <v>0</v>
      </c>
      <c r="AX83" s="367">
        <f t="shared" si="952"/>
        <v>0</v>
      </c>
      <c r="AY83" s="367">
        <f t="shared" si="953"/>
        <v>0</v>
      </c>
      <c r="AZ83" s="367">
        <f t="shared" si="954"/>
        <v>0</v>
      </c>
      <c r="BB83" s="355">
        <f t="shared" si="955"/>
        <v>0</v>
      </c>
      <c r="BC83" s="355">
        <f t="shared" si="956"/>
        <v>0</v>
      </c>
      <c r="BD83" s="355">
        <f t="shared" si="957"/>
        <v>0</v>
      </c>
      <c r="BE83" s="355">
        <f t="shared" si="958"/>
        <v>0</v>
      </c>
      <c r="BF83" s="355">
        <f t="shared" si="959"/>
        <v>0</v>
      </c>
      <c r="BH83" s="368">
        <f t="shared" si="960"/>
        <v>0</v>
      </c>
      <c r="BJ83" s="369">
        <f t="shared" si="961"/>
        <v>-0.12</v>
      </c>
      <c r="BK83" s="355">
        <f t="shared" si="962"/>
        <v>0</v>
      </c>
      <c r="BL83" s="355">
        <f t="shared" si="963"/>
        <v>0</v>
      </c>
      <c r="BN83" s="366">
        <f t="shared" si="964"/>
        <v>0</v>
      </c>
      <c r="BO83" s="355">
        <f t="shared" si="965"/>
        <v>0</v>
      </c>
      <c r="BP83" s="355">
        <f t="shared" si="966"/>
        <v>0</v>
      </c>
      <c r="BQ83" s="355">
        <f t="shared" si="967"/>
        <v>0</v>
      </c>
      <c r="BS83" s="367">
        <f t="shared" si="968"/>
        <v>0</v>
      </c>
      <c r="BT83" s="355">
        <f t="shared" si="969"/>
        <v>0</v>
      </c>
      <c r="BU83" s="355" t="b">
        <f t="shared" si="970"/>
        <v>1</v>
      </c>
      <c r="BW83" s="355" t="str">
        <f t="shared" si="971"/>
        <v/>
      </c>
      <c r="BX83" s="355">
        <f t="shared" si="972"/>
        <v>0</v>
      </c>
      <c r="BY83" s="356">
        <f t="shared" si="1013"/>
        <v>0</v>
      </c>
      <c r="BZ83" s="355">
        <f t="shared" si="974"/>
        <v>0</v>
      </c>
      <c r="CB83" s="102" t="str">
        <f t="shared" si="975"/>
        <v xml:space="preserve">  IED</v>
      </c>
      <c r="CD83" s="355" t="str">
        <f t="shared" si="976"/>
        <v>Não</v>
      </c>
      <c r="CE83" s="368">
        <f>ifzero(mlookup(tbl_ICMSinterest_data,UFdestino,tbl_ICMSinterest_ufdest,UForigem,tbl_ICMSinterest_uforig))</f>
        <v>0.12</v>
      </c>
      <c r="CF83" s="368">
        <f>IF(N83&gt;0,IF(I83&lt;&gt;"Serviço",ifzero(mlookup(tbl_ICMSinterno_data,UForigem,tbl_ICMSinterno_UF,O83,tbl_ICMSinterno_NCM),mlookup(tbl_ICMSinterest_data,UForigem,tbl_ICMSinterest_ufdest,UForigem,tbl_ICMSinterest_uforig)),""),0)</f>
        <v>0</v>
      </c>
      <c r="CG83" s="368">
        <f>IF(N83&gt;0,IF(I83&lt;&gt;"Serviço",ifzero(mlookup(tbl_ICMSinterno_data,UFdestino,tbl_ICMSinterno_UF,O83,tbl_ICMSinterno_NCM),mlookup(tbl_ICMSinterest_data,UFdestino,tbl_ICMSinterest_ufdest,UFdestino,tbl_ICMSinterest_uforig)),""),0)</f>
        <v>0</v>
      </c>
      <c r="CI83" s="355">
        <f t="shared" si="977"/>
        <v>0</v>
      </c>
      <c r="CJ83" s="355">
        <f t="shared" si="978"/>
        <v>0</v>
      </c>
      <c r="CK83" s="355">
        <f t="shared" si="979"/>
        <v>0</v>
      </c>
      <c r="CL83" s="355">
        <f t="shared" si="980"/>
        <v>0</v>
      </c>
      <c r="CN83" s="370">
        <f t="shared" si="981"/>
        <v>0</v>
      </c>
      <c r="CO83" s="355">
        <f t="shared" si="982"/>
        <v>0</v>
      </c>
      <c r="CQ83" s="355" t="b">
        <f t="shared" si="983"/>
        <v>0</v>
      </c>
      <c r="CR83" s="355" t="b">
        <f t="shared" si="984"/>
        <v>1</v>
      </c>
      <c r="CS83" s="355" t="b">
        <f t="shared" si="985"/>
        <v>0</v>
      </c>
      <c r="CU83" s="2">
        <f t="shared" si="986"/>
        <v>0</v>
      </c>
      <c r="CV83" s="102">
        <f t="shared" si="987"/>
        <v>0</v>
      </c>
      <c r="CW83" s="102">
        <f t="shared" si="988"/>
        <v>0</v>
      </c>
      <c r="CX83" s="102">
        <f t="shared" si="989"/>
        <v>0</v>
      </c>
      <c r="CY83" s="290">
        <f t="shared" si="990"/>
        <v>0</v>
      </c>
      <c r="CZ83" s="102">
        <f t="shared" si="991"/>
        <v>0</v>
      </c>
      <c r="DA83" s="290">
        <f t="shared" si="992"/>
        <v>0</v>
      </c>
      <c r="DB83" s="102">
        <f t="shared" si="993"/>
        <v>0</v>
      </c>
      <c r="DC83" s="290">
        <f t="shared" si="994"/>
        <v>0</v>
      </c>
      <c r="DD83" s="102">
        <f t="shared" si="995"/>
        <v>0</v>
      </c>
      <c r="DE83" s="592">
        <f>IF(D83="Sim",HLOOKUP($DH$5,Parametrização!$G$2:$H$4,2,FALSE),0)</f>
        <v>0</v>
      </c>
      <c r="DF83" s="102">
        <f t="shared" si="996"/>
        <v>0</v>
      </c>
      <c r="DG83" s="592">
        <f>IF(D83="Sim",HLOOKUP($DH$5,Parametrização!$G$2:$H$4,3,FALSE),0)</f>
        <v>0</v>
      </c>
      <c r="DH83" s="102">
        <f t="shared" si="997"/>
        <v>0</v>
      </c>
      <c r="DI83" s="102">
        <f t="shared" si="998"/>
        <v>0</v>
      </c>
      <c r="DK83" s="3" t="str">
        <f t="shared" si="999"/>
        <v>NA</v>
      </c>
      <c r="DL83" s="2" t="str">
        <f t="shared" si="1000"/>
        <v>NA</v>
      </c>
      <c r="DM83" s="3" t="str">
        <f t="shared" si="1001"/>
        <v>NA</v>
      </c>
      <c r="DN83" s="9" t="str">
        <f t="shared" si="1002"/>
        <v>NA</v>
      </c>
      <c r="DO83" s="637" t="str">
        <f t="shared" si="1003"/>
        <v>NA</v>
      </c>
      <c r="DP83" s="637"/>
      <c r="DQ83" s="3" t="str">
        <f t="shared" si="1004"/>
        <v>NA</v>
      </c>
      <c r="DR83" s="2" t="str">
        <f t="shared" si="1005"/>
        <v>NA</v>
      </c>
      <c r="DS83" s="3" t="str">
        <f t="shared" si="1006"/>
        <v>NA</v>
      </c>
      <c r="DT83" s="9" t="str">
        <f t="shared" si="1007"/>
        <v>NA</v>
      </c>
      <c r="DU83" s="637" t="str">
        <f t="shared" si="1008"/>
        <v>NA</v>
      </c>
      <c r="DV83" s="637"/>
      <c r="DW83" s="682"/>
      <c r="DX83" s="682"/>
      <c r="DY83" s="682"/>
      <c r="DZ83" s="637"/>
      <c r="EA83" s="643"/>
    </row>
    <row r="84" spans="1:131" s="355" customFormat="1" ht="20.100000000000001" customHeight="1" outlineLevel="1" x14ac:dyDescent="0.25">
      <c r="A84" s="356"/>
      <c r="B84" s="355" t="s">
        <v>268</v>
      </c>
      <c r="C84" s="355" t="str">
        <f t="shared" si="1009"/>
        <v>Consumo</v>
      </c>
      <c r="D84" s="355" t="s">
        <v>53</v>
      </c>
      <c r="E84" s="18" t="s">
        <v>38</v>
      </c>
      <c r="F84" s="355" t="s">
        <v>53</v>
      </c>
      <c r="G84" s="357" t="str">
        <f t="shared" si="1010"/>
        <v>Geral</v>
      </c>
      <c r="H84" s="255" t="s">
        <v>377</v>
      </c>
      <c r="I84" s="356" t="str">
        <f t="shared" si="927"/>
        <v>Sistema</v>
      </c>
      <c r="K84" s="318" t="s">
        <v>2837</v>
      </c>
      <c r="L84" s="749" t="str">
        <f>IF(Padrões!JF25&lt;&gt;"",Padrões!JF25,"")</f>
        <v>UAC P</v>
      </c>
      <c r="M84" s="358" t="str">
        <f t="shared" si="928"/>
        <v>Relé digital aplicado como unidade de aquisição e controle (UAC), 4 TC, 4 TP, 35 BI, 20 BO, display gráfico, garantia 10 anos. Fabricante: Siemens, ABB, SEL ou GE/Alstom.</v>
      </c>
      <c r="N84" s="359">
        <f>Padrões!JI25</f>
        <v>0</v>
      </c>
      <c r="O84" s="381" t="str">
        <f t="shared" si="929"/>
        <v>?</v>
      </c>
      <c r="P84" s="360">
        <f t="shared" si="930"/>
        <v>0.12</v>
      </c>
      <c r="Q84" s="360" t="str">
        <f t="shared" si="931"/>
        <v>?</v>
      </c>
      <c r="R84" s="360">
        <f t="shared" si="932"/>
        <v>0</v>
      </c>
      <c r="S84" s="361">
        <f t="shared" si="933"/>
        <v>0</v>
      </c>
      <c r="T84" s="362">
        <f t="shared" si="934"/>
        <v>0</v>
      </c>
      <c r="U84" s="53" t="str" cm="1">
        <f t="array" ref="U84">IFERROR(IF(I84&lt;&gt;"Serviço",IF(AND(mlookup(tbl_DIFAL_data,UFdestino,tbl_DIFAL_UF,O84,tbl_DIFAL_NCM)&lt;&gt;"",C84="Consumo"),"Sim",""),""),"?")</f>
        <v>?</v>
      </c>
      <c r="V84" s="363" t="str">
        <f>IFERROR(IF(I84&lt;&gt;"Serviço",IF(AND(D84="Não",mlookup(tbl_ST_data,UFdestino,tbl_ST_UF,O84,tbl_ST_NCM)&lt;&gt;"",C84="Revenda",CD84="Não"),"Sim",""),""),"?")</f>
        <v>?</v>
      </c>
      <c r="W84" s="364">
        <f t="shared" si="935"/>
        <v>0</v>
      </c>
      <c r="X84" s="365">
        <f>IF(V84="Sim",mlookup(tbl_ST_data,UFdestino,tbl_ST_UF,O84,tbl_ST_NCM),0)</f>
        <v>0</v>
      </c>
      <c r="Z84" s="355">
        <f t="shared" si="936"/>
        <v>0</v>
      </c>
      <c r="AA84" s="355">
        <f t="shared" si="937"/>
        <v>0</v>
      </c>
      <c r="AC84" s="366">
        <f t="shared" si="1011"/>
        <v>1.31243473968765E-2</v>
      </c>
      <c r="AD84" s="366">
        <f t="shared" si="939"/>
        <v>0.15</v>
      </c>
      <c r="AF84" s="355">
        <f t="shared" si="940"/>
        <v>0</v>
      </c>
      <c r="AG84" s="355">
        <f t="shared" si="941"/>
        <v>0</v>
      </c>
      <c r="AI84" s="355">
        <f t="shared" si="942"/>
        <v>0</v>
      </c>
      <c r="AK84" s="366">
        <f t="shared" si="1012"/>
        <v>0</v>
      </c>
      <c r="AL84" s="355">
        <f t="shared" si="944"/>
        <v>0</v>
      </c>
      <c r="AM84" s="355">
        <f t="shared" si="945"/>
        <v>0</v>
      </c>
      <c r="AO84" s="355" t="b">
        <f t="shared" si="946"/>
        <v>1</v>
      </c>
      <c r="AQ84" s="367">
        <f t="shared" si="947"/>
        <v>0</v>
      </c>
      <c r="AR84" s="367">
        <f t="shared" si="948"/>
        <v>0</v>
      </c>
      <c r="AT84" s="367">
        <f t="shared" si="949"/>
        <v>0</v>
      </c>
      <c r="AU84" s="367">
        <f t="shared" si="950"/>
        <v>0</v>
      </c>
      <c r="AW84" s="367">
        <f t="shared" si="951"/>
        <v>0</v>
      </c>
      <c r="AX84" s="367">
        <f t="shared" si="952"/>
        <v>0</v>
      </c>
      <c r="AY84" s="367">
        <f t="shared" si="953"/>
        <v>0</v>
      </c>
      <c r="AZ84" s="367">
        <f t="shared" si="954"/>
        <v>0</v>
      </c>
      <c r="BB84" s="355">
        <f t="shared" si="955"/>
        <v>0</v>
      </c>
      <c r="BC84" s="355">
        <f t="shared" si="956"/>
        <v>0</v>
      </c>
      <c r="BD84" s="355">
        <f t="shared" si="957"/>
        <v>0</v>
      </c>
      <c r="BE84" s="355">
        <f t="shared" si="958"/>
        <v>0</v>
      </c>
      <c r="BF84" s="355">
        <f t="shared" si="959"/>
        <v>0</v>
      </c>
      <c r="BH84" s="368">
        <f t="shared" si="960"/>
        <v>0</v>
      </c>
      <c r="BJ84" s="369">
        <f t="shared" si="961"/>
        <v>-0.12</v>
      </c>
      <c r="BK84" s="355">
        <f t="shared" si="962"/>
        <v>0</v>
      </c>
      <c r="BL84" s="355">
        <f t="shared" si="963"/>
        <v>0</v>
      </c>
      <c r="BN84" s="366">
        <f t="shared" si="964"/>
        <v>0</v>
      </c>
      <c r="BO84" s="355">
        <f t="shared" si="965"/>
        <v>0</v>
      </c>
      <c r="BP84" s="355">
        <f t="shared" si="966"/>
        <v>0</v>
      </c>
      <c r="BQ84" s="355">
        <f t="shared" si="967"/>
        <v>0</v>
      </c>
      <c r="BS84" s="367">
        <f t="shared" si="968"/>
        <v>0</v>
      </c>
      <c r="BT84" s="355">
        <f t="shared" si="969"/>
        <v>0</v>
      </c>
      <c r="BU84" s="355" t="b">
        <f t="shared" si="970"/>
        <v>1</v>
      </c>
      <c r="BW84" s="355" t="str">
        <f t="shared" si="971"/>
        <v/>
      </c>
      <c r="BX84" s="355">
        <f t="shared" si="972"/>
        <v>0</v>
      </c>
      <c r="BY84" s="356">
        <f t="shared" si="1013"/>
        <v>0</v>
      </c>
      <c r="BZ84" s="355">
        <f t="shared" si="974"/>
        <v>0</v>
      </c>
      <c r="CB84" s="102" t="str">
        <f t="shared" si="975"/>
        <v xml:space="preserve">  IED</v>
      </c>
      <c r="CD84" s="355" t="str">
        <f t="shared" si="976"/>
        <v>Não</v>
      </c>
      <c r="CE84" s="368">
        <f>ifzero(mlookup(tbl_ICMSinterest_data,UFdestino,tbl_ICMSinterest_ufdest,UForigem,tbl_ICMSinterest_uforig))</f>
        <v>0.12</v>
      </c>
      <c r="CF84" s="368">
        <f>IF(N84&gt;0,IF(I84&lt;&gt;"Serviço",ifzero(mlookup(tbl_ICMSinterno_data,UForigem,tbl_ICMSinterno_UF,O84,tbl_ICMSinterno_NCM),mlookup(tbl_ICMSinterest_data,UForigem,tbl_ICMSinterest_ufdest,UForigem,tbl_ICMSinterest_uforig)),""),0)</f>
        <v>0</v>
      </c>
      <c r="CG84" s="368">
        <f>IF(N84&gt;0,IF(I84&lt;&gt;"Serviço",ifzero(mlookup(tbl_ICMSinterno_data,UFdestino,tbl_ICMSinterno_UF,O84,tbl_ICMSinterno_NCM),mlookup(tbl_ICMSinterest_data,UFdestino,tbl_ICMSinterest_ufdest,UFdestino,tbl_ICMSinterest_uforig)),""),0)</f>
        <v>0</v>
      </c>
      <c r="CI84" s="355">
        <f t="shared" si="977"/>
        <v>0</v>
      </c>
      <c r="CJ84" s="355">
        <f t="shared" si="978"/>
        <v>0</v>
      </c>
      <c r="CK84" s="355">
        <f t="shared" si="979"/>
        <v>0</v>
      </c>
      <c r="CL84" s="355">
        <f t="shared" si="980"/>
        <v>0</v>
      </c>
      <c r="CN84" s="370">
        <f t="shared" si="981"/>
        <v>0</v>
      </c>
      <c r="CO84" s="355">
        <f t="shared" si="982"/>
        <v>0</v>
      </c>
      <c r="CQ84" s="355" t="b">
        <f t="shared" si="983"/>
        <v>0</v>
      </c>
      <c r="CR84" s="355" t="b">
        <f t="shared" si="984"/>
        <v>1</v>
      </c>
      <c r="CS84" s="355" t="b">
        <f t="shared" si="985"/>
        <v>0</v>
      </c>
      <c r="CU84" s="2">
        <f t="shared" si="986"/>
        <v>0</v>
      </c>
      <c r="CV84" s="102">
        <f t="shared" si="987"/>
        <v>0</v>
      </c>
      <c r="CW84" s="102">
        <f t="shared" si="988"/>
        <v>0</v>
      </c>
      <c r="CX84" s="102">
        <f t="shared" si="989"/>
        <v>0</v>
      </c>
      <c r="CY84" s="290">
        <f t="shared" si="990"/>
        <v>0</v>
      </c>
      <c r="CZ84" s="102">
        <f t="shared" si="991"/>
        <v>0</v>
      </c>
      <c r="DA84" s="290">
        <f t="shared" si="992"/>
        <v>0</v>
      </c>
      <c r="DB84" s="102">
        <f t="shared" si="993"/>
        <v>0</v>
      </c>
      <c r="DC84" s="290">
        <f t="shared" si="994"/>
        <v>0</v>
      </c>
      <c r="DD84" s="102">
        <f t="shared" si="995"/>
        <v>0</v>
      </c>
      <c r="DE84" s="592">
        <f>IF(D84="Sim",HLOOKUP($DH$5,Parametrização!$G$2:$H$4,2,FALSE),0)</f>
        <v>0</v>
      </c>
      <c r="DF84" s="102">
        <f t="shared" si="996"/>
        <v>0</v>
      </c>
      <c r="DG84" s="592">
        <f>IF(D84="Sim",HLOOKUP($DH$5,Parametrização!$G$2:$H$4,3,FALSE),0)</f>
        <v>0</v>
      </c>
      <c r="DH84" s="102">
        <f t="shared" si="997"/>
        <v>0</v>
      </c>
      <c r="DI84" s="102">
        <f t="shared" si="998"/>
        <v>0</v>
      </c>
      <c r="DK84" s="3" t="str">
        <f t="shared" si="999"/>
        <v>NA</v>
      </c>
      <c r="DL84" s="2" t="str">
        <f t="shared" si="1000"/>
        <v>NA</v>
      </c>
      <c r="DM84" s="3" t="str">
        <f t="shared" si="1001"/>
        <v>NA</v>
      </c>
      <c r="DN84" s="9" t="str">
        <f t="shared" si="1002"/>
        <v>NA</v>
      </c>
      <c r="DO84" s="637" t="str">
        <f t="shared" si="1003"/>
        <v>NA</v>
      </c>
      <c r="DP84" s="637"/>
      <c r="DQ84" s="3" t="str">
        <f t="shared" si="1004"/>
        <v>NA</v>
      </c>
      <c r="DR84" s="2" t="str">
        <f t="shared" si="1005"/>
        <v>NA</v>
      </c>
      <c r="DS84" s="3" t="str">
        <f t="shared" si="1006"/>
        <v>NA</v>
      </c>
      <c r="DT84" s="9" t="str">
        <f t="shared" si="1007"/>
        <v>NA</v>
      </c>
      <c r="DU84" s="637" t="str">
        <f t="shared" si="1008"/>
        <v>NA</v>
      </c>
      <c r="DV84" s="637"/>
      <c r="DW84" s="682"/>
      <c r="DX84" s="682"/>
      <c r="DY84" s="682"/>
      <c r="DZ84" s="637"/>
      <c r="EA84" s="643"/>
    </row>
    <row r="85" spans="1:131" s="355" customFormat="1" ht="20.100000000000001" customHeight="1" outlineLevel="1" x14ac:dyDescent="0.25">
      <c r="A85" s="356"/>
      <c r="B85" s="355" t="s">
        <v>268</v>
      </c>
      <c r="C85" s="355" t="str">
        <f t="shared" si="1009"/>
        <v>Consumo</v>
      </c>
      <c r="D85" s="355" t="s">
        <v>53</v>
      </c>
      <c r="E85" s="18" t="s">
        <v>38</v>
      </c>
      <c r="F85" s="355" t="s">
        <v>53</v>
      </c>
      <c r="G85" s="357" t="str">
        <f t="shared" si="1010"/>
        <v>Geral</v>
      </c>
      <c r="H85" s="255" t="s">
        <v>377</v>
      </c>
      <c r="I85" s="356" t="str">
        <f t="shared" si="927"/>
        <v>Sistema</v>
      </c>
      <c r="K85" s="318" t="s">
        <v>2838</v>
      </c>
      <c r="L85" s="749" t="str">
        <f>IF(Padrões!JF26&lt;&gt;"",Padrões!JF26,"")</f>
        <v>UAC M</v>
      </c>
      <c r="M85" s="358" t="str">
        <f t="shared" si="928"/>
        <v>Relé digital aplicado como unidade de aquisição e controle (UAC), 4 TC, 4 TP, 70 BI, 30 BO, display gráfico, garantia 10 anos. Fabricante: Siemens, ABB, SEL ou GE/Alstom.</v>
      </c>
      <c r="N85" s="359">
        <f>Padrões!JI26</f>
        <v>0</v>
      </c>
      <c r="O85" s="381" t="str">
        <f t="shared" si="929"/>
        <v>?</v>
      </c>
      <c r="P85" s="360">
        <f t="shared" si="930"/>
        <v>0.12</v>
      </c>
      <c r="Q85" s="360" t="str">
        <f t="shared" si="931"/>
        <v>?</v>
      </c>
      <c r="R85" s="360">
        <f t="shared" si="932"/>
        <v>0</v>
      </c>
      <c r="S85" s="361">
        <f t="shared" si="933"/>
        <v>0</v>
      </c>
      <c r="T85" s="362">
        <f t="shared" si="934"/>
        <v>0</v>
      </c>
      <c r="U85" s="53" t="str" cm="1">
        <f t="array" ref="U85">IFERROR(IF(I85&lt;&gt;"Serviço",IF(AND(mlookup(tbl_DIFAL_data,UFdestino,tbl_DIFAL_UF,O85,tbl_DIFAL_NCM)&lt;&gt;"",C85="Consumo"),"Sim",""),""),"?")</f>
        <v>?</v>
      </c>
      <c r="V85" s="363" t="str">
        <f>IFERROR(IF(I85&lt;&gt;"Serviço",IF(AND(D85="Não",mlookup(tbl_ST_data,UFdestino,tbl_ST_UF,O85,tbl_ST_NCM)&lt;&gt;"",C85="Revenda",CD85="Não"),"Sim",""),""),"?")</f>
        <v>?</v>
      </c>
      <c r="W85" s="364">
        <f t="shared" si="935"/>
        <v>0</v>
      </c>
      <c r="X85" s="365">
        <f>IF(V85="Sim",mlookup(tbl_ST_data,UFdestino,tbl_ST_UF,O85,tbl_ST_NCM),0)</f>
        <v>0</v>
      </c>
      <c r="Z85" s="355">
        <f t="shared" si="936"/>
        <v>0</v>
      </c>
      <c r="AA85" s="355">
        <f t="shared" si="937"/>
        <v>0</v>
      </c>
      <c r="AC85" s="366">
        <f t="shared" si="1011"/>
        <v>1.31243473968765E-2</v>
      </c>
      <c r="AD85" s="366">
        <f t="shared" si="939"/>
        <v>0.15</v>
      </c>
      <c r="AF85" s="355">
        <f t="shared" si="940"/>
        <v>0</v>
      </c>
      <c r="AG85" s="355">
        <f t="shared" si="941"/>
        <v>0</v>
      </c>
      <c r="AI85" s="355">
        <f t="shared" si="942"/>
        <v>0</v>
      </c>
      <c r="AK85" s="366">
        <f t="shared" si="1012"/>
        <v>0</v>
      </c>
      <c r="AL85" s="355">
        <f t="shared" si="944"/>
        <v>0</v>
      </c>
      <c r="AM85" s="355">
        <f t="shared" si="945"/>
        <v>0</v>
      </c>
      <c r="AO85" s="355" t="b">
        <f t="shared" si="946"/>
        <v>1</v>
      </c>
      <c r="AQ85" s="367">
        <f t="shared" si="947"/>
        <v>0</v>
      </c>
      <c r="AR85" s="367">
        <f t="shared" si="948"/>
        <v>0</v>
      </c>
      <c r="AT85" s="367">
        <f t="shared" si="949"/>
        <v>0</v>
      </c>
      <c r="AU85" s="367">
        <f t="shared" si="950"/>
        <v>0</v>
      </c>
      <c r="AW85" s="367">
        <f t="shared" si="951"/>
        <v>0</v>
      </c>
      <c r="AX85" s="367">
        <f t="shared" si="952"/>
        <v>0</v>
      </c>
      <c r="AY85" s="367">
        <f t="shared" si="953"/>
        <v>0</v>
      </c>
      <c r="AZ85" s="367">
        <f t="shared" si="954"/>
        <v>0</v>
      </c>
      <c r="BB85" s="355">
        <f t="shared" si="955"/>
        <v>0</v>
      </c>
      <c r="BC85" s="355">
        <f t="shared" si="956"/>
        <v>0</v>
      </c>
      <c r="BD85" s="355">
        <f t="shared" si="957"/>
        <v>0</v>
      </c>
      <c r="BE85" s="355">
        <f t="shared" si="958"/>
        <v>0</v>
      </c>
      <c r="BF85" s="355">
        <f t="shared" si="959"/>
        <v>0</v>
      </c>
      <c r="BH85" s="368">
        <f t="shared" si="960"/>
        <v>0</v>
      </c>
      <c r="BJ85" s="369">
        <f t="shared" si="961"/>
        <v>-0.12</v>
      </c>
      <c r="BK85" s="355">
        <f t="shared" si="962"/>
        <v>0</v>
      </c>
      <c r="BL85" s="355">
        <f t="shared" si="963"/>
        <v>0</v>
      </c>
      <c r="BN85" s="366">
        <f t="shared" si="964"/>
        <v>0</v>
      </c>
      <c r="BO85" s="355">
        <f t="shared" si="965"/>
        <v>0</v>
      </c>
      <c r="BP85" s="355">
        <f t="shared" si="966"/>
        <v>0</v>
      </c>
      <c r="BQ85" s="355">
        <f t="shared" si="967"/>
        <v>0</v>
      </c>
      <c r="BS85" s="367">
        <f t="shared" si="968"/>
        <v>0</v>
      </c>
      <c r="BT85" s="355">
        <f t="shared" si="969"/>
        <v>0</v>
      </c>
      <c r="BU85" s="355" t="b">
        <f t="shared" si="970"/>
        <v>1</v>
      </c>
      <c r="BW85" s="355" t="str">
        <f t="shared" si="971"/>
        <v/>
      </c>
      <c r="BX85" s="355">
        <f t="shared" si="972"/>
        <v>0</v>
      </c>
      <c r="BY85" s="356">
        <f t="shared" si="1013"/>
        <v>0</v>
      </c>
      <c r="BZ85" s="355">
        <f t="shared" si="974"/>
        <v>0</v>
      </c>
      <c r="CB85" s="102" t="str">
        <f t="shared" si="975"/>
        <v xml:space="preserve">  IED</v>
      </c>
      <c r="CD85" s="355" t="str">
        <f t="shared" si="976"/>
        <v>Não</v>
      </c>
      <c r="CE85" s="368">
        <f>ifzero(mlookup(tbl_ICMSinterest_data,UFdestino,tbl_ICMSinterest_ufdest,UForigem,tbl_ICMSinterest_uforig))</f>
        <v>0.12</v>
      </c>
      <c r="CF85" s="368">
        <f>IF(N85&gt;0,IF(I85&lt;&gt;"Serviço",ifzero(mlookup(tbl_ICMSinterno_data,UForigem,tbl_ICMSinterno_UF,O85,tbl_ICMSinterno_NCM),mlookup(tbl_ICMSinterest_data,UForigem,tbl_ICMSinterest_ufdest,UForigem,tbl_ICMSinterest_uforig)),""),0)</f>
        <v>0</v>
      </c>
      <c r="CG85" s="368">
        <f>IF(N85&gt;0,IF(I85&lt;&gt;"Serviço",ifzero(mlookup(tbl_ICMSinterno_data,UFdestino,tbl_ICMSinterno_UF,O85,tbl_ICMSinterno_NCM),mlookup(tbl_ICMSinterest_data,UFdestino,tbl_ICMSinterest_ufdest,UFdestino,tbl_ICMSinterest_uforig)),""),0)</f>
        <v>0</v>
      </c>
      <c r="CI85" s="355">
        <f t="shared" si="977"/>
        <v>0</v>
      </c>
      <c r="CJ85" s="355">
        <f t="shared" si="978"/>
        <v>0</v>
      </c>
      <c r="CK85" s="355">
        <f t="shared" si="979"/>
        <v>0</v>
      </c>
      <c r="CL85" s="355">
        <f t="shared" si="980"/>
        <v>0</v>
      </c>
      <c r="CN85" s="370">
        <f t="shared" si="981"/>
        <v>0</v>
      </c>
      <c r="CO85" s="355">
        <f t="shared" si="982"/>
        <v>0</v>
      </c>
      <c r="CQ85" s="355" t="b">
        <f t="shared" si="983"/>
        <v>0</v>
      </c>
      <c r="CR85" s="355" t="b">
        <f t="shared" si="984"/>
        <v>1</v>
      </c>
      <c r="CS85" s="355" t="b">
        <f t="shared" si="985"/>
        <v>0</v>
      </c>
      <c r="CU85" s="2">
        <f t="shared" si="986"/>
        <v>0</v>
      </c>
      <c r="CV85" s="102">
        <f t="shared" si="987"/>
        <v>0</v>
      </c>
      <c r="CW85" s="102">
        <f t="shared" si="988"/>
        <v>0</v>
      </c>
      <c r="CX85" s="102">
        <f t="shared" si="989"/>
        <v>0</v>
      </c>
      <c r="CY85" s="290">
        <f t="shared" si="990"/>
        <v>0</v>
      </c>
      <c r="CZ85" s="102">
        <f t="shared" si="991"/>
        <v>0</v>
      </c>
      <c r="DA85" s="290">
        <f t="shared" si="992"/>
        <v>0</v>
      </c>
      <c r="DB85" s="102">
        <f t="shared" si="993"/>
        <v>0</v>
      </c>
      <c r="DC85" s="290">
        <f t="shared" si="994"/>
        <v>0</v>
      </c>
      <c r="DD85" s="102">
        <f t="shared" si="995"/>
        <v>0</v>
      </c>
      <c r="DE85" s="592">
        <f>IF(D85="Sim",HLOOKUP($DH$5,Parametrização!$G$2:$H$4,2,FALSE),0)</f>
        <v>0</v>
      </c>
      <c r="DF85" s="102">
        <f t="shared" si="996"/>
        <v>0</v>
      </c>
      <c r="DG85" s="592">
        <f>IF(D85="Sim",HLOOKUP($DH$5,Parametrização!$G$2:$H$4,3,FALSE),0)</f>
        <v>0</v>
      </c>
      <c r="DH85" s="102">
        <f t="shared" si="997"/>
        <v>0</v>
      </c>
      <c r="DI85" s="102">
        <f t="shared" si="998"/>
        <v>0</v>
      </c>
      <c r="DK85" s="3" t="str">
        <f t="shared" si="999"/>
        <v>NA</v>
      </c>
      <c r="DL85" s="2" t="str">
        <f t="shared" si="1000"/>
        <v>NA</v>
      </c>
      <c r="DM85" s="3" t="str">
        <f t="shared" si="1001"/>
        <v>NA</v>
      </c>
      <c r="DN85" s="9" t="str">
        <f t="shared" si="1002"/>
        <v>NA</v>
      </c>
      <c r="DO85" s="637" t="str">
        <f t="shared" si="1003"/>
        <v>NA</v>
      </c>
      <c r="DP85" s="637"/>
      <c r="DQ85" s="3" t="str">
        <f t="shared" si="1004"/>
        <v>NA</v>
      </c>
      <c r="DR85" s="2" t="str">
        <f t="shared" si="1005"/>
        <v>NA</v>
      </c>
      <c r="DS85" s="3" t="str">
        <f t="shared" si="1006"/>
        <v>NA</v>
      </c>
      <c r="DT85" s="9" t="str">
        <f t="shared" si="1007"/>
        <v>NA</v>
      </c>
      <c r="DU85" s="637" t="str">
        <f t="shared" si="1008"/>
        <v>NA</v>
      </c>
      <c r="DV85" s="637"/>
      <c r="DW85" s="682"/>
      <c r="DX85" s="682"/>
      <c r="DY85" s="682"/>
      <c r="DZ85" s="637"/>
      <c r="EA85" s="643"/>
    </row>
    <row r="86" spans="1:131" s="355" customFormat="1" ht="20.100000000000001" customHeight="1" outlineLevel="1" x14ac:dyDescent="0.25">
      <c r="A86" s="356"/>
      <c r="B86" s="355" t="s">
        <v>268</v>
      </c>
      <c r="C86" s="355" t="str">
        <f t="shared" si="1009"/>
        <v>Consumo</v>
      </c>
      <c r="D86" s="355" t="s">
        <v>53</v>
      </c>
      <c r="E86" s="18" t="s">
        <v>38</v>
      </c>
      <c r="F86" s="355" t="s">
        <v>53</v>
      </c>
      <c r="G86" s="357" t="str">
        <f t="shared" si="1010"/>
        <v>Geral</v>
      </c>
      <c r="H86" s="255" t="s">
        <v>377</v>
      </c>
      <c r="I86" s="356" t="str">
        <f t="shared" si="927"/>
        <v>Sistema</v>
      </c>
      <c r="K86" s="318" t="s">
        <v>2839</v>
      </c>
      <c r="L86" s="749" t="str">
        <f>IF(Padrões!JF27&lt;&gt;"",Padrões!JF27,"")</f>
        <v>UAC G</v>
      </c>
      <c r="M86" s="358" t="str">
        <f t="shared" si="928"/>
        <v>Relé digital aplicado como unidade de aquisição e controle (UAC), 4 TC, 4 TP, 100 BI, 30 BO, display gráfico, garantia 10 anos. Fabricante: Siemens, ABB, SEL ou GE/Alstom.</v>
      </c>
      <c r="N86" s="359">
        <f>Padrões!JI27</f>
        <v>0</v>
      </c>
      <c r="O86" s="381" t="str">
        <f t="shared" si="929"/>
        <v>?</v>
      </c>
      <c r="P86" s="360">
        <f t="shared" si="930"/>
        <v>0.12</v>
      </c>
      <c r="Q86" s="360" t="str">
        <f t="shared" si="931"/>
        <v>?</v>
      </c>
      <c r="R86" s="360">
        <f t="shared" si="932"/>
        <v>0</v>
      </c>
      <c r="S86" s="361">
        <f t="shared" si="933"/>
        <v>0</v>
      </c>
      <c r="T86" s="362">
        <f t="shared" si="934"/>
        <v>0</v>
      </c>
      <c r="U86" s="53" t="str" cm="1">
        <f t="array" ref="U86">IFERROR(IF(I86&lt;&gt;"Serviço",IF(AND(mlookup(tbl_DIFAL_data,UFdestino,tbl_DIFAL_UF,O86,tbl_DIFAL_NCM)&lt;&gt;"",C86="Consumo"),"Sim",""),""),"?")</f>
        <v>?</v>
      </c>
      <c r="V86" s="363" t="str">
        <f>IFERROR(IF(I86&lt;&gt;"Serviço",IF(AND(D86="Não",mlookup(tbl_ST_data,UFdestino,tbl_ST_UF,O86,tbl_ST_NCM)&lt;&gt;"",C86="Revenda",CD86="Não"),"Sim",""),""),"?")</f>
        <v>?</v>
      </c>
      <c r="W86" s="364">
        <f t="shared" si="935"/>
        <v>0</v>
      </c>
      <c r="X86" s="365">
        <f>IF(V86="Sim",mlookup(tbl_ST_data,UFdestino,tbl_ST_UF,O86,tbl_ST_NCM),0)</f>
        <v>0</v>
      </c>
      <c r="Z86" s="355">
        <f t="shared" si="936"/>
        <v>0</v>
      </c>
      <c r="AA86" s="355">
        <f t="shared" si="937"/>
        <v>0</v>
      </c>
      <c r="AC86" s="366">
        <f t="shared" si="1011"/>
        <v>1.31243473968765E-2</v>
      </c>
      <c r="AD86" s="366">
        <f t="shared" si="939"/>
        <v>0.15</v>
      </c>
      <c r="AF86" s="355">
        <f t="shared" si="940"/>
        <v>0</v>
      </c>
      <c r="AG86" s="355">
        <f t="shared" si="941"/>
        <v>0</v>
      </c>
      <c r="AI86" s="355">
        <f t="shared" si="942"/>
        <v>0</v>
      </c>
      <c r="AK86" s="366">
        <f t="shared" si="1012"/>
        <v>0</v>
      </c>
      <c r="AL86" s="355">
        <f t="shared" si="944"/>
        <v>0</v>
      </c>
      <c r="AM86" s="355">
        <f t="shared" si="945"/>
        <v>0</v>
      </c>
      <c r="AO86" s="355" t="b">
        <f t="shared" si="946"/>
        <v>1</v>
      </c>
      <c r="AQ86" s="367">
        <f t="shared" si="947"/>
        <v>0</v>
      </c>
      <c r="AR86" s="367">
        <f t="shared" si="948"/>
        <v>0</v>
      </c>
      <c r="AT86" s="367">
        <f t="shared" si="949"/>
        <v>0</v>
      </c>
      <c r="AU86" s="367">
        <f t="shared" si="950"/>
        <v>0</v>
      </c>
      <c r="AW86" s="367">
        <f t="shared" si="951"/>
        <v>0</v>
      </c>
      <c r="AX86" s="367">
        <f t="shared" si="952"/>
        <v>0</v>
      </c>
      <c r="AY86" s="367">
        <f t="shared" si="953"/>
        <v>0</v>
      </c>
      <c r="AZ86" s="367">
        <f t="shared" si="954"/>
        <v>0</v>
      </c>
      <c r="BB86" s="355">
        <f t="shared" si="955"/>
        <v>0</v>
      </c>
      <c r="BC86" s="355">
        <f t="shared" si="956"/>
        <v>0</v>
      </c>
      <c r="BD86" s="355">
        <f t="shared" si="957"/>
        <v>0</v>
      </c>
      <c r="BE86" s="355">
        <f t="shared" si="958"/>
        <v>0</v>
      </c>
      <c r="BF86" s="355">
        <f t="shared" si="959"/>
        <v>0</v>
      </c>
      <c r="BH86" s="368">
        <f t="shared" si="960"/>
        <v>0</v>
      </c>
      <c r="BJ86" s="369">
        <f t="shared" si="961"/>
        <v>-0.12</v>
      </c>
      <c r="BK86" s="355">
        <f t="shared" si="962"/>
        <v>0</v>
      </c>
      <c r="BL86" s="355">
        <f t="shared" si="963"/>
        <v>0</v>
      </c>
      <c r="BN86" s="366">
        <f t="shared" si="964"/>
        <v>0</v>
      </c>
      <c r="BO86" s="355">
        <f t="shared" si="965"/>
        <v>0</v>
      </c>
      <c r="BP86" s="355">
        <f t="shared" si="966"/>
        <v>0</v>
      </c>
      <c r="BQ86" s="355">
        <f t="shared" si="967"/>
        <v>0</v>
      </c>
      <c r="BS86" s="367">
        <f t="shared" si="968"/>
        <v>0</v>
      </c>
      <c r="BT86" s="355">
        <f t="shared" si="969"/>
        <v>0</v>
      </c>
      <c r="BU86" s="355" t="b">
        <f t="shared" si="970"/>
        <v>1</v>
      </c>
      <c r="BW86" s="355" t="str">
        <f t="shared" si="971"/>
        <v/>
      </c>
      <c r="BX86" s="355">
        <f t="shared" si="972"/>
        <v>0</v>
      </c>
      <c r="BY86" s="356">
        <f t="shared" si="1013"/>
        <v>0</v>
      </c>
      <c r="BZ86" s="355">
        <f t="shared" si="974"/>
        <v>0</v>
      </c>
      <c r="CB86" s="102" t="str">
        <f t="shared" si="975"/>
        <v xml:space="preserve">  IED</v>
      </c>
      <c r="CD86" s="355" t="str">
        <f t="shared" si="976"/>
        <v>Não</v>
      </c>
      <c r="CE86" s="368">
        <f>ifzero(mlookup(tbl_ICMSinterest_data,UFdestino,tbl_ICMSinterest_ufdest,UForigem,tbl_ICMSinterest_uforig))</f>
        <v>0.12</v>
      </c>
      <c r="CF86" s="368">
        <f>IF(N86&gt;0,IF(I86&lt;&gt;"Serviço",ifzero(mlookup(tbl_ICMSinterno_data,UForigem,tbl_ICMSinterno_UF,O86,tbl_ICMSinterno_NCM),mlookup(tbl_ICMSinterest_data,UForigem,tbl_ICMSinterest_ufdest,UForigem,tbl_ICMSinterest_uforig)),""),0)</f>
        <v>0</v>
      </c>
      <c r="CG86" s="368">
        <f>IF(N86&gt;0,IF(I86&lt;&gt;"Serviço",ifzero(mlookup(tbl_ICMSinterno_data,UFdestino,tbl_ICMSinterno_UF,O86,tbl_ICMSinterno_NCM),mlookup(tbl_ICMSinterest_data,UFdestino,tbl_ICMSinterest_ufdest,UFdestino,tbl_ICMSinterest_uforig)),""),0)</f>
        <v>0</v>
      </c>
      <c r="CI86" s="355">
        <f t="shared" si="977"/>
        <v>0</v>
      </c>
      <c r="CJ86" s="355">
        <f t="shared" si="978"/>
        <v>0</v>
      </c>
      <c r="CK86" s="355">
        <f t="shared" si="979"/>
        <v>0</v>
      </c>
      <c r="CL86" s="355">
        <f t="shared" si="980"/>
        <v>0</v>
      </c>
      <c r="CN86" s="370">
        <f t="shared" si="981"/>
        <v>0</v>
      </c>
      <c r="CO86" s="355">
        <f t="shared" si="982"/>
        <v>0</v>
      </c>
      <c r="CQ86" s="355" t="b">
        <f t="shared" si="983"/>
        <v>0</v>
      </c>
      <c r="CR86" s="355" t="b">
        <f t="shared" si="984"/>
        <v>1</v>
      </c>
      <c r="CS86" s="355" t="b">
        <f t="shared" si="985"/>
        <v>0</v>
      </c>
      <c r="CU86" s="2">
        <f t="shared" si="986"/>
        <v>0</v>
      </c>
      <c r="CV86" s="102">
        <f t="shared" si="987"/>
        <v>0</v>
      </c>
      <c r="CW86" s="102">
        <f t="shared" si="988"/>
        <v>0</v>
      </c>
      <c r="CX86" s="102">
        <f t="shared" si="989"/>
        <v>0</v>
      </c>
      <c r="CY86" s="290">
        <f t="shared" si="990"/>
        <v>0</v>
      </c>
      <c r="CZ86" s="102">
        <f t="shared" si="991"/>
        <v>0</v>
      </c>
      <c r="DA86" s="290">
        <f t="shared" si="992"/>
        <v>0</v>
      </c>
      <c r="DB86" s="102">
        <f t="shared" si="993"/>
        <v>0</v>
      </c>
      <c r="DC86" s="290">
        <f t="shared" si="994"/>
        <v>0</v>
      </c>
      <c r="DD86" s="102">
        <f t="shared" si="995"/>
        <v>0</v>
      </c>
      <c r="DE86" s="592">
        <f>IF(D86="Sim",HLOOKUP($DH$5,Parametrização!$G$2:$H$4,2,FALSE),0)</f>
        <v>0</v>
      </c>
      <c r="DF86" s="102">
        <f t="shared" si="996"/>
        <v>0</v>
      </c>
      <c r="DG86" s="592">
        <f>IF(D86="Sim",HLOOKUP($DH$5,Parametrização!$G$2:$H$4,3,FALSE),0)</f>
        <v>0</v>
      </c>
      <c r="DH86" s="102">
        <f t="shared" si="997"/>
        <v>0</v>
      </c>
      <c r="DI86" s="102">
        <f t="shared" si="998"/>
        <v>0</v>
      </c>
      <c r="DK86" s="3" t="str">
        <f t="shared" si="999"/>
        <v>NA</v>
      </c>
      <c r="DL86" s="2" t="str">
        <f t="shared" si="1000"/>
        <v>NA</v>
      </c>
      <c r="DM86" s="3" t="str">
        <f t="shared" si="1001"/>
        <v>NA</v>
      </c>
      <c r="DN86" s="9" t="str">
        <f t="shared" si="1002"/>
        <v>NA</v>
      </c>
      <c r="DO86" s="637" t="str">
        <f t="shared" si="1003"/>
        <v>NA</v>
      </c>
      <c r="DP86" s="637"/>
      <c r="DQ86" s="3" t="str">
        <f t="shared" si="1004"/>
        <v>NA</v>
      </c>
      <c r="DR86" s="2" t="str">
        <f t="shared" si="1005"/>
        <v>NA</v>
      </c>
      <c r="DS86" s="3" t="str">
        <f t="shared" si="1006"/>
        <v>NA</v>
      </c>
      <c r="DT86" s="9" t="str">
        <f t="shared" si="1007"/>
        <v>NA</v>
      </c>
      <c r="DU86" s="637" t="str">
        <f t="shared" si="1008"/>
        <v>NA</v>
      </c>
      <c r="DV86" s="637"/>
      <c r="DW86" s="682"/>
      <c r="DX86" s="682"/>
      <c r="DY86" s="682"/>
      <c r="DZ86" s="637"/>
      <c r="EA86" s="643"/>
    </row>
    <row r="87" spans="1:131" s="355" customFormat="1" ht="20.100000000000001" customHeight="1" outlineLevel="1" x14ac:dyDescent="0.25">
      <c r="A87" s="356"/>
      <c r="B87" s="355" t="s">
        <v>268</v>
      </c>
      <c r="C87" s="355" t="str">
        <f t="shared" si="1009"/>
        <v>Consumo</v>
      </c>
      <c r="D87" s="355" t="s">
        <v>53</v>
      </c>
      <c r="E87" s="18" t="s">
        <v>38</v>
      </c>
      <c r="F87" s="355" t="s">
        <v>53</v>
      </c>
      <c r="G87" s="357" t="str">
        <f t="shared" si="1010"/>
        <v>Geral</v>
      </c>
      <c r="H87" s="255" t="s">
        <v>377</v>
      </c>
      <c r="I87" s="356" t="str">
        <f t="shared" si="927"/>
        <v>Sistema</v>
      </c>
      <c r="K87" s="318" t="s">
        <v>2840</v>
      </c>
      <c r="L87" s="749" t="str">
        <f>IF(Padrões!JF28&lt;&gt;"",Padrões!JF28,"")</f>
        <v>UAC XG</v>
      </c>
      <c r="M87" s="358" t="str">
        <f t="shared" si="928"/>
        <v>Relé digital aplicado como unidade de aquisição e controle (UAC), 4 TC, 4 TP, 150 BI, 40 BO, display gráfico, garantia 10 anos. Fabricante: Siemens, ABB, SEL ou GE/Alstom.</v>
      </c>
      <c r="N87" s="359">
        <f>Padrões!JI28</f>
        <v>0</v>
      </c>
      <c r="O87" s="381" t="str">
        <f t="shared" si="929"/>
        <v>?</v>
      </c>
      <c r="P87" s="360">
        <f t="shared" si="930"/>
        <v>0.12</v>
      </c>
      <c r="Q87" s="360" t="str">
        <f t="shared" si="931"/>
        <v>?</v>
      </c>
      <c r="R87" s="360">
        <f t="shared" si="932"/>
        <v>0</v>
      </c>
      <c r="S87" s="361">
        <f t="shared" si="933"/>
        <v>0</v>
      </c>
      <c r="T87" s="362">
        <f t="shared" si="934"/>
        <v>0</v>
      </c>
      <c r="U87" s="53" t="str" cm="1">
        <f t="array" ref="U87">IFERROR(IF(I87&lt;&gt;"Serviço",IF(AND(mlookup(tbl_DIFAL_data,UFdestino,tbl_DIFAL_UF,O87,tbl_DIFAL_NCM)&lt;&gt;"",C87="Consumo"),"Sim",""),""),"?")</f>
        <v>?</v>
      </c>
      <c r="V87" s="363" t="str">
        <f>IFERROR(IF(I87&lt;&gt;"Serviço",IF(AND(D87="Não",mlookup(tbl_ST_data,UFdestino,tbl_ST_UF,O87,tbl_ST_NCM)&lt;&gt;"",C87="Revenda",CD87="Não"),"Sim",""),""),"?")</f>
        <v>?</v>
      </c>
      <c r="W87" s="364">
        <f t="shared" si="935"/>
        <v>0</v>
      </c>
      <c r="X87" s="365">
        <f>IF(V87="Sim",mlookup(tbl_ST_data,UFdestino,tbl_ST_UF,O87,tbl_ST_NCM),0)</f>
        <v>0</v>
      </c>
      <c r="Z87" s="355">
        <f t="shared" si="936"/>
        <v>0</v>
      </c>
      <c r="AA87" s="355">
        <f t="shared" si="937"/>
        <v>0</v>
      </c>
      <c r="AC87" s="366">
        <f t="shared" si="1011"/>
        <v>1.31243473968765E-2</v>
      </c>
      <c r="AD87" s="366">
        <f t="shared" si="939"/>
        <v>0.15</v>
      </c>
      <c r="AF87" s="355">
        <f t="shared" si="940"/>
        <v>0</v>
      </c>
      <c r="AG87" s="355">
        <f t="shared" si="941"/>
        <v>0</v>
      </c>
      <c r="AI87" s="355">
        <f t="shared" si="942"/>
        <v>0</v>
      </c>
      <c r="AK87" s="366">
        <f t="shared" si="1012"/>
        <v>0</v>
      </c>
      <c r="AL87" s="355">
        <f t="shared" si="944"/>
        <v>0</v>
      </c>
      <c r="AM87" s="355">
        <f t="shared" si="945"/>
        <v>0</v>
      </c>
      <c r="AO87" s="355" t="b">
        <f t="shared" si="946"/>
        <v>1</v>
      </c>
      <c r="AQ87" s="367">
        <f t="shared" si="947"/>
        <v>0</v>
      </c>
      <c r="AR87" s="367">
        <f t="shared" si="948"/>
        <v>0</v>
      </c>
      <c r="AT87" s="367">
        <f t="shared" si="949"/>
        <v>0</v>
      </c>
      <c r="AU87" s="367">
        <f t="shared" si="950"/>
        <v>0</v>
      </c>
      <c r="AW87" s="367">
        <f t="shared" si="951"/>
        <v>0</v>
      </c>
      <c r="AX87" s="367">
        <f t="shared" si="952"/>
        <v>0</v>
      </c>
      <c r="AY87" s="367">
        <f t="shared" si="953"/>
        <v>0</v>
      </c>
      <c r="AZ87" s="367">
        <f t="shared" si="954"/>
        <v>0</v>
      </c>
      <c r="BB87" s="355">
        <f t="shared" si="955"/>
        <v>0</v>
      </c>
      <c r="BC87" s="355">
        <f t="shared" si="956"/>
        <v>0</v>
      </c>
      <c r="BD87" s="355">
        <f t="shared" si="957"/>
        <v>0</v>
      </c>
      <c r="BE87" s="355">
        <f t="shared" si="958"/>
        <v>0</v>
      </c>
      <c r="BF87" s="355">
        <f t="shared" si="959"/>
        <v>0</v>
      </c>
      <c r="BH87" s="368">
        <f t="shared" si="960"/>
        <v>0</v>
      </c>
      <c r="BJ87" s="369">
        <f t="shared" si="961"/>
        <v>-0.12</v>
      </c>
      <c r="BK87" s="355">
        <f t="shared" si="962"/>
        <v>0</v>
      </c>
      <c r="BL87" s="355">
        <f t="shared" si="963"/>
        <v>0</v>
      </c>
      <c r="BN87" s="366">
        <f t="shared" si="964"/>
        <v>0</v>
      </c>
      <c r="BO87" s="355">
        <f t="shared" si="965"/>
        <v>0</v>
      </c>
      <c r="BP87" s="355">
        <f t="shared" si="966"/>
        <v>0</v>
      </c>
      <c r="BQ87" s="355">
        <f t="shared" si="967"/>
        <v>0</v>
      </c>
      <c r="BS87" s="367">
        <f t="shared" si="968"/>
        <v>0</v>
      </c>
      <c r="BT87" s="355">
        <f t="shared" si="969"/>
        <v>0</v>
      </c>
      <c r="BU87" s="355" t="b">
        <f t="shared" si="970"/>
        <v>1</v>
      </c>
      <c r="BW87" s="355" t="str">
        <f t="shared" si="971"/>
        <v/>
      </c>
      <c r="BX87" s="355">
        <f t="shared" si="972"/>
        <v>0</v>
      </c>
      <c r="BY87" s="356">
        <f t="shared" si="1013"/>
        <v>0</v>
      </c>
      <c r="BZ87" s="355">
        <f t="shared" si="974"/>
        <v>0</v>
      </c>
      <c r="CB87" s="102" t="str">
        <f t="shared" si="975"/>
        <v xml:space="preserve">  IED</v>
      </c>
      <c r="CD87" s="355" t="str">
        <f t="shared" si="976"/>
        <v>Não</v>
      </c>
      <c r="CE87" s="368">
        <f>ifzero(mlookup(tbl_ICMSinterest_data,UFdestino,tbl_ICMSinterest_ufdest,UForigem,tbl_ICMSinterest_uforig))</f>
        <v>0.12</v>
      </c>
      <c r="CF87" s="368">
        <f>IF(N87&gt;0,IF(I87&lt;&gt;"Serviço",ifzero(mlookup(tbl_ICMSinterno_data,UForigem,tbl_ICMSinterno_UF,O87,tbl_ICMSinterno_NCM),mlookup(tbl_ICMSinterest_data,UForigem,tbl_ICMSinterest_ufdest,UForigem,tbl_ICMSinterest_uforig)),""),0)</f>
        <v>0</v>
      </c>
      <c r="CG87" s="368">
        <f>IF(N87&gt;0,IF(I87&lt;&gt;"Serviço",ifzero(mlookup(tbl_ICMSinterno_data,UFdestino,tbl_ICMSinterno_UF,O87,tbl_ICMSinterno_NCM),mlookup(tbl_ICMSinterest_data,UFdestino,tbl_ICMSinterest_ufdest,UFdestino,tbl_ICMSinterest_uforig)),""),0)</f>
        <v>0</v>
      </c>
      <c r="CI87" s="355">
        <f t="shared" si="977"/>
        <v>0</v>
      </c>
      <c r="CJ87" s="355">
        <f t="shared" si="978"/>
        <v>0</v>
      </c>
      <c r="CK87" s="355">
        <f t="shared" si="979"/>
        <v>0</v>
      </c>
      <c r="CL87" s="355">
        <f t="shared" si="980"/>
        <v>0</v>
      </c>
      <c r="CN87" s="370">
        <f t="shared" si="981"/>
        <v>0</v>
      </c>
      <c r="CO87" s="355">
        <f t="shared" si="982"/>
        <v>0</v>
      </c>
      <c r="CQ87" s="355" t="b">
        <f t="shared" si="983"/>
        <v>0</v>
      </c>
      <c r="CR87" s="355" t="b">
        <f t="shared" si="984"/>
        <v>1</v>
      </c>
      <c r="CS87" s="355" t="b">
        <f t="shared" si="985"/>
        <v>0</v>
      </c>
      <c r="CU87" s="2">
        <f t="shared" si="986"/>
        <v>0</v>
      </c>
      <c r="CV87" s="102">
        <f t="shared" si="987"/>
        <v>0</v>
      </c>
      <c r="CW87" s="102">
        <f t="shared" si="988"/>
        <v>0</v>
      </c>
      <c r="CX87" s="102">
        <f t="shared" si="989"/>
        <v>0</v>
      </c>
      <c r="CY87" s="290">
        <f t="shared" si="990"/>
        <v>0</v>
      </c>
      <c r="CZ87" s="102">
        <f t="shared" si="991"/>
        <v>0</v>
      </c>
      <c r="DA87" s="290">
        <f t="shared" si="992"/>
        <v>0</v>
      </c>
      <c r="DB87" s="102">
        <f t="shared" si="993"/>
        <v>0</v>
      </c>
      <c r="DC87" s="290">
        <f t="shared" si="994"/>
        <v>0</v>
      </c>
      <c r="DD87" s="102">
        <f t="shared" si="995"/>
        <v>0</v>
      </c>
      <c r="DE87" s="592">
        <f>IF(D87="Sim",HLOOKUP($DH$5,Parametrização!$G$2:$H$4,2,FALSE),0)</f>
        <v>0</v>
      </c>
      <c r="DF87" s="102">
        <f t="shared" si="996"/>
        <v>0</v>
      </c>
      <c r="DG87" s="592">
        <f>IF(D87="Sim",HLOOKUP($DH$5,Parametrização!$G$2:$H$4,3,FALSE),0)</f>
        <v>0</v>
      </c>
      <c r="DH87" s="102">
        <f t="shared" si="997"/>
        <v>0</v>
      </c>
      <c r="DI87" s="102">
        <f t="shared" si="998"/>
        <v>0</v>
      </c>
      <c r="DK87" s="3" t="str">
        <f t="shared" si="999"/>
        <v>NA</v>
      </c>
      <c r="DL87" s="2" t="str">
        <f t="shared" si="1000"/>
        <v>NA</v>
      </c>
      <c r="DM87" s="3" t="str">
        <f t="shared" si="1001"/>
        <v>NA</v>
      </c>
      <c r="DN87" s="9" t="str">
        <f t="shared" si="1002"/>
        <v>NA</v>
      </c>
      <c r="DO87" s="637" t="str">
        <f t="shared" si="1003"/>
        <v>NA</v>
      </c>
      <c r="DP87" s="637"/>
      <c r="DQ87" s="3" t="str">
        <f t="shared" si="1004"/>
        <v>NA</v>
      </c>
      <c r="DR87" s="2" t="str">
        <f t="shared" si="1005"/>
        <v>NA</v>
      </c>
      <c r="DS87" s="3" t="str">
        <f t="shared" si="1006"/>
        <v>NA</v>
      </c>
      <c r="DT87" s="9" t="str">
        <f t="shared" si="1007"/>
        <v>NA</v>
      </c>
      <c r="DU87" s="637" t="str">
        <f t="shared" si="1008"/>
        <v>NA</v>
      </c>
      <c r="DV87" s="637"/>
      <c r="DW87" s="682"/>
      <c r="DX87" s="682"/>
      <c r="DY87" s="682"/>
      <c r="DZ87" s="637"/>
      <c r="EA87" s="643"/>
    </row>
    <row r="88" spans="1:131" s="355" customFormat="1" ht="20.100000000000001" customHeight="1" outlineLevel="1" x14ac:dyDescent="0.25">
      <c r="A88" s="356"/>
      <c r="B88" s="355" t="s">
        <v>268</v>
      </c>
      <c r="C88" s="355" t="str">
        <f t="shared" si="1009"/>
        <v>Consumo</v>
      </c>
      <c r="D88" s="355" t="s">
        <v>53</v>
      </c>
      <c r="E88" s="18" t="s">
        <v>38</v>
      </c>
      <c r="F88" s="355" t="s">
        <v>53</v>
      </c>
      <c r="G88" s="357" t="str">
        <f t="shared" si="1010"/>
        <v>Geral</v>
      </c>
      <c r="H88" s="255" t="s">
        <v>377</v>
      </c>
      <c r="I88" s="356" t="str">
        <f t="shared" si="927"/>
        <v>Sistema</v>
      </c>
      <c r="K88" s="318" t="s">
        <v>2841</v>
      </c>
      <c r="L88" s="749" t="str">
        <f>IF(Padrões!JF29&lt;&gt;"",Padrões!JF29,"")</f>
        <v>UAC SAUX</v>
      </c>
      <c r="M88" s="358" t="str">
        <f t="shared" si="928"/>
        <v>Relé digital aplicado como unidade de aquisição e controle (UAC), 8 TC, 8 TP, 80 BI, 20 BO, 12 4-20 mA, display gráfico, garantia 10 anos. Fabricante: Siemens, ABB, SEL ou GE/Alstom.</v>
      </c>
      <c r="N88" s="359">
        <f>Padrões!JI29</f>
        <v>0</v>
      </c>
      <c r="O88" s="381" t="str">
        <f t="shared" si="929"/>
        <v>?</v>
      </c>
      <c r="P88" s="360">
        <f t="shared" si="930"/>
        <v>0.12</v>
      </c>
      <c r="Q88" s="360" t="str">
        <f t="shared" si="931"/>
        <v>?</v>
      </c>
      <c r="R88" s="360">
        <f t="shared" si="932"/>
        <v>0</v>
      </c>
      <c r="S88" s="361">
        <f t="shared" si="933"/>
        <v>0</v>
      </c>
      <c r="T88" s="362">
        <f t="shared" si="934"/>
        <v>0</v>
      </c>
      <c r="U88" s="53" t="str" cm="1">
        <f t="array" ref="U88">IFERROR(IF(I88&lt;&gt;"Serviço",IF(AND(mlookup(tbl_DIFAL_data,UFdestino,tbl_DIFAL_UF,O88,tbl_DIFAL_NCM)&lt;&gt;"",C88="Consumo"),"Sim",""),""),"?")</f>
        <v>?</v>
      </c>
      <c r="V88" s="363" t="str">
        <f>IFERROR(IF(I88&lt;&gt;"Serviço",IF(AND(D88="Não",mlookup(tbl_ST_data,UFdestino,tbl_ST_UF,O88,tbl_ST_NCM)&lt;&gt;"",C88="Revenda",CD88="Não"),"Sim",""),""),"?")</f>
        <v>?</v>
      </c>
      <c r="W88" s="364">
        <f t="shared" si="935"/>
        <v>0</v>
      </c>
      <c r="X88" s="365">
        <f>IF(V88="Sim",mlookup(tbl_ST_data,UFdestino,tbl_ST_UF,O88,tbl_ST_NCM),0)</f>
        <v>0</v>
      </c>
      <c r="Z88" s="355">
        <f t="shared" si="936"/>
        <v>0</v>
      </c>
      <c r="AA88" s="355">
        <f t="shared" si="937"/>
        <v>0</v>
      </c>
      <c r="AC88" s="366">
        <f t="shared" si="1011"/>
        <v>1.31243473968765E-2</v>
      </c>
      <c r="AD88" s="366">
        <f t="shared" si="939"/>
        <v>0.15</v>
      </c>
      <c r="AF88" s="355">
        <f t="shared" si="940"/>
        <v>0</v>
      </c>
      <c r="AG88" s="355">
        <f t="shared" si="941"/>
        <v>0</v>
      </c>
      <c r="AI88" s="355">
        <f t="shared" si="942"/>
        <v>0</v>
      </c>
      <c r="AK88" s="366">
        <f t="shared" si="1012"/>
        <v>0</v>
      </c>
      <c r="AL88" s="355">
        <f t="shared" si="944"/>
        <v>0</v>
      </c>
      <c r="AM88" s="355">
        <f t="shared" si="945"/>
        <v>0</v>
      </c>
      <c r="AO88" s="355" t="b">
        <f t="shared" si="946"/>
        <v>1</v>
      </c>
      <c r="AQ88" s="367">
        <f t="shared" si="947"/>
        <v>0</v>
      </c>
      <c r="AR88" s="367">
        <f t="shared" si="948"/>
        <v>0</v>
      </c>
      <c r="AT88" s="367">
        <f t="shared" si="949"/>
        <v>0</v>
      </c>
      <c r="AU88" s="367">
        <f t="shared" si="950"/>
        <v>0</v>
      </c>
      <c r="AW88" s="367">
        <f t="shared" si="951"/>
        <v>0</v>
      </c>
      <c r="AX88" s="367">
        <f t="shared" si="952"/>
        <v>0</v>
      </c>
      <c r="AY88" s="367">
        <f t="shared" si="953"/>
        <v>0</v>
      </c>
      <c r="AZ88" s="367">
        <f t="shared" si="954"/>
        <v>0</v>
      </c>
      <c r="BB88" s="355">
        <f t="shared" si="955"/>
        <v>0</v>
      </c>
      <c r="BC88" s="355">
        <f t="shared" si="956"/>
        <v>0</v>
      </c>
      <c r="BD88" s="355">
        <f t="shared" si="957"/>
        <v>0</v>
      </c>
      <c r="BE88" s="355">
        <f t="shared" si="958"/>
        <v>0</v>
      </c>
      <c r="BF88" s="355">
        <f t="shared" si="959"/>
        <v>0</v>
      </c>
      <c r="BH88" s="368">
        <f t="shared" si="960"/>
        <v>0</v>
      </c>
      <c r="BJ88" s="369">
        <f t="shared" si="961"/>
        <v>-0.12</v>
      </c>
      <c r="BK88" s="355">
        <f t="shared" si="962"/>
        <v>0</v>
      </c>
      <c r="BL88" s="355">
        <f t="shared" si="963"/>
        <v>0</v>
      </c>
      <c r="BN88" s="366">
        <f t="shared" si="964"/>
        <v>0</v>
      </c>
      <c r="BO88" s="355">
        <f t="shared" si="965"/>
        <v>0</v>
      </c>
      <c r="BP88" s="355">
        <f t="shared" si="966"/>
        <v>0</v>
      </c>
      <c r="BQ88" s="355">
        <f t="shared" si="967"/>
        <v>0</v>
      </c>
      <c r="BS88" s="367">
        <f t="shared" si="968"/>
        <v>0</v>
      </c>
      <c r="BT88" s="355">
        <f t="shared" si="969"/>
        <v>0</v>
      </c>
      <c r="BU88" s="355" t="b">
        <f t="shared" si="970"/>
        <v>1</v>
      </c>
      <c r="BW88" s="355" t="str">
        <f t="shared" si="971"/>
        <v/>
      </c>
      <c r="BX88" s="355">
        <f t="shared" si="972"/>
        <v>0</v>
      </c>
      <c r="BY88" s="356">
        <f t="shared" si="1013"/>
        <v>0</v>
      </c>
      <c r="BZ88" s="355">
        <f t="shared" si="974"/>
        <v>0</v>
      </c>
      <c r="CB88" s="102" t="str">
        <f t="shared" si="975"/>
        <v xml:space="preserve">  IED</v>
      </c>
      <c r="CD88" s="355" t="str">
        <f t="shared" si="976"/>
        <v>Não</v>
      </c>
      <c r="CE88" s="368">
        <f>ifzero(mlookup(tbl_ICMSinterest_data,UFdestino,tbl_ICMSinterest_ufdest,UForigem,tbl_ICMSinterest_uforig))</f>
        <v>0.12</v>
      </c>
      <c r="CF88" s="368">
        <f>IF(N88&gt;0,IF(I88&lt;&gt;"Serviço",ifzero(mlookup(tbl_ICMSinterno_data,UForigem,tbl_ICMSinterno_UF,O88,tbl_ICMSinterno_NCM),mlookup(tbl_ICMSinterest_data,UForigem,tbl_ICMSinterest_ufdest,UForigem,tbl_ICMSinterest_uforig)),""),0)</f>
        <v>0</v>
      </c>
      <c r="CG88" s="368">
        <f>IF(N88&gt;0,IF(I88&lt;&gt;"Serviço",ifzero(mlookup(tbl_ICMSinterno_data,UFdestino,tbl_ICMSinterno_UF,O88,tbl_ICMSinterno_NCM),mlookup(tbl_ICMSinterest_data,UFdestino,tbl_ICMSinterest_ufdest,UFdestino,tbl_ICMSinterest_uforig)),""),0)</f>
        <v>0</v>
      </c>
      <c r="CI88" s="355">
        <f t="shared" si="977"/>
        <v>0</v>
      </c>
      <c r="CJ88" s="355">
        <f t="shared" si="978"/>
        <v>0</v>
      </c>
      <c r="CK88" s="355">
        <f t="shared" si="979"/>
        <v>0</v>
      </c>
      <c r="CL88" s="355">
        <f t="shared" si="980"/>
        <v>0</v>
      </c>
      <c r="CN88" s="370">
        <f t="shared" si="981"/>
        <v>0</v>
      </c>
      <c r="CO88" s="355">
        <f t="shared" si="982"/>
        <v>0</v>
      </c>
      <c r="CQ88" s="355" t="b">
        <f t="shared" si="983"/>
        <v>0</v>
      </c>
      <c r="CR88" s="355" t="b">
        <f t="shared" si="984"/>
        <v>1</v>
      </c>
      <c r="CS88" s="355" t="b">
        <f t="shared" si="985"/>
        <v>0</v>
      </c>
      <c r="CU88" s="2">
        <f t="shared" si="986"/>
        <v>0</v>
      </c>
      <c r="CV88" s="102">
        <f t="shared" si="987"/>
        <v>0</v>
      </c>
      <c r="CW88" s="102">
        <f t="shared" si="988"/>
        <v>0</v>
      </c>
      <c r="CX88" s="102">
        <f t="shared" si="989"/>
        <v>0</v>
      </c>
      <c r="CY88" s="290">
        <f t="shared" si="990"/>
        <v>0</v>
      </c>
      <c r="CZ88" s="102">
        <f t="shared" si="991"/>
        <v>0</v>
      </c>
      <c r="DA88" s="290">
        <f t="shared" si="992"/>
        <v>0</v>
      </c>
      <c r="DB88" s="102">
        <f t="shared" si="993"/>
        <v>0</v>
      </c>
      <c r="DC88" s="290">
        <f t="shared" si="994"/>
        <v>0</v>
      </c>
      <c r="DD88" s="102">
        <f t="shared" si="995"/>
        <v>0</v>
      </c>
      <c r="DE88" s="592">
        <f>IF(D88="Sim",HLOOKUP($DH$5,Parametrização!$G$2:$H$4,2,FALSE),0)</f>
        <v>0</v>
      </c>
      <c r="DF88" s="102">
        <f t="shared" si="996"/>
        <v>0</v>
      </c>
      <c r="DG88" s="592">
        <f>IF(D88="Sim",HLOOKUP($DH$5,Parametrização!$G$2:$H$4,3,FALSE),0)</f>
        <v>0</v>
      </c>
      <c r="DH88" s="102">
        <f t="shared" si="997"/>
        <v>0</v>
      </c>
      <c r="DI88" s="102">
        <f t="shared" si="998"/>
        <v>0</v>
      </c>
      <c r="DK88" s="3" t="str">
        <f t="shared" si="999"/>
        <v>NA</v>
      </c>
      <c r="DL88" s="2" t="str">
        <f t="shared" si="1000"/>
        <v>NA</v>
      </c>
      <c r="DM88" s="3" t="str">
        <f t="shared" si="1001"/>
        <v>NA</v>
      </c>
      <c r="DN88" s="9" t="str">
        <f t="shared" si="1002"/>
        <v>NA</v>
      </c>
      <c r="DO88" s="637" t="str">
        <f t="shared" si="1003"/>
        <v>NA</v>
      </c>
      <c r="DP88" s="637"/>
      <c r="DQ88" s="3" t="str">
        <f t="shared" si="1004"/>
        <v>NA</v>
      </c>
      <c r="DR88" s="2" t="str">
        <f t="shared" si="1005"/>
        <v>NA</v>
      </c>
      <c r="DS88" s="3" t="str">
        <f t="shared" si="1006"/>
        <v>NA</v>
      </c>
      <c r="DT88" s="9" t="str">
        <f t="shared" si="1007"/>
        <v>NA</v>
      </c>
      <c r="DU88" s="637" t="str">
        <f t="shared" si="1008"/>
        <v>NA</v>
      </c>
      <c r="DV88" s="637"/>
      <c r="DW88" s="682"/>
      <c r="DX88" s="682"/>
      <c r="DY88" s="682"/>
      <c r="DZ88" s="637"/>
      <c r="EA88" s="643"/>
    </row>
    <row r="89" spans="1:131" s="355" customFormat="1" ht="20.100000000000001" customHeight="1" outlineLevel="1" x14ac:dyDescent="0.25">
      <c r="A89" s="356"/>
      <c r="B89" s="355" t="s">
        <v>268</v>
      </c>
      <c r="C89" s="355" t="str">
        <f t="shared" si="1009"/>
        <v>Consumo</v>
      </c>
      <c r="D89" s="355" t="s">
        <v>53</v>
      </c>
      <c r="E89" s="18" t="s">
        <v>38</v>
      </c>
      <c r="F89" s="355" t="s">
        <v>53</v>
      </c>
      <c r="G89" s="357" t="str">
        <f t="shared" si="1010"/>
        <v>Geral</v>
      </c>
      <c r="H89" s="255" t="s">
        <v>377</v>
      </c>
      <c r="I89" s="356" t="str">
        <f t="shared" si="927"/>
        <v>Sistema</v>
      </c>
      <c r="K89" s="318" t="s">
        <v>2842</v>
      </c>
      <c r="L89" s="749" t="str">
        <f>IF(Padrões!JF30&lt;&gt;"",Padrões!JF30,"")</f>
        <v/>
      </c>
      <c r="M89" s="358" t="str">
        <f t="shared" si="928"/>
        <v>?</v>
      </c>
      <c r="N89" s="359">
        <f>Padrões!JI30</f>
        <v>0</v>
      </c>
      <c r="O89" s="381" t="str">
        <f t="shared" si="929"/>
        <v>?</v>
      </c>
      <c r="P89" s="360">
        <f t="shared" si="930"/>
        <v>0.12</v>
      </c>
      <c r="Q89" s="360" t="str">
        <f t="shared" si="931"/>
        <v>?</v>
      </c>
      <c r="R89" s="360">
        <f t="shared" si="932"/>
        <v>0</v>
      </c>
      <c r="S89" s="361">
        <f t="shared" si="933"/>
        <v>0</v>
      </c>
      <c r="T89" s="362">
        <f t="shared" si="934"/>
        <v>0</v>
      </c>
      <c r="U89" s="53" t="str" cm="1">
        <f t="array" ref="U89">IFERROR(IF(I89&lt;&gt;"Serviço",IF(AND(mlookup(tbl_DIFAL_data,UFdestino,tbl_DIFAL_UF,O89,tbl_DIFAL_NCM)&lt;&gt;"",C89="Consumo"),"Sim",""),""),"?")</f>
        <v>?</v>
      </c>
      <c r="V89" s="363" t="str">
        <f>IFERROR(IF(I89&lt;&gt;"Serviço",IF(AND(D89="Não",mlookup(tbl_ST_data,UFdestino,tbl_ST_UF,O89,tbl_ST_NCM)&lt;&gt;"",C89="Revenda",CD89="Não"),"Sim",""),""),"?")</f>
        <v>?</v>
      </c>
      <c r="W89" s="364">
        <f t="shared" si="935"/>
        <v>0</v>
      </c>
      <c r="X89" s="365">
        <f>IF(V89="Sim",mlookup(tbl_ST_data,UFdestino,tbl_ST_UF,O89,tbl_ST_NCM),0)</f>
        <v>0</v>
      </c>
      <c r="Z89" s="355">
        <f t="shared" si="936"/>
        <v>0</v>
      </c>
      <c r="AA89" s="355">
        <f t="shared" si="937"/>
        <v>0</v>
      </c>
      <c r="AC89" s="366">
        <f t="shared" si="1011"/>
        <v>1.31243473968765E-2</v>
      </c>
      <c r="AD89" s="366">
        <f t="shared" si="939"/>
        <v>0.15</v>
      </c>
      <c r="AF89" s="355">
        <f t="shared" si="940"/>
        <v>0</v>
      </c>
      <c r="AG89" s="355">
        <f t="shared" si="941"/>
        <v>0</v>
      </c>
      <c r="AI89" s="355">
        <f t="shared" si="942"/>
        <v>0</v>
      </c>
      <c r="AK89" s="366">
        <f t="shared" si="1012"/>
        <v>0</v>
      </c>
      <c r="AL89" s="355">
        <f t="shared" si="944"/>
        <v>0</v>
      </c>
      <c r="AM89" s="355">
        <f t="shared" si="945"/>
        <v>0</v>
      </c>
      <c r="AO89" s="355" t="b">
        <f t="shared" si="946"/>
        <v>1</v>
      </c>
      <c r="AQ89" s="367">
        <f t="shared" si="947"/>
        <v>0</v>
      </c>
      <c r="AR89" s="367">
        <f t="shared" si="948"/>
        <v>0</v>
      </c>
      <c r="AT89" s="367">
        <f t="shared" si="949"/>
        <v>0</v>
      </c>
      <c r="AU89" s="367">
        <f t="shared" si="950"/>
        <v>0</v>
      </c>
      <c r="AW89" s="367">
        <f t="shared" si="951"/>
        <v>0</v>
      </c>
      <c r="AX89" s="367">
        <f t="shared" si="952"/>
        <v>0</v>
      </c>
      <c r="AY89" s="367">
        <f t="shared" si="953"/>
        <v>0</v>
      </c>
      <c r="AZ89" s="367">
        <f t="shared" si="954"/>
        <v>0</v>
      </c>
      <c r="BB89" s="355">
        <f t="shared" si="955"/>
        <v>0</v>
      </c>
      <c r="BC89" s="355">
        <f t="shared" si="956"/>
        <v>0</v>
      </c>
      <c r="BD89" s="355">
        <f t="shared" si="957"/>
        <v>0</v>
      </c>
      <c r="BE89" s="355">
        <f t="shared" si="958"/>
        <v>0</v>
      </c>
      <c r="BF89" s="355">
        <f t="shared" si="959"/>
        <v>0</v>
      </c>
      <c r="BH89" s="368">
        <f t="shared" si="960"/>
        <v>0</v>
      </c>
      <c r="BJ89" s="369">
        <f t="shared" si="961"/>
        <v>-0.12</v>
      </c>
      <c r="BK89" s="355">
        <f t="shared" si="962"/>
        <v>0</v>
      </c>
      <c r="BL89" s="355">
        <f t="shared" si="963"/>
        <v>0</v>
      </c>
      <c r="BN89" s="366">
        <f t="shared" si="964"/>
        <v>0</v>
      </c>
      <c r="BO89" s="355">
        <f t="shared" si="965"/>
        <v>0</v>
      </c>
      <c r="BP89" s="355">
        <f t="shared" si="966"/>
        <v>0</v>
      </c>
      <c r="BQ89" s="355">
        <f t="shared" si="967"/>
        <v>0</v>
      </c>
      <c r="BS89" s="367">
        <f t="shared" si="968"/>
        <v>0</v>
      </c>
      <c r="BT89" s="355">
        <f t="shared" si="969"/>
        <v>0</v>
      </c>
      <c r="BU89" s="355" t="b">
        <f t="shared" si="970"/>
        <v>1</v>
      </c>
      <c r="BW89" s="355" t="str">
        <f t="shared" si="971"/>
        <v/>
      </c>
      <c r="BX89" s="355">
        <f t="shared" si="972"/>
        <v>0</v>
      </c>
      <c r="BY89" s="356">
        <f t="shared" si="1013"/>
        <v>0</v>
      </c>
      <c r="BZ89" s="355">
        <f t="shared" si="974"/>
        <v>0</v>
      </c>
      <c r="CB89" s="102" t="str">
        <f t="shared" si="975"/>
        <v>?</v>
      </c>
      <c r="CD89" s="355" t="str">
        <f t="shared" si="976"/>
        <v>Não</v>
      </c>
      <c r="CE89" s="368">
        <f>ifzero(mlookup(tbl_ICMSinterest_data,UFdestino,tbl_ICMSinterest_ufdest,UForigem,tbl_ICMSinterest_uforig))</f>
        <v>0.12</v>
      </c>
      <c r="CF89" s="368">
        <f>IF(N89&gt;0,IF(I89&lt;&gt;"Serviço",ifzero(mlookup(tbl_ICMSinterno_data,UForigem,tbl_ICMSinterno_UF,O89,tbl_ICMSinterno_NCM),mlookup(tbl_ICMSinterest_data,UForigem,tbl_ICMSinterest_ufdest,UForigem,tbl_ICMSinterest_uforig)),""),0)</f>
        <v>0</v>
      </c>
      <c r="CG89" s="368">
        <f>IF(N89&gt;0,IF(I89&lt;&gt;"Serviço",ifzero(mlookup(tbl_ICMSinterno_data,UFdestino,tbl_ICMSinterno_UF,O89,tbl_ICMSinterno_NCM),mlookup(tbl_ICMSinterest_data,UFdestino,tbl_ICMSinterest_ufdest,UFdestino,tbl_ICMSinterest_uforig)),""),0)</f>
        <v>0</v>
      </c>
      <c r="CI89" s="355">
        <f t="shared" si="977"/>
        <v>0</v>
      </c>
      <c r="CJ89" s="355">
        <f t="shared" si="978"/>
        <v>0</v>
      </c>
      <c r="CK89" s="355">
        <f t="shared" si="979"/>
        <v>0</v>
      </c>
      <c r="CL89" s="355">
        <f t="shared" si="980"/>
        <v>0</v>
      </c>
      <c r="CN89" s="370">
        <f t="shared" si="981"/>
        <v>1540</v>
      </c>
      <c r="CO89" s="355">
        <f t="shared" si="982"/>
        <v>0</v>
      </c>
      <c r="CQ89" s="355" t="b">
        <f t="shared" si="983"/>
        <v>0</v>
      </c>
      <c r="CR89" s="355" t="b">
        <f t="shared" si="984"/>
        <v>1</v>
      </c>
      <c r="CS89" s="355" t="b">
        <f t="shared" si="985"/>
        <v>0</v>
      </c>
      <c r="CU89" s="2">
        <f t="shared" si="986"/>
        <v>0</v>
      </c>
      <c r="CV89" s="102">
        <f t="shared" si="987"/>
        <v>0</v>
      </c>
      <c r="CW89" s="102">
        <f t="shared" si="988"/>
        <v>0</v>
      </c>
      <c r="CX89" s="102">
        <f t="shared" si="989"/>
        <v>0</v>
      </c>
      <c r="CY89" s="290">
        <f t="shared" si="990"/>
        <v>0</v>
      </c>
      <c r="CZ89" s="102">
        <f t="shared" si="991"/>
        <v>0</v>
      </c>
      <c r="DA89" s="290">
        <f t="shared" si="992"/>
        <v>0</v>
      </c>
      <c r="DB89" s="102">
        <f t="shared" si="993"/>
        <v>0</v>
      </c>
      <c r="DC89" s="290">
        <f t="shared" si="994"/>
        <v>0</v>
      </c>
      <c r="DD89" s="102">
        <f t="shared" si="995"/>
        <v>0</v>
      </c>
      <c r="DE89" s="592">
        <f>IF(D89="Sim",HLOOKUP($DH$5,Parametrização!$G$2:$H$4,2,FALSE),0)</f>
        <v>0</v>
      </c>
      <c r="DF89" s="102">
        <f t="shared" si="996"/>
        <v>0</v>
      </c>
      <c r="DG89" s="592">
        <f>IF(D89="Sim",HLOOKUP($DH$5,Parametrização!$G$2:$H$4,3,FALSE),0)</f>
        <v>0</v>
      </c>
      <c r="DH89" s="102">
        <f t="shared" si="997"/>
        <v>0</v>
      </c>
      <c r="DI89" s="102">
        <f t="shared" si="998"/>
        <v>0</v>
      </c>
      <c r="DK89" s="3" t="str">
        <f t="shared" si="999"/>
        <v>NA</v>
      </c>
      <c r="DL89" s="2" t="str">
        <f t="shared" si="1000"/>
        <v>NA</v>
      </c>
      <c r="DM89" s="3" t="str">
        <f t="shared" si="1001"/>
        <v>NA</v>
      </c>
      <c r="DN89" s="9" t="str">
        <f t="shared" si="1002"/>
        <v>NA</v>
      </c>
      <c r="DO89" s="637" t="str">
        <f t="shared" si="1003"/>
        <v>NA</v>
      </c>
      <c r="DP89" s="637"/>
      <c r="DQ89" s="3" t="str">
        <f t="shared" si="1004"/>
        <v>NA</v>
      </c>
      <c r="DR89" s="2" t="str">
        <f t="shared" si="1005"/>
        <v>NA</v>
      </c>
      <c r="DS89" s="3" t="str">
        <f t="shared" si="1006"/>
        <v>NA</v>
      </c>
      <c r="DT89" s="9" t="str">
        <f t="shared" si="1007"/>
        <v>NA</v>
      </c>
      <c r="DU89" s="637" t="str">
        <f t="shared" si="1008"/>
        <v>NA</v>
      </c>
      <c r="DV89" s="637"/>
      <c r="DW89" s="682"/>
      <c r="DX89" s="682"/>
      <c r="DY89" s="682"/>
      <c r="DZ89" s="637"/>
      <c r="EA89" s="643"/>
    </row>
    <row r="90" spans="1:131" s="355" customFormat="1" ht="20.100000000000001" customHeight="1" outlineLevel="1" x14ac:dyDescent="0.25">
      <c r="A90" s="356"/>
      <c r="B90" s="355" t="s">
        <v>268</v>
      </c>
      <c r="C90" s="355" t="str">
        <f t="shared" si="1009"/>
        <v>Consumo</v>
      </c>
      <c r="D90" s="355" t="s">
        <v>53</v>
      </c>
      <c r="E90" s="18" t="s">
        <v>38</v>
      </c>
      <c r="F90" s="355" t="s">
        <v>53</v>
      </c>
      <c r="G90" s="357" t="str">
        <f t="shared" si="1010"/>
        <v>Geral</v>
      </c>
      <c r="H90" s="255" t="s">
        <v>377</v>
      </c>
      <c r="I90" s="356" t="str">
        <f t="shared" si="927"/>
        <v>Sistema</v>
      </c>
      <c r="K90" s="318" t="s">
        <v>2843</v>
      </c>
      <c r="L90" s="749" t="str">
        <f>IF(Padrões!JF31&lt;&gt;"",Padrões!JF31,"")</f>
        <v>Medidor de faturamento</v>
      </c>
      <c r="M90" s="358" t="str">
        <f t="shared" si="928"/>
        <v>Medidor de faturamento conforme exigências CEEE. Fabricante: Schneider, Landis+Gyr.</v>
      </c>
      <c r="N90" s="359">
        <f>Padrões!JI31</f>
        <v>0</v>
      </c>
      <c r="O90" s="381" t="str">
        <f t="shared" si="929"/>
        <v>?</v>
      </c>
      <c r="P90" s="360">
        <f t="shared" si="930"/>
        <v>0.12</v>
      </c>
      <c r="Q90" s="360" t="str">
        <f t="shared" si="931"/>
        <v>?</v>
      </c>
      <c r="R90" s="360">
        <f t="shared" si="932"/>
        <v>0</v>
      </c>
      <c r="S90" s="361">
        <f t="shared" si="933"/>
        <v>0</v>
      </c>
      <c r="T90" s="362">
        <f t="shared" si="934"/>
        <v>0</v>
      </c>
      <c r="U90" s="53" t="str" cm="1">
        <f t="array" ref="U90">IFERROR(IF(I90&lt;&gt;"Serviço",IF(AND(mlookup(tbl_DIFAL_data,UFdestino,tbl_DIFAL_UF,O90,tbl_DIFAL_NCM)&lt;&gt;"",C90="Consumo"),"Sim",""),""),"?")</f>
        <v>?</v>
      </c>
      <c r="V90" s="363" t="str">
        <f>IFERROR(IF(I90&lt;&gt;"Serviço",IF(AND(D90="Não",mlookup(tbl_ST_data,UFdestino,tbl_ST_UF,O90,tbl_ST_NCM)&lt;&gt;"",C90="Revenda",CD90="Não"),"Sim",""),""),"?")</f>
        <v>?</v>
      </c>
      <c r="W90" s="364">
        <f t="shared" si="935"/>
        <v>0</v>
      </c>
      <c r="X90" s="365">
        <f>IF(V90="Sim",mlookup(tbl_ST_data,UFdestino,tbl_ST_UF,O90,tbl_ST_NCM),0)</f>
        <v>0</v>
      </c>
      <c r="Z90" s="355">
        <f t="shared" si="936"/>
        <v>0</v>
      </c>
      <c r="AA90" s="355">
        <f t="shared" si="937"/>
        <v>0</v>
      </c>
      <c r="AC90" s="366">
        <f t="shared" si="1011"/>
        <v>1.31243473968765E-2</v>
      </c>
      <c r="AD90" s="366">
        <f t="shared" si="939"/>
        <v>0.15</v>
      </c>
      <c r="AF90" s="355">
        <f t="shared" si="940"/>
        <v>0</v>
      </c>
      <c r="AG90" s="355">
        <f t="shared" si="941"/>
        <v>0</v>
      </c>
      <c r="AI90" s="355">
        <f t="shared" si="942"/>
        <v>0</v>
      </c>
      <c r="AK90" s="366">
        <f t="shared" si="1012"/>
        <v>0</v>
      </c>
      <c r="AL90" s="355">
        <f t="shared" si="944"/>
        <v>0</v>
      </c>
      <c r="AM90" s="355">
        <f t="shared" si="945"/>
        <v>0</v>
      </c>
      <c r="AO90" s="355" t="b">
        <f t="shared" si="946"/>
        <v>1</v>
      </c>
      <c r="AQ90" s="367">
        <f t="shared" si="947"/>
        <v>0</v>
      </c>
      <c r="AR90" s="367">
        <f t="shared" si="948"/>
        <v>0</v>
      </c>
      <c r="AT90" s="367">
        <f t="shared" si="949"/>
        <v>0</v>
      </c>
      <c r="AU90" s="367">
        <f t="shared" si="950"/>
        <v>0</v>
      </c>
      <c r="AW90" s="367">
        <f t="shared" si="951"/>
        <v>0</v>
      </c>
      <c r="AX90" s="367">
        <f t="shared" si="952"/>
        <v>0</v>
      </c>
      <c r="AY90" s="367">
        <f t="shared" si="953"/>
        <v>0</v>
      </c>
      <c r="AZ90" s="367">
        <f t="shared" si="954"/>
        <v>0</v>
      </c>
      <c r="BB90" s="355">
        <f t="shared" si="955"/>
        <v>0</v>
      </c>
      <c r="BC90" s="355">
        <f t="shared" si="956"/>
        <v>0</v>
      </c>
      <c r="BD90" s="355">
        <f t="shared" si="957"/>
        <v>0</v>
      </c>
      <c r="BE90" s="355">
        <f t="shared" si="958"/>
        <v>0</v>
      </c>
      <c r="BF90" s="355">
        <f t="shared" si="959"/>
        <v>0</v>
      </c>
      <c r="BH90" s="368">
        <f t="shared" si="960"/>
        <v>0</v>
      </c>
      <c r="BJ90" s="369">
        <f t="shared" si="961"/>
        <v>-0.12</v>
      </c>
      <c r="BK90" s="355">
        <f t="shared" si="962"/>
        <v>0</v>
      </c>
      <c r="BL90" s="355">
        <f t="shared" si="963"/>
        <v>0</v>
      </c>
      <c r="BN90" s="366">
        <f t="shared" si="964"/>
        <v>0</v>
      </c>
      <c r="BO90" s="355">
        <f t="shared" si="965"/>
        <v>0</v>
      </c>
      <c r="BP90" s="355">
        <f t="shared" si="966"/>
        <v>0</v>
      </c>
      <c r="BQ90" s="355">
        <f t="shared" si="967"/>
        <v>0</v>
      </c>
      <c r="BS90" s="367">
        <f t="shared" si="968"/>
        <v>0</v>
      </c>
      <c r="BT90" s="355">
        <f t="shared" si="969"/>
        <v>0</v>
      </c>
      <c r="BU90" s="355" t="b">
        <f t="shared" si="970"/>
        <v>1</v>
      </c>
      <c r="BW90" s="355" t="str">
        <f t="shared" si="971"/>
        <v/>
      </c>
      <c r="BX90" s="355">
        <f t="shared" si="972"/>
        <v>0</v>
      </c>
      <c r="BY90" s="356">
        <f t="shared" si="1013"/>
        <v>0</v>
      </c>
      <c r="BZ90" s="355">
        <f t="shared" si="974"/>
        <v>0</v>
      </c>
      <c r="CB90" s="102" t="str">
        <f t="shared" si="975"/>
        <v xml:space="preserve">  Medidor</v>
      </c>
      <c r="CD90" s="355" t="str">
        <f t="shared" si="976"/>
        <v>Não</v>
      </c>
      <c r="CE90" s="368">
        <f>ifzero(mlookup(tbl_ICMSinterest_data,UFdestino,tbl_ICMSinterest_ufdest,UForigem,tbl_ICMSinterest_uforig))</f>
        <v>0.12</v>
      </c>
      <c r="CF90" s="368">
        <f>IF(N90&gt;0,IF(I90&lt;&gt;"Serviço",ifzero(mlookup(tbl_ICMSinterno_data,UForigem,tbl_ICMSinterno_UF,O90,tbl_ICMSinterno_NCM),mlookup(tbl_ICMSinterest_data,UForigem,tbl_ICMSinterest_ufdest,UForigem,tbl_ICMSinterest_uforig)),""),0)</f>
        <v>0</v>
      </c>
      <c r="CG90" s="368">
        <f>IF(N90&gt;0,IF(I90&lt;&gt;"Serviço",ifzero(mlookup(tbl_ICMSinterno_data,UFdestino,tbl_ICMSinterno_UF,O90,tbl_ICMSinterno_NCM),mlookup(tbl_ICMSinterest_data,UFdestino,tbl_ICMSinterest_ufdest,UFdestino,tbl_ICMSinterest_uforig)),""),0)</f>
        <v>0</v>
      </c>
      <c r="CI90" s="355">
        <f t="shared" si="977"/>
        <v>0</v>
      </c>
      <c r="CJ90" s="355">
        <f t="shared" si="978"/>
        <v>0</v>
      </c>
      <c r="CK90" s="355">
        <f t="shared" si="979"/>
        <v>0</v>
      </c>
      <c r="CL90" s="355">
        <f t="shared" si="980"/>
        <v>0</v>
      </c>
      <c r="CN90" s="370">
        <f t="shared" si="981"/>
        <v>0</v>
      </c>
      <c r="CO90" s="355">
        <f t="shared" si="982"/>
        <v>0</v>
      </c>
      <c r="CQ90" s="355" t="b">
        <f t="shared" si="983"/>
        <v>0</v>
      </c>
      <c r="CR90" s="355" t="b">
        <f t="shared" si="984"/>
        <v>1</v>
      </c>
      <c r="CS90" s="355" t="b">
        <f t="shared" si="985"/>
        <v>0</v>
      </c>
      <c r="CU90" s="2">
        <f t="shared" si="986"/>
        <v>0</v>
      </c>
      <c r="CV90" s="102">
        <f t="shared" si="987"/>
        <v>0</v>
      </c>
      <c r="CW90" s="102">
        <f t="shared" si="988"/>
        <v>0</v>
      </c>
      <c r="CX90" s="102">
        <f t="shared" si="989"/>
        <v>0</v>
      </c>
      <c r="CY90" s="290">
        <f t="shared" si="990"/>
        <v>0</v>
      </c>
      <c r="CZ90" s="102">
        <f t="shared" si="991"/>
        <v>0</v>
      </c>
      <c r="DA90" s="290">
        <f t="shared" si="992"/>
        <v>0</v>
      </c>
      <c r="DB90" s="102">
        <f t="shared" si="993"/>
        <v>0</v>
      </c>
      <c r="DC90" s="290">
        <f t="shared" si="994"/>
        <v>0</v>
      </c>
      <c r="DD90" s="102">
        <f t="shared" si="995"/>
        <v>0</v>
      </c>
      <c r="DE90" s="592">
        <f>IF(D90="Sim",HLOOKUP($DH$5,Parametrização!$G$2:$H$4,2,FALSE),0)</f>
        <v>0</v>
      </c>
      <c r="DF90" s="102">
        <f t="shared" si="996"/>
        <v>0</v>
      </c>
      <c r="DG90" s="592">
        <f>IF(D90="Sim",HLOOKUP($DH$5,Parametrização!$G$2:$H$4,3,FALSE),0)</f>
        <v>0</v>
      </c>
      <c r="DH90" s="102">
        <f t="shared" si="997"/>
        <v>0</v>
      </c>
      <c r="DI90" s="102">
        <f t="shared" si="998"/>
        <v>0</v>
      </c>
      <c r="DK90" s="3" t="str">
        <f t="shared" si="999"/>
        <v>NA</v>
      </c>
      <c r="DL90" s="2" t="str">
        <f t="shared" si="1000"/>
        <v>NA</v>
      </c>
      <c r="DM90" s="3" t="str">
        <f t="shared" si="1001"/>
        <v>NA</v>
      </c>
      <c r="DN90" s="9" t="str">
        <f t="shared" si="1002"/>
        <v>NA</v>
      </c>
      <c r="DO90" s="637" t="str">
        <f t="shared" si="1003"/>
        <v>NA</v>
      </c>
      <c r="DP90" s="637"/>
      <c r="DQ90" s="3" t="str">
        <f t="shared" si="1004"/>
        <v>NA</v>
      </c>
      <c r="DR90" s="2" t="str">
        <f t="shared" si="1005"/>
        <v>NA</v>
      </c>
      <c r="DS90" s="3" t="str">
        <f t="shared" si="1006"/>
        <v>NA</v>
      </c>
      <c r="DT90" s="9" t="str">
        <f t="shared" si="1007"/>
        <v>NA</v>
      </c>
      <c r="DU90" s="637" t="str">
        <f t="shared" si="1008"/>
        <v>NA</v>
      </c>
      <c r="DV90" s="637"/>
      <c r="DW90" s="682"/>
      <c r="DX90" s="682"/>
      <c r="DY90" s="682"/>
      <c r="DZ90" s="637"/>
      <c r="EA90" s="643"/>
    </row>
    <row r="91" spans="1:131" s="355" customFormat="1" ht="20.100000000000001" customHeight="1" outlineLevel="1" x14ac:dyDescent="0.25">
      <c r="A91" s="356"/>
      <c r="B91" s="355" t="s">
        <v>268</v>
      </c>
      <c r="C91" s="355" t="str">
        <f t="shared" si="1009"/>
        <v>Consumo</v>
      </c>
      <c r="D91" s="355" t="s">
        <v>53</v>
      </c>
      <c r="E91" s="18" t="s">
        <v>38</v>
      </c>
      <c r="F91" s="355" t="s">
        <v>53</v>
      </c>
      <c r="G91" s="357" t="str">
        <f t="shared" si="1010"/>
        <v>Geral</v>
      </c>
      <c r="H91" s="255" t="s">
        <v>377</v>
      </c>
      <c r="I91" s="356" t="str">
        <f t="shared" si="927"/>
        <v>Sistema</v>
      </c>
      <c r="K91" s="318" t="s">
        <v>2844</v>
      </c>
      <c r="L91" s="749" t="str">
        <f>IF(Padrões!JF32&lt;&gt;"",Padrões!JF32,"")</f>
        <v/>
      </c>
      <c r="M91" s="358" t="str">
        <f t="shared" si="928"/>
        <v>?</v>
      </c>
      <c r="N91" s="359">
        <f>Padrões!JI32</f>
        <v>0</v>
      </c>
      <c r="O91" s="381" t="str">
        <f t="shared" si="929"/>
        <v>?</v>
      </c>
      <c r="P91" s="360">
        <f t="shared" si="930"/>
        <v>0.12</v>
      </c>
      <c r="Q91" s="360" t="str">
        <f t="shared" si="931"/>
        <v>?</v>
      </c>
      <c r="R91" s="360">
        <f t="shared" si="932"/>
        <v>0</v>
      </c>
      <c r="S91" s="361">
        <f t="shared" si="933"/>
        <v>0</v>
      </c>
      <c r="T91" s="362">
        <f t="shared" si="934"/>
        <v>0</v>
      </c>
      <c r="U91" s="53" t="str" cm="1">
        <f t="array" ref="U91">IFERROR(IF(I91&lt;&gt;"Serviço",IF(AND(mlookup(tbl_DIFAL_data,UFdestino,tbl_DIFAL_UF,O91,tbl_DIFAL_NCM)&lt;&gt;"",C91="Consumo"),"Sim",""),""),"?")</f>
        <v>?</v>
      </c>
      <c r="V91" s="363" t="str">
        <f>IFERROR(IF(I91&lt;&gt;"Serviço",IF(AND(D91="Não",mlookup(tbl_ST_data,UFdestino,tbl_ST_UF,O91,tbl_ST_NCM)&lt;&gt;"",C91="Revenda",CD91="Não"),"Sim",""),""),"?")</f>
        <v>?</v>
      </c>
      <c r="W91" s="364">
        <f t="shared" si="935"/>
        <v>0</v>
      </c>
      <c r="X91" s="365">
        <f>IF(V91="Sim",mlookup(tbl_ST_data,UFdestino,tbl_ST_UF,O91,tbl_ST_NCM),0)</f>
        <v>0</v>
      </c>
      <c r="Z91" s="355">
        <f t="shared" si="936"/>
        <v>0</v>
      </c>
      <c r="AA91" s="355">
        <f t="shared" si="937"/>
        <v>0</v>
      </c>
      <c r="AC91" s="366">
        <f t="shared" si="1011"/>
        <v>1.31243473968765E-2</v>
      </c>
      <c r="AD91" s="366">
        <f t="shared" si="939"/>
        <v>0.15</v>
      </c>
      <c r="AF91" s="355">
        <f t="shared" si="940"/>
        <v>0</v>
      </c>
      <c r="AG91" s="355">
        <f t="shared" si="941"/>
        <v>0</v>
      </c>
      <c r="AI91" s="355">
        <f t="shared" si="942"/>
        <v>0</v>
      </c>
      <c r="AK91" s="366">
        <f t="shared" si="1012"/>
        <v>0</v>
      </c>
      <c r="AL91" s="355">
        <f t="shared" si="944"/>
        <v>0</v>
      </c>
      <c r="AM91" s="355">
        <f t="shared" si="945"/>
        <v>0</v>
      </c>
      <c r="AO91" s="355" t="b">
        <f t="shared" si="946"/>
        <v>1</v>
      </c>
      <c r="AQ91" s="367">
        <f t="shared" si="947"/>
        <v>0</v>
      </c>
      <c r="AR91" s="367">
        <f t="shared" si="948"/>
        <v>0</v>
      </c>
      <c r="AT91" s="367">
        <f t="shared" si="949"/>
        <v>0</v>
      </c>
      <c r="AU91" s="367">
        <f t="shared" si="950"/>
        <v>0</v>
      </c>
      <c r="AW91" s="367">
        <f t="shared" si="951"/>
        <v>0</v>
      </c>
      <c r="AX91" s="367">
        <f t="shared" si="952"/>
        <v>0</v>
      </c>
      <c r="AY91" s="367">
        <f t="shared" si="953"/>
        <v>0</v>
      </c>
      <c r="AZ91" s="367">
        <f t="shared" si="954"/>
        <v>0</v>
      </c>
      <c r="BB91" s="355">
        <f t="shared" si="955"/>
        <v>0</v>
      </c>
      <c r="BC91" s="355">
        <f t="shared" si="956"/>
        <v>0</v>
      </c>
      <c r="BD91" s="355">
        <f t="shared" si="957"/>
        <v>0</v>
      </c>
      <c r="BE91" s="355">
        <f t="shared" si="958"/>
        <v>0</v>
      </c>
      <c r="BF91" s="355">
        <f t="shared" si="959"/>
        <v>0</v>
      </c>
      <c r="BH91" s="368">
        <f t="shared" si="960"/>
        <v>0</v>
      </c>
      <c r="BJ91" s="369">
        <f t="shared" si="961"/>
        <v>-0.12</v>
      </c>
      <c r="BK91" s="355">
        <f t="shared" si="962"/>
        <v>0</v>
      </c>
      <c r="BL91" s="355">
        <f t="shared" si="963"/>
        <v>0</v>
      </c>
      <c r="BN91" s="366">
        <f t="shared" si="964"/>
        <v>0</v>
      </c>
      <c r="BO91" s="355">
        <f t="shared" si="965"/>
        <v>0</v>
      </c>
      <c r="BP91" s="355">
        <f t="shared" si="966"/>
        <v>0</v>
      </c>
      <c r="BQ91" s="355">
        <f t="shared" si="967"/>
        <v>0</v>
      </c>
      <c r="BS91" s="367">
        <f t="shared" si="968"/>
        <v>0</v>
      </c>
      <c r="BT91" s="355">
        <f t="shared" si="969"/>
        <v>0</v>
      </c>
      <c r="BU91" s="355" t="b">
        <f t="shared" si="970"/>
        <v>1</v>
      </c>
      <c r="BW91" s="355" t="str">
        <f t="shared" si="971"/>
        <v/>
      </c>
      <c r="BX91" s="355">
        <f t="shared" si="972"/>
        <v>0</v>
      </c>
      <c r="BY91" s="356">
        <f t="shared" si="1013"/>
        <v>0</v>
      </c>
      <c r="BZ91" s="355">
        <f t="shared" si="974"/>
        <v>0</v>
      </c>
      <c r="CB91" s="102" t="str">
        <f t="shared" si="975"/>
        <v>?</v>
      </c>
      <c r="CD91" s="355" t="str">
        <f t="shared" si="976"/>
        <v>Não</v>
      </c>
      <c r="CE91" s="368">
        <f>ifzero(mlookup(tbl_ICMSinterest_data,UFdestino,tbl_ICMSinterest_ufdest,UForigem,tbl_ICMSinterest_uforig))</f>
        <v>0.12</v>
      </c>
      <c r="CF91" s="368">
        <f>IF(N91&gt;0,IF(I91&lt;&gt;"Serviço",ifzero(mlookup(tbl_ICMSinterno_data,UForigem,tbl_ICMSinterno_UF,O91,tbl_ICMSinterno_NCM),mlookup(tbl_ICMSinterest_data,UForigem,tbl_ICMSinterest_ufdest,UForigem,tbl_ICMSinterest_uforig)),""),0)</f>
        <v>0</v>
      </c>
      <c r="CG91" s="368">
        <f>IF(N91&gt;0,IF(I91&lt;&gt;"Serviço",ifzero(mlookup(tbl_ICMSinterno_data,UFdestino,tbl_ICMSinterno_UF,O91,tbl_ICMSinterno_NCM),mlookup(tbl_ICMSinterest_data,UFdestino,tbl_ICMSinterest_ufdest,UFdestino,tbl_ICMSinterest_uforig)),""),0)</f>
        <v>0</v>
      </c>
      <c r="CI91" s="355">
        <f t="shared" si="977"/>
        <v>0</v>
      </c>
      <c r="CJ91" s="355">
        <f t="shared" si="978"/>
        <v>0</v>
      </c>
      <c r="CK91" s="355">
        <f t="shared" si="979"/>
        <v>0</v>
      </c>
      <c r="CL91" s="355">
        <f t="shared" si="980"/>
        <v>0</v>
      </c>
      <c r="CN91" s="370">
        <f t="shared" si="981"/>
        <v>1540</v>
      </c>
      <c r="CO91" s="355">
        <f t="shared" si="982"/>
        <v>0</v>
      </c>
      <c r="CQ91" s="355" t="b">
        <f t="shared" si="983"/>
        <v>0</v>
      </c>
      <c r="CR91" s="355" t="b">
        <f t="shared" si="984"/>
        <v>1</v>
      </c>
      <c r="CS91" s="355" t="b">
        <f t="shared" si="985"/>
        <v>0</v>
      </c>
      <c r="CU91" s="2">
        <f t="shared" si="986"/>
        <v>0</v>
      </c>
      <c r="CV91" s="102">
        <f t="shared" si="987"/>
        <v>0</v>
      </c>
      <c r="CW91" s="102">
        <f t="shared" si="988"/>
        <v>0</v>
      </c>
      <c r="CX91" s="102">
        <f t="shared" si="989"/>
        <v>0</v>
      </c>
      <c r="CY91" s="290">
        <f t="shared" si="990"/>
        <v>0</v>
      </c>
      <c r="CZ91" s="102">
        <f t="shared" si="991"/>
        <v>0</v>
      </c>
      <c r="DA91" s="290">
        <f t="shared" si="992"/>
        <v>0</v>
      </c>
      <c r="DB91" s="102">
        <f t="shared" si="993"/>
        <v>0</v>
      </c>
      <c r="DC91" s="290">
        <f t="shared" si="994"/>
        <v>0</v>
      </c>
      <c r="DD91" s="102">
        <f t="shared" si="995"/>
        <v>0</v>
      </c>
      <c r="DE91" s="592">
        <f>IF(D91="Sim",HLOOKUP($DH$5,Parametrização!$G$2:$H$4,2,FALSE),0)</f>
        <v>0</v>
      </c>
      <c r="DF91" s="102">
        <f t="shared" si="996"/>
        <v>0</v>
      </c>
      <c r="DG91" s="592">
        <f>IF(D91="Sim",HLOOKUP($DH$5,Parametrização!$G$2:$H$4,3,FALSE),0)</f>
        <v>0</v>
      </c>
      <c r="DH91" s="102">
        <f t="shared" si="997"/>
        <v>0</v>
      </c>
      <c r="DI91" s="102">
        <f t="shared" si="998"/>
        <v>0</v>
      </c>
      <c r="DK91" s="3" t="str">
        <f t="shared" si="999"/>
        <v>NA</v>
      </c>
      <c r="DL91" s="2" t="str">
        <f t="shared" si="1000"/>
        <v>NA</v>
      </c>
      <c r="DM91" s="3" t="str">
        <f t="shared" si="1001"/>
        <v>NA</v>
      </c>
      <c r="DN91" s="9" t="str">
        <f t="shared" si="1002"/>
        <v>NA</v>
      </c>
      <c r="DO91" s="637" t="str">
        <f t="shared" si="1003"/>
        <v>NA</v>
      </c>
      <c r="DP91" s="637"/>
      <c r="DQ91" s="3" t="str">
        <f t="shared" si="1004"/>
        <v>NA</v>
      </c>
      <c r="DR91" s="2" t="str">
        <f t="shared" si="1005"/>
        <v>NA</v>
      </c>
      <c r="DS91" s="3" t="str">
        <f t="shared" si="1006"/>
        <v>NA</v>
      </c>
      <c r="DT91" s="9" t="str">
        <f t="shared" si="1007"/>
        <v>NA</v>
      </c>
      <c r="DU91" s="637" t="str">
        <f t="shared" si="1008"/>
        <v>NA</v>
      </c>
      <c r="DV91" s="637"/>
      <c r="DW91" s="682"/>
      <c r="DX91" s="682"/>
      <c r="DY91" s="682"/>
      <c r="DZ91" s="637"/>
      <c r="EA91" s="643"/>
    </row>
    <row r="92" spans="1:131" s="355" customFormat="1" ht="20.100000000000001" customHeight="1" outlineLevel="1" x14ac:dyDescent="0.25">
      <c r="A92" s="356"/>
      <c r="B92" s="355" t="s">
        <v>268</v>
      </c>
      <c r="C92" s="355" t="str">
        <f t="shared" si="1009"/>
        <v>Consumo</v>
      </c>
      <c r="D92" s="355" t="s">
        <v>53</v>
      </c>
      <c r="E92" s="18" t="s">
        <v>38</v>
      </c>
      <c r="F92" s="355" t="s">
        <v>53</v>
      </c>
      <c r="G92" s="357" t="str">
        <f t="shared" si="1010"/>
        <v>Geral</v>
      </c>
      <c r="H92" s="255" t="s">
        <v>377</v>
      </c>
      <c r="I92" s="356" t="str">
        <f t="shared" si="927"/>
        <v>Sistema</v>
      </c>
      <c r="K92" s="318" t="s">
        <v>2845</v>
      </c>
      <c r="L92" s="749" t="str">
        <f>IF(Padrões!JF33&lt;&gt;"",Padrões!JF33,"")</f>
        <v>Painel Serviços Auxiliares CA</v>
      </c>
      <c r="M92" s="358" t="str">
        <f t="shared" si="928"/>
        <v>Painel Serviços Auxiliares CA</v>
      </c>
      <c r="N92" s="359">
        <f>Padrões!JI33</f>
        <v>0</v>
      </c>
      <c r="O92" s="381" t="str">
        <f t="shared" si="929"/>
        <v>?</v>
      </c>
      <c r="P92" s="360">
        <f t="shared" si="930"/>
        <v>0.12</v>
      </c>
      <c r="Q92" s="360" t="str">
        <f t="shared" si="931"/>
        <v>?</v>
      </c>
      <c r="R92" s="360">
        <f t="shared" si="932"/>
        <v>0</v>
      </c>
      <c r="S92" s="361">
        <f t="shared" si="933"/>
        <v>0</v>
      </c>
      <c r="T92" s="362">
        <f t="shared" si="934"/>
        <v>0</v>
      </c>
      <c r="U92" s="53" t="str" cm="1">
        <f t="array" ref="U92">IFERROR(IF(I92&lt;&gt;"Serviço",IF(AND(mlookup(tbl_DIFAL_data,UFdestino,tbl_DIFAL_UF,O92,tbl_DIFAL_NCM)&lt;&gt;"",C92="Consumo"),"Sim",""),""),"?")</f>
        <v>?</v>
      </c>
      <c r="V92" s="363" t="str">
        <f>IFERROR(IF(I92&lt;&gt;"Serviço",IF(AND(D92="Não",mlookup(tbl_ST_data,UFdestino,tbl_ST_UF,O92,tbl_ST_NCM)&lt;&gt;"",C92="Revenda",CD92="Não"),"Sim",""),""),"?")</f>
        <v>?</v>
      </c>
      <c r="W92" s="364">
        <f t="shared" si="935"/>
        <v>0</v>
      </c>
      <c r="X92" s="365">
        <f>IF(V92="Sim",mlookup(tbl_ST_data,UFdestino,tbl_ST_UF,O92,tbl_ST_NCM),0)</f>
        <v>0</v>
      </c>
      <c r="Z92" s="355">
        <f t="shared" si="936"/>
        <v>0</v>
      </c>
      <c r="AA92" s="355">
        <f t="shared" si="937"/>
        <v>0</v>
      </c>
      <c r="AC92" s="366">
        <f t="shared" si="1011"/>
        <v>1.31243473968765E-2</v>
      </c>
      <c r="AD92" s="366">
        <f t="shared" si="939"/>
        <v>0.15</v>
      </c>
      <c r="AF92" s="355">
        <f t="shared" si="940"/>
        <v>0</v>
      </c>
      <c r="AG92" s="355">
        <f t="shared" si="941"/>
        <v>0</v>
      </c>
      <c r="AI92" s="355">
        <f t="shared" si="942"/>
        <v>0</v>
      </c>
      <c r="AK92" s="366">
        <f t="shared" si="1012"/>
        <v>0</v>
      </c>
      <c r="AL92" s="355">
        <f t="shared" si="944"/>
        <v>0</v>
      </c>
      <c r="AM92" s="355">
        <f t="shared" si="945"/>
        <v>0</v>
      </c>
      <c r="AO92" s="355" t="b">
        <f t="shared" si="946"/>
        <v>1</v>
      </c>
      <c r="AQ92" s="367">
        <f t="shared" si="947"/>
        <v>0</v>
      </c>
      <c r="AR92" s="367">
        <f t="shared" si="948"/>
        <v>0</v>
      </c>
      <c r="AT92" s="367">
        <f t="shared" si="949"/>
        <v>0</v>
      </c>
      <c r="AU92" s="367">
        <f t="shared" si="950"/>
        <v>0</v>
      </c>
      <c r="AW92" s="367">
        <f t="shared" si="951"/>
        <v>0</v>
      </c>
      <c r="AX92" s="367">
        <f t="shared" si="952"/>
        <v>0</v>
      </c>
      <c r="AY92" s="367">
        <f t="shared" si="953"/>
        <v>0</v>
      </c>
      <c r="AZ92" s="367">
        <f t="shared" si="954"/>
        <v>0</v>
      </c>
      <c r="BB92" s="355">
        <f t="shared" si="955"/>
        <v>0</v>
      </c>
      <c r="BC92" s="355">
        <f t="shared" si="956"/>
        <v>0</v>
      </c>
      <c r="BD92" s="355">
        <f t="shared" si="957"/>
        <v>0</v>
      </c>
      <c r="BE92" s="355">
        <f t="shared" si="958"/>
        <v>0</v>
      </c>
      <c r="BF92" s="355">
        <f t="shared" si="959"/>
        <v>0</v>
      </c>
      <c r="BH92" s="368">
        <f t="shared" si="960"/>
        <v>0</v>
      </c>
      <c r="BJ92" s="369">
        <f t="shared" si="961"/>
        <v>-0.12</v>
      </c>
      <c r="BK92" s="355">
        <f t="shared" si="962"/>
        <v>0</v>
      </c>
      <c r="BL92" s="355">
        <f t="shared" si="963"/>
        <v>0</v>
      </c>
      <c r="BN92" s="366">
        <f t="shared" si="964"/>
        <v>0</v>
      </c>
      <c r="BO92" s="355">
        <f t="shared" si="965"/>
        <v>0</v>
      </c>
      <c r="BP92" s="355">
        <f t="shared" si="966"/>
        <v>0</v>
      </c>
      <c r="BQ92" s="355">
        <f t="shared" si="967"/>
        <v>0</v>
      </c>
      <c r="BS92" s="367">
        <f t="shared" si="968"/>
        <v>0</v>
      </c>
      <c r="BT92" s="355">
        <f t="shared" si="969"/>
        <v>0</v>
      </c>
      <c r="BU92" s="355" t="b">
        <f t="shared" si="970"/>
        <v>1</v>
      </c>
      <c r="BW92" s="355" t="str">
        <f t="shared" si="971"/>
        <v/>
      </c>
      <c r="BX92" s="355">
        <f t="shared" si="972"/>
        <v>0</v>
      </c>
      <c r="BY92" s="356">
        <f t="shared" si="1013"/>
        <v>0</v>
      </c>
      <c r="BZ92" s="355">
        <f t="shared" si="974"/>
        <v>0</v>
      </c>
      <c r="CB92" s="102" t="str">
        <f t="shared" si="975"/>
        <v xml:space="preserve">  Chaparia</v>
      </c>
      <c r="CD92" s="355" t="str">
        <f t="shared" si="976"/>
        <v>Não</v>
      </c>
      <c r="CE92" s="368">
        <f>ifzero(mlookup(tbl_ICMSinterest_data,UFdestino,tbl_ICMSinterest_ufdest,UForigem,tbl_ICMSinterest_uforig))</f>
        <v>0.12</v>
      </c>
      <c r="CF92" s="368">
        <f>IF(N92&gt;0,IF(I92&lt;&gt;"Serviço",ifzero(mlookup(tbl_ICMSinterno_data,UForigem,tbl_ICMSinterno_UF,O92,tbl_ICMSinterno_NCM),mlookup(tbl_ICMSinterest_data,UForigem,tbl_ICMSinterest_ufdest,UForigem,tbl_ICMSinterest_uforig)),""),0)</f>
        <v>0</v>
      </c>
      <c r="CG92" s="368">
        <f>IF(N92&gt;0,IF(I92&lt;&gt;"Serviço",ifzero(mlookup(tbl_ICMSinterno_data,UFdestino,tbl_ICMSinterno_UF,O92,tbl_ICMSinterno_NCM),mlookup(tbl_ICMSinterest_data,UFdestino,tbl_ICMSinterest_ufdest,UFdestino,tbl_ICMSinterest_uforig)),""),0)</f>
        <v>0</v>
      </c>
      <c r="CI92" s="355">
        <f t="shared" si="977"/>
        <v>0</v>
      </c>
      <c r="CJ92" s="355">
        <f t="shared" si="978"/>
        <v>0</v>
      </c>
      <c r="CK92" s="355">
        <f t="shared" si="979"/>
        <v>0</v>
      </c>
      <c r="CL92" s="355">
        <f t="shared" si="980"/>
        <v>0</v>
      </c>
      <c r="CN92" s="370">
        <f t="shared" si="981"/>
        <v>0</v>
      </c>
      <c r="CO92" s="355">
        <f t="shared" si="982"/>
        <v>0</v>
      </c>
      <c r="CQ92" s="355" t="b">
        <f t="shared" si="983"/>
        <v>0</v>
      </c>
      <c r="CR92" s="355" t="b">
        <f t="shared" si="984"/>
        <v>1</v>
      </c>
      <c r="CS92" s="355" t="b">
        <f t="shared" si="985"/>
        <v>0</v>
      </c>
      <c r="CU92" s="2">
        <f t="shared" si="986"/>
        <v>0</v>
      </c>
      <c r="CV92" s="102">
        <f t="shared" si="987"/>
        <v>0</v>
      </c>
      <c r="CW92" s="102">
        <f t="shared" si="988"/>
        <v>0</v>
      </c>
      <c r="CX92" s="102">
        <f t="shared" si="989"/>
        <v>0</v>
      </c>
      <c r="CY92" s="290">
        <f t="shared" si="990"/>
        <v>0</v>
      </c>
      <c r="CZ92" s="102">
        <f t="shared" si="991"/>
        <v>0</v>
      </c>
      <c r="DA92" s="290">
        <f t="shared" si="992"/>
        <v>0</v>
      </c>
      <c r="DB92" s="102">
        <f t="shared" si="993"/>
        <v>0</v>
      </c>
      <c r="DC92" s="290">
        <f t="shared" si="994"/>
        <v>0</v>
      </c>
      <c r="DD92" s="102">
        <f t="shared" si="995"/>
        <v>0</v>
      </c>
      <c r="DE92" s="592">
        <f>IF(D92="Sim",HLOOKUP($DH$5,Parametrização!$G$2:$H$4,2,FALSE),0)</f>
        <v>0</v>
      </c>
      <c r="DF92" s="102">
        <f t="shared" si="996"/>
        <v>0</v>
      </c>
      <c r="DG92" s="592">
        <f>IF(D92="Sim",HLOOKUP($DH$5,Parametrização!$G$2:$H$4,3,FALSE),0)</f>
        <v>0</v>
      </c>
      <c r="DH92" s="102">
        <f t="shared" si="997"/>
        <v>0</v>
      </c>
      <c r="DI92" s="102">
        <f t="shared" si="998"/>
        <v>0</v>
      </c>
      <c r="DK92" s="3" t="str">
        <f t="shared" si="999"/>
        <v>NA</v>
      </c>
      <c r="DL92" s="2" t="str">
        <f t="shared" si="1000"/>
        <v>NA</v>
      </c>
      <c r="DM92" s="3" t="str">
        <f t="shared" si="1001"/>
        <v>NA</v>
      </c>
      <c r="DN92" s="9" t="str">
        <f t="shared" si="1002"/>
        <v>NA</v>
      </c>
      <c r="DO92" s="637" t="str">
        <f t="shared" si="1003"/>
        <v>NA</v>
      </c>
      <c r="DP92" s="637"/>
      <c r="DQ92" s="3" t="str">
        <f t="shared" si="1004"/>
        <v>NA</v>
      </c>
      <c r="DR92" s="2" t="str">
        <f t="shared" si="1005"/>
        <v>NA</v>
      </c>
      <c r="DS92" s="3" t="str">
        <f t="shared" si="1006"/>
        <v>NA</v>
      </c>
      <c r="DT92" s="9" t="str">
        <f t="shared" si="1007"/>
        <v>NA</v>
      </c>
      <c r="DU92" s="637" t="str">
        <f t="shared" si="1008"/>
        <v>NA</v>
      </c>
      <c r="DV92" s="637"/>
      <c r="DW92" s="682"/>
      <c r="DX92" s="682"/>
      <c r="DY92" s="682"/>
      <c r="DZ92" s="637"/>
      <c r="EA92" s="643"/>
    </row>
    <row r="93" spans="1:131" s="355" customFormat="1" ht="20.100000000000001" customHeight="1" outlineLevel="1" x14ac:dyDescent="0.25">
      <c r="A93" s="356"/>
      <c r="B93" s="355" t="s">
        <v>268</v>
      </c>
      <c r="C93" s="355" t="str">
        <f t="shared" si="1009"/>
        <v>Consumo</v>
      </c>
      <c r="D93" s="355" t="s">
        <v>53</v>
      </c>
      <c r="E93" s="18" t="s">
        <v>38</v>
      </c>
      <c r="F93" s="355" t="s">
        <v>53</v>
      </c>
      <c r="G93" s="357" t="str">
        <f t="shared" si="1010"/>
        <v>Geral</v>
      </c>
      <c r="H93" s="255" t="s">
        <v>377</v>
      </c>
      <c r="I93" s="356" t="str">
        <f t="shared" si="927"/>
        <v>Sistema</v>
      </c>
      <c r="K93" s="318" t="s">
        <v>2846</v>
      </c>
      <c r="L93" s="749" t="str">
        <f>IF(Padrões!JF34&lt;&gt;"",Padrões!JF34,"")</f>
        <v>Painel Serviços Auxiliares CC</v>
      </c>
      <c r="M93" s="358" t="str">
        <f t="shared" si="928"/>
        <v>Painel Serviços Auxiliares CC</v>
      </c>
      <c r="N93" s="359">
        <f>Padrões!JI34</f>
        <v>0</v>
      </c>
      <c r="O93" s="381" t="str">
        <f t="shared" si="929"/>
        <v>?</v>
      </c>
      <c r="P93" s="360">
        <f t="shared" si="930"/>
        <v>0.12</v>
      </c>
      <c r="Q93" s="360" t="str">
        <f t="shared" si="931"/>
        <v>?</v>
      </c>
      <c r="R93" s="360">
        <f t="shared" si="932"/>
        <v>0</v>
      </c>
      <c r="S93" s="361">
        <f t="shared" si="933"/>
        <v>0</v>
      </c>
      <c r="T93" s="362">
        <f t="shared" si="934"/>
        <v>0</v>
      </c>
      <c r="U93" s="53" t="str" cm="1">
        <f t="array" ref="U93">IFERROR(IF(I93&lt;&gt;"Serviço",IF(AND(mlookup(tbl_DIFAL_data,UFdestino,tbl_DIFAL_UF,O93,tbl_DIFAL_NCM)&lt;&gt;"",C93="Consumo"),"Sim",""),""),"?")</f>
        <v>?</v>
      </c>
      <c r="V93" s="363" t="str">
        <f>IFERROR(IF(I93&lt;&gt;"Serviço",IF(AND(D93="Não",mlookup(tbl_ST_data,UFdestino,tbl_ST_UF,O93,tbl_ST_NCM)&lt;&gt;"",C93="Revenda",CD93="Não"),"Sim",""),""),"?")</f>
        <v>?</v>
      </c>
      <c r="W93" s="364">
        <f t="shared" si="935"/>
        <v>0</v>
      </c>
      <c r="X93" s="365">
        <f>IF(V93="Sim",mlookup(tbl_ST_data,UFdestino,tbl_ST_UF,O93,tbl_ST_NCM),0)</f>
        <v>0</v>
      </c>
      <c r="Z93" s="355">
        <f t="shared" si="936"/>
        <v>0</v>
      </c>
      <c r="AA93" s="355">
        <f t="shared" si="937"/>
        <v>0</v>
      </c>
      <c r="AC93" s="366">
        <f t="shared" si="1011"/>
        <v>1.31243473968765E-2</v>
      </c>
      <c r="AD93" s="366">
        <f t="shared" si="939"/>
        <v>0.15</v>
      </c>
      <c r="AF93" s="355">
        <f t="shared" si="940"/>
        <v>0</v>
      </c>
      <c r="AG93" s="355">
        <f t="shared" si="941"/>
        <v>0</v>
      </c>
      <c r="AI93" s="355">
        <f t="shared" si="942"/>
        <v>0</v>
      </c>
      <c r="AK93" s="366">
        <f t="shared" si="1012"/>
        <v>0</v>
      </c>
      <c r="AL93" s="355">
        <f t="shared" si="944"/>
        <v>0</v>
      </c>
      <c r="AM93" s="355">
        <f t="shared" si="945"/>
        <v>0</v>
      </c>
      <c r="AO93" s="355" t="b">
        <f t="shared" si="946"/>
        <v>1</v>
      </c>
      <c r="AQ93" s="367">
        <f t="shared" si="947"/>
        <v>0</v>
      </c>
      <c r="AR93" s="367">
        <f t="shared" si="948"/>
        <v>0</v>
      </c>
      <c r="AT93" s="367">
        <f t="shared" si="949"/>
        <v>0</v>
      </c>
      <c r="AU93" s="367">
        <f t="shared" si="950"/>
        <v>0</v>
      </c>
      <c r="AW93" s="367">
        <f t="shared" si="951"/>
        <v>0</v>
      </c>
      <c r="AX93" s="367">
        <f t="shared" si="952"/>
        <v>0</v>
      </c>
      <c r="AY93" s="367">
        <f t="shared" si="953"/>
        <v>0</v>
      </c>
      <c r="AZ93" s="367">
        <f t="shared" si="954"/>
        <v>0</v>
      </c>
      <c r="BB93" s="355">
        <f t="shared" si="955"/>
        <v>0</v>
      </c>
      <c r="BC93" s="355">
        <f t="shared" si="956"/>
        <v>0</v>
      </c>
      <c r="BD93" s="355">
        <f t="shared" si="957"/>
        <v>0</v>
      </c>
      <c r="BE93" s="355">
        <f t="shared" si="958"/>
        <v>0</v>
      </c>
      <c r="BF93" s="355">
        <f t="shared" si="959"/>
        <v>0</v>
      </c>
      <c r="BH93" s="368">
        <f t="shared" si="960"/>
        <v>0</v>
      </c>
      <c r="BJ93" s="369">
        <f t="shared" si="961"/>
        <v>-0.12</v>
      </c>
      <c r="BK93" s="355">
        <f t="shared" si="962"/>
        <v>0</v>
      </c>
      <c r="BL93" s="355">
        <f t="shared" si="963"/>
        <v>0</v>
      </c>
      <c r="BN93" s="366">
        <f t="shared" si="964"/>
        <v>0</v>
      </c>
      <c r="BO93" s="355">
        <f t="shared" si="965"/>
        <v>0</v>
      </c>
      <c r="BP93" s="355">
        <f t="shared" si="966"/>
        <v>0</v>
      </c>
      <c r="BQ93" s="355">
        <f t="shared" si="967"/>
        <v>0</v>
      </c>
      <c r="BS93" s="367">
        <f t="shared" si="968"/>
        <v>0</v>
      </c>
      <c r="BT93" s="355">
        <f t="shared" si="969"/>
        <v>0</v>
      </c>
      <c r="BU93" s="355" t="b">
        <f t="shared" si="970"/>
        <v>1</v>
      </c>
      <c r="BW93" s="355" t="str">
        <f t="shared" si="971"/>
        <v/>
      </c>
      <c r="BX93" s="355">
        <f t="shared" si="972"/>
        <v>0</v>
      </c>
      <c r="BY93" s="356">
        <f t="shared" si="1013"/>
        <v>0</v>
      </c>
      <c r="BZ93" s="355">
        <f t="shared" si="974"/>
        <v>0</v>
      </c>
      <c r="CB93" s="102" t="str">
        <f t="shared" si="975"/>
        <v xml:space="preserve">  Chaparia</v>
      </c>
      <c r="CD93" s="355" t="str">
        <f t="shared" si="976"/>
        <v>Não</v>
      </c>
      <c r="CE93" s="368">
        <f>ifzero(mlookup(tbl_ICMSinterest_data,UFdestino,tbl_ICMSinterest_ufdest,UForigem,tbl_ICMSinterest_uforig))</f>
        <v>0.12</v>
      </c>
      <c r="CF93" s="368">
        <f>IF(N93&gt;0,IF(I93&lt;&gt;"Serviço",ifzero(mlookup(tbl_ICMSinterno_data,UForigem,tbl_ICMSinterno_UF,O93,tbl_ICMSinterno_NCM),mlookup(tbl_ICMSinterest_data,UForigem,tbl_ICMSinterest_ufdest,UForigem,tbl_ICMSinterest_uforig)),""),0)</f>
        <v>0</v>
      </c>
      <c r="CG93" s="368">
        <f>IF(N93&gt;0,IF(I93&lt;&gt;"Serviço",ifzero(mlookup(tbl_ICMSinterno_data,UFdestino,tbl_ICMSinterno_UF,O93,tbl_ICMSinterno_NCM),mlookup(tbl_ICMSinterest_data,UFdestino,tbl_ICMSinterest_ufdest,UFdestino,tbl_ICMSinterest_uforig)),""),0)</f>
        <v>0</v>
      </c>
      <c r="CI93" s="355">
        <f t="shared" si="977"/>
        <v>0</v>
      </c>
      <c r="CJ93" s="355">
        <f t="shared" si="978"/>
        <v>0</v>
      </c>
      <c r="CK93" s="355">
        <f t="shared" si="979"/>
        <v>0</v>
      </c>
      <c r="CL93" s="355">
        <f t="shared" si="980"/>
        <v>0</v>
      </c>
      <c r="CN93" s="370">
        <f t="shared" si="981"/>
        <v>0</v>
      </c>
      <c r="CO93" s="355">
        <f t="shared" si="982"/>
        <v>0</v>
      </c>
      <c r="CQ93" s="355" t="b">
        <f t="shared" si="983"/>
        <v>0</v>
      </c>
      <c r="CR93" s="355" t="b">
        <f t="shared" si="984"/>
        <v>1</v>
      </c>
      <c r="CS93" s="355" t="b">
        <f t="shared" si="985"/>
        <v>0</v>
      </c>
      <c r="CU93" s="2">
        <f t="shared" si="986"/>
        <v>0</v>
      </c>
      <c r="CV93" s="102">
        <f t="shared" si="987"/>
        <v>0</v>
      </c>
      <c r="CW93" s="102">
        <f t="shared" si="988"/>
        <v>0</v>
      </c>
      <c r="CX93" s="102">
        <f t="shared" si="989"/>
        <v>0</v>
      </c>
      <c r="CY93" s="290">
        <f t="shared" si="990"/>
        <v>0</v>
      </c>
      <c r="CZ93" s="102">
        <f t="shared" si="991"/>
        <v>0</v>
      </c>
      <c r="DA93" s="290">
        <f t="shared" si="992"/>
        <v>0</v>
      </c>
      <c r="DB93" s="102">
        <f t="shared" si="993"/>
        <v>0</v>
      </c>
      <c r="DC93" s="290">
        <f t="shared" si="994"/>
        <v>0</v>
      </c>
      <c r="DD93" s="102">
        <f t="shared" si="995"/>
        <v>0</v>
      </c>
      <c r="DE93" s="592">
        <f>IF(D93="Sim",HLOOKUP($DH$5,Parametrização!$G$2:$H$4,2,FALSE),0)</f>
        <v>0</v>
      </c>
      <c r="DF93" s="102">
        <f t="shared" si="996"/>
        <v>0</v>
      </c>
      <c r="DG93" s="592">
        <f>IF(D93="Sim",HLOOKUP($DH$5,Parametrização!$G$2:$H$4,3,FALSE),0)</f>
        <v>0</v>
      </c>
      <c r="DH93" s="102">
        <f t="shared" si="997"/>
        <v>0</v>
      </c>
      <c r="DI93" s="102">
        <f t="shared" si="998"/>
        <v>0</v>
      </c>
      <c r="DK93" s="3" t="str">
        <f t="shared" si="999"/>
        <v>NA</v>
      </c>
      <c r="DL93" s="2" t="str">
        <f t="shared" si="1000"/>
        <v>NA</v>
      </c>
      <c r="DM93" s="3" t="str">
        <f t="shared" si="1001"/>
        <v>NA</v>
      </c>
      <c r="DN93" s="9" t="str">
        <f t="shared" si="1002"/>
        <v>NA</v>
      </c>
      <c r="DO93" s="637" t="str">
        <f t="shared" si="1003"/>
        <v>NA</v>
      </c>
      <c r="DP93" s="637"/>
      <c r="DQ93" s="3" t="str">
        <f t="shared" si="1004"/>
        <v>NA</v>
      </c>
      <c r="DR93" s="2" t="str">
        <f t="shared" si="1005"/>
        <v>NA</v>
      </c>
      <c r="DS93" s="3" t="str">
        <f t="shared" si="1006"/>
        <v>NA</v>
      </c>
      <c r="DT93" s="9" t="str">
        <f t="shared" si="1007"/>
        <v>NA</v>
      </c>
      <c r="DU93" s="637" t="str">
        <f t="shared" si="1008"/>
        <v>NA</v>
      </c>
      <c r="DV93" s="637"/>
      <c r="DW93" s="682"/>
      <c r="DX93" s="682"/>
      <c r="DY93" s="682"/>
      <c r="DZ93" s="637"/>
      <c r="EA93" s="643"/>
    </row>
    <row r="94" spans="1:131" s="355" customFormat="1" ht="20.100000000000001" customHeight="1" outlineLevel="1" x14ac:dyDescent="0.25">
      <c r="A94" s="356"/>
      <c r="B94" s="355" t="s">
        <v>268</v>
      </c>
      <c r="C94" s="355" t="str">
        <f t="shared" si="1009"/>
        <v>Consumo</v>
      </c>
      <c r="D94" s="355" t="s">
        <v>53</v>
      </c>
      <c r="E94" s="18" t="s">
        <v>38</v>
      </c>
      <c r="F94" s="355" t="s">
        <v>53</v>
      </c>
      <c r="G94" s="357" t="str">
        <f t="shared" si="1010"/>
        <v>Geral</v>
      </c>
      <c r="H94" s="255" t="s">
        <v>377</v>
      </c>
      <c r="I94" s="356" t="str">
        <f t="shared" si="927"/>
        <v>Sistema</v>
      </c>
      <c r="K94" s="318" t="s">
        <v>2847</v>
      </c>
      <c r="L94" s="749" t="str">
        <f>IF(Padrões!JF35&lt;&gt;"",Padrões!JF35,"")</f>
        <v/>
      </c>
      <c r="M94" s="358" t="str">
        <f t="shared" si="928"/>
        <v>?</v>
      </c>
      <c r="N94" s="359">
        <f>Padrões!JI35</f>
        <v>0</v>
      </c>
      <c r="O94" s="381" t="str">
        <f t="shared" si="929"/>
        <v>?</v>
      </c>
      <c r="P94" s="360">
        <f t="shared" si="930"/>
        <v>0.12</v>
      </c>
      <c r="Q94" s="360" t="str">
        <f t="shared" si="931"/>
        <v>?</v>
      </c>
      <c r="R94" s="360">
        <f t="shared" si="932"/>
        <v>0</v>
      </c>
      <c r="S94" s="361">
        <f t="shared" si="933"/>
        <v>0</v>
      </c>
      <c r="T94" s="362">
        <f t="shared" si="934"/>
        <v>0</v>
      </c>
      <c r="U94" s="53" t="str" cm="1">
        <f t="array" ref="U94">IFERROR(IF(I94&lt;&gt;"Serviço",IF(AND(mlookup(tbl_DIFAL_data,UFdestino,tbl_DIFAL_UF,O94,tbl_DIFAL_NCM)&lt;&gt;"",C94="Consumo"),"Sim",""),""),"?")</f>
        <v>?</v>
      </c>
      <c r="V94" s="363" t="str">
        <f>IFERROR(IF(I94&lt;&gt;"Serviço",IF(AND(D94="Não",mlookup(tbl_ST_data,UFdestino,tbl_ST_UF,O94,tbl_ST_NCM)&lt;&gt;"",C94="Revenda",CD94="Não"),"Sim",""),""),"?")</f>
        <v>?</v>
      </c>
      <c r="W94" s="364">
        <f t="shared" si="935"/>
        <v>0</v>
      </c>
      <c r="X94" s="365">
        <f>IF(V94="Sim",mlookup(tbl_ST_data,UFdestino,tbl_ST_UF,O94,tbl_ST_NCM),0)</f>
        <v>0</v>
      </c>
      <c r="Z94" s="355">
        <f t="shared" si="936"/>
        <v>0</v>
      </c>
      <c r="AA94" s="355">
        <f t="shared" si="937"/>
        <v>0</v>
      </c>
      <c r="AC94" s="366">
        <f t="shared" si="1011"/>
        <v>1.31243473968765E-2</v>
      </c>
      <c r="AD94" s="366">
        <f t="shared" si="939"/>
        <v>0.15</v>
      </c>
      <c r="AF94" s="355">
        <f t="shared" si="940"/>
        <v>0</v>
      </c>
      <c r="AG94" s="355">
        <f t="shared" si="941"/>
        <v>0</v>
      </c>
      <c r="AI94" s="355">
        <f t="shared" si="942"/>
        <v>0</v>
      </c>
      <c r="AK94" s="366">
        <f t="shared" si="1012"/>
        <v>0</v>
      </c>
      <c r="AL94" s="355">
        <f t="shared" si="944"/>
        <v>0</v>
      </c>
      <c r="AM94" s="355">
        <f t="shared" si="945"/>
        <v>0</v>
      </c>
      <c r="AO94" s="355" t="b">
        <f t="shared" si="946"/>
        <v>1</v>
      </c>
      <c r="AQ94" s="367">
        <f t="shared" si="947"/>
        <v>0</v>
      </c>
      <c r="AR94" s="367">
        <f t="shared" si="948"/>
        <v>0</v>
      </c>
      <c r="AT94" s="367">
        <f t="shared" si="949"/>
        <v>0</v>
      </c>
      <c r="AU94" s="367">
        <f t="shared" si="950"/>
        <v>0</v>
      </c>
      <c r="AW94" s="367">
        <f t="shared" si="951"/>
        <v>0</v>
      </c>
      <c r="AX94" s="367">
        <f t="shared" si="952"/>
        <v>0</v>
      </c>
      <c r="AY94" s="367">
        <f t="shared" si="953"/>
        <v>0</v>
      </c>
      <c r="AZ94" s="367">
        <f t="shared" si="954"/>
        <v>0</v>
      </c>
      <c r="BB94" s="355">
        <f t="shared" si="955"/>
        <v>0</v>
      </c>
      <c r="BC94" s="355">
        <f t="shared" si="956"/>
        <v>0</v>
      </c>
      <c r="BD94" s="355">
        <f t="shared" si="957"/>
        <v>0</v>
      </c>
      <c r="BE94" s="355">
        <f t="shared" si="958"/>
        <v>0</v>
      </c>
      <c r="BF94" s="355">
        <f t="shared" si="959"/>
        <v>0</v>
      </c>
      <c r="BH94" s="368">
        <f t="shared" si="960"/>
        <v>0</v>
      </c>
      <c r="BJ94" s="369">
        <f t="shared" si="961"/>
        <v>-0.12</v>
      </c>
      <c r="BK94" s="355">
        <f t="shared" si="962"/>
        <v>0</v>
      </c>
      <c r="BL94" s="355">
        <f t="shared" si="963"/>
        <v>0</v>
      </c>
      <c r="BN94" s="366">
        <f t="shared" si="964"/>
        <v>0</v>
      </c>
      <c r="BO94" s="355">
        <f t="shared" si="965"/>
        <v>0</v>
      </c>
      <c r="BP94" s="355">
        <f t="shared" si="966"/>
        <v>0</v>
      </c>
      <c r="BQ94" s="355">
        <f t="shared" si="967"/>
        <v>0</v>
      </c>
      <c r="BS94" s="367">
        <f t="shared" si="968"/>
        <v>0</v>
      </c>
      <c r="BT94" s="355">
        <f t="shared" si="969"/>
        <v>0</v>
      </c>
      <c r="BU94" s="355" t="b">
        <f t="shared" si="970"/>
        <v>1</v>
      </c>
      <c r="BW94" s="355" t="str">
        <f t="shared" si="971"/>
        <v/>
      </c>
      <c r="BX94" s="355">
        <f t="shared" si="972"/>
        <v>0</v>
      </c>
      <c r="BY94" s="356">
        <f t="shared" si="1013"/>
        <v>0</v>
      </c>
      <c r="BZ94" s="355">
        <f t="shared" si="974"/>
        <v>0</v>
      </c>
      <c r="CB94" s="102" t="str">
        <f t="shared" si="975"/>
        <v>?</v>
      </c>
      <c r="CD94" s="355" t="str">
        <f t="shared" si="976"/>
        <v>Não</v>
      </c>
      <c r="CE94" s="368">
        <f>ifzero(mlookup(tbl_ICMSinterest_data,UFdestino,tbl_ICMSinterest_ufdest,UForigem,tbl_ICMSinterest_uforig))</f>
        <v>0.12</v>
      </c>
      <c r="CF94" s="368">
        <f>IF(N94&gt;0,IF(I94&lt;&gt;"Serviço",ifzero(mlookup(tbl_ICMSinterno_data,UForigem,tbl_ICMSinterno_UF,O94,tbl_ICMSinterno_NCM),mlookup(tbl_ICMSinterest_data,UForigem,tbl_ICMSinterest_ufdest,UForigem,tbl_ICMSinterest_uforig)),""),0)</f>
        <v>0</v>
      </c>
      <c r="CG94" s="368">
        <f>IF(N94&gt;0,IF(I94&lt;&gt;"Serviço",ifzero(mlookup(tbl_ICMSinterno_data,UFdestino,tbl_ICMSinterno_UF,O94,tbl_ICMSinterno_NCM),mlookup(tbl_ICMSinterest_data,UFdestino,tbl_ICMSinterest_ufdest,UFdestino,tbl_ICMSinterest_uforig)),""),0)</f>
        <v>0</v>
      </c>
      <c r="CI94" s="355">
        <f t="shared" si="977"/>
        <v>0</v>
      </c>
      <c r="CJ94" s="355">
        <f t="shared" si="978"/>
        <v>0</v>
      </c>
      <c r="CK94" s="355">
        <f t="shared" si="979"/>
        <v>0</v>
      </c>
      <c r="CL94" s="355">
        <f t="shared" si="980"/>
        <v>0</v>
      </c>
      <c r="CN94" s="370">
        <f t="shared" si="981"/>
        <v>1540</v>
      </c>
      <c r="CO94" s="355">
        <f t="shared" si="982"/>
        <v>0</v>
      </c>
      <c r="CQ94" s="355" t="b">
        <f t="shared" si="983"/>
        <v>0</v>
      </c>
      <c r="CR94" s="355" t="b">
        <f t="shared" si="984"/>
        <v>1</v>
      </c>
      <c r="CS94" s="355" t="b">
        <f t="shared" si="985"/>
        <v>0</v>
      </c>
      <c r="CU94" s="2">
        <f t="shared" si="986"/>
        <v>0</v>
      </c>
      <c r="CV94" s="102">
        <f t="shared" si="987"/>
        <v>0</v>
      </c>
      <c r="CW94" s="102">
        <f t="shared" si="988"/>
        <v>0</v>
      </c>
      <c r="CX94" s="102">
        <f t="shared" si="989"/>
        <v>0</v>
      </c>
      <c r="CY94" s="290">
        <f t="shared" si="990"/>
        <v>0</v>
      </c>
      <c r="CZ94" s="102">
        <f t="shared" si="991"/>
        <v>0</v>
      </c>
      <c r="DA94" s="290">
        <f t="shared" si="992"/>
        <v>0</v>
      </c>
      <c r="DB94" s="102">
        <f t="shared" si="993"/>
        <v>0</v>
      </c>
      <c r="DC94" s="290">
        <f t="shared" si="994"/>
        <v>0</v>
      </c>
      <c r="DD94" s="102">
        <f t="shared" si="995"/>
        <v>0</v>
      </c>
      <c r="DE94" s="592">
        <f>IF(D94="Sim",HLOOKUP($DH$5,Parametrização!$G$2:$H$4,2,FALSE),0)</f>
        <v>0</v>
      </c>
      <c r="DF94" s="102">
        <f t="shared" si="996"/>
        <v>0</v>
      </c>
      <c r="DG94" s="592">
        <f>IF(D94="Sim",HLOOKUP($DH$5,Parametrização!$G$2:$H$4,3,FALSE),0)</f>
        <v>0</v>
      </c>
      <c r="DH94" s="102">
        <f t="shared" si="997"/>
        <v>0</v>
      </c>
      <c r="DI94" s="102">
        <f t="shared" si="998"/>
        <v>0</v>
      </c>
      <c r="DK94" s="3" t="str">
        <f t="shared" si="999"/>
        <v>NA</v>
      </c>
      <c r="DL94" s="2" t="str">
        <f t="shared" si="1000"/>
        <v>NA</v>
      </c>
      <c r="DM94" s="3" t="str">
        <f t="shared" si="1001"/>
        <v>NA</v>
      </c>
      <c r="DN94" s="9" t="str">
        <f t="shared" si="1002"/>
        <v>NA</v>
      </c>
      <c r="DO94" s="637" t="str">
        <f t="shared" si="1003"/>
        <v>NA</v>
      </c>
      <c r="DP94" s="637"/>
      <c r="DQ94" s="3" t="str">
        <f t="shared" si="1004"/>
        <v>NA</v>
      </c>
      <c r="DR94" s="2" t="str">
        <f t="shared" si="1005"/>
        <v>NA</v>
      </c>
      <c r="DS94" s="3" t="str">
        <f t="shared" si="1006"/>
        <v>NA</v>
      </c>
      <c r="DT94" s="9" t="str">
        <f t="shared" si="1007"/>
        <v>NA</v>
      </c>
      <c r="DU94" s="637" t="str">
        <f t="shared" si="1008"/>
        <v>NA</v>
      </c>
      <c r="DV94" s="637"/>
      <c r="DW94" s="682"/>
      <c r="DX94" s="682"/>
      <c r="DY94" s="682"/>
      <c r="DZ94" s="637"/>
      <c r="EA94" s="643"/>
    </row>
    <row r="95" spans="1:131" s="355" customFormat="1" ht="20.100000000000001" customHeight="1" outlineLevel="1" x14ac:dyDescent="0.25">
      <c r="A95" s="356"/>
      <c r="B95" s="355" t="s">
        <v>268</v>
      </c>
      <c r="C95" s="355" t="str">
        <f t="shared" si="1009"/>
        <v>Consumo</v>
      </c>
      <c r="D95" s="355" t="s">
        <v>53</v>
      </c>
      <c r="E95" s="18" t="s">
        <v>38</v>
      </c>
      <c r="F95" s="355" t="s">
        <v>53</v>
      </c>
      <c r="G95" s="357" t="str">
        <f t="shared" si="1010"/>
        <v>Geral</v>
      </c>
      <c r="H95" s="255" t="s">
        <v>377</v>
      </c>
      <c r="I95" s="356" t="str">
        <f t="shared" si="927"/>
        <v>Sistema</v>
      </c>
      <c r="K95" s="318" t="s">
        <v>2848</v>
      </c>
      <c r="L95" s="749" t="str">
        <f>IF(Padrões!JF36&lt;&gt;"",Padrões!JF36,"")</f>
        <v>SAGE - SCADA/IHM</v>
      </c>
      <c r="M95" s="358" t="str">
        <f t="shared" si="928"/>
        <v>Licença SAGE SCADA/IHM. Fabricante: CEPEL.</v>
      </c>
      <c r="N95" s="359">
        <f>Padrões!JI36</f>
        <v>0</v>
      </c>
      <c r="O95" s="381" t="str">
        <f t="shared" si="929"/>
        <v>?</v>
      </c>
      <c r="P95" s="360">
        <f t="shared" si="930"/>
        <v>0.12</v>
      </c>
      <c r="Q95" s="360" t="str">
        <f t="shared" si="931"/>
        <v>?</v>
      </c>
      <c r="R95" s="360">
        <f t="shared" si="932"/>
        <v>0</v>
      </c>
      <c r="S95" s="361">
        <f t="shared" si="933"/>
        <v>0</v>
      </c>
      <c r="T95" s="362">
        <f t="shared" si="934"/>
        <v>0</v>
      </c>
      <c r="U95" s="53" t="str" cm="1">
        <f t="array" ref="U95">IFERROR(IF(I95&lt;&gt;"Serviço",IF(AND(mlookup(tbl_DIFAL_data,UFdestino,tbl_DIFAL_UF,O95,tbl_DIFAL_NCM)&lt;&gt;"",C95="Consumo"),"Sim",""),""),"?")</f>
        <v>?</v>
      </c>
      <c r="V95" s="363" t="str">
        <f>IFERROR(IF(I95&lt;&gt;"Serviço",IF(AND(D95="Não",mlookup(tbl_ST_data,UFdestino,tbl_ST_UF,O95,tbl_ST_NCM)&lt;&gt;"",C95="Revenda",CD95="Não"),"Sim",""),""),"?")</f>
        <v>?</v>
      </c>
      <c r="W95" s="364">
        <f t="shared" si="935"/>
        <v>0</v>
      </c>
      <c r="X95" s="365">
        <f>IF(V95="Sim",mlookup(tbl_ST_data,UFdestino,tbl_ST_UF,O95,tbl_ST_NCM),0)</f>
        <v>0</v>
      </c>
      <c r="Z95" s="355">
        <f t="shared" si="936"/>
        <v>0</v>
      </c>
      <c r="AA95" s="355">
        <f t="shared" si="937"/>
        <v>0</v>
      </c>
      <c r="AC95" s="366">
        <f t="shared" si="1011"/>
        <v>1.31243473968765E-2</v>
      </c>
      <c r="AD95" s="366">
        <f t="shared" si="939"/>
        <v>0.15</v>
      </c>
      <c r="AF95" s="355">
        <f t="shared" si="940"/>
        <v>0</v>
      </c>
      <c r="AG95" s="355">
        <f t="shared" si="941"/>
        <v>0</v>
      </c>
      <c r="AI95" s="355">
        <f t="shared" si="942"/>
        <v>0</v>
      </c>
      <c r="AK95" s="366">
        <f t="shared" si="1012"/>
        <v>0</v>
      </c>
      <c r="AL95" s="355">
        <f t="shared" si="944"/>
        <v>0</v>
      </c>
      <c r="AM95" s="355">
        <f t="shared" si="945"/>
        <v>0</v>
      </c>
      <c r="AO95" s="355" t="b">
        <f t="shared" si="946"/>
        <v>1</v>
      </c>
      <c r="AQ95" s="367">
        <f t="shared" si="947"/>
        <v>0</v>
      </c>
      <c r="AR95" s="367">
        <f t="shared" si="948"/>
        <v>0</v>
      </c>
      <c r="AT95" s="367">
        <f t="shared" si="949"/>
        <v>0</v>
      </c>
      <c r="AU95" s="367">
        <f t="shared" si="950"/>
        <v>0</v>
      </c>
      <c r="AW95" s="367">
        <f t="shared" si="951"/>
        <v>0</v>
      </c>
      <c r="AX95" s="367">
        <f t="shared" si="952"/>
        <v>0</v>
      </c>
      <c r="AY95" s="367">
        <f t="shared" si="953"/>
        <v>0</v>
      </c>
      <c r="AZ95" s="367">
        <f t="shared" si="954"/>
        <v>0</v>
      </c>
      <c r="BB95" s="355">
        <f t="shared" si="955"/>
        <v>0</v>
      </c>
      <c r="BC95" s="355">
        <f t="shared" si="956"/>
        <v>0</v>
      </c>
      <c r="BD95" s="355">
        <f t="shared" si="957"/>
        <v>0</v>
      </c>
      <c r="BE95" s="355">
        <f t="shared" si="958"/>
        <v>0</v>
      </c>
      <c r="BF95" s="355">
        <f t="shared" si="959"/>
        <v>0</v>
      </c>
      <c r="BH95" s="368">
        <f t="shared" si="960"/>
        <v>0</v>
      </c>
      <c r="BJ95" s="369">
        <f t="shared" si="961"/>
        <v>-0.12</v>
      </c>
      <c r="BK95" s="355">
        <f t="shared" si="962"/>
        <v>0</v>
      </c>
      <c r="BL95" s="355">
        <f t="shared" si="963"/>
        <v>0</v>
      </c>
      <c r="BN95" s="366">
        <f t="shared" si="964"/>
        <v>0</v>
      </c>
      <c r="BO95" s="355">
        <f t="shared" si="965"/>
        <v>0</v>
      </c>
      <c r="BP95" s="355">
        <f t="shared" si="966"/>
        <v>0</v>
      </c>
      <c r="BQ95" s="355">
        <f t="shared" si="967"/>
        <v>0</v>
      </c>
      <c r="BS95" s="367">
        <f t="shared" si="968"/>
        <v>0</v>
      </c>
      <c r="BT95" s="355">
        <f t="shared" si="969"/>
        <v>0</v>
      </c>
      <c r="BU95" s="355" t="b">
        <f t="shared" si="970"/>
        <v>1</v>
      </c>
      <c r="BW95" s="355" t="str">
        <f t="shared" si="971"/>
        <v/>
      </c>
      <c r="BX95" s="355">
        <f t="shared" si="972"/>
        <v>0</v>
      </c>
      <c r="BY95" s="356">
        <f t="shared" si="1013"/>
        <v>0</v>
      </c>
      <c r="BZ95" s="355">
        <f t="shared" si="974"/>
        <v>0</v>
      </c>
      <c r="CB95" s="102" t="str">
        <f t="shared" si="975"/>
        <v xml:space="preserve">  Software</v>
      </c>
      <c r="CD95" s="355" t="str">
        <f t="shared" si="976"/>
        <v>Não</v>
      </c>
      <c r="CE95" s="368">
        <f>ifzero(mlookup(tbl_ICMSinterest_data,UFdestino,tbl_ICMSinterest_ufdest,UForigem,tbl_ICMSinterest_uforig))</f>
        <v>0.12</v>
      </c>
      <c r="CF95" s="368">
        <f>IF(N95&gt;0,IF(I95&lt;&gt;"Serviço",ifzero(mlookup(tbl_ICMSinterno_data,UForigem,tbl_ICMSinterno_UF,O95,tbl_ICMSinterno_NCM),mlookup(tbl_ICMSinterest_data,UForigem,tbl_ICMSinterest_ufdest,UForigem,tbl_ICMSinterest_uforig)),""),0)</f>
        <v>0</v>
      </c>
      <c r="CG95" s="368">
        <f>IF(N95&gt;0,IF(I95&lt;&gt;"Serviço",ifzero(mlookup(tbl_ICMSinterno_data,UFdestino,tbl_ICMSinterno_UF,O95,tbl_ICMSinterno_NCM),mlookup(tbl_ICMSinterest_data,UFdestino,tbl_ICMSinterest_ufdest,UFdestino,tbl_ICMSinterest_uforig)),""),0)</f>
        <v>0</v>
      </c>
      <c r="CI95" s="355">
        <f t="shared" si="977"/>
        <v>0</v>
      </c>
      <c r="CJ95" s="355">
        <f t="shared" si="978"/>
        <v>0</v>
      </c>
      <c r="CK95" s="355">
        <f t="shared" si="979"/>
        <v>0</v>
      </c>
      <c r="CL95" s="355">
        <f t="shared" si="980"/>
        <v>0</v>
      </c>
      <c r="CN95" s="370">
        <f t="shared" si="981"/>
        <v>0</v>
      </c>
      <c r="CO95" s="355">
        <f t="shared" si="982"/>
        <v>0</v>
      </c>
      <c r="CQ95" s="355" t="b">
        <f t="shared" si="983"/>
        <v>0</v>
      </c>
      <c r="CR95" s="355" t="b">
        <f t="shared" si="984"/>
        <v>1</v>
      </c>
      <c r="CS95" s="355" t="b">
        <f t="shared" si="985"/>
        <v>0</v>
      </c>
      <c r="CU95" s="2">
        <f t="shared" si="986"/>
        <v>0</v>
      </c>
      <c r="CV95" s="102">
        <f t="shared" si="987"/>
        <v>0</v>
      </c>
      <c r="CW95" s="102">
        <f t="shared" si="988"/>
        <v>0</v>
      </c>
      <c r="CX95" s="102">
        <f t="shared" si="989"/>
        <v>0</v>
      </c>
      <c r="CY95" s="290">
        <f t="shared" si="990"/>
        <v>0</v>
      </c>
      <c r="CZ95" s="102">
        <f t="shared" si="991"/>
        <v>0</v>
      </c>
      <c r="DA95" s="290">
        <f t="shared" si="992"/>
        <v>0</v>
      </c>
      <c r="DB95" s="102">
        <f t="shared" si="993"/>
        <v>0</v>
      </c>
      <c r="DC95" s="290">
        <f t="shared" si="994"/>
        <v>0</v>
      </c>
      <c r="DD95" s="102">
        <f t="shared" si="995"/>
        <v>0</v>
      </c>
      <c r="DE95" s="592">
        <f>IF(D95="Sim",HLOOKUP($DH$5,Parametrização!$G$2:$H$4,2,FALSE),0)</f>
        <v>0</v>
      </c>
      <c r="DF95" s="102">
        <f t="shared" si="996"/>
        <v>0</v>
      </c>
      <c r="DG95" s="592">
        <f>IF(D95="Sim",HLOOKUP($DH$5,Parametrização!$G$2:$H$4,3,FALSE),0)</f>
        <v>0</v>
      </c>
      <c r="DH95" s="102">
        <f t="shared" si="997"/>
        <v>0</v>
      </c>
      <c r="DI95" s="102">
        <f t="shared" si="998"/>
        <v>0</v>
      </c>
      <c r="DK95" s="3" t="str">
        <f t="shared" si="999"/>
        <v>NA</v>
      </c>
      <c r="DL95" s="2" t="str">
        <f t="shared" si="1000"/>
        <v>NA</v>
      </c>
      <c r="DM95" s="3" t="str">
        <f t="shared" si="1001"/>
        <v>NA</v>
      </c>
      <c r="DN95" s="9" t="str">
        <f t="shared" si="1002"/>
        <v>NA</v>
      </c>
      <c r="DO95" s="637" t="str">
        <f t="shared" si="1003"/>
        <v>NA</v>
      </c>
      <c r="DP95" s="637"/>
      <c r="DQ95" s="3" t="str">
        <f t="shared" si="1004"/>
        <v>NA</v>
      </c>
      <c r="DR95" s="2" t="str">
        <f t="shared" si="1005"/>
        <v>NA</v>
      </c>
      <c r="DS95" s="3" t="str">
        <f t="shared" si="1006"/>
        <v>NA</v>
      </c>
      <c r="DT95" s="9" t="str">
        <f t="shared" si="1007"/>
        <v>NA</v>
      </c>
      <c r="DU95" s="637" t="str">
        <f t="shared" si="1008"/>
        <v>NA</v>
      </c>
      <c r="DV95" s="637"/>
      <c r="DW95" s="682"/>
      <c r="DX95" s="682"/>
      <c r="DY95" s="682"/>
      <c r="DZ95" s="637"/>
      <c r="EA95" s="643"/>
    </row>
    <row r="96" spans="1:131" s="355" customFormat="1" ht="20.100000000000001" customHeight="1" outlineLevel="1" x14ac:dyDescent="0.25">
      <c r="A96" s="356"/>
      <c r="B96" s="355" t="s">
        <v>268</v>
      </c>
      <c r="C96" s="355" t="str">
        <f t="shared" si="1009"/>
        <v>Consumo</v>
      </c>
      <c r="D96" s="355" t="s">
        <v>53</v>
      </c>
      <c r="E96" s="18" t="s">
        <v>38</v>
      </c>
      <c r="F96" s="355" t="s">
        <v>53</v>
      </c>
      <c r="G96" s="357" t="str">
        <f t="shared" si="1010"/>
        <v>Geral</v>
      </c>
      <c r="H96" s="255" t="s">
        <v>377</v>
      </c>
      <c r="I96" s="356" t="str">
        <f t="shared" si="927"/>
        <v>Sistema</v>
      </c>
      <c r="K96" s="318" t="s">
        <v>2849</v>
      </c>
      <c r="L96" s="749" t="str">
        <f>IF(Padrões!JF37&lt;&gt;"",Padrões!JF37,"")</f>
        <v>SAGE - IEC 61850</v>
      </c>
      <c r="M96" s="358" t="str">
        <f t="shared" si="928"/>
        <v>Licença SAGE IEC 61850. Fabricante: CEPEL.</v>
      </c>
      <c r="N96" s="359">
        <f>Padrões!JI37</f>
        <v>0</v>
      </c>
      <c r="O96" s="381" t="str">
        <f t="shared" si="929"/>
        <v>?</v>
      </c>
      <c r="P96" s="360">
        <f t="shared" si="930"/>
        <v>0.12</v>
      </c>
      <c r="Q96" s="360" t="str">
        <f t="shared" si="931"/>
        <v>?</v>
      </c>
      <c r="R96" s="360">
        <f t="shared" si="932"/>
        <v>0</v>
      </c>
      <c r="S96" s="361">
        <f t="shared" si="933"/>
        <v>0</v>
      </c>
      <c r="T96" s="362">
        <f t="shared" si="934"/>
        <v>0</v>
      </c>
      <c r="U96" s="53" t="str" cm="1">
        <f t="array" ref="U96">IFERROR(IF(I96&lt;&gt;"Serviço",IF(AND(mlookup(tbl_DIFAL_data,UFdestino,tbl_DIFAL_UF,O96,tbl_DIFAL_NCM)&lt;&gt;"",C96="Consumo"),"Sim",""),""),"?")</f>
        <v>?</v>
      </c>
      <c r="V96" s="363" t="str">
        <f>IFERROR(IF(I96&lt;&gt;"Serviço",IF(AND(D96="Não",mlookup(tbl_ST_data,UFdestino,tbl_ST_UF,O96,tbl_ST_NCM)&lt;&gt;"",C96="Revenda",CD96="Não"),"Sim",""),""),"?")</f>
        <v>?</v>
      </c>
      <c r="W96" s="364">
        <f t="shared" si="935"/>
        <v>0</v>
      </c>
      <c r="X96" s="365">
        <f>IF(V96="Sim",mlookup(tbl_ST_data,UFdestino,tbl_ST_UF,O96,tbl_ST_NCM),0)</f>
        <v>0</v>
      </c>
      <c r="Z96" s="355">
        <f t="shared" si="936"/>
        <v>0</v>
      </c>
      <c r="AA96" s="355">
        <f t="shared" si="937"/>
        <v>0</v>
      </c>
      <c r="AC96" s="366">
        <f t="shared" si="1011"/>
        <v>1.31243473968765E-2</v>
      </c>
      <c r="AD96" s="366">
        <f t="shared" si="939"/>
        <v>0.15</v>
      </c>
      <c r="AF96" s="355">
        <f t="shared" si="940"/>
        <v>0</v>
      </c>
      <c r="AG96" s="355">
        <f t="shared" si="941"/>
        <v>0</v>
      </c>
      <c r="AI96" s="355">
        <f t="shared" si="942"/>
        <v>0</v>
      </c>
      <c r="AK96" s="366">
        <f t="shared" si="1012"/>
        <v>0</v>
      </c>
      <c r="AL96" s="355">
        <f t="shared" si="944"/>
        <v>0</v>
      </c>
      <c r="AM96" s="355">
        <f t="shared" si="945"/>
        <v>0</v>
      </c>
      <c r="AO96" s="355" t="b">
        <f t="shared" si="946"/>
        <v>1</v>
      </c>
      <c r="AQ96" s="367">
        <f t="shared" si="947"/>
        <v>0</v>
      </c>
      <c r="AR96" s="367">
        <f t="shared" si="948"/>
        <v>0</v>
      </c>
      <c r="AT96" s="367">
        <f t="shared" si="949"/>
        <v>0</v>
      </c>
      <c r="AU96" s="367">
        <f t="shared" si="950"/>
        <v>0</v>
      </c>
      <c r="AW96" s="367">
        <f t="shared" si="951"/>
        <v>0</v>
      </c>
      <c r="AX96" s="367">
        <f t="shared" si="952"/>
        <v>0</v>
      </c>
      <c r="AY96" s="367">
        <f t="shared" si="953"/>
        <v>0</v>
      </c>
      <c r="AZ96" s="367">
        <f t="shared" si="954"/>
        <v>0</v>
      </c>
      <c r="BB96" s="355">
        <f t="shared" si="955"/>
        <v>0</v>
      </c>
      <c r="BC96" s="355">
        <f t="shared" si="956"/>
        <v>0</v>
      </c>
      <c r="BD96" s="355">
        <f t="shared" si="957"/>
        <v>0</v>
      </c>
      <c r="BE96" s="355">
        <f t="shared" si="958"/>
        <v>0</v>
      </c>
      <c r="BF96" s="355">
        <f t="shared" si="959"/>
        <v>0</v>
      </c>
      <c r="BH96" s="368">
        <f t="shared" si="960"/>
        <v>0</v>
      </c>
      <c r="BJ96" s="369">
        <f t="shared" si="961"/>
        <v>-0.12</v>
      </c>
      <c r="BK96" s="355">
        <f t="shared" si="962"/>
        <v>0</v>
      </c>
      <c r="BL96" s="355">
        <f t="shared" si="963"/>
        <v>0</v>
      </c>
      <c r="BN96" s="366">
        <f t="shared" si="964"/>
        <v>0</v>
      </c>
      <c r="BO96" s="355">
        <f t="shared" si="965"/>
        <v>0</v>
      </c>
      <c r="BP96" s="355">
        <f t="shared" si="966"/>
        <v>0</v>
      </c>
      <c r="BQ96" s="355">
        <f t="shared" si="967"/>
        <v>0</v>
      </c>
      <c r="BS96" s="367">
        <f t="shared" si="968"/>
        <v>0</v>
      </c>
      <c r="BT96" s="355">
        <f t="shared" si="969"/>
        <v>0</v>
      </c>
      <c r="BU96" s="355" t="b">
        <f t="shared" si="970"/>
        <v>1</v>
      </c>
      <c r="BW96" s="355" t="str">
        <f t="shared" si="971"/>
        <v/>
      </c>
      <c r="BX96" s="355">
        <f t="shared" si="972"/>
        <v>0</v>
      </c>
      <c r="BY96" s="356">
        <f t="shared" si="1013"/>
        <v>0</v>
      </c>
      <c r="BZ96" s="355">
        <f t="shared" si="974"/>
        <v>0</v>
      </c>
      <c r="CB96" s="102" t="str">
        <f t="shared" si="975"/>
        <v xml:space="preserve">  Software</v>
      </c>
      <c r="CD96" s="355" t="str">
        <f t="shared" si="976"/>
        <v>Não</v>
      </c>
      <c r="CE96" s="368">
        <f>ifzero(mlookup(tbl_ICMSinterest_data,UFdestino,tbl_ICMSinterest_ufdest,UForigem,tbl_ICMSinterest_uforig))</f>
        <v>0.12</v>
      </c>
      <c r="CF96" s="368">
        <f>IF(N96&gt;0,IF(I96&lt;&gt;"Serviço",ifzero(mlookup(tbl_ICMSinterno_data,UForigem,tbl_ICMSinterno_UF,O96,tbl_ICMSinterno_NCM),mlookup(tbl_ICMSinterest_data,UForigem,tbl_ICMSinterest_ufdest,UForigem,tbl_ICMSinterest_uforig)),""),0)</f>
        <v>0</v>
      </c>
      <c r="CG96" s="368">
        <f>IF(N96&gt;0,IF(I96&lt;&gt;"Serviço",ifzero(mlookup(tbl_ICMSinterno_data,UFdestino,tbl_ICMSinterno_UF,O96,tbl_ICMSinterno_NCM),mlookup(tbl_ICMSinterest_data,UFdestino,tbl_ICMSinterest_ufdest,UFdestino,tbl_ICMSinterest_uforig)),""),0)</f>
        <v>0</v>
      </c>
      <c r="CI96" s="355">
        <f t="shared" si="977"/>
        <v>0</v>
      </c>
      <c r="CJ96" s="355">
        <f t="shared" si="978"/>
        <v>0</v>
      </c>
      <c r="CK96" s="355">
        <f t="shared" si="979"/>
        <v>0</v>
      </c>
      <c r="CL96" s="355">
        <f t="shared" si="980"/>
        <v>0</v>
      </c>
      <c r="CN96" s="370">
        <f t="shared" si="981"/>
        <v>0</v>
      </c>
      <c r="CO96" s="355">
        <f t="shared" si="982"/>
        <v>0</v>
      </c>
      <c r="CQ96" s="355" t="b">
        <f t="shared" si="983"/>
        <v>0</v>
      </c>
      <c r="CR96" s="355" t="b">
        <f t="shared" si="984"/>
        <v>1</v>
      </c>
      <c r="CS96" s="355" t="b">
        <f t="shared" si="985"/>
        <v>0</v>
      </c>
      <c r="CU96" s="2">
        <f t="shared" si="986"/>
        <v>0</v>
      </c>
      <c r="CV96" s="102">
        <f t="shared" si="987"/>
        <v>0</v>
      </c>
      <c r="CW96" s="102">
        <f t="shared" ref="CW96:CW159" si="1014">CX96*(1-CY96-DA96-DE96-DG96)/(1+DC96)</f>
        <v>0</v>
      </c>
      <c r="CX96" s="102">
        <f t="shared" si="989"/>
        <v>0</v>
      </c>
      <c r="CY96" s="290">
        <f t="shared" si="990"/>
        <v>0</v>
      </c>
      <c r="CZ96" s="102">
        <f t="shared" si="991"/>
        <v>0</v>
      </c>
      <c r="DA96" s="290">
        <f t="shared" si="992"/>
        <v>0</v>
      </c>
      <c r="DB96" s="102">
        <f t="shared" si="993"/>
        <v>0</v>
      </c>
      <c r="DC96" s="290">
        <f t="shared" si="994"/>
        <v>0</v>
      </c>
      <c r="DD96" s="102">
        <f t="shared" si="995"/>
        <v>0</v>
      </c>
      <c r="DE96" s="592">
        <f>IF(D96="Sim",HLOOKUP($DH$5,Parametrização!$G$2:$H$4,2,FALSE),0)</f>
        <v>0</v>
      </c>
      <c r="DF96" s="102">
        <f t="shared" si="996"/>
        <v>0</v>
      </c>
      <c r="DG96" s="592">
        <f>IF(D96="Sim",HLOOKUP($DH$5,Parametrização!$G$2:$H$4,3,FALSE),0)</f>
        <v>0</v>
      </c>
      <c r="DH96" s="102">
        <f t="shared" si="997"/>
        <v>0</v>
      </c>
      <c r="DI96" s="102">
        <f t="shared" si="998"/>
        <v>0</v>
      </c>
      <c r="DK96" s="3" t="str">
        <f t="shared" si="999"/>
        <v>NA</v>
      </c>
      <c r="DL96" s="2" t="str">
        <f t="shared" si="1000"/>
        <v>NA</v>
      </c>
      <c r="DM96" s="3" t="str">
        <f t="shared" si="1001"/>
        <v>NA</v>
      </c>
      <c r="DN96" s="9" t="str">
        <f t="shared" si="1002"/>
        <v>NA</v>
      </c>
      <c r="DO96" s="637" t="str">
        <f t="shared" si="1003"/>
        <v>NA</v>
      </c>
      <c r="DP96" s="637"/>
      <c r="DQ96" s="3" t="str">
        <f t="shared" si="1004"/>
        <v>NA</v>
      </c>
      <c r="DR96" s="2" t="str">
        <f t="shared" si="1005"/>
        <v>NA</v>
      </c>
      <c r="DS96" s="3" t="str">
        <f t="shared" si="1006"/>
        <v>NA</v>
      </c>
      <c r="DT96" s="9" t="str">
        <f t="shared" si="1007"/>
        <v>NA</v>
      </c>
      <c r="DU96" s="637" t="str">
        <f t="shared" si="1008"/>
        <v>NA</v>
      </c>
      <c r="DV96" s="637"/>
      <c r="DW96" s="682"/>
      <c r="DX96" s="682"/>
      <c r="DY96" s="682"/>
      <c r="DZ96" s="637"/>
      <c r="EA96" s="643"/>
    </row>
    <row r="97" spans="1:131" s="355" customFormat="1" ht="20.100000000000001" customHeight="1" outlineLevel="1" x14ac:dyDescent="0.25">
      <c r="A97" s="356"/>
      <c r="B97" s="355" t="s">
        <v>268</v>
      </c>
      <c r="C97" s="355" t="str">
        <f t="shared" si="1009"/>
        <v>Consumo</v>
      </c>
      <c r="D97" s="355" t="s">
        <v>53</v>
      </c>
      <c r="E97" s="18" t="s">
        <v>38</v>
      </c>
      <c r="F97" s="355" t="s">
        <v>53</v>
      </c>
      <c r="G97" s="357" t="str">
        <f t="shared" si="1010"/>
        <v>Geral</v>
      </c>
      <c r="H97" s="255" t="s">
        <v>377</v>
      </c>
      <c r="I97" s="356" t="str">
        <f t="shared" si="927"/>
        <v>Sistema</v>
      </c>
      <c r="K97" s="318" t="s">
        <v>2850</v>
      </c>
      <c r="L97" s="749" t="str">
        <f>IF(Padrões!JF38&lt;&gt;"",Padrões!JF38,"")</f>
        <v>Elipse Power HMI 5.000</v>
      </c>
      <c r="M97" s="358" t="str">
        <f t="shared" si="928"/>
        <v>Licença Elipse Power HMI, até 5.000 pontos. Fabricante: Elipse.</v>
      </c>
      <c r="N97" s="359">
        <f>Padrões!JI38</f>
        <v>0</v>
      </c>
      <c r="O97" s="381" t="str">
        <f t="shared" si="929"/>
        <v>?</v>
      </c>
      <c r="P97" s="360">
        <f t="shared" si="930"/>
        <v>0.12</v>
      </c>
      <c r="Q97" s="360" t="str">
        <f t="shared" si="931"/>
        <v>?</v>
      </c>
      <c r="R97" s="360">
        <f t="shared" si="932"/>
        <v>0</v>
      </c>
      <c r="S97" s="361">
        <f t="shared" si="933"/>
        <v>0</v>
      </c>
      <c r="T97" s="362">
        <f t="shared" si="934"/>
        <v>0</v>
      </c>
      <c r="U97" s="53" t="str" cm="1">
        <f t="array" ref="U97">IFERROR(IF(I97&lt;&gt;"Serviço",IF(AND(mlookup(tbl_DIFAL_data,UFdestino,tbl_DIFAL_UF,O97,tbl_DIFAL_NCM)&lt;&gt;"",C97="Consumo"),"Sim",""),""),"?")</f>
        <v>?</v>
      </c>
      <c r="V97" s="363" t="str">
        <f>IFERROR(IF(I97&lt;&gt;"Serviço",IF(AND(D97="Não",mlookup(tbl_ST_data,UFdestino,tbl_ST_UF,O97,tbl_ST_NCM)&lt;&gt;"",C97="Revenda",CD97="Não"),"Sim",""),""),"?")</f>
        <v>?</v>
      </c>
      <c r="W97" s="364">
        <f t="shared" si="935"/>
        <v>0</v>
      </c>
      <c r="X97" s="365">
        <f>IF(V97="Sim",mlookup(tbl_ST_data,UFdestino,tbl_ST_UF,O97,tbl_ST_NCM),0)</f>
        <v>0</v>
      </c>
      <c r="Z97" s="355">
        <f t="shared" si="936"/>
        <v>0</v>
      </c>
      <c r="AA97" s="355">
        <f t="shared" si="937"/>
        <v>0</v>
      </c>
      <c r="AC97" s="366">
        <f t="shared" si="1011"/>
        <v>1.31243473968765E-2</v>
      </c>
      <c r="AD97" s="366">
        <f t="shared" si="939"/>
        <v>0.15</v>
      </c>
      <c r="AF97" s="355">
        <f t="shared" si="940"/>
        <v>0</v>
      </c>
      <c r="AG97" s="355">
        <f t="shared" si="941"/>
        <v>0</v>
      </c>
      <c r="AI97" s="355">
        <f t="shared" si="942"/>
        <v>0</v>
      </c>
      <c r="AK97" s="366">
        <f t="shared" si="1012"/>
        <v>0</v>
      </c>
      <c r="AL97" s="355">
        <f t="shared" si="944"/>
        <v>0</v>
      </c>
      <c r="AM97" s="355">
        <f t="shared" si="945"/>
        <v>0</v>
      </c>
      <c r="AO97" s="355" t="b">
        <f t="shared" si="946"/>
        <v>1</v>
      </c>
      <c r="AQ97" s="367">
        <f t="shared" si="947"/>
        <v>0</v>
      </c>
      <c r="AR97" s="367">
        <f t="shared" si="948"/>
        <v>0</v>
      </c>
      <c r="AT97" s="367">
        <f t="shared" si="949"/>
        <v>0</v>
      </c>
      <c r="AU97" s="367">
        <f t="shared" si="950"/>
        <v>0</v>
      </c>
      <c r="AW97" s="367">
        <f t="shared" si="951"/>
        <v>0</v>
      </c>
      <c r="AX97" s="367">
        <f t="shared" si="952"/>
        <v>0</v>
      </c>
      <c r="AY97" s="367">
        <f t="shared" si="953"/>
        <v>0</v>
      </c>
      <c r="AZ97" s="367">
        <f t="shared" si="954"/>
        <v>0</v>
      </c>
      <c r="BB97" s="355">
        <f t="shared" si="955"/>
        <v>0</v>
      </c>
      <c r="BC97" s="355">
        <f t="shared" si="956"/>
        <v>0</v>
      </c>
      <c r="BD97" s="355">
        <f t="shared" si="957"/>
        <v>0</v>
      </c>
      <c r="BE97" s="355">
        <f t="shared" si="958"/>
        <v>0</v>
      </c>
      <c r="BF97" s="355">
        <f t="shared" si="959"/>
        <v>0</v>
      </c>
      <c r="BH97" s="368">
        <f t="shared" si="960"/>
        <v>0</v>
      </c>
      <c r="BJ97" s="369">
        <f t="shared" si="961"/>
        <v>-0.12</v>
      </c>
      <c r="BK97" s="355">
        <f t="shared" si="962"/>
        <v>0</v>
      </c>
      <c r="BL97" s="355">
        <f t="shared" si="963"/>
        <v>0</v>
      </c>
      <c r="BN97" s="366">
        <f t="shared" si="964"/>
        <v>0</v>
      </c>
      <c r="BO97" s="355">
        <f t="shared" si="965"/>
        <v>0</v>
      </c>
      <c r="BP97" s="355">
        <f t="shared" si="966"/>
        <v>0</v>
      </c>
      <c r="BQ97" s="355">
        <f t="shared" si="967"/>
        <v>0</v>
      </c>
      <c r="BS97" s="367">
        <f t="shared" si="968"/>
        <v>0</v>
      </c>
      <c r="BT97" s="355">
        <f t="shared" si="969"/>
        <v>0</v>
      </c>
      <c r="BU97" s="355" t="b">
        <f t="shared" si="970"/>
        <v>1</v>
      </c>
      <c r="BW97" s="355" t="str">
        <f t="shared" si="971"/>
        <v/>
      </c>
      <c r="BX97" s="355">
        <f t="shared" si="972"/>
        <v>0</v>
      </c>
      <c r="BY97" s="356">
        <f t="shared" si="1013"/>
        <v>0</v>
      </c>
      <c r="BZ97" s="355">
        <f t="shared" si="974"/>
        <v>0</v>
      </c>
      <c r="CB97" s="102" t="str">
        <f t="shared" si="975"/>
        <v xml:space="preserve">  Software</v>
      </c>
      <c r="CD97" s="355" t="str">
        <f t="shared" si="976"/>
        <v>Não</v>
      </c>
      <c r="CE97" s="368">
        <f>ifzero(mlookup(tbl_ICMSinterest_data,UFdestino,tbl_ICMSinterest_ufdest,UForigem,tbl_ICMSinterest_uforig))</f>
        <v>0.12</v>
      </c>
      <c r="CF97" s="368">
        <f>IF(N97&gt;0,IF(I97&lt;&gt;"Serviço",ifzero(mlookup(tbl_ICMSinterno_data,UForigem,tbl_ICMSinterno_UF,O97,tbl_ICMSinterno_NCM),mlookup(tbl_ICMSinterest_data,UForigem,tbl_ICMSinterest_ufdest,UForigem,tbl_ICMSinterest_uforig)),""),0)</f>
        <v>0</v>
      </c>
      <c r="CG97" s="368">
        <f>IF(N97&gt;0,IF(I97&lt;&gt;"Serviço",ifzero(mlookup(tbl_ICMSinterno_data,UFdestino,tbl_ICMSinterno_UF,O97,tbl_ICMSinterno_NCM),mlookup(tbl_ICMSinterest_data,UFdestino,tbl_ICMSinterest_ufdest,UFdestino,tbl_ICMSinterest_uforig)),""),0)</f>
        <v>0</v>
      </c>
      <c r="CI97" s="355">
        <f t="shared" si="977"/>
        <v>0</v>
      </c>
      <c r="CJ97" s="355">
        <f t="shared" si="978"/>
        <v>0</v>
      </c>
      <c r="CK97" s="355">
        <f t="shared" si="979"/>
        <v>0</v>
      </c>
      <c r="CL97" s="355">
        <f t="shared" si="980"/>
        <v>0</v>
      </c>
      <c r="CN97" s="370">
        <f t="shared" si="981"/>
        <v>0</v>
      </c>
      <c r="CO97" s="355">
        <f t="shared" si="982"/>
        <v>0</v>
      </c>
      <c r="CQ97" s="355" t="b">
        <f t="shared" si="983"/>
        <v>0</v>
      </c>
      <c r="CR97" s="355" t="b">
        <f t="shared" si="984"/>
        <v>1</v>
      </c>
      <c r="CS97" s="355" t="b">
        <f t="shared" si="985"/>
        <v>0</v>
      </c>
      <c r="CU97" s="2">
        <f t="shared" si="986"/>
        <v>0</v>
      </c>
      <c r="CV97" s="102">
        <f t="shared" si="987"/>
        <v>0</v>
      </c>
      <c r="CW97" s="102">
        <f t="shared" si="1014"/>
        <v>0</v>
      </c>
      <c r="CX97" s="102">
        <f t="shared" si="989"/>
        <v>0</v>
      </c>
      <c r="CY97" s="290">
        <f t="shared" si="990"/>
        <v>0</v>
      </c>
      <c r="CZ97" s="102">
        <f t="shared" si="991"/>
        <v>0</v>
      </c>
      <c r="DA97" s="290">
        <f t="shared" si="992"/>
        <v>0</v>
      </c>
      <c r="DB97" s="102">
        <f t="shared" si="993"/>
        <v>0</v>
      </c>
      <c r="DC97" s="290">
        <f t="shared" si="994"/>
        <v>0</v>
      </c>
      <c r="DD97" s="102">
        <f t="shared" si="995"/>
        <v>0</v>
      </c>
      <c r="DE97" s="592">
        <f>IF(D97="Sim",HLOOKUP($DH$5,Parametrização!$G$2:$H$4,2,FALSE),0)</f>
        <v>0</v>
      </c>
      <c r="DF97" s="102">
        <f t="shared" si="996"/>
        <v>0</v>
      </c>
      <c r="DG97" s="592">
        <f>IF(D97="Sim",HLOOKUP($DH$5,Parametrização!$G$2:$H$4,3,FALSE),0)</f>
        <v>0</v>
      </c>
      <c r="DH97" s="102">
        <f t="shared" si="997"/>
        <v>0</v>
      </c>
      <c r="DI97" s="102">
        <f t="shared" si="998"/>
        <v>0</v>
      </c>
      <c r="DK97" s="3" t="str">
        <f t="shared" si="999"/>
        <v>NA</v>
      </c>
      <c r="DL97" s="2" t="str">
        <f t="shared" si="1000"/>
        <v>NA</v>
      </c>
      <c r="DM97" s="3" t="str">
        <f t="shared" si="1001"/>
        <v>NA</v>
      </c>
      <c r="DN97" s="9" t="str">
        <f t="shared" si="1002"/>
        <v>NA</v>
      </c>
      <c r="DO97" s="637" t="str">
        <f t="shared" si="1003"/>
        <v>NA</v>
      </c>
      <c r="DP97" s="637"/>
      <c r="DQ97" s="3" t="str">
        <f t="shared" si="1004"/>
        <v>NA</v>
      </c>
      <c r="DR97" s="2" t="str">
        <f t="shared" si="1005"/>
        <v>NA</v>
      </c>
      <c r="DS97" s="3" t="str">
        <f t="shared" si="1006"/>
        <v>NA</v>
      </c>
      <c r="DT97" s="9" t="str">
        <f t="shared" si="1007"/>
        <v>NA</v>
      </c>
      <c r="DU97" s="637" t="str">
        <f t="shared" si="1008"/>
        <v>NA</v>
      </c>
      <c r="DV97" s="637"/>
      <c r="DW97" s="682"/>
      <c r="DX97" s="682"/>
      <c r="DY97" s="682"/>
      <c r="DZ97" s="637"/>
      <c r="EA97" s="643"/>
    </row>
    <row r="98" spans="1:131" s="355" customFormat="1" ht="20.100000000000001" customHeight="1" outlineLevel="1" x14ac:dyDescent="0.25">
      <c r="A98" s="356"/>
      <c r="B98" s="355" t="s">
        <v>268</v>
      </c>
      <c r="C98" s="355" t="str">
        <f t="shared" si="1009"/>
        <v>Consumo</v>
      </c>
      <c r="D98" s="355" t="s">
        <v>53</v>
      </c>
      <c r="E98" s="18" t="s">
        <v>38</v>
      </c>
      <c r="F98" s="355" t="s">
        <v>53</v>
      </c>
      <c r="G98" s="357" t="str">
        <f t="shared" si="1010"/>
        <v>Geral</v>
      </c>
      <c r="H98" s="255" t="s">
        <v>377</v>
      </c>
      <c r="I98" s="356" t="str">
        <f t="shared" si="927"/>
        <v>Sistema</v>
      </c>
      <c r="K98" s="318" t="s">
        <v>2851</v>
      </c>
      <c r="L98" s="749" t="str">
        <f>IF(Padrões!JF39&lt;&gt;"",Padrões!JF39,"")</f>
        <v>Driver IEC 61850 (25 connections)</v>
      </c>
      <c r="M98" s="358" t="str">
        <f t="shared" si="928"/>
        <v>Driver IEC 61850, até 25 connections, para software Elipse Power. Fabricante: Elipse.</v>
      </c>
      <c r="N98" s="359">
        <f>Padrões!JI39</f>
        <v>0</v>
      </c>
      <c r="O98" s="381" t="str">
        <f t="shared" si="929"/>
        <v>?</v>
      </c>
      <c r="P98" s="360">
        <f t="shared" si="930"/>
        <v>0.12</v>
      </c>
      <c r="Q98" s="360" t="str">
        <f t="shared" si="931"/>
        <v>?</v>
      </c>
      <c r="R98" s="360">
        <f t="shared" si="932"/>
        <v>0</v>
      </c>
      <c r="S98" s="361">
        <f t="shared" si="933"/>
        <v>0</v>
      </c>
      <c r="T98" s="362">
        <f t="shared" si="934"/>
        <v>0</v>
      </c>
      <c r="U98" s="53" t="str" cm="1">
        <f t="array" ref="U98">IFERROR(IF(I98&lt;&gt;"Serviço",IF(AND(mlookup(tbl_DIFAL_data,UFdestino,tbl_DIFAL_UF,O98,tbl_DIFAL_NCM)&lt;&gt;"",C98="Consumo"),"Sim",""),""),"?")</f>
        <v>?</v>
      </c>
      <c r="V98" s="363" t="str">
        <f>IFERROR(IF(I98&lt;&gt;"Serviço",IF(AND(D98="Não",mlookup(tbl_ST_data,UFdestino,tbl_ST_UF,O98,tbl_ST_NCM)&lt;&gt;"",C98="Revenda",CD98="Não"),"Sim",""),""),"?")</f>
        <v>?</v>
      </c>
      <c r="W98" s="364">
        <f t="shared" si="935"/>
        <v>0</v>
      </c>
      <c r="X98" s="365">
        <f>IF(V98="Sim",mlookup(tbl_ST_data,UFdestino,tbl_ST_UF,O98,tbl_ST_NCM),0)</f>
        <v>0</v>
      </c>
      <c r="Z98" s="355">
        <f t="shared" si="936"/>
        <v>0</v>
      </c>
      <c r="AA98" s="355">
        <f t="shared" si="937"/>
        <v>0</v>
      </c>
      <c r="AC98" s="366">
        <f t="shared" si="1011"/>
        <v>1.31243473968765E-2</v>
      </c>
      <c r="AD98" s="366">
        <f t="shared" si="939"/>
        <v>0.15</v>
      </c>
      <c r="AF98" s="355">
        <f t="shared" si="940"/>
        <v>0</v>
      </c>
      <c r="AG98" s="355">
        <f t="shared" si="941"/>
        <v>0</v>
      </c>
      <c r="AI98" s="355">
        <f t="shared" si="942"/>
        <v>0</v>
      </c>
      <c r="AK98" s="366">
        <f t="shared" si="1012"/>
        <v>0</v>
      </c>
      <c r="AL98" s="355">
        <f t="shared" si="944"/>
        <v>0</v>
      </c>
      <c r="AM98" s="355">
        <f t="shared" si="945"/>
        <v>0</v>
      </c>
      <c r="AO98" s="355" t="b">
        <f t="shared" si="946"/>
        <v>1</v>
      </c>
      <c r="AQ98" s="367">
        <f t="shared" si="947"/>
        <v>0</v>
      </c>
      <c r="AR98" s="367">
        <f t="shared" si="948"/>
        <v>0</v>
      </c>
      <c r="AT98" s="367">
        <f t="shared" si="949"/>
        <v>0</v>
      </c>
      <c r="AU98" s="367">
        <f t="shared" si="950"/>
        <v>0</v>
      </c>
      <c r="AW98" s="367">
        <f t="shared" si="951"/>
        <v>0</v>
      </c>
      <c r="AX98" s="367">
        <f t="shared" si="952"/>
        <v>0</v>
      </c>
      <c r="AY98" s="367">
        <f t="shared" si="953"/>
        <v>0</v>
      </c>
      <c r="AZ98" s="367">
        <f t="shared" si="954"/>
        <v>0</v>
      </c>
      <c r="BB98" s="355">
        <f t="shared" si="955"/>
        <v>0</v>
      </c>
      <c r="BC98" s="355">
        <f t="shared" si="956"/>
        <v>0</v>
      </c>
      <c r="BD98" s="355">
        <f t="shared" si="957"/>
        <v>0</v>
      </c>
      <c r="BE98" s="355">
        <f t="shared" si="958"/>
        <v>0</v>
      </c>
      <c r="BF98" s="355">
        <f t="shared" si="959"/>
        <v>0</v>
      </c>
      <c r="BH98" s="368">
        <f t="shared" si="960"/>
        <v>0</v>
      </c>
      <c r="BJ98" s="369">
        <f t="shared" si="961"/>
        <v>-0.12</v>
      </c>
      <c r="BK98" s="355">
        <f t="shared" si="962"/>
        <v>0</v>
      </c>
      <c r="BL98" s="355">
        <f t="shared" si="963"/>
        <v>0</v>
      </c>
      <c r="BN98" s="366">
        <f t="shared" si="964"/>
        <v>0</v>
      </c>
      <c r="BO98" s="355">
        <f t="shared" si="965"/>
        <v>0</v>
      </c>
      <c r="BP98" s="355">
        <f t="shared" si="966"/>
        <v>0</v>
      </c>
      <c r="BQ98" s="355">
        <f t="shared" si="967"/>
        <v>0</v>
      </c>
      <c r="BS98" s="367">
        <f t="shared" si="968"/>
        <v>0</v>
      </c>
      <c r="BT98" s="355">
        <f t="shared" si="969"/>
        <v>0</v>
      </c>
      <c r="BU98" s="355" t="b">
        <f t="shared" si="970"/>
        <v>1</v>
      </c>
      <c r="BW98" s="355" t="str">
        <f t="shared" si="971"/>
        <v/>
      </c>
      <c r="BX98" s="355">
        <f t="shared" si="972"/>
        <v>0</v>
      </c>
      <c r="BY98" s="356">
        <f t="shared" si="1013"/>
        <v>0</v>
      </c>
      <c r="BZ98" s="355">
        <f t="shared" si="974"/>
        <v>0</v>
      </c>
      <c r="CB98" s="102" t="str">
        <f t="shared" si="975"/>
        <v xml:space="preserve">  Software</v>
      </c>
      <c r="CD98" s="355" t="str">
        <f t="shared" si="976"/>
        <v>Não</v>
      </c>
      <c r="CE98" s="368">
        <f>ifzero(mlookup(tbl_ICMSinterest_data,UFdestino,tbl_ICMSinterest_ufdest,UForigem,tbl_ICMSinterest_uforig))</f>
        <v>0.12</v>
      </c>
      <c r="CF98" s="368">
        <f>IF(N98&gt;0,IF(I98&lt;&gt;"Serviço",ifzero(mlookup(tbl_ICMSinterno_data,UForigem,tbl_ICMSinterno_UF,O98,tbl_ICMSinterno_NCM),mlookup(tbl_ICMSinterest_data,UForigem,tbl_ICMSinterest_ufdest,UForigem,tbl_ICMSinterest_uforig)),""),0)</f>
        <v>0</v>
      </c>
      <c r="CG98" s="368">
        <f>IF(N98&gt;0,IF(I98&lt;&gt;"Serviço",ifzero(mlookup(tbl_ICMSinterno_data,UFdestino,tbl_ICMSinterno_UF,O98,tbl_ICMSinterno_NCM),mlookup(tbl_ICMSinterest_data,UFdestino,tbl_ICMSinterest_ufdest,UFdestino,tbl_ICMSinterest_uforig)),""),0)</f>
        <v>0</v>
      </c>
      <c r="CI98" s="355">
        <f t="shared" si="977"/>
        <v>0</v>
      </c>
      <c r="CJ98" s="355">
        <f t="shared" si="978"/>
        <v>0</v>
      </c>
      <c r="CK98" s="355">
        <f t="shared" si="979"/>
        <v>0</v>
      </c>
      <c r="CL98" s="355">
        <f t="shared" si="980"/>
        <v>0</v>
      </c>
      <c r="CN98" s="370">
        <f t="shared" si="981"/>
        <v>0</v>
      </c>
      <c r="CO98" s="355">
        <f t="shared" si="982"/>
        <v>0</v>
      </c>
      <c r="CQ98" s="355" t="b">
        <f t="shared" si="983"/>
        <v>0</v>
      </c>
      <c r="CR98" s="355" t="b">
        <f t="shared" si="984"/>
        <v>1</v>
      </c>
      <c r="CS98" s="355" t="b">
        <f t="shared" si="985"/>
        <v>0</v>
      </c>
      <c r="CU98" s="2">
        <f t="shared" si="986"/>
        <v>0</v>
      </c>
      <c r="CV98" s="102">
        <f t="shared" si="987"/>
        <v>0</v>
      </c>
      <c r="CW98" s="102">
        <f t="shared" si="1014"/>
        <v>0</v>
      </c>
      <c r="CX98" s="102">
        <f t="shared" si="989"/>
        <v>0</v>
      </c>
      <c r="CY98" s="290">
        <f t="shared" si="990"/>
        <v>0</v>
      </c>
      <c r="CZ98" s="102">
        <f t="shared" si="991"/>
        <v>0</v>
      </c>
      <c r="DA98" s="290">
        <f t="shared" si="992"/>
        <v>0</v>
      </c>
      <c r="DB98" s="102">
        <f t="shared" si="993"/>
        <v>0</v>
      </c>
      <c r="DC98" s="290">
        <f t="shared" si="994"/>
        <v>0</v>
      </c>
      <c r="DD98" s="102">
        <f t="shared" si="995"/>
        <v>0</v>
      </c>
      <c r="DE98" s="592">
        <f>IF(D98="Sim",HLOOKUP($DH$5,Parametrização!$G$2:$H$4,2,FALSE),0)</f>
        <v>0</v>
      </c>
      <c r="DF98" s="102">
        <f t="shared" si="996"/>
        <v>0</v>
      </c>
      <c r="DG98" s="592">
        <f>IF(D98="Sim",HLOOKUP($DH$5,Parametrização!$G$2:$H$4,3,FALSE),0)</f>
        <v>0</v>
      </c>
      <c r="DH98" s="102">
        <f t="shared" si="997"/>
        <v>0</v>
      </c>
      <c r="DI98" s="102">
        <f t="shared" si="998"/>
        <v>0</v>
      </c>
      <c r="DK98" s="3" t="str">
        <f t="shared" si="999"/>
        <v>NA</v>
      </c>
      <c r="DL98" s="2" t="str">
        <f t="shared" si="1000"/>
        <v>NA</v>
      </c>
      <c r="DM98" s="3" t="str">
        <f t="shared" si="1001"/>
        <v>NA</v>
      </c>
      <c r="DN98" s="9" t="str">
        <f t="shared" si="1002"/>
        <v>NA</v>
      </c>
      <c r="DO98" s="637" t="str">
        <f t="shared" si="1003"/>
        <v>NA</v>
      </c>
      <c r="DP98" s="637"/>
      <c r="DQ98" s="3" t="str">
        <f t="shared" si="1004"/>
        <v>NA</v>
      </c>
      <c r="DR98" s="2" t="str">
        <f t="shared" si="1005"/>
        <v>NA</v>
      </c>
      <c r="DS98" s="3" t="str">
        <f t="shared" si="1006"/>
        <v>NA</v>
      </c>
      <c r="DT98" s="9" t="str">
        <f t="shared" si="1007"/>
        <v>NA</v>
      </c>
      <c r="DU98" s="637" t="str">
        <f t="shared" si="1008"/>
        <v>NA</v>
      </c>
      <c r="DV98" s="637"/>
      <c r="DW98" s="682"/>
      <c r="DX98" s="682"/>
      <c r="DY98" s="682"/>
      <c r="DZ98" s="637"/>
      <c r="EA98" s="643"/>
    </row>
    <row r="99" spans="1:131" s="355" customFormat="1" ht="20.100000000000001" customHeight="1" outlineLevel="1" x14ac:dyDescent="0.25">
      <c r="A99" s="356"/>
      <c r="B99" s="355" t="s">
        <v>268</v>
      </c>
      <c r="C99" s="355" t="str">
        <f t="shared" si="1009"/>
        <v>Consumo</v>
      </c>
      <c r="D99" s="355" t="s">
        <v>53</v>
      </c>
      <c r="E99" s="18" t="s">
        <v>38</v>
      </c>
      <c r="F99" s="355" t="s">
        <v>53</v>
      </c>
      <c r="G99" s="357" t="str">
        <f t="shared" si="1010"/>
        <v>Geral</v>
      </c>
      <c r="H99" s="255" t="s">
        <v>377</v>
      </c>
      <c r="I99" s="356" t="str">
        <f t="shared" si="927"/>
        <v>Sistema</v>
      </c>
      <c r="K99" s="318" t="s">
        <v>2852</v>
      </c>
      <c r="L99" s="749" t="str">
        <f>IF(Padrões!JF40&lt;&gt;"",Padrões!JF40,"")</f>
        <v>Driver IEC 870-5-101/104 Master/Slave</v>
      </c>
      <c r="M99" s="358" t="str">
        <f t="shared" si="928"/>
        <v>Driver principal IEC 870-5-101/104, master ou slave, para software Elipse Power. Fabricante: Elipse.</v>
      </c>
      <c r="N99" s="359">
        <f>Padrões!JI40</f>
        <v>0</v>
      </c>
      <c r="O99" s="381" t="str">
        <f t="shared" si="929"/>
        <v>?</v>
      </c>
      <c r="P99" s="360">
        <f t="shared" si="930"/>
        <v>0.12</v>
      </c>
      <c r="Q99" s="360" t="str">
        <f t="shared" si="931"/>
        <v>?</v>
      </c>
      <c r="R99" s="360">
        <f t="shared" si="932"/>
        <v>0</v>
      </c>
      <c r="S99" s="361">
        <f t="shared" si="933"/>
        <v>0</v>
      </c>
      <c r="T99" s="362">
        <f t="shared" si="934"/>
        <v>0</v>
      </c>
      <c r="U99" s="53" t="str" cm="1">
        <f t="array" ref="U99">IFERROR(IF(I99&lt;&gt;"Serviço",IF(AND(mlookup(tbl_DIFAL_data,UFdestino,tbl_DIFAL_UF,O99,tbl_DIFAL_NCM)&lt;&gt;"",C99="Consumo"),"Sim",""),""),"?")</f>
        <v>?</v>
      </c>
      <c r="V99" s="363" t="str">
        <f>IFERROR(IF(I99&lt;&gt;"Serviço",IF(AND(D99="Não",mlookup(tbl_ST_data,UFdestino,tbl_ST_UF,O99,tbl_ST_NCM)&lt;&gt;"",C99="Revenda",CD99="Não"),"Sim",""),""),"?")</f>
        <v>?</v>
      </c>
      <c r="W99" s="364">
        <f t="shared" si="935"/>
        <v>0</v>
      </c>
      <c r="X99" s="365">
        <f>IF(V99="Sim",mlookup(tbl_ST_data,UFdestino,tbl_ST_UF,O99,tbl_ST_NCM),0)</f>
        <v>0</v>
      </c>
      <c r="Z99" s="355">
        <f t="shared" si="936"/>
        <v>0</v>
      </c>
      <c r="AA99" s="355">
        <f t="shared" si="937"/>
        <v>0</v>
      </c>
      <c r="AC99" s="366">
        <f t="shared" si="1011"/>
        <v>1.31243473968765E-2</v>
      </c>
      <c r="AD99" s="366">
        <f t="shared" si="939"/>
        <v>0.15</v>
      </c>
      <c r="AF99" s="355">
        <f t="shared" si="940"/>
        <v>0</v>
      </c>
      <c r="AG99" s="355">
        <f t="shared" si="941"/>
        <v>0</v>
      </c>
      <c r="AI99" s="355">
        <f t="shared" si="942"/>
        <v>0</v>
      </c>
      <c r="AK99" s="366">
        <f t="shared" si="1012"/>
        <v>0</v>
      </c>
      <c r="AL99" s="355">
        <f t="shared" si="944"/>
        <v>0</v>
      </c>
      <c r="AM99" s="355">
        <f t="shared" si="945"/>
        <v>0</v>
      </c>
      <c r="AO99" s="355" t="b">
        <f t="shared" si="946"/>
        <v>1</v>
      </c>
      <c r="AQ99" s="367">
        <f t="shared" si="947"/>
        <v>0</v>
      </c>
      <c r="AR99" s="367">
        <f t="shared" si="948"/>
        <v>0</v>
      </c>
      <c r="AT99" s="367">
        <f t="shared" si="949"/>
        <v>0</v>
      </c>
      <c r="AU99" s="367">
        <f t="shared" si="950"/>
        <v>0</v>
      </c>
      <c r="AW99" s="367">
        <f t="shared" si="951"/>
        <v>0</v>
      </c>
      <c r="AX99" s="367">
        <f t="shared" si="952"/>
        <v>0</v>
      </c>
      <c r="AY99" s="367">
        <f t="shared" si="953"/>
        <v>0</v>
      </c>
      <c r="AZ99" s="367">
        <f t="shared" si="954"/>
        <v>0</v>
      </c>
      <c r="BB99" s="355">
        <f t="shared" si="955"/>
        <v>0</v>
      </c>
      <c r="BC99" s="355">
        <f t="shared" si="956"/>
        <v>0</v>
      </c>
      <c r="BD99" s="355">
        <f t="shared" si="957"/>
        <v>0</v>
      </c>
      <c r="BE99" s="355">
        <f t="shared" si="958"/>
        <v>0</v>
      </c>
      <c r="BF99" s="355">
        <f t="shared" si="959"/>
        <v>0</v>
      </c>
      <c r="BH99" s="368">
        <f t="shared" si="960"/>
        <v>0</v>
      </c>
      <c r="BJ99" s="369">
        <f t="shared" si="961"/>
        <v>-0.12</v>
      </c>
      <c r="BK99" s="355">
        <f t="shared" si="962"/>
        <v>0</v>
      </c>
      <c r="BL99" s="355">
        <f t="shared" si="963"/>
        <v>0</v>
      </c>
      <c r="BN99" s="366">
        <f t="shared" si="964"/>
        <v>0</v>
      </c>
      <c r="BO99" s="355">
        <f t="shared" si="965"/>
        <v>0</v>
      </c>
      <c r="BP99" s="355">
        <f t="shared" si="966"/>
        <v>0</v>
      </c>
      <c r="BQ99" s="355">
        <f t="shared" si="967"/>
        <v>0</v>
      </c>
      <c r="BS99" s="367">
        <f t="shared" si="968"/>
        <v>0</v>
      </c>
      <c r="BT99" s="355">
        <f t="shared" si="969"/>
        <v>0</v>
      </c>
      <c r="BU99" s="355" t="b">
        <f t="shared" si="970"/>
        <v>1</v>
      </c>
      <c r="BW99" s="355" t="str">
        <f t="shared" si="971"/>
        <v/>
      </c>
      <c r="BX99" s="355">
        <f t="shared" si="972"/>
        <v>0</v>
      </c>
      <c r="BY99" s="356">
        <f t="shared" si="1013"/>
        <v>0</v>
      </c>
      <c r="BZ99" s="355">
        <f t="shared" si="974"/>
        <v>0</v>
      </c>
      <c r="CB99" s="102" t="str">
        <f t="shared" si="975"/>
        <v xml:space="preserve">  Software</v>
      </c>
      <c r="CD99" s="355" t="str">
        <f t="shared" si="976"/>
        <v>Não</v>
      </c>
      <c r="CE99" s="368">
        <f>ifzero(mlookup(tbl_ICMSinterest_data,UFdestino,tbl_ICMSinterest_ufdest,UForigem,tbl_ICMSinterest_uforig))</f>
        <v>0.12</v>
      </c>
      <c r="CF99" s="368">
        <f>IF(N99&gt;0,IF(I99&lt;&gt;"Serviço",ifzero(mlookup(tbl_ICMSinterno_data,UForigem,tbl_ICMSinterno_UF,O99,tbl_ICMSinterno_NCM),mlookup(tbl_ICMSinterest_data,UForigem,tbl_ICMSinterest_ufdest,UForigem,tbl_ICMSinterest_uforig)),""),0)</f>
        <v>0</v>
      </c>
      <c r="CG99" s="368">
        <f>IF(N99&gt;0,IF(I99&lt;&gt;"Serviço",ifzero(mlookup(tbl_ICMSinterno_data,UFdestino,tbl_ICMSinterno_UF,O99,tbl_ICMSinterno_NCM),mlookup(tbl_ICMSinterest_data,UFdestino,tbl_ICMSinterest_ufdest,UFdestino,tbl_ICMSinterest_uforig)),""),0)</f>
        <v>0</v>
      </c>
      <c r="CI99" s="355">
        <f t="shared" si="977"/>
        <v>0</v>
      </c>
      <c r="CJ99" s="355">
        <f t="shared" si="978"/>
        <v>0</v>
      </c>
      <c r="CK99" s="355">
        <f t="shared" si="979"/>
        <v>0</v>
      </c>
      <c r="CL99" s="355">
        <f t="shared" si="980"/>
        <v>0</v>
      </c>
      <c r="CN99" s="370">
        <f t="shared" si="981"/>
        <v>0</v>
      </c>
      <c r="CO99" s="355">
        <f t="shared" si="982"/>
        <v>0</v>
      </c>
      <c r="CQ99" s="355" t="b">
        <f t="shared" si="983"/>
        <v>0</v>
      </c>
      <c r="CR99" s="355" t="b">
        <f t="shared" si="984"/>
        <v>1</v>
      </c>
      <c r="CS99" s="355" t="b">
        <f t="shared" si="985"/>
        <v>0</v>
      </c>
      <c r="CU99" s="2">
        <f t="shared" si="986"/>
        <v>0</v>
      </c>
      <c r="CV99" s="102">
        <f t="shared" si="987"/>
        <v>0</v>
      </c>
      <c r="CW99" s="102">
        <f t="shared" si="1014"/>
        <v>0</v>
      </c>
      <c r="CX99" s="102">
        <f t="shared" si="989"/>
        <v>0</v>
      </c>
      <c r="CY99" s="290">
        <f t="shared" si="990"/>
        <v>0</v>
      </c>
      <c r="CZ99" s="102">
        <f t="shared" si="991"/>
        <v>0</v>
      </c>
      <c r="DA99" s="290">
        <f t="shared" si="992"/>
        <v>0</v>
      </c>
      <c r="DB99" s="102">
        <f t="shared" si="993"/>
        <v>0</v>
      </c>
      <c r="DC99" s="290">
        <f t="shared" si="994"/>
        <v>0</v>
      </c>
      <c r="DD99" s="102">
        <f t="shared" si="995"/>
        <v>0</v>
      </c>
      <c r="DE99" s="592">
        <f>IF(D99="Sim",HLOOKUP($DH$5,Parametrização!$G$2:$H$4,2,FALSE),0)</f>
        <v>0</v>
      </c>
      <c r="DF99" s="102">
        <f t="shared" si="996"/>
        <v>0</v>
      </c>
      <c r="DG99" s="592">
        <f>IF(D99="Sim",HLOOKUP($DH$5,Parametrização!$G$2:$H$4,3,FALSE),0)</f>
        <v>0</v>
      </c>
      <c r="DH99" s="102">
        <f t="shared" si="997"/>
        <v>0</v>
      </c>
      <c r="DI99" s="102">
        <f t="shared" si="998"/>
        <v>0</v>
      </c>
      <c r="DK99" s="3" t="str">
        <f t="shared" si="999"/>
        <v>NA</v>
      </c>
      <c r="DL99" s="2" t="str">
        <f t="shared" si="1000"/>
        <v>NA</v>
      </c>
      <c r="DM99" s="3" t="str">
        <f t="shared" si="1001"/>
        <v>NA</v>
      </c>
      <c r="DN99" s="9" t="str">
        <f t="shared" si="1002"/>
        <v>NA</v>
      </c>
      <c r="DO99" s="637" t="str">
        <f t="shared" si="1003"/>
        <v>NA</v>
      </c>
      <c r="DP99" s="637"/>
      <c r="DQ99" s="3" t="str">
        <f t="shared" si="1004"/>
        <v>NA</v>
      </c>
      <c r="DR99" s="2" t="str">
        <f t="shared" si="1005"/>
        <v>NA</v>
      </c>
      <c r="DS99" s="3" t="str">
        <f t="shared" si="1006"/>
        <v>NA</v>
      </c>
      <c r="DT99" s="9" t="str">
        <f t="shared" si="1007"/>
        <v>NA</v>
      </c>
      <c r="DU99" s="637" t="str">
        <f t="shared" si="1008"/>
        <v>NA</v>
      </c>
      <c r="DV99" s="637"/>
      <c r="DW99" s="682"/>
      <c r="DX99" s="682"/>
      <c r="DY99" s="682"/>
      <c r="DZ99" s="637"/>
      <c r="EA99" s="643"/>
    </row>
    <row r="100" spans="1:131" s="355" customFormat="1" ht="20.100000000000001" customHeight="1" outlineLevel="1" x14ac:dyDescent="0.25">
      <c r="A100" s="356"/>
      <c r="B100" s="355" t="s">
        <v>268</v>
      </c>
      <c r="C100" s="355" t="str">
        <f t="shared" si="1009"/>
        <v>Consumo</v>
      </c>
      <c r="D100" s="355" t="s">
        <v>53</v>
      </c>
      <c r="E100" s="18" t="s">
        <v>38</v>
      </c>
      <c r="F100" s="355" t="s">
        <v>53</v>
      </c>
      <c r="G100" s="357" t="str">
        <f t="shared" si="1010"/>
        <v>Geral</v>
      </c>
      <c r="H100" s="255" t="s">
        <v>377</v>
      </c>
      <c r="I100" s="356" t="str">
        <f t="shared" si="927"/>
        <v>Sistema</v>
      </c>
      <c r="K100" s="318" t="s">
        <v>2853</v>
      </c>
      <c r="L100" s="749" t="str">
        <f>IF(Padrões!JF41&lt;&gt;"",Padrões!JF41,"")</f>
        <v>Driver IEC 870-5-101/104 Master/Slave (connection)</v>
      </c>
      <c r="M100" s="358" t="str">
        <f t="shared" si="928"/>
        <v>Driver adicional IEC 870-5-101/104, master ou slave, para software Elipse Power. Fabricante: Elipse.</v>
      </c>
      <c r="N100" s="359">
        <f>Padrões!JI41</f>
        <v>0</v>
      </c>
      <c r="O100" s="381" t="str">
        <f t="shared" si="929"/>
        <v>?</v>
      </c>
      <c r="P100" s="360">
        <f t="shared" si="930"/>
        <v>0.12</v>
      </c>
      <c r="Q100" s="360" t="str">
        <f t="shared" si="931"/>
        <v>?</v>
      </c>
      <c r="R100" s="360">
        <f t="shared" si="932"/>
        <v>0</v>
      </c>
      <c r="S100" s="361">
        <f t="shared" si="933"/>
        <v>0</v>
      </c>
      <c r="T100" s="362">
        <f t="shared" si="934"/>
        <v>0</v>
      </c>
      <c r="U100" s="53" t="str" cm="1">
        <f t="array" ref="U100">IFERROR(IF(I100&lt;&gt;"Serviço",IF(AND(mlookup(tbl_DIFAL_data,UFdestino,tbl_DIFAL_UF,O100,tbl_DIFAL_NCM)&lt;&gt;"",C100="Consumo"),"Sim",""),""),"?")</f>
        <v>?</v>
      </c>
      <c r="V100" s="363" t="str">
        <f>IFERROR(IF(I100&lt;&gt;"Serviço",IF(AND(D100="Não",mlookup(tbl_ST_data,UFdestino,tbl_ST_UF,O100,tbl_ST_NCM)&lt;&gt;"",C100="Revenda",CD100="Não"),"Sim",""),""),"?")</f>
        <v>?</v>
      </c>
      <c r="W100" s="364">
        <f t="shared" si="935"/>
        <v>0</v>
      </c>
      <c r="X100" s="365">
        <f>IF(V100="Sim",mlookup(tbl_ST_data,UFdestino,tbl_ST_UF,O100,tbl_ST_NCM),0)</f>
        <v>0</v>
      </c>
      <c r="Z100" s="355">
        <f t="shared" si="936"/>
        <v>0</v>
      </c>
      <c r="AA100" s="355">
        <f t="shared" si="937"/>
        <v>0</v>
      </c>
      <c r="AC100" s="366">
        <f t="shared" si="1011"/>
        <v>1.31243473968765E-2</v>
      </c>
      <c r="AD100" s="366">
        <f t="shared" si="939"/>
        <v>0.15</v>
      </c>
      <c r="AF100" s="355">
        <f t="shared" si="940"/>
        <v>0</v>
      </c>
      <c r="AG100" s="355">
        <f t="shared" si="941"/>
        <v>0</v>
      </c>
      <c r="AI100" s="355">
        <f t="shared" si="942"/>
        <v>0</v>
      </c>
      <c r="AK100" s="366">
        <f t="shared" si="1012"/>
        <v>0</v>
      </c>
      <c r="AL100" s="355">
        <f t="shared" si="944"/>
        <v>0</v>
      </c>
      <c r="AM100" s="355">
        <f t="shared" si="945"/>
        <v>0</v>
      </c>
      <c r="AO100" s="355" t="b">
        <f t="shared" si="946"/>
        <v>1</v>
      </c>
      <c r="AQ100" s="367">
        <f t="shared" si="947"/>
        <v>0</v>
      </c>
      <c r="AR100" s="367">
        <f t="shared" si="948"/>
        <v>0</v>
      </c>
      <c r="AT100" s="367">
        <f t="shared" si="949"/>
        <v>0</v>
      </c>
      <c r="AU100" s="367">
        <f t="shared" si="950"/>
        <v>0</v>
      </c>
      <c r="AW100" s="367">
        <f t="shared" si="951"/>
        <v>0</v>
      </c>
      <c r="AX100" s="367">
        <f t="shared" si="952"/>
        <v>0</v>
      </c>
      <c r="AY100" s="367">
        <f t="shared" si="953"/>
        <v>0</v>
      </c>
      <c r="AZ100" s="367">
        <f t="shared" si="954"/>
        <v>0</v>
      </c>
      <c r="BB100" s="355">
        <f t="shared" si="955"/>
        <v>0</v>
      </c>
      <c r="BC100" s="355">
        <f t="shared" si="956"/>
        <v>0</v>
      </c>
      <c r="BD100" s="355">
        <f t="shared" si="957"/>
        <v>0</v>
      </c>
      <c r="BE100" s="355">
        <f t="shared" si="958"/>
        <v>0</v>
      </c>
      <c r="BF100" s="355">
        <f t="shared" si="959"/>
        <v>0</v>
      </c>
      <c r="BH100" s="368">
        <f t="shared" si="960"/>
        <v>0</v>
      </c>
      <c r="BJ100" s="369">
        <f t="shared" si="961"/>
        <v>-0.12</v>
      </c>
      <c r="BK100" s="355">
        <f t="shared" si="962"/>
        <v>0</v>
      </c>
      <c r="BL100" s="355">
        <f t="shared" si="963"/>
        <v>0</v>
      </c>
      <c r="BN100" s="366">
        <f t="shared" si="964"/>
        <v>0</v>
      </c>
      <c r="BO100" s="355">
        <f t="shared" si="965"/>
        <v>0</v>
      </c>
      <c r="BP100" s="355">
        <f t="shared" si="966"/>
        <v>0</v>
      </c>
      <c r="BQ100" s="355">
        <f t="shared" si="967"/>
        <v>0</v>
      </c>
      <c r="BS100" s="367">
        <f t="shared" si="968"/>
        <v>0</v>
      </c>
      <c r="BT100" s="355">
        <f t="shared" si="969"/>
        <v>0</v>
      </c>
      <c r="BU100" s="355" t="b">
        <f t="shared" si="970"/>
        <v>1</v>
      </c>
      <c r="BW100" s="355" t="str">
        <f t="shared" si="971"/>
        <v/>
      </c>
      <c r="BX100" s="355">
        <f t="shared" si="972"/>
        <v>0</v>
      </c>
      <c r="BY100" s="356">
        <f t="shared" si="1013"/>
        <v>0</v>
      </c>
      <c r="BZ100" s="355">
        <f t="shared" si="974"/>
        <v>0</v>
      </c>
      <c r="CB100" s="102" t="str">
        <f t="shared" si="975"/>
        <v xml:space="preserve">  Software</v>
      </c>
      <c r="CD100" s="355" t="str">
        <f t="shared" si="976"/>
        <v>Não</v>
      </c>
      <c r="CE100" s="368">
        <f>ifzero(mlookup(tbl_ICMSinterest_data,UFdestino,tbl_ICMSinterest_ufdest,UForigem,tbl_ICMSinterest_uforig))</f>
        <v>0.12</v>
      </c>
      <c r="CF100" s="368">
        <f>IF(N100&gt;0,IF(I100&lt;&gt;"Serviço",ifzero(mlookup(tbl_ICMSinterno_data,UForigem,tbl_ICMSinterno_UF,O100,tbl_ICMSinterno_NCM),mlookup(tbl_ICMSinterest_data,UForigem,tbl_ICMSinterest_ufdest,UForigem,tbl_ICMSinterest_uforig)),""),0)</f>
        <v>0</v>
      </c>
      <c r="CG100" s="368">
        <f>IF(N100&gt;0,IF(I100&lt;&gt;"Serviço",ifzero(mlookup(tbl_ICMSinterno_data,UFdestino,tbl_ICMSinterno_UF,O100,tbl_ICMSinterno_NCM),mlookup(tbl_ICMSinterest_data,UFdestino,tbl_ICMSinterest_ufdest,UFdestino,tbl_ICMSinterest_uforig)),""),0)</f>
        <v>0</v>
      </c>
      <c r="CI100" s="355">
        <f t="shared" si="977"/>
        <v>0</v>
      </c>
      <c r="CJ100" s="355">
        <f t="shared" si="978"/>
        <v>0</v>
      </c>
      <c r="CK100" s="355">
        <f t="shared" si="979"/>
        <v>0</v>
      </c>
      <c r="CL100" s="355">
        <f t="shared" si="980"/>
        <v>0</v>
      </c>
      <c r="CN100" s="370">
        <f t="shared" si="981"/>
        <v>0</v>
      </c>
      <c r="CO100" s="355">
        <f t="shared" si="982"/>
        <v>0</v>
      </c>
      <c r="CQ100" s="355" t="b">
        <f t="shared" si="983"/>
        <v>0</v>
      </c>
      <c r="CR100" s="355" t="b">
        <f t="shared" si="984"/>
        <v>1</v>
      </c>
      <c r="CS100" s="355" t="b">
        <f t="shared" si="985"/>
        <v>0</v>
      </c>
      <c r="CU100" s="2">
        <f t="shared" si="986"/>
        <v>0</v>
      </c>
      <c r="CV100" s="102">
        <f t="shared" si="987"/>
        <v>0</v>
      </c>
      <c r="CW100" s="102">
        <f t="shared" si="1014"/>
        <v>0</v>
      </c>
      <c r="CX100" s="102">
        <f t="shared" si="989"/>
        <v>0</v>
      </c>
      <c r="CY100" s="290">
        <f t="shared" si="990"/>
        <v>0</v>
      </c>
      <c r="CZ100" s="102">
        <f t="shared" si="991"/>
        <v>0</v>
      </c>
      <c r="DA100" s="290">
        <f t="shared" si="992"/>
        <v>0</v>
      </c>
      <c r="DB100" s="102">
        <f t="shared" si="993"/>
        <v>0</v>
      </c>
      <c r="DC100" s="290">
        <f t="shared" si="994"/>
        <v>0</v>
      </c>
      <c r="DD100" s="102">
        <f t="shared" si="995"/>
        <v>0</v>
      </c>
      <c r="DE100" s="592">
        <f>IF(D100="Sim",HLOOKUP($DH$5,Parametrização!$G$2:$H$4,2,FALSE),0)</f>
        <v>0</v>
      </c>
      <c r="DF100" s="102">
        <f t="shared" si="996"/>
        <v>0</v>
      </c>
      <c r="DG100" s="592">
        <f>IF(D100="Sim",HLOOKUP($DH$5,Parametrização!$G$2:$H$4,3,FALSE),0)</f>
        <v>0</v>
      </c>
      <c r="DH100" s="102">
        <f t="shared" si="997"/>
        <v>0</v>
      </c>
      <c r="DI100" s="102">
        <f t="shared" si="998"/>
        <v>0</v>
      </c>
      <c r="DK100" s="3" t="str">
        <f t="shared" si="999"/>
        <v>NA</v>
      </c>
      <c r="DL100" s="2" t="str">
        <f t="shared" si="1000"/>
        <v>NA</v>
      </c>
      <c r="DM100" s="3" t="str">
        <f t="shared" si="1001"/>
        <v>NA</v>
      </c>
      <c r="DN100" s="9" t="str">
        <f t="shared" si="1002"/>
        <v>NA</v>
      </c>
      <c r="DO100" s="637" t="str">
        <f t="shared" si="1003"/>
        <v>NA</v>
      </c>
      <c r="DP100" s="637"/>
      <c r="DQ100" s="3" t="str">
        <f t="shared" si="1004"/>
        <v>NA</v>
      </c>
      <c r="DR100" s="2" t="str">
        <f t="shared" si="1005"/>
        <v>NA</v>
      </c>
      <c r="DS100" s="3" t="str">
        <f t="shared" si="1006"/>
        <v>NA</v>
      </c>
      <c r="DT100" s="9" t="str">
        <f t="shared" si="1007"/>
        <v>NA</v>
      </c>
      <c r="DU100" s="637" t="str">
        <f t="shared" si="1008"/>
        <v>NA</v>
      </c>
      <c r="DV100" s="637"/>
      <c r="DW100" s="682"/>
      <c r="DX100" s="682"/>
      <c r="DY100" s="682"/>
      <c r="DZ100" s="637"/>
      <c r="EA100" s="643"/>
    </row>
    <row r="101" spans="1:131" s="355" customFormat="1" ht="20.100000000000001" customHeight="1" outlineLevel="1" x14ac:dyDescent="0.25">
      <c r="A101" s="356"/>
      <c r="B101" s="355" t="s">
        <v>268</v>
      </c>
      <c r="C101" s="355" t="str">
        <f t="shared" si="1009"/>
        <v>Consumo</v>
      </c>
      <c r="D101" s="355" t="s">
        <v>53</v>
      </c>
      <c r="E101" s="18" t="s">
        <v>38</v>
      </c>
      <c r="F101" s="355" t="s">
        <v>53</v>
      </c>
      <c r="G101" s="357" t="str">
        <f t="shared" si="1010"/>
        <v>Geral</v>
      </c>
      <c r="H101" s="255" t="s">
        <v>377</v>
      </c>
      <c r="I101" s="356" t="str">
        <f t="shared" si="927"/>
        <v>Sistema</v>
      </c>
      <c r="K101" s="318" t="s">
        <v>2854</v>
      </c>
      <c r="L101" s="749" t="str">
        <f>IF(Padrões!JF42&lt;&gt;"",Padrões!JF42,"")</f>
        <v>Driver Modicon Modbus Master (ASC/RTU/TCP)</v>
      </c>
      <c r="M101" s="358" t="str">
        <f t="shared" si="928"/>
        <v>?</v>
      </c>
      <c r="N101" s="359">
        <f>Padrões!JI42</f>
        <v>0</v>
      </c>
      <c r="O101" s="381" t="str">
        <f t="shared" si="929"/>
        <v>?</v>
      </c>
      <c r="P101" s="360">
        <f t="shared" si="930"/>
        <v>0.12</v>
      </c>
      <c r="Q101" s="360" t="str">
        <f t="shared" si="931"/>
        <v>?</v>
      </c>
      <c r="R101" s="360">
        <f t="shared" si="932"/>
        <v>0</v>
      </c>
      <c r="S101" s="361">
        <f t="shared" si="933"/>
        <v>0</v>
      </c>
      <c r="T101" s="362">
        <f t="shared" si="934"/>
        <v>0</v>
      </c>
      <c r="U101" s="53" t="str" cm="1">
        <f t="array" ref="U101">IFERROR(IF(I101&lt;&gt;"Serviço",IF(AND(mlookup(tbl_DIFAL_data,UFdestino,tbl_DIFAL_UF,O101,tbl_DIFAL_NCM)&lt;&gt;"",C101="Consumo"),"Sim",""),""),"?")</f>
        <v>?</v>
      </c>
      <c r="V101" s="363" t="str">
        <f>IFERROR(IF(I101&lt;&gt;"Serviço",IF(AND(D101="Não",mlookup(tbl_ST_data,UFdestino,tbl_ST_UF,O101,tbl_ST_NCM)&lt;&gt;"",C101="Revenda",CD101="Não"),"Sim",""),""),"?")</f>
        <v>?</v>
      </c>
      <c r="W101" s="364">
        <f t="shared" si="935"/>
        <v>0</v>
      </c>
      <c r="X101" s="365">
        <f>IF(V101="Sim",mlookup(tbl_ST_data,UFdestino,tbl_ST_UF,O101,tbl_ST_NCM),0)</f>
        <v>0</v>
      </c>
      <c r="Z101" s="355">
        <f t="shared" si="936"/>
        <v>0</v>
      </c>
      <c r="AA101" s="355">
        <f t="shared" si="937"/>
        <v>0</v>
      </c>
      <c r="AC101" s="366">
        <f t="shared" si="1011"/>
        <v>1.31243473968765E-2</v>
      </c>
      <c r="AD101" s="366">
        <f t="shared" si="939"/>
        <v>0.15</v>
      </c>
      <c r="AF101" s="355">
        <f t="shared" si="940"/>
        <v>0</v>
      </c>
      <c r="AG101" s="355">
        <f t="shared" si="941"/>
        <v>0</v>
      </c>
      <c r="AI101" s="355">
        <f t="shared" si="942"/>
        <v>0</v>
      </c>
      <c r="AK101" s="366">
        <f t="shared" si="1012"/>
        <v>0</v>
      </c>
      <c r="AL101" s="355">
        <f t="shared" si="944"/>
        <v>0</v>
      </c>
      <c r="AM101" s="355">
        <f t="shared" si="945"/>
        <v>0</v>
      </c>
      <c r="AO101" s="355" t="b">
        <f t="shared" si="946"/>
        <v>1</v>
      </c>
      <c r="AQ101" s="367">
        <f t="shared" si="947"/>
        <v>0</v>
      </c>
      <c r="AR101" s="367">
        <f t="shared" si="948"/>
        <v>0</v>
      </c>
      <c r="AT101" s="367">
        <f t="shared" si="949"/>
        <v>0</v>
      </c>
      <c r="AU101" s="367">
        <f t="shared" si="950"/>
        <v>0</v>
      </c>
      <c r="AW101" s="367">
        <f t="shared" si="951"/>
        <v>0</v>
      </c>
      <c r="AX101" s="367">
        <f t="shared" si="952"/>
        <v>0</v>
      </c>
      <c r="AY101" s="367">
        <f t="shared" si="953"/>
        <v>0</v>
      </c>
      <c r="AZ101" s="367">
        <f t="shared" si="954"/>
        <v>0</v>
      </c>
      <c r="BB101" s="355">
        <f t="shared" si="955"/>
        <v>0</v>
      </c>
      <c r="BC101" s="355">
        <f t="shared" si="956"/>
        <v>0</v>
      </c>
      <c r="BD101" s="355">
        <f t="shared" si="957"/>
        <v>0</v>
      </c>
      <c r="BE101" s="355">
        <f t="shared" si="958"/>
        <v>0</v>
      </c>
      <c r="BF101" s="355">
        <f t="shared" si="959"/>
        <v>0</v>
      </c>
      <c r="BH101" s="368">
        <f t="shared" si="960"/>
        <v>0</v>
      </c>
      <c r="BJ101" s="369">
        <f t="shared" si="961"/>
        <v>-0.12</v>
      </c>
      <c r="BK101" s="355">
        <f t="shared" si="962"/>
        <v>0</v>
      </c>
      <c r="BL101" s="355">
        <f t="shared" si="963"/>
        <v>0</v>
      </c>
      <c r="BN101" s="366">
        <f t="shared" si="964"/>
        <v>0</v>
      </c>
      <c r="BO101" s="355">
        <f t="shared" si="965"/>
        <v>0</v>
      </c>
      <c r="BP101" s="355">
        <f t="shared" si="966"/>
        <v>0</v>
      </c>
      <c r="BQ101" s="355">
        <f t="shared" si="967"/>
        <v>0</v>
      </c>
      <c r="BS101" s="367">
        <f t="shared" si="968"/>
        <v>0</v>
      </c>
      <c r="BT101" s="355">
        <f t="shared" si="969"/>
        <v>0</v>
      </c>
      <c r="BU101" s="355" t="b">
        <f t="shared" si="970"/>
        <v>1</v>
      </c>
      <c r="BW101" s="355" t="str">
        <f t="shared" si="971"/>
        <v/>
      </c>
      <c r="BX101" s="355">
        <f t="shared" si="972"/>
        <v>0</v>
      </c>
      <c r="BY101" s="356">
        <f t="shared" si="1013"/>
        <v>0</v>
      </c>
      <c r="BZ101" s="355">
        <f t="shared" si="974"/>
        <v>0</v>
      </c>
      <c r="CB101" s="102" t="str">
        <f t="shared" si="975"/>
        <v>?</v>
      </c>
      <c r="CD101" s="355" t="str">
        <f t="shared" si="976"/>
        <v>Não</v>
      </c>
      <c r="CE101" s="368">
        <f>ifzero(mlookup(tbl_ICMSinterest_data,UFdestino,tbl_ICMSinterest_ufdest,UForigem,tbl_ICMSinterest_uforig))</f>
        <v>0.12</v>
      </c>
      <c r="CF101" s="368">
        <f>IF(N101&gt;0,IF(I101&lt;&gt;"Serviço",ifzero(mlookup(tbl_ICMSinterno_data,UForigem,tbl_ICMSinterno_UF,O101,tbl_ICMSinterno_NCM),mlookup(tbl_ICMSinterest_data,UForigem,tbl_ICMSinterest_ufdest,UForigem,tbl_ICMSinterest_uforig)),""),0)</f>
        <v>0</v>
      </c>
      <c r="CG101" s="368">
        <f>IF(N101&gt;0,IF(I101&lt;&gt;"Serviço",ifzero(mlookup(tbl_ICMSinterno_data,UFdestino,tbl_ICMSinterno_UF,O101,tbl_ICMSinterno_NCM),mlookup(tbl_ICMSinterest_data,UFdestino,tbl_ICMSinterest_ufdest,UFdestino,tbl_ICMSinterest_uforig)),""),0)</f>
        <v>0</v>
      </c>
      <c r="CI101" s="355">
        <f t="shared" si="977"/>
        <v>0</v>
      </c>
      <c r="CJ101" s="355">
        <f t="shared" si="978"/>
        <v>0</v>
      </c>
      <c r="CK101" s="355">
        <f t="shared" si="979"/>
        <v>0</v>
      </c>
      <c r="CL101" s="355">
        <f t="shared" si="980"/>
        <v>0</v>
      </c>
      <c r="CN101" s="370">
        <f t="shared" si="981"/>
        <v>0</v>
      </c>
      <c r="CO101" s="355">
        <f t="shared" si="982"/>
        <v>0</v>
      </c>
      <c r="CQ101" s="355" t="b">
        <f t="shared" si="983"/>
        <v>0</v>
      </c>
      <c r="CR101" s="355" t="b">
        <f t="shared" si="984"/>
        <v>1</v>
      </c>
      <c r="CS101" s="355" t="b">
        <f t="shared" si="985"/>
        <v>0</v>
      </c>
      <c r="CU101" s="2">
        <f t="shared" si="986"/>
        <v>0</v>
      </c>
      <c r="CV101" s="102">
        <f t="shared" si="987"/>
        <v>0</v>
      </c>
      <c r="CW101" s="102">
        <f t="shared" si="1014"/>
        <v>0</v>
      </c>
      <c r="CX101" s="102">
        <f t="shared" si="989"/>
        <v>0</v>
      </c>
      <c r="CY101" s="290">
        <f t="shared" si="990"/>
        <v>0</v>
      </c>
      <c r="CZ101" s="102">
        <f t="shared" si="991"/>
        <v>0</v>
      </c>
      <c r="DA101" s="290">
        <f t="shared" si="992"/>
        <v>0</v>
      </c>
      <c r="DB101" s="102">
        <f t="shared" si="993"/>
        <v>0</v>
      </c>
      <c r="DC101" s="290">
        <f t="shared" si="994"/>
        <v>0</v>
      </c>
      <c r="DD101" s="102">
        <f t="shared" si="995"/>
        <v>0</v>
      </c>
      <c r="DE101" s="592">
        <f>IF(D101="Sim",HLOOKUP($DH$5,Parametrização!$G$2:$H$4,2,FALSE),0)</f>
        <v>0</v>
      </c>
      <c r="DF101" s="102">
        <f t="shared" si="996"/>
        <v>0</v>
      </c>
      <c r="DG101" s="592">
        <f>IF(D101="Sim",HLOOKUP($DH$5,Parametrização!$G$2:$H$4,3,FALSE),0)</f>
        <v>0</v>
      </c>
      <c r="DH101" s="102">
        <f t="shared" si="997"/>
        <v>0</v>
      </c>
      <c r="DI101" s="102">
        <f t="shared" si="998"/>
        <v>0</v>
      </c>
      <c r="DK101" s="3" t="str">
        <f t="shared" si="999"/>
        <v>NA</v>
      </c>
      <c r="DL101" s="2" t="str">
        <f t="shared" si="1000"/>
        <v>NA</v>
      </c>
      <c r="DM101" s="3" t="str">
        <f t="shared" si="1001"/>
        <v>NA</v>
      </c>
      <c r="DN101" s="9" t="str">
        <f t="shared" si="1002"/>
        <v>NA</v>
      </c>
      <c r="DO101" s="637" t="str">
        <f t="shared" si="1003"/>
        <v>NA</v>
      </c>
      <c r="DP101" s="637"/>
      <c r="DQ101" s="3" t="str">
        <f t="shared" si="1004"/>
        <v>NA</v>
      </c>
      <c r="DR101" s="2" t="str">
        <f t="shared" si="1005"/>
        <v>NA</v>
      </c>
      <c r="DS101" s="3" t="str">
        <f t="shared" si="1006"/>
        <v>NA</v>
      </c>
      <c r="DT101" s="9" t="str">
        <f t="shared" si="1007"/>
        <v>NA</v>
      </c>
      <c r="DU101" s="637" t="str">
        <f t="shared" si="1008"/>
        <v>NA</v>
      </c>
      <c r="DV101" s="637"/>
      <c r="DW101" s="682"/>
      <c r="DX101" s="682"/>
      <c r="DY101" s="682"/>
      <c r="DZ101" s="637"/>
      <c r="EA101" s="643"/>
    </row>
    <row r="102" spans="1:131" s="355" customFormat="1" ht="20.100000000000001" customHeight="1" outlineLevel="1" x14ac:dyDescent="0.25">
      <c r="A102" s="356"/>
      <c r="B102" s="355" t="s">
        <v>268</v>
      </c>
      <c r="C102" s="355" t="str">
        <f t="shared" si="1009"/>
        <v>Consumo</v>
      </c>
      <c r="D102" s="355" t="s">
        <v>53</v>
      </c>
      <c r="E102" s="18" t="s">
        <v>38</v>
      </c>
      <c r="F102" s="355" t="s">
        <v>53</v>
      </c>
      <c r="G102" s="357" t="str">
        <f t="shared" si="1010"/>
        <v>Geral</v>
      </c>
      <c r="H102" s="255" t="s">
        <v>377</v>
      </c>
      <c r="I102" s="356" t="str">
        <f t="shared" si="927"/>
        <v>Sistema</v>
      </c>
      <c r="K102" s="318" t="s">
        <v>2855</v>
      </c>
      <c r="L102" s="749" t="str">
        <f>IF(Padrões!JF43&lt;&gt;"",Padrões!JF43,"")</f>
        <v>Driver Modicon Modbus Master (ASC/RTU/TCP) (connection)</v>
      </c>
      <c r="M102" s="358" t="str">
        <f t="shared" si="928"/>
        <v>?</v>
      </c>
      <c r="N102" s="359">
        <f>Padrões!JI43</f>
        <v>0</v>
      </c>
      <c r="O102" s="381" t="str">
        <f t="shared" si="929"/>
        <v>?</v>
      </c>
      <c r="P102" s="360">
        <f t="shared" si="930"/>
        <v>0.12</v>
      </c>
      <c r="Q102" s="360" t="str">
        <f t="shared" si="931"/>
        <v>?</v>
      </c>
      <c r="R102" s="360">
        <f t="shared" si="932"/>
        <v>0</v>
      </c>
      <c r="S102" s="361">
        <f t="shared" si="933"/>
        <v>0</v>
      </c>
      <c r="T102" s="362">
        <f t="shared" si="934"/>
        <v>0</v>
      </c>
      <c r="U102" s="53" t="str" cm="1">
        <f t="array" ref="U102">IFERROR(IF(I102&lt;&gt;"Serviço",IF(AND(mlookup(tbl_DIFAL_data,UFdestino,tbl_DIFAL_UF,O102,tbl_DIFAL_NCM)&lt;&gt;"",C102="Consumo"),"Sim",""),""),"?")</f>
        <v>?</v>
      </c>
      <c r="V102" s="363" t="str">
        <f>IFERROR(IF(I102&lt;&gt;"Serviço",IF(AND(D102="Não",mlookup(tbl_ST_data,UFdestino,tbl_ST_UF,O102,tbl_ST_NCM)&lt;&gt;"",C102="Revenda",CD102="Não"),"Sim",""),""),"?")</f>
        <v>?</v>
      </c>
      <c r="W102" s="364">
        <f t="shared" si="935"/>
        <v>0</v>
      </c>
      <c r="X102" s="365">
        <f>IF(V102="Sim",mlookup(tbl_ST_data,UFdestino,tbl_ST_UF,O102,tbl_ST_NCM),0)</f>
        <v>0</v>
      </c>
      <c r="Z102" s="355">
        <f t="shared" si="936"/>
        <v>0</v>
      </c>
      <c r="AA102" s="355">
        <f t="shared" si="937"/>
        <v>0</v>
      </c>
      <c r="AC102" s="366">
        <f t="shared" si="1011"/>
        <v>1.31243473968765E-2</v>
      </c>
      <c r="AD102" s="366">
        <f t="shared" si="939"/>
        <v>0.15</v>
      </c>
      <c r="AF102" s="355">
        <f t="shared" si="940"/>
        <v>0</v>
      </c>
      <c r="AG102" s="355">
        <f t="shared" si="941"/>
        <v>0</v>
      </c>
      <c r="AI102" s="355">
        <f t="shared" si="942"/>
        <v>0</v>
      </c>
      <c r="AK102" s="366">
        <f t="shared" si="1012"/>
        <v>0</v>
      </c>
      <c r="AL102" s="355">
        <f t="shared" si="944"/>
        <v>0</v>
      </c>
      <c r="AM102" s="355">
        <f t="shared" si="945"/>
        <v>0</v>
      </c>
      <c r="AO102" s="355" t="b">
        <f t="shared" si="946"/>
        <v>1</v>
      </c>
      <c r="AQ102" s="367">
        <f t="shared" si="947"/>
        <v>0</v>
      </c>
      <c r="AR102" s="367">
        <f t="shared" si="948"/>
        <v>0</v>
      </c>
      <c r="AT102" s="367">
        <f t="shared" si="949"/>
        <v>0</v>
      </c>
      <c r="AU102" s="367">
        <f t="shared" si="950"/>
        <v>0</v>
      </c>
      <c r="AW102" s="367">
        <f t="shared" si="951"/>
        <v>0</v>
      </c>
      <c r="AX102" s="367">
        <f t="shared" si="952"/>
        <v>0</v>
      </c>
      <c r="AY102" s="367">
        <f t="shared" si="953"/>
        <v>0</v>
      </c>
      <c r="AZ102" s="367">
        <f t="shared" si="954"/>
        <v>0</v>
      </c>
      <c r="BB102" s="355">
        <f t="shared" si="955"/>
        <v>0</v>
      </c>
      <c r="BC102" s="355">
        <f t="shared" si="956"/>
        <v>0</v>
      </c>
      <c r="BD102" s="355">
        <f t="shared" si="957"/>
        <v>0</v>
      </c>
      <c r="BE102" s="355">
        <f t="shared" si="958"/>
        <v>0</v>
      </c>
      <c r="BF102" s="355">
        <f t="shared" si="959"/>
        <v>0</v>
      </c>
      <c r="BH102" s="368">
        <f t="shared" si="960"/>
        <v>0</v>
      </c>
      <c r="BJ102" s="369">
        <f t="shared" si="961"/>
        <v>-0.12</v>
      </c>
      <c r="BK102" s="355">
        <f t="shared" si="962"/>
        <v>0</v>
      </c>
      <c r="BL102" s="355">
        <f t="shared" si="963"/>
        <v>0</v>
      </c>
      <c r="BN102" s="366">
        <f t="shared" si="964"/>
        <v>0</v>
      </c>
      <c r="BO102" s="355">
        <f t="shared" si="965"/>
        <v>0</v>
      </c>
      <c r="BP102" s="355">
        <f t="shared" si="966"/>
        <v>0</v>
      </c>
      <c r="BQ102" s="355">
        <f t="shared" si="967"/>
        <v>0</v>
      </c>
      <c r="BS102" s="367">
        <f t="shared" si="968"/>
        <v>0</v>
      </c>
      <c r="BT102" s="355">
        <f t="shared" si="969"/>
        <v>0</v>
      </c>
      <c r="BU102" s="355" t="b">
        <f t="shared" si="970"/>
        <v>1</v>
      </c>
      <c r="BW102" s="355" t="str">
        <f t="shared" si="971"/>
        <v/>
      </c>
      <c r="BX102" s="355">
        <f t="shared" si="972"/>
        <v>0</v>
      </c>
      <c r="BY102" s="356">
        <f t="shared" si="1013"/>
        <v>0</v>
      </c>
      <c r="BZ102" s="355">
        <f t="shared" si="974"/>
        <v>0</v>
      </c>
      <c r="CB102" s="102" t="str">
        <f t="shared" si="975"/>
        <v>?</v>
      </c>
      <c r="CD102" s="355" t="str">
        <f t="shared" si="976"/>
        <v>Não</v>
      </c>
      <c r="CE102" s="368">
        <f>ifzero(mlookup(tbl_ICMSinterest_data,UFdestino,tbl_ICMSinterest_ufdest,UForigem,tbl_ICMSinterest_uforig))</f>
        <v>0.12</v>
      </c>
      <c r="CF102" s="368">
        <f>IF(N102&gt;0,IF(I102&lt;&gt;"Serviço",ifzero(mlookup(tbl_ICMSinterno_data,UForigem,tbl_ICMSinterno_UF,O102,tbl_ICMSinterno_NCM),mlookup(tbl_ICMSinterest_data,UForigem,tbl_ICMSinterest_ufdest,UForigem,tbl_ICMSinterest_uforig)),""),0)</f>
        <v>0</v>
      </c>
      <c r="CG102" s="368">
        <f>IF(N102&gt;0,IF(I102&lt;&gt;"Serviço",ifzero(mlookup(tbl_ICMSinterno_data,UFdestino,tbl_ICMSinterno_UF,O102,tbl_ICMSinterno_NCM),mlookup(tbl_ICMSinterest_data,UFdestino,tbl_ICMSinterest_ufdest,UFdestino,tbl_ICMSinterest_uforig)),""),0)</f>
        <v>0</v>
      </c>
      <c r="CI102" s="355">
        <f t="shared" si="977"/>
        <v>0</v>
      </c>
      <c r="CJ102" s="355">
        <f t="shared" si="978"/>
        <v>0</v>
      </c>
      <c r="CK102" s="355">
        <f t="shared" si="979"/>
        <v>0</v>
      </c>
      <c r="CL102" s="355">
        <f t="shared" si="980"/>
        <v>0</v>
      </c>
      <c r="CN102" s="370">
        <f t="shared" si="981"/>
        <v>0</v>
      </c>
      <c r="CO102" s="355">
        <f t="shared" si="982"/>
        <v>0</v>
      </c>
      <c r="CQ102" s="355" t="b">
        <f t="shared" si="983"/>
        <v>0</v>
      </c>
      <c r="CR102" s="355" t="b">
        <f t="shared" si="984"/>
        <v>1</v>
      </c>
      <c r="CS102" s="355" t="b">
        <f t="shared" si="985"/>
        <v>0</v>
      </c>
      <c r="CU102" s="2">
        <f t="shared" si="986"/>
        <v>0</v>
      </c>
      <c r="CV102" s="102">
        <f t="shared" si="987"/>
        <v>0</v>
      </c>
      <c r="CW102" s="102">
        <f t="shared" si="1014"/>
        <v>0</v>
      </c>
      <c r="CX102" s="102">
        <f t="shared" si="989"/>
        <v>0</v>
      </c>
      <c r="CY102" s="290">
        <f t="shared" si="990"/>
        <v>0</v>
      </c>
      <c r="CZ102" s="102">
        <f t="shared" si="991"/>
        <v>0</v>
      </c>
      <c r="DA102" s="290">
        <f t="shared" si="992"/>
        <v>0</v>
      </c>
      <c r="DB102" s="102">
        <f t="shared" si="993"/>
        <v>0</v>
      </c>
      <c r="DC102" s="290">
        <f t="shared" si="994"/>
        <v>0</v>
      </c>
      <c r="DD102" s="102">
        <f t="shared" si="995"/>
        <v>0</v>
      </c>
      <c r="DE102" s="592">
        <f>IF(D102="Sim",HLOOKUP($DH$5,Parametrização!$G$2:$H$4,2,FALSE),0)</f>
        <v>0</v>
      </c>
      <c r="DF102" s="102">
        <f t="shared" si="996"/>
        <v>0</v>
      </c>
      <c r="DG102" s="592">
        <f>IF(D102="Sim",HLOOKUP($DH$5,Parametrização!$G$2:$H$4,3,FALSE),0)</f>
        <v>0</v>
      </c>
      <c r="DH102" s="102">
        <f t="shared" si="997"/>
        <v>0</v>
      </c>
      <c r="DI102" s="102">
        <f t="shared" si="998"/>
        <v>0</v>
      </c>
      <c r="DK102" s="3" t="str">
        <f t="shared" si="999"/>
        <v>NA</v>
      </c>
      <c r="DL102" s="2" t="str">
        <f t="shared" si="1000"/>
        <v>NA</v>
      </c>
      <c r="DM102" s="3" t="str">
        <f t="shared" si="1001"/>
        <v>NA</v>
      </c>
      <c r="DN102" s="9" t="str">
        <f t="shared" si="1002"/>
        <v>NA</v>
      </c>
      <c r="DO102" s="637" t="str">
        <f t="shared" si="1003"/>
        <v>NA</v>
      </c>
      <c r="DP102" s="637"/>
      <c r="DQ102" s="3" t="str">
        <f t="shared" si="1004"/>
        <v>NA</v>
      </c>
      <c r="DR102" s="2" t="str">
        <f t="shared" si="1005"/>
        <v>NA</v>
      </c>
      <c r="DS102" s="3" t="str">
        <f t="shared" si="1006"/>
        <v>NA</v>
      </c>
      <c r="DT102" s="9" t="str">
        <f t="shared" si="1007"/>
        <v>NA</v>
      </c>
      <c r="DU102" s="637" t="str">
        <f t="shared" si="1008"/>
        <v>NA</v>
      </c>
      <c r="DV102" s="637"/>
      <c r="DW102" s="682"/>
      <c r="DX102" s="682"/>
      <c r="DY102" s="682"/>
      <c r="DZ102" s="637"/>
      <c r="EA102" s="643"/>
    </row>
    <row r="103" spans="1:131" s="355" customFormat="1" ht="20.100000000000001" customHeight="1" outlineLevel="1" x14ac:dyDescent="0.25">
      <c r="A103" s="356"/>
      <c r="B103" s="355" t="s">
        <v>268</v>
      </c>
      <c r="C103" s="355" t="str">
        <f t="shared" si="1009"/>
        <v>Consumo</v>
      </c>
      <c r="D103" s="355" t="s">
        <v>53</v>
      </c>
      <c r="E103" s="18" t="s">
        <v>38</v>
      </c>
      <c r="F103" s="355" t="s">
        <v>53</v>
      </c>
      <c r="G103" s="357" t="str">
        <f t="shared" si="1010"/>
        <v>Geral</v>
      </c>
      <c r="H103" s="255" t="s">
        <v>377</v>
      </c>
      <c r="I103" s="356" t="str">
        <f t="shared" si="927"/>
        <v>Sistema</v>
      </c>
      <c r="K103" s="318" t="s">
        <v>2856</v>
      </c>
      <c r="L103" s="749" t="str">
        <f>IF(Padrões!JF44&lt;&gt;"",Padrões!JF44,"")</f>
        <v>Driver DNP 3.0 Master/Slave</v>
      </c>
      <c r="M103" s="358" t="str">
        <f t="shared" si="928"/>
        <v>Driver principal DNP 3.0, master ou slave, para software Elipse Power. Fabricante: Elipse.</v>
      </c>
      <c r="N103" s="359">
        <f>Padrões!JI44</f>
        <v>0</v>
      </c>
      <c r="O103" s="381" t="str">
        <f t="shared" si="929"/>
        <v>?</v>
      </c>
      <c r="P103" s="360">
        <f t="shared" si="930"/>
        <v>0.12</v>
      </c>
      <c r="Q103" s="360" t="str">
        <f t="shared" si="931"/>
        <v>?</v>
      </c>
      <c r="R103" s="360">
        <f t="shared" si="932"/>
        <v>0</v>
      </c>
      <c r="S103" s="361">
        <f t="shared" si="933"/>
        <v>0</v>
      </c>
      <c r="T103" s="362">
        <f t="shared" si="934"/>
        <v>0</v>
      </c>
      <c r="U103" s="53" t="str" cm="1">
        <f t="array" ref="U103">IFERROR(IF(I103&lt;&gt;"Serviço",IF(AND(mlookup(tbl_DIFAL_data,UFdestino,tbl_DIFAL_UF,O103,tbl_DIFAL_NCM)&lt;&gt;"",C103="Consumo"),"Sim",""),""),"?")</f>
        <v>?</v>
      </c>
      <c r="V103" s="363" t="str">
        <f>IFERROR(IF(I103&lt;&gt;"Serviço",IF(AND(D103="Não",mlookup(tbl_ST_data,UFdestino,tbl_ST_UF,O103,tbl_ST_NCM)&lt;&gt;"",C103="Revenda",CD103="Não"),"Sim",""),""),"?")</f>
        <v>?</v>
      </c>
      <c r="W103" s="364">
        <f t="shared" si="935"/>
        <v>0</v>
      </c>
      <c r="X103" s="365">
        <f>IF(V103="Sim",mlookup(tbl_ST_data,UFdestino,tbl_ST_UF,O103,tbl_ST_NCM),0)</f>
        <v>0</v>
      </c>
      <c r="Z103" s="355">
        <f t="shared" si="936"/>
        <v>0</v>
      </c>
      <c r="AA103" s="355">
        <f t="shared" si="937"/>
        <v>0</v>
      </c>
      <c r="AC103" s="366">
        <f t="shared" si="1011"/>
        <v>1.31243473968765E-2</v>
      </c>
      <c r="AD103" s="366">
        <f t="shared" si="939"/>
        <v>0.15</v>
      </c>
      <c r="AF103" s="355">
        <f t="shared" si="940"/>
        <v>0</v>
      </c>
      <c r="AG103" s="355">
        <f t="shared" si="941"/>
        <v>0</v>
      </c>
      <c r="AI103" s="355">
        <f t="shared" si="942"/>
        <v>0</v>
      </c>
      <c r="AK103" s="366">
        <f t="shared" si="1012"/>
        <v>0</v>
      </c>
      <c r="AL103" s="355">
        <f t="shared" si="944"/>
        <v>0</v>
      </c>
      <c r="AM103" s="355">
        <f t="shared" si="945"/>
        <v>0</v>
      </c>
      <c r="AO103" s="355" t="b">
        <f t="shared" si="946"/>
        <v>1</v>
      </c>
      <c r="AQ103" s="367">
        <f t="shared" si="947"/>
        <v>0</v>
      </c>
      <c r="AR103" s="367">
        <f t="shared" si="948"/>
        <v>0</v>
      </c>
      <c r="AT103" s="367">
        <f t="shared" si="949"/>
        <v>0</v>
      </c>
      <c r="AU103" s="367">
        <f t="shared" si="950"/>
        <v>0</v>
      </c>
      <c r="AW103" s="367">
        <f t="shared" si="951"/>
        <v>0</v>
      </c>
      <c r="AX103" s="367">
        <f t="shared" si="952"/>
        <v>0</v>
      </c>
      <c r="AY103" s="367">
        <f t="shared" si="953"/>
        <v>0</v>
      </c>
      <c r="AZ103" s="367">
        <f t="shared" si="954"/>
        <v>0</v>
      </c>
      <c r="BB103" s="355">
        <f t="shared" si="955"/>
        <v>0</v>
      </c>
      <c r="BC103" s="355">
        <f t="shared" si="956"/>
        <v>0</v>
      </c>
      <c r="BD103" s="355">
        <f t="shared" si="957"/>
        <v>0</v>
      </c>
      <c r="BE103" s="355">
        <f t="shared" si="958"/>
        <v>0</v>
      </c>
      <c r="BF103" s="355">
        <f t="shared" si="959"/>
        <v>0</v>
      </c>
      <c r="BH103" s="368">
        <f t="shared" si="960"/>
        <v>0</v>
      </c>
      <c r="BJ103" s="369">
        <f t="shared" si="961"/>
        <v>-0.12</v>
      </c>
      <c r="BK103" s="355">
        <f t="shared" si="962"/>
        <v>0</v>
      </c>
      <c r="BL103" s="355">
        <f t="shared" si="963"/>
        <v>0</v>
      </c>
      <c r="BN103" s="366">
        <f t="shared" si="964"/>
        <v>0</v>
      </c>
      <c r="BO103" s="355">
        <f t="shared" si="965"/>
        <v>0</v>
      </c>
      <c r="BP103" s="355">
        <f t="shared" si="966"/>
        <v>0</v>
      </c>
      <c r="BQ103" s="355">
        <f t="shared" si="967"/>
        <v>0</v>
      </c>
      <c r="BS103" s="367">
        <f t="shared" si="968"/>
        <v>0</v>
      </c>
      <c r="BT103" s="355">
        <f t="shared" si="969"/>
        <v>0</v>
      </c>
      <c r="BU103" s="355" t="b">
        <f t="shared" si="970"/>
        <v>1</v>
      </c>
      <c r="BW103" s="355" t="str">
        <f t="shared" si="971"/>
        <v/>
      </c>
      <c r="BX103" s="355">
        <f t="shared" si="972"/>
        <v>0</v>
      </c>
      <c r="BY103" s="356">
        <f t="shared" si="1013"/>
        <v>0</v>
      </c>
      <c r="BZ103" s="355">
        <f t="shared" si="974"/>
        <v>0</v>
      </c>
      <c r="CB103" s="102" t="str">
        <f t="shared" si="975"/>
        <v xml:space="preserve">  Software</v>
      </c>
      <c r="CD103" s="355" t="str">
        <f t="shared" si="976"/>
        <v>Não</v>
      </c>
      <c r="CE103" s="368">
        <f>ifzero(mlookup(tbl_ICMSinterest_data,UFdestino,tbl_ICMSinterest_ufdest,UForigem,tbl_ICMSinterest_uforig))</f>
        <v>0.12</v>
      </c>
      <c r="CF103" s="368">
        <f>IF(N103&gt;0,IF(I103&lt;&gt;"Serviço",ifzero(mlookup(tbl_ICMSinterno_data,UForigem,tbl_ICMSinterno_UF,O103,tbl_ICMSinterno_NCM),mlookup(tbl_ICMSinterest_data,UForigem,tbl_ICMSinterest_ufdest,UForigem,tbl_ICMSinterest_uforig)),""),0)</f>
        <v>0</v>
      </c>
      <c r="CG103" s="368">
        <f>IF(N103&gt;0,IF(I103&lt;&gt;"Serviço",ifzero(mlookup(tbl_ICMSinterno_data,UFdestino,tbl_ICMSinterno_UF,O103,tbl_ICMSinterno_NCM),mlookup(tbl_ICMSinterest_data,UFdestino,tbl_ICMSinterest_ufdest,UFdestino,tbl_ICMSinterest_uforig)),""),0)</f>
        <v>0</v>
      </c>
      <c r="CI103" s="355">
        <f t="shared" si="977"/>
        <v>0</v>
      </c>
      <c r="CJ103" s="355">
        <f t="shared" si="978"/>
        <v>0</v>
      </c>
      <c r="CK103" s="355">
        <f t="shared" si="979"/>
        <v>0</v>
      </c>
      <c r="CL103" s="355">
        <f t="shared" si="980"/>
        <v>0</v>
      </c>
      <c r="CN103" s="370">
        <f t="shared" si="981"/>
        <v>0</v>
      </c>
      <c r="CO103" s="355">
        <f t="shared" si="982"/>
        <v>0</v>
      </c>
      <c r="CQ103" s="355" t="b">
        <f t="shared" si="983"/>
        <v>0</v>
      </c>
      <c r="CR103" s="355" t="b">
        <f t="shared" si="984"/>
        <v>1</v>
      </c>
      <c r="CS103" s="355" t="b">
        <f t="shared" si="985"/>
        <v>0</v>
      </c>
      <c r="CU103" s="2">
        <f t="shared" si="986"/>
        <v>0</v>
      </c>
      <c r="CV103" s="102">
        <f t="shared" si="987"/>
        <v>0</v>
      </c>
      <c r="CW103" s="102">
        <f t="shared" si="1014"/>
        <v>0</v>
      </c>
      <c r="CX103" s="102">
        <f t="shared" si="989"/>
        <v>0</v>
      </c>
      <c r="CY103" s="290">
        <f t="shared" si="990"/>
        <v>0</v>
      </c>
      <c r="CZ103" s="102">
        <f t="shared" si="991"/>
        <v>0</v>
      </c>
      <c r="DA103" s="290">
        <f t="shared" si="992"/>
        <v>0</v>
      </c>
      <c r="DB103" s="102">
        <f t="shared" si="993"/>
        <v>0</v>
      </c>
      <c r="DC103" s="290">
        <f t="shared" si="994"/>
        <v>0</v>
      </c>
      <c r="DD103" s="102">
        <f t="shared" si="995"/>
        <v>0</v>
      </c>
      <c r="DE103" s="592">
        <f>IF(D103="Sim",HLOOKUP($DH$5,Parametrização!$G$2:$H$4,2,FALSE),0)</f>
        <v>0</v>
      </c>
      <c r="DF103" s="102">
        <f t="shared" si="996"/>
        <v>0</v>
      </c>
      <c r="DG103" s="592">
        <f>IF(D103="Sim",HLOOKUP($DH$5,Parametrização!$G$2:$H$4,3,FALSE),0)</f>
        <v>0</v>
      </c>
      <c r="DH103" s="102">
        <f t="shared" si="997"/>
        <v>0</v>
      </c>
      <c r="DI103" s="102">
        <f t="shared" si="998"/>
        <v>0</v>
      </c>
      <c r="DK103" s="3" t="str">
        <f t="shared" si="999"/>
        <v>NA</v>
      </c>
      <c r="DL103" s="2" t="str">
        <f t="shared" si="1000"/>
        <v>NA</v>
      </c>
      <c r="DM103" s="3" t="str">
        <f t="shared" si="1001"/>
        <v>NA</v>
      </c>
      <c r="DN103" s="9" t="str">
        <f t="shared" si="1002"/>
        <v>NA</v>
      </c>
      <c r="DO103" s="637" t="str">
        <f t="shared" si="1003"/>
        <v>NA</v>
      </c>
      <c r="DP103" s="637"/>
      <c r="DQ103" s="3" t="str">
        <f t="shared" si="1004"/>
        <v>NA</v>
      </c>
      <c r="DR103" s="2" t="str">
        <f t="shared" si="1005"/>
        <v>NA</v>
      </c>
      <c r="DS103" s="3" t="str">
        <f t="shared" si="1006"/>
        <v>NA</v>
      </c>
      <c r="DT103" s="9" t="str">
        <f t="shared" si="1007"/>
        <v>NA</v>
      </c>
      <c r="DU103" s="637" t="str">
        <f t="shared" si="1008"/>
        <v>NA</v>
      </c>
      <c r="DV103" s="637"/>
      <c r="DW103" s="682"/>
      <c r="DX103" s="682"/>
      <c r="DY103" s="682"/>
      <c r="DZ103" s="637"/>
      <c r="EA103" s="643"/>
    </row>
    <row r="104" spans="1:131" s="355" customFormat="1" ht="20.100000000000001" customHeight="1" outlineLevel="1" x14ac:dyDescent="0.25">
      <c r="A104" s="356"/>
      <c r="B104" s="355" t="s">
        <v>268</v>
      </c>
      <c r="C104" s="355" t="str">
        <f t="shared" si="1009"/>
        <v>Consumo</v>
      </c>
      <c r="D104" s="355" t="s">
        <v>53</v>
      </c>
      <c r="E104" s="18" t="s">
        <v>38</v>
      </c>
      <c r="F104" s="355" t="s">
        <v>53</v>
      </c>
      <c r="G104" s="357" t="str">
        <f t="shared" si="1010"/>
        <v>Geral</v>
      </c>
      <c r="H104" s="255" t="s">
        <v>377</v>
      </c>
      <c r="I104" s="356" t="str">
        <f t="shared" si="927"/>
        <v>Sistema</v>
      </c>
      <c r="K104" s="318" t="s">
        <v>2857</v>
      </c>
      <c r="L104" s="749" t="str">
        <f>IF(Padrões!JF45&lt;&gt;"",Padrões!JF45,"")</f>
        <v>Driver DNP 3.0 Master/Slave (connection)</v>
      </c>
      <c r="M104" s="358" t="str">
        <f t="shared" si="928"/>
        <v>Driver adicional DNP 3.0, master ou slave, para software Elipse Power. Fabricante: Elipse.</v>
      </c>
      <c r="N104" s="359">
        <f>Padrões!JI45</f>
        <v>0</v>
      </c>
      <c r="O104" s="381" t="str">
        <f t="shared" si="929"/>
        <v>?</v>
      </c>
      <c r="P104" s="360">
        <f t="shared" si="930"/>
        <v>0.12</v>
      </c>
      <c r="Q104" s="360" t="str">
        <f t="shared" si="931"/>
        <v>?</v>
      </c>
      <c r="R104" s="360">
        <f t="shared" si="932"/>
        <v>0</v>
      </c>
      <c r="S104" s="361">
        <f t="shared" si="933"/>
        <v>0</v>
      </c>
      <c r="T104" s="362">
        <f t="shared" si="934"/>
        <v>0</v>
      </c>
      <c r="U104" s="53" t="str" cm="1">
        <f t="array" ref="U104">IFERROR(IF(I104&lt;&gt;"Serviço",IF(AND(mlookup(tbl_DIFAL_data,UFdestino,tbl_DIFAL_UF,O104,tbl_DIFAL_NCM)&lt;&gt;"",C104="Consumo"),"Sim",""),""),"?")</f>
        <v>?</v>
      </c>
      <c r="V104" s="363" t="str">
        <f>IFERROR(IF(I104&lt;&gt;"Serviço",IF(AND(D104="Não",mlookup(tbl_ST_data,UFdestino,tbl_ST_UF,O104,tbl_ST_NCM)&lt;&gt;"",C104="Revenda",CD104="Não"),"Sim",""),""),"?")</f>
        <v>?</v>
      </c>
      <c r="W104" s="364">
        <f t="shared" si="935"/>
        <v>0</v>
      </c>
      <c r="X104" s="365">
        <f>IF(V104="Sim",mlookup(tbl_ST_data,UFdestino,tbl_ST_UF,O104,tbl_ST_NCM),0)</f>
        <v>0</v>
      </c>
      <c r="Z104" s="355">
        <f t="shared" si="936"/>
        <v>0</v>
      </c>
      <c r="AA104" s="355">
        <f t="shared" si="937"/>
        <v>0</v>
      </c>
      <c r="AC104" s="366">
        <f t="shared" si="1011"/>
        <v>1.31243473968765E-2</v>
      </c>
      <c r="AD104" s="366">
        <f t="shared" si="939"/>
        <v>0.15</v>
      </c>
      <c r="AF104" s="355">
        <f t="shared" si="940"/>
        <v>0</v>
      </c>
      <c r="AG104" s="355">
        <f t="shared" si="941"/>
        <v>0</v>
      </c>
      <c r="AI104" s="355">
        <f t="shared" si="942"/>
        <v>0</v>
      </c>
      <c r="AK104" s="366">
        <f t="shared" si="1012"/>
        <v>0</v>
      </c>
      <c r="AL104" s="355">
        <f t="shared" si="944"/>
        <v>0</v>
      </c>
      <c r="AM104" s="355">
        <f t="shared" si="945"/>
        <v>0</v>
      </c>
      <c r="AO104" s="355" t="b">
        <f t="shared" si="946"/>
        <v>1</v>
      </c>
      <c r="AQ104" s="367">
        <f t="shared" si="947"/>
        <v>0</v>
      </c>
      <c r="AR104" s="367">
        <f t="shared" si="948"/>
        <v>0</v>
      </c>
      <c r="AT104" s="367">
        <f t="shared" si="949"/>
        <v>0</v>
      </c>
      <c r="AU104" s="367">
        <f t="shared" si="950"/>
        <v>0</v>
      </c>
      <c r="AW104" s="367">
        <f t="shared" si="951"/>
        <v>0</v>
      </c>
      <c r="AX104" s="367">
        <f t="shared" si="952"/>
        <v>0</v>
      </c>
      <c r="AY104" s="367">
        <f t="shared" si="953"/>
        <v>0</v>
      </c>
      <c r="AZ104" s="367">
        <f t="shared" si="954"/>
        <v>0</v>
      </c>
      <c r="BB104" s="355">
        <f t="shared" si="955"/>
        <v>0</v>
      </c>
      <c r="BC104" s="355">
        <f t="shared" si="956"/>
        <v>0</v>
      </c>
      <c r="BD104" s="355">
        <f t="shared" si="957"/>
        <v>0</v>
      </c>
      <c r="BE104" s="355">
        <f t="shared" si="958"/>
        <v>0</v>
      </c>
      <c r="BF104" s="355">
        <f t="shared" si="959"/>
        <v>0</v>
      </c>
      <c r="BH104" s="368">
        <f t="shared" si="960"/>
        <v>0</v>
      </c>
      <c r="BJ104" s="369">
        <f t="shared" si="961"/>
        <v>-0.12</v>
      </c>
      <c r="BK104" s="355">
        <f t="shared" si="962"/>
        <v>0</v>
      </c>
      <c r="BL104" s="355">
        <f t="shared" si="963"/>
        <v>0</v>
      </c>
      <c r="BN104" s="366">
        <f t="shared" si="964"/>
        <v>0</v>
      </c>
      <c r="BO104" s="355">
        <f t="shared" si="965"/>
        <v>0</v>
      </c>
      <c r="BP104" s="355">
        <f t="shared" si="966"/>
        <v>0</v>
      </c>
      <c r="BQ104" s="355">
        <f t="shared" si="967"/>
        <v>0</v>
      </c>
      <c r="BS104" s="367">
        <f t="shared" si="968"/>
        <v>0</v>
      </c>
      <c r="BT104" s="355">
        <f t="shared" si="969"/>
        <v>0</v>
      </c>
      <c r="BU104" s="355" t="b">
        <f t="shared" si="970"/>
        <v>1</v>
      </c>
      <c r="BW104" s="355" t="str">
        <f t="shared" si="971"/>
        <v/>
      </c>
      <c r="BX104" s="355">
        <f t="shared" si="972"/>
        <v>0</v>
      </c>
      <c r="BY104" s="356">
        <f t="shared" si="1013"/>
        <v>0</v>
      </c>
      <c r="BZ104" s="355">
        <f t="shared" si="974"/>
        <v>0</v>
      </c>
      <c r="CB104" s="102" t="str">
        <f t="shared" si="975"/>
        <v xml:space="preserve">  Software</v>
      </c>
      <c r="CD104" s="355" t="str">
        <f t="shared" si="976"/>
        <v>Não</v>
      </c>
      <c r="CE104" s="368">
        <f>ifzero(mlookup(tbl_ICMSinterest_data,UFdestino,tbl_ICMSinterest_ufdest,UForigem,tbl_ICMSinterest_uforig))</f>
        <v>0.12</v>
      </c>
      <c r="CF104" s="368">
        <f>IF(N104&gt;0,IF(I104&lt;&gt;"Serviço",ifzero(mlookup(tbl_ICMSinterno_data,UForigem,tbl_ICMSinterno_UF,O104,tbl_ICMSinterno_NCM),mlookup(tbl_ICMSinterest_data,UForigem,tbl_ICMSinterest_ufdest,UForigem,tbl_ICMSinterest_uforig)),""),0)</f>
        <v>0</v>
      </c>
      <c r="CG104" s="368">
        <f>IF(N104&gt;0,IF(I104&lt;&gt;"Serviço",ifzero(mlookup(tbl_ICMSinterno_data,UFdestino,tbl_ICMSinterno_UF,O104,tbl_ICMSinterno_NCM),mlookup(tbl_ICMSinterest_data,UFdestino,tbl_ICMSinterest_ufdest,UFdestino,tbl_ICMSinterest_uforig)),""),0)</f>
        <v>0</v>
      </c>
      <c r="CI104" s="355">
        <f t="shared" si="977"/>
        <v>0</v>
      </c>
      <c r="CJ104" s="355">
        <f t="shared" si="978"/>
        <v>0</v>
      </c>
      <c r="CK104" s="355">
        <f t="shared" si="979"/>
        <v>0</v>
      </c>
      <c r="CL104" s="355">
        <f t="shared" si="980"/>
        <v>0</v>
      </c>
      <c r="CN104" s="370">
        <f t="shared" si="981"/>
        <v>0</v>
      </c>
      <c r="CO104" s="355">
        <f t="shared" si="982"/>
        <v>0</v>
      </c>
      <c r="CQ104" s="355" t="b">
        <f t="shared" si="983"/>
        <v>0</v>
      </c>
      <c r="CR104" s="355" t="b">
        <f t="shared" si="984"/>
        <v>1</v>
      </c>
      <c r="CS104" s="355" t="b">
        <f t="shared" si="985"/>
        <v>0</v>
      </c>
      <c r="CU104" s="2">
        <f t="shared" si="986"/>
        <v>0</v>
      </c>
      <c r="CV104" s="102">
        <f t="shared" si="987"/>
        <v>0</v>
      </c>
      <c r="CW104" s="102">
        <f t="shared" si="1014"/>
        <v>0</v>
      </c>
      <c r="CX104" s="102">
        <f t="shared" si="989"/>
        <v>0</v>
      </c>
      <c r="CY104" s="290">
        <f t="shared" si="990"/>
        <v>0</v>
      </c>
      <c r="CZ104" s="102">
        <f t="shared" si="991"/>
        <v>0</v>
      </c>
      <c r="DA104" s="290">
        <f t="shared" si="992"/>
        <v>0</v>
      </c>
      <c r="DB104" s="102">
        <f t="shared" si="993"/>
        <v>0</v>
      </c>
      <c r="DC104" s="290">
        <f t="shared" si="994"/>
        <v>0</v>
      </c>
      <c r="DD104" s="102">
        <f t="shared" si="995"/>
        <v>0</v>
      </c>
      <c r="DE104" s="592">
        <f>IF(D104="Sim",HLOOKUP($DH$5,Parametrização!$G$2:$H$4,2,FALSE),0)</f>
        <v>0</v>
      </c>
      <c r="DF104" s="102">
        <f t="shared" si="996"/>
        <v>0</v>
      </c>
      <c r="DG104" s="592">
        <f>IF(D104="Sim",HLOOKUP($DH$5,Parametrização!$G$2:$H$4,3,FALSE),0)</f>
        <v>0</v>
      </c>
      <c r="DH104" s="102">
        <f t="shared" si="997"/>
        <v>0</v>
      </c>
      <c r="DI104" s="102">
        <f t="shared" si="998"/>
        <v>0</v>
      </c>
      <c r="DK104" s="3" t="str">
        <f t="shared" si="999"/>
        <v>NA</v>
      </c>
      <c r="DL104" s="2" t="str">
        <f t="shared" si="1000"/>
        <v>NA</v>
      </c>
      <c r="DM104" s="3" t="str">
        <f t="shared" si="1001"/>
        <v>NA</v>
      </c>
      <c r="DN104" s="9" t="str">
        <f t="shared" si="1002"/>
        <v>NA</v>
      </c>
      <c r="DO104" s="637" t="str">
        <f t="shared" si="1003"/>
        <v>NA</v>
      </c>
      <c r="DP104" s="637"/>
      <c r="DQ104" s="3" t="str">
        <f t="shared" si="1004"/>
        <v>NA</v>
      </c>
      <c r="DR104" s="2" t="str">
        <f t="shared" si="1005"/>
        <v>NA</v>
      </c>
      <c r="DS104" s="3" t="str">
        <f t="shared" si="1006"/>
        <v>NA</v>
      </c>
      <c r="DT104" s="9" t="str">
        <f t="shared" si="1007"/>
        <v>NA</v>
      </c>
      <c r="DU104" s="637" t="str">
        <f t="shared" si="1008"/>
        <v>NA</v>
      </c>
      <c r="DV104" s="637"/>
      <c r="DW104" s="682"/>
      <c r="DX104" s="682"/>
      <c r="DY104" s="682"/>
      <c r="DZ104" s="637"/>
      <c r="EA104" s="643"/>
    </row>
    <row r="105" spans="1:131" s="355" customFormat="1" ht="20.100000000000001" customHeight="1" outlineLevel="1" x14ac:dyDescent="0.25">
      <c r="A105" s="356"/>
      <c r="B105" s="355" t="s">
        <v>268</v>
      </c>
      <c r="C105" s="355" t="str">
        <f t="shared" si="1009"/>
        <v>Consumo</v>
      </c>
      <c r="D105" s="355" t="s">
        <v>53</v>
      </c>
      <c r="E105" s="18" t="s">
        <v>38</v>
      </c>
      <c r="F105" s="355" t="s">
        <v>53</v>
      </c>
      <c r="G105" s="357" t="str">
        <f t="shared" si="1010"/>
        <v>Geral</v>
      </c>
      <c r="H105" s="255" t="s">
        <v>377</v>
      </c>
      <c r="I105" s="356" t="str">
        <f t="shared" si="927"/>
        <v>Sistema</v>
      </c>
      <c r="K105" s="318" t="s">
        <v>2858</v>
      </c>
      <c r="L105" s="749" t="str">
        <f>IF(Padrões!JF46&lt;&gt;"",Padrões!JF46,"")</f>
        <v>Elipse Power Studio</v>
      </c>
      <c r="M105" s="358" t="str">
        <f t="shared" si="928"/>
        <v>Software de edição e engenharia para Elipse Power e seus complementos. Fabricante: Elipse.</v>
      </c>
      <c r="N105" s="359">
        <f>Padrões!JI46</f>
        <v>0</v>
      </c>
      <c r="O105" s="381" t="str">
        <f t="shared" si="929"/>
        <v>?</v>
      </c>
      <c r="P105" s="360">
        <f t="shared" si="930"/>
        <v>0.12</v>
      </c>
      <c r="Q105" s="360" t="str">
        <f t="shared" si="931"/>
        <v>?</v>
      </c>
      <c r="R105" s="360">
        <f t="shared" si="932"/>
        <v>0</v>
      </c>
      <c r="S105" s="361">
        <f t="shared" si="933"/>
        <v>0</v>
      </c>
      <c r="T105" s="362">
        <f t="shared" si="934"/>
        <v>0</v>
      </c>
      <c r="U105" s="53" t="str" cm="1">
        <f t="array" ref="U105">IFERROR(IF(I105&lt;&gt;"Serviço",IF(AND(mlookup(tbl_DIFAL_data,UFdestino,tbl_DIFAL_UF,O105,tbl_DIFAL_NCM)&lt;&gt;"",C105="Consumo"),"Sim",""),""),"?")</f>
        <v>?</v>
      </c>
      <c r="V105" s="363" t="str">
        <f>IFERROR(IF(I105&lt;&gt;"Serviço",IF(AND(D105="Não",mlookup(tbl_ST_data,UFdestino,tbl_ST_UF,O105,tbl_ST_NCM)&lt;&gt;"",C105="Revenda",CD105="Não"),"Sim",""),""),"?")</f>
        <v>?</v>
      </c>
      <c r="W105" s="364">
        <f t="shared" si="935"/>
        <v>0</v>
      </c>
      <c r="X105" s="365">
        <f>IF(V105="Sim",mlookup(tbl_ST_data,UFdestino,tbl_ST_UF,O105,tbl_ST_NCM),0)</f>
        <v>0</v>
      </c>
      <c r="Z105" s="355">
        <f t="shared" si="936"/>
        <v>0</v>
      </c>
      <c r="AA105" s="355">
        <f t="shared" si="937"/>
        <v>0</v>
      </c>
      <c r="AC105" s="366">
        <f t="shared" si="1011"/>
        <v>1.31243473968765E-2</v>
      </c>
      <c r="AD105" s="366">
        <f t="shared" si="939"/>
        <v>0.15</v>
      </c>
      <c r="AF105" s="355">
        <f t="shared" si="940"/>
        <v>0</v>
      </c>
      <c r="AG105" s="355">
        <f t="shared" si="941"/>
        <v>0</v>
      </c>
      <c r="AI105" s="355">
        <f t="shared" si="942"/>
        <v>0</v>
      </c>
      <c r="AK105" s="366">
        <f t="shared" si="1012"/>
        <v>0</v>
      </c>
      <c r="AL105" s="355">
        <f t="shared" si="944"/>
        <v>0</v>
      </c>
      <c r="AM105" s="355">
        <f t="shared" si="945"/>
        <v>0</v>
      </c>
      <c r="AO105" s="355" t="b">
        <f t="shared" si="946"/>
        <v>1</v>
      </c>
      <c r="AQ105" s="367">
        <f t="shared" si="947"/>
        <v>0</v>
      </c>
      <c r="AR105" s="367">
        <f t="shared" si="948"/>
        <v>0</v>
      </c>
      <c r="AT105" s="367">
        <f t="shared" si="949"/>
        <v>0</v>
      </c>
      <c r="AU105" s="367">
        <f t="shared" si="950"/>
        <v>0</v>
      </c>
      <c r="AW105" s="367">
        <f t="shared" si="951"/>
        <v>0</v>
      </c>
      <c r="AX105" s="367">
        <f t="shared" si="952"/>
        <v>0</v>
      </c>
      <c r="AY105" s="367">
        <f t="shared" si="953"/>
        <v>0</v>
      </c>
      <c r="AZ105" s="367">
        <f t="shared" si="954"/>
        <v>0</v>
      </c>
      <c r="BB105" s="355">
        <f t="shared" si="955"/>
        <v>0</v>
      </c>
      <c r="BC105" s="355">
        <f t="shared" si="956"/>
        <v>0</v>
      </c>
      <c r="BD105" s="355">
        <f t="shared" si="957"/>
        <v>0</v>
      </c>
      <c r="BE105" s="355">
        <f t="shared" si="958"/>
        <v>0</v>
      </c>
      <c r="BF105" s="355">
        <f t="shared" si="959"/>
        <v>0</v>
      </c>
      <c r="BH105" s="368">
        <f t="shared" si="960"/>
        <v>0</v>
      </c>
      <c r="BJ105" s="369">
        <f t="shared" si="961"/>
        <v>-0.12</v>
      </c>
      <c r="BK105" s="355">
        <f t="shared" si="962"/>
        <v>0</v>
      </c>
      <c r="BL105" s="355">
        <f t="shared" si="963"/>
        <v>0</v>
      </c>
      <c r="BN105" s="366">
        <f t="shared" si="964"/>
        <v>0</v>
      </c>
      <c r="BO105" s="355">
        <f t="shared" si="965"/>
        <v>0</v>
      </c>
      <c r="BP105" s="355">
        <f t="shared" si="966"/>
        <v>0</v>
      </c>
      <c r="BQ105" s="355">
        <f t="shared" si="967"/>
        <v>0</v>
      </c>
      <c r="BS105" s="367">
        <f t="shared" si="968"/>
        <v>0</v>
      </c>
      <c r="BT105" s="355">
        <f t="shared" si="969"/>
        <v>0</v>
      </c>
      <c r="BU105" s="355" t="b">
        <f t="shared" si="970"/>
        <v>1</v>
      </c>
      <c r="BW105" s="355" t="str">
        <f t="shared" si="971"/>
        <v/>
      </c>
      <c r="BX105" s="355">
        <f t="shared" si="972"/>
        <v>0</v>
      </c>
      <c r="BY105" s="356">
        <f t="shared" si="1013"/>
        <v>0</v>
      </c>
      <c r="BZ105" s="355">
        <f t="shared" si="974"/>
        <v>0</v>
      </c>
      <c r="CB105" s="102" t="str">
        <f t="shared" si="975"/>
        <v xml:space="preserve">  Software</v>
      </c>
      <c r="CD105" s="355" t="str">
        <f t="shared" si="976"/>
        <v>Não</v>
      </c>
      <c r="CE105" s="368">
        <f>ifzero(mlookup(tbl_ICMSinterest_data,UFdestino,tbl_ICMSinterest_ufdest,UForigem,tbl_ICMSinterest_uforig))</f>
        <v>0.12</v>
      </c>
      <c r="CF105" s="368">
        <f>IF(N105&gt;0,IF(I105&lt;&gt;"Serviço",ifzero(mlookup(tbl_ICMSinterno_data,UForigem,tbl_ICMSinterno_UF,O105,tbl_ICMSinterno_NCM),mlookup(tbl_ICMSinterest_data,UForigem,tbl_ICMSinterest_ufdest,UForigem,tbl_ICMSinterest_uforig)),""),0)</f>
        <v>0</v>
      </c>
      <c r="CG105" s="368">
        <f>IF(N105&gt;0,IF(I105&lt;&gt;"Serviço",ifzero(mlookup(tbl_ICMSinterno_data,UFdestino,tbl_ICMSinterno_UF,O105,tbl_ICMSinterno_NCM),mlookup(tbl_ICMSinterest_data,UFdestino,tbl_ICMSinterest_ufdest,UFdestino,tbl_ICMSinterest_uforig)),""),0)</f>
        <v>0</v>
      </c>
      <c r="CI105" s="355">
        <f t="shared" si="977"/>
        <v>0</v>
      </c>
      <c r="CJ105" s="355">
        <f t="shared" si="978"/>
        <v>0</v>
      </c>
      <c r="CK105" s="355">
        <f t="shared" si="979"/>
        <v>0</v>
      </c>
      <c r="CL105" s="355">
        <f t="shared" si="980"/>
        <v>0</v>
      </c>
      <c r="CN105" s="370">
        <f t="shared" si="981"/>
        <v>0</v>
      </c>
      <c r="CO105" s="355">
        <f t="shared" si="982"/>
        <v>0</v>
      </c>
      <c r="CQ105" s="355" t="b">
        <f t="shared" si="983"/>
        <v>0</v>
      </c>
      <c r="CR105" s="355" t="b">
        <f t="shared" si="984"/>
        <v>1</v>
      </c>
      <c r="CS105" s="355" t="b">
        <f t="shared" si="985"/>
        <v>0</v>
      </c>
      <c r="CU105" s="2">
        <f t="shared" si="986"/>
        <v>0</v>
      </c>
      <c r="CV105" s="102">
        <f t="shared" si="987"/>
        <v>0</v>
      </c>
      <c r="CW105" s="102">
        <f t="shared" si="1014"/>
        <v>0</v>
      </c>
      <c r="CX105" s="102">
        <f t="shared" si="989"/>
        <v>0</v>
      </c>
      <c r="CY105" s="290">
        <f t="shared" si="990"/>
        <v>0</v>
      </c>
      <c r="CZ105" s="102">
        <f t="shared" si="991"/>
        <v>0</v>
      </c>
      <c r="DA105" s="290">
        <f t="shared" si="992"/>
        <v>0</v>
      </c>
      <c r="DB105" s="102">
        <f t="shared" si="993"/>
        <v>0</v>
      </c>
      <c r="DC105" s="290">
        <f t="shared" si="994"/>
        <v>0</v>
      </c>
      <c r="DD105" s="102">
        <f t="shared" si="995"/>
        <v>0</v>
      </c>
      <c r="DE105" s="592">
        <f>IF(D105="Sim",HLOOKUP($DH$5,Parametrização!$G$2:$H$4,2,FALSE),0)</f>
        <v>0</v>
      </c>
      <c r="DF105" s="102">
        <f t="shared" si="996"/>
        <v>0</v>
      </c>
      <c r="DG105" s="592">
        <f>IF(D105="Sim",HLOOKUP($DH$5,Parametrização!$G$2:$H$4,3,FALSE),0)</f>
        <v>0</v>
      </c>
      <c r="DH105" s="102">
        <f t="shared" si="997"/>
        <v>0</v>
      </c>
      <c r="DI105" s="102">
        <f t="shared" si="998"/>
        <v>0</v>
      </c>
      <c r="DK105" s="3" t="str">
        <f t="shared" si="999"/>
        <v>NA</v>
      </c>
      <c r="DL105" s="2" t="str">
        <f t="shared" si="1000"/>
        <v>NA</v>
      </c>
      <c r="DM105" s="3" t="str">
        <f t="shared" si="1001"/>
        <v>NA</v>
      </c>
      <c r="DN105" s="9" t="str">
        <f t="shared" si="1002"/>
        <v>NA</v>
      </c>
      <c r="DO105" s="637" t="str">
        <f t="shared" si="1003"/>
        <v>NA</v>
      </c>
      <c r="DP105" s="637"/>
      <c r="DQ105" s="3" t="str">
        <f t="shared" si="1004"/>
        <v>NA</v>
      </c>
      <c r="DR105" s="2" t="str">
        <f t="shared" si="1005"/>
        <v>NA</v>
      </c>
      <c r="DS105" s="3" t="str">
        <f t="shared" si="1006"/>
        <v>NA</v>
      </c>
      <c r="DT105" s="9" t="str">
        <f t="shared" si="1007"/>
        <v>NA</v>
      </c>
      <c r="DU105" s="637" t="str">
        <f t="shared" si="1008"/>
        <v>NA</v>
      </c>
      <c r="DV105" s="637"/>
      <c r="DW105" s="682"/>
      <c r="DX105" s="682"/>
      <c r="DY105" s="682"/>
      <c r="DZ105" s="637"/>
      <c r="EA105" s="643"/>
    </row>
    <row r="106" spans="1:131" s="355" customFormat="1" ht="20.100000000000001" customHeight="1" outlineLevel="1" x14ac:dyDescent="0.25">
      <c r="A106" s="356"/>
      <c r="B106" s="355" t="s">
        <v>268</v>
      </c>
      <c r="C106" s="355" t="str">
        <f t="shared" si="1009"/>
        <v>Consumo</v>
      </c>
      <c r="D106" s="355" t="s">
        <v>53</v>
      </c>
      <c r="E106" s="18" t="s">
        <v>38</v>
      </c>
      <c r="F106" s="355" t="s">
        <v>53</v>
      </c>
      <c r="G106" s="357" t="str">
        <f t="shared" si="1010"/>
        <v>Geral</v>
      </c>
      <c r="H106" s="255" t="s">
        <v>377</v>
      </c>
      <c r="I106" s="356" t="str">
        <f t="shared" si="927"/>
        <v>Sistema</v>
      </c>
      <c r="K106" s="318" t="s">
        <v>2859</v>
      </c>
      <c r="L106" s="749" t="str">
        <f>IF(Padrões!JF47&lt;&gt;"",Padrões!JF47,"")</f>
        <v/>
      </c>
      <c r="M106" s="358" t="str">
        <f t="shared" si="928"/>
        <v>?</v>
      </c>
      <c r="N106" s="359">
        <f>Padrões!JI47</f>
        <v>0</v>
      </c>
      <c r="O106" s="381" t="str">
        <f t="shared" si="929"/>
        <v>?</v>
      </c>
      <c r="P106" s="360">
        <f t="shared" si="930"/>
        <v>0.12</v>
      </c>
      <c r="Q106" s="360" t="str">
        <f t="shared" si="931"/>
        <v>?</v>
      </c>
      <c r="R106" s="360">
        <f t="shared" si="932"/>
        <v>0</v>
      </c>
      <c r="S106" s="361">
        <f t="shared" si="933"/>
        <v>0</v>
      </c>
      <c r="T106" s="362">
        <f t="shared" si="934"/>
        <v>0</v>
      </c>
      <c r="U106" s="53" t="str" cm="1">
        <f t="array" ref="U106">IFERROR(IF(I106&lt;&gt;"Serviço",IF(AND(mlookup(tbl_DIFAL_data,UFdestino,tbl_DIFAL_UF,O106,tbl_DIFAL_NCM)&lt;&gt;"",C106="Consumo"),"Sim",""),""),"?")</f>
        <v>?</v>
      </c>
      <c r="V106" s="363" t="str">
        <f>IFERROR(IF(I106&lt;&gt;"Serviço",IF(AND(D106="Não",mlookup(tbl_ST_data,UFdestino,tbl_ST_UF,O106,tbl_ST_NCM)&lt;&gt;"",C106="Revenda",CD106="Não"),"Sim",""),""),"?")</f>
        <v>?</v>
      </c>
      <c r="W106" s="364">
        <f t="shared" si="935"/>
        <v>0</v>
      </c>
      <c r="X106" s="365">
        <f>IF(V106="Sim",mlookup(tbl_ST_data,UFdestino,tbl_ST_UF,O106,tbl_ST_NCM),0)</f>
        <v>0</v>
      </c>
      <c r="Z106" s="355">
        <f t="shared" si="936"/>
        <v>0</v>
      </c>
      <c r="AA106" s="355">
        <f t="shared" si="937"/>
        <v>0</v>
      </c>
      <c r="AC106" s="366">
        <f t="shared" si="1011"/>
        <v>1.31243473968765E-2</v>
      </c>
      <c r="AD106" s="366">
        <f t="shared" si="939"/>
        <v>0.15</v>
      </c>
      <c r="AF106" s="355">
        <f t="shared" si="940"/>
        <v>0</v>
      </c>
      <c r="AG106" s="355">
        <f t="shared" si="941"/>
        <v>0</v>
      </c>
      <c r="AI106" s="355">
        <f t="shared" si="942"/>
        <v>0</v>
      </c>
      <c r="AK106" s="366">
        <f t="shared" si="1012"/>
        <v>0</v>
      </c>
      <c r="AL106" s="355">
        <f t="shared" si="944"/>
        <v>0</v>
      </c>
      <c r="AM106" s="355">
        <f t="shared" si="945"/>
        <v>0</v>
      </c>
      <c r="AO106" s="355" t="b">
        <f t="shared" si="946"/>
        <v>1</v>
      </c>
      <c r="AQ106" s="367">
        <f t="shared" si="947"/>
        <v>0</v>
      </c>
      <c r="AR106" s="367">
        <f t="shared" si="948"/>
        <v>0</v>
      </c>
      <c r="AT106" s="367">
        <f t="shared" si="949"/>
        <v>0</v>
      </c>
      <c r="AU106" s="367">
        <f t="shared" si="950"/>
        <v>0</v>
      </c>
      <c r="AW106" s="367">
        <f t="shared" si="951"/>
        <v>0</v>
      </c>
      <c r="AX106" s="367">
        <f t="shared" si="952"/>
        <v>0</v>
      </c>
      <c r="AY106" s="367">
        <f t="shared" si="953"/>
        <v>0</v>
      </c>
      <c r="AZ106" s="367">
        <f t="shared" si="954"/>
        <v>0</v>
      </c>
      <c r="BB106" s="355">
        <f t="shared" si="955"/>
        <v>0</v>
      </c>
      <c r="BC106" s="355">
        <f t="shared" si="956"/>
        <v>0</v>
      </c>
      <c r="BD106" s="355">
        <f t="shared" si="957"/>
        <v>0</v>
      </c>
      <c r="BE106" s="355">
        <f t="shared" si="958"/>
        <v>0</v>
      </c>
      <c r="BF106" s="355">
        <f t="shared" si="959"/>
        <v>0</v>
      </c>
      <c r="BH106" s="368">
        <f t="shared" si="960"/>
        <v>0</v>
      </c>
      <c r="BJ106" s="369">
        <f t="shared" si="961"/>
        <v>-0.12</v>
      </c>
      <c r="BK106" s="355">
        <f t="shared" si="962"/>
        <v>0</v>
      </c>
      <c r="BL106" s="355">
        <f t="shared" si="963"/>
        <v>0</v>
      </c>
      <c r="BN106" s="366">
        <f t="shared" si="964"/>
        <v>0</v>
      </c>
      <c r="BO106" s="355">
        <f t="shared" si="965"/>
        <v>0</v>
      </c>
      <c r="BP106" s="355">
        <f t="shared" si="966"/>
        <v>0</v>
      </c>
      <c r="BQ106" s="355">
        <f t="shared" si="967"/>
        <v>0</v>
      </c>
      <c r="BS106" s="367">
        <f t="shared" si="968"/>
        <v>0</v>
      </c>
      <c r="BT106" s="355">
        <f t="shared" si="969"/>
        <v>0</v>
      </c>
      <c r="BU106" s="355" t="b">
        <f t="shared" si="970"/>
        <v>1</v>
      </c>
      <c r="BW106" s="355" t="str">
        <f t="shared" si="971"/>
        <v/>
      </c>
      <c r="BX106" s="355">
        <f t="shared" si="972"/>
        <v>0</v>
      </c>
      <c r="BY106" s="356">
        <f t="shared" si="1013"/>
        <v>0</v>
      </c>
      <c r="BZ106" s="355">
        <f t="shared" si="974"/>
        <v>0</v>
      </c>
      <c r="CB106" s="102" t="str">
        <f t="shared" si="975"/>
        <v>?</v>
      </c>
      <c r="CD106" s="355" t="str">
        <f t="shared" si="976"/>
        <v>Não</v>
      </c>
      <c r="CE106" s="368">
        <f>ifzero(mlookup(tbl_ICMSinterest_data,UFdestino,tbl_ICMSinterest_ufdest,UForigem,tbl_ICMSinterest_uforig))</f>
        <v>0.12</v>
      </c>
      <c r="CF106" s="368">
        <f>IF(N106&gt;0,IF(I106&lt;&gt;"Serviço",ifzero(mlookup(tbl_ICMSinterno_data,UForigem,tbl_ICMSinterno_UF,O106,tbl_ICMSinterno_NCM),mlookup(tbl_ICMSinterest_data,UForigem,tbl_ICMSinterest_ufdest,UForigem,tbl_ICMSinterest_uforig)),""),0)</f>
        <v>0</v>
      </c>
      <c r="CG106" s="368">
        <f>IF(N106&gt;0,IF(I106&lt;&gt;"Serviço",ifzero(mlookup(tbl_ICMSinterno_data,UFdestino,tbl_ICMSinterno_UF,O106,tbl_ICMSinterno_NCM),mlookup(tbl_ICMSinterest_data,UFdestino,tbl_ICMSinterest_ufdest,UFdestino,tbl_ICMSinterest_uforig)),""),0)</f>
        <v>0</v>
      </c>
      <c r="CI106" s="355">
        <f t="shared" si="977"/>
        <v>0</v>
      </c>
      <c r="CJ106" s="355">
        <f t="shared" si="978"/>
        <v>0</v>
      </c>
      <c r="CK106" s="355">
        <f t="shared" si="979"/>
        <v>0</v>
      </c>
      <c r="CL106" s="355">
        <f t="shared" si="980"/>
        <v>0</v>
      </c>
      <c r="CN106" s="370">
        <f t="shared" si="981"/>
        <v>1540</v>
      </c>
      <c r="CO106" s="355">
        <f t="shared" si="982"/>
        <v>0</v>
      </c>
      <c r="CQ106" s="355" t="b">
        <f t="shared" si="983"/>
        <v>0</v>
      </c>
      <c r="CR106" s="355" t="b">
        <f t="shared" si="984"/>
        <v>1</v>
      </c>
      <c r="CS106" s="355" t="b">
        <f t="shared" si="985"/>
        <v>0</v>
      </c>
      <c r="CU106" s="2">
        <f t="shared" si="986"/>
        <v>0</v>
      </c>
      <c r="CV106" s="102">
        <f t="shared" si="987"/>
        <v>0</v>
      </c>
      <c r="CW106" s="102">
        <f t="shared" si="1014"/>
        <v>0</v>
      </c>
      <c r="CX106" s="102">
        <f t="shared" si="989"/>
        <v>0</v>
      </c>
      <c r="CY106" s="290">
        <f t="shared" si="990"/>
        <v>0</v>
      </c>
      <c r="CZ106" s="102">
        <f t="shared" si="991"/>
        <v>0</v>
      </c>
      <c r="DA106" s="290">
        <f t="shared" si="992"/>
        <v>0</v>
      </c>
      <c r="DB106" s="102">
        <f t="shared" si="993"/>
        <v>0</v>
      </c>
      <c r="DC106" s="290">
        <f t="shared" si="994"/>
        <v>0</v>
      </c>
      <c r="DD106" s="102">
        <f t="shared" ref="DD106:DD169" si="1015">CX106*DC106/(1+DC106)</f>
        <v>0</v>
      </c>
      <c r="DE106" s="592">
        <f>IF(D106="Sim",HLOOKUP($DH$5,Parametrização!$G$2:$H$4,2,FALSE),0)</f>
        <v>0</v>
      </c>
      <c r="DF106" s="102">
        <f t="shared" si="996"/>
        <v>0</v>
      </c>
      <c r="DG106" s="592">
        <f>IF(D106="Sim",HLOOKUP($DH$5,Parametrização!$G$2:$H$4,3,FALSE),0)</f>
        <v>0</v>
      </c>
      <c r="DH106" s="102">
        <f t="shared" si="997"/>
        <v>0</v>
      </c>
      <c r="DI106" s="102">
        <f t="shared" si="998"/>
        <v>0</v>
      </c>
      <c r="DK106" s="3" t="str">
        <f t="shared" si="999"/>
        <v>NA</v>
      </c>
      <c r="DL106" s="2" t="str">
        <f t="shared" si="1000"/>
        <v>NA</v>
      </c>
      <c r="DM106" s="3" t="str">
        <f t="shared" si="1001"/>
        <v>NA</v>
      </c>
      <c r="DN106" s="9" t="str">
        <f t="shared" si="1002"/>
        <v>NA</v>
      </c>
      <c r="DO106" s="637" t="str">
        <f t="shared" si="1003"/>
        <v>NA</v>
      </c>
      <c r="DP106" s="637"/>
      <c r="DQ106" s="3" t="str">
        <f t="shared" si="1004"/>
        <v>NA</v>
      </c>
      <c r="DR106" s="2" t="str">
        <f t="shared" si="1005"/>
        <v>NA</v>
      </c>
      <c r="DS106" s="3" t="str">
        <f t="shared" si="1006"/>
        <v>NA</v>
      </c>
      <c r="DT106" s="9" t="str">
        <f t="shared" si="1007"/>
        <v>NA</v>
      </c>
      <c r="DU106" s="637" t="str">
        <f t="shared" si="1008"/>
        <v>NA</v>
      </c>
      <c r="DV106" s="637"/>
      <c r="DW106" s="682"/>
      <c r="DX106" s="682"/>
      <c r="DY106" s="682"/>
      <c r="DZ106" s="637"/>
      <c r="EA106" s="643"/>
    </row>
    <row r="107" spans="1:131" s="355" customFormat="1" ht="20.100000000000001" customHeight="1" outlineLevel="1" x14ac:dyDescent="0.25">
      <c r="A107" s="356"/>
      <c r="B107" s="355" t="s">
        <v>268</v>
      </c>
      <c r="C107" s="355" t="str">
        <f t="shared" si="1009"/>
        <v>Consumo</v>
      </c>
      <c r="D107" s="355" t="s">
        <v>53</v>
      </c>
      <c r="E107" s="18" t="s">
        <v>38</v>
      </c>
      <c r="F107" s="355" t="s">
        <v>53</v>
      </c>
      <c r="G107" s="357" t="str">
        <f t="shared" si="1010"/>
        <v>Geral</v>
      </c>
      <c r="H107" s="255" t="s">
        <v>377</v>
      </c>
      <c r="I107" s="356" t="str">
        <f t="shared" si="927"/>
        <v>Sistema</v>
      </c>
      <c r="K107" s="318" t="s">
        <v>2860</v>
      </c>
      <c r="L107" s="749" t="str">
        <f>IF(Padrões!JF48&lt;&gt;"",Padrões!JF48,"")</f>
        <v>Computador Industrial 19'' SSD</v>
      </c>
      <c r="M107" s="358" t="str">
        <f t="shared" si="928"/>
        <v>?</v>
      </c>
      <c r="N107" s="359">
        <f>Padrões!JI48</f>
        <v>0</v>
      </c>
      <c r="O107" s="381" t="str">
        <f t="shared" si="929"/>
        <v>?</v>
      </c>
      <c r="P107" s="360">
        <f t="shared" si="930"/>
        <v>0.12</v>
      </c>
      <c r="Q107" s="360" t="str">
        <f t="shared" si="931"/>
        <v>?</v>
      </c>
      <c r="R107" s="360">
        <f t="shared" si="932"/>
        <v>0</v>
      </c>
      <c r="S107" s="361">
        <f t="shared" si="933"/>
        <v>0</v>
      </c>
      <c r="T107" s="362">
        <f t="shared" si="934"/>
        <v>0</v>
      </c>
      <c r="U107" s="53" t="str" cm="1">
        <f t="array" ref="U107">IFERROR(IF(I107&lt;&gt;"Serviço",IF(AND(mlookup(tbl_DIFAL_data,UFdestino,tbl_DIFAL_UF,O107,tbl_DIFAL_NCM)&lt;&gt;"",C107="Consumo"),"Sim",""),""),"?")</f>
        <v>?</v>
      </c>
      <c r="V107" s="363" t="str">
        <f>IFERROR(IF(I107&lt;&gt;"Serviço",IF(AND(D107="Não",mlookup(tbl_ST_data,UFdestino,tbl_ST_UF,O107,tbl_ST_NCM)&lt;&gt;"",C107="Revenda",CD107="Não"),"Sim",""),""),"?")</f>
        <v>?</v>
      </c>
      <c r="W107" s="364">
        <f t="shared" si="935"/>
        <v>0</v>
      </c>
      <c r="X107" s="365">
        <f>IF(V107="Sim",mlookup(tbl_ST_data,UFdestino,tbl_ST_UF,O107,tbl_ST_NCM),0)</f>
        <v>0</v>
      </c>
      <c r="Z107" s="355">
        <f t="shared" si="936"/>
        <v>0</v>
      </c>
      <c r="AA107" s="355">
        <f t="shared" si="937"/>
        <v>0</v>
      </c>
      <c r="AC107" s="366">
        <f t="shared" si="1011"/>
        <v>1.31243473968765E-2</v>
      </c>
      <c r="AD107" s="366">
        <f t="shared" si="939"/>
        <v>0.15</v>
      </c>
      <c r="AF107" s="355">
        <f t="shared" si="940"/>
        <v>0</v>
      </c>
      <c r="AG107" s="355">
        <f t="shared" si="941"/>
        <v>0</v>
      </c>
      <c r="AI107" s="355">
        <f t="shared" si="942"/>
        <v>0</v>
      </c>
      <c r="AK107" s="366">
        <f t="shared" si="1012"/>
        <v>0</v>
      </c>
      <c r="AL107" s="355">
        <f t="shared" si="944"/>
        <v>0</v>
      </c>
      <c r="AM107" s="355">
        <f t="shared" si="945"/>
        <v>0</v>
      </c>
      <c r="AO107" s="355" t="b">
        <f t="shared" si="946"/>
        <v>1</v>
      </c>
      <c r="AQ107" s="367">
        <f t="shared" si="947"/>
        <v>0</v>
      </c>
      <c r="AR107" s="367">
        <f t="shared" si="948"/>
        <v>0</v>
      </c>
      <c r="AT107" s="367">
        <f t="shared" si="949"/>
        <v>0</v>
      </c>
      <c r="AU107" s="367">
        <f t="shared" si="950"/>
        <v>0</v>
      </c>
      <c r="AW107" s="367">
        <f t="shared" si="951"/>
        <v>0</v>
      </c>
      <c r="AX107" s="367">
        <f t="shared" si="952"/>
        <v>0</v>
      </c>
      <c r="AY107" s="367">
        <f t="shared" si="953"/>
        <v>0</v>
      </c>
      <c r="AZ107" s="367">
        <f t="shared" si="954"/>
        <v>0</v>
      </c>
      <c r="BB107" s="355">
        <f t="shared" si="955"/>
        <v>0</v>
      </c>
      <c r="BC107" s="355">
        <f t="shared" si="956"/>
        <v>0</v>
      </c>
      <c r="BD107" s="355">
        <f t="shared" si="957"/>
        <v>0</v>
      </c>
      <c r="BE107" s="355">
        <f t="shared" si="958"/>
        <v>0</v>
      </c>
      <c r="BF107" s="355">
        <f t="shared" si="959"/>
        <v>0</v>
      </c>
      <c r="BH107" s="368">
        <f t="shared" si="960"/>
        <v>0</v>
      </c>
      <c r="BJ107" s="369">
        <f t="shared" si="961"/>
        <v>-0.12</v>
      </c>
      <c r="BK107" s="355">
        <f t="shared" si="962"/>
        <v>0</v>
      </c>
      <c r="BL107" s="355">
        <f t="shared" si="963"/>
        <v>0</v>
      </c>
      <c r="BN107" s="366">
        <f t="shared" si="964"/>
        <v>0</v>
      </c>
      <c r="BO107" s="355">
        <f t="shared" si="965"/>
        <v>0</v>
      </c>
      <c r="BP107" s="355">
        <f t="shared" si="966"/>
        <v>0</v>
      </c>
      <c r="BQ107" s="355">
        <f t="shared" si="967"/>
        <v>0</v>
      </c>
      <c r="BS107" s="367">
        <f t="shared" si="968"/>
        <v>0</v>
      </c>
      <c r="BT107" s="355">
        <f t="shared" si="969"/>
        <v>0</v>
      </c>
      <c r="BU107" s="355" t="b">
        <f t="shared" si="970"/>
        <v>1</v>
      </c>
      <c r="BW107" s="355" t="str">
        <f t="shared" si="971"/>
        <v/>
      </c>
      <c r="BX107" s="355">
        <f t="shared" si="972"/>
        <v>0</v>
      </c>
      <c r="BY107" s="356">
        <f t="shared" si="1013"/>
        <v>0</v>
      </c>
      <c r="BZ107" s="355">
        <f t="shared" si="974"/>
        <v>0</v>
      </c>
      <c r="CB107" s="102" t="str">
        <f t="shared" si="975"/>
        <v>?</v>
      </c>
      <c r="CD107" s="355" t="str">
        <f t="shared" si="976"/>
        <v>Não</v>
      </c>
      <c r="CE107" s="368">
        <f>ifzero(mlookup(tbl_ICMSinterest_data,UFdestino,tbl_ICMSinterest_ufdest,UForigem,tbl_ICMSinterest_uforig))</f>
        <v>0.12</v>
      </c>
      <c r="CF107" s="368">
        <f>IF(N107&gt;0,IF(I107&lt;&gt;"Serviço",ifzero(mlookup(tbl_ICMSinterno_data,UForigem,tbl_ICMSinterno_UF,O107,tbl_ICMSinterno_NCM),mlookup(tbl_ICMSinterest_data,UForigem,tbl_ICMSinterest_ufdest,UForigem,tbl_ICMSinterest_uforig)),""),0)</f>
        <v>0</v>
      </c>
      <c r="CG107" s="368">
        <f>IF(N107&gt;0,IF(I107&lt;&gt;"Serviço",ifzero(mlookup(tbl_ICMSinterno_data,UFdestino,tbl_ICMSinterno_UF,O107,tbl_ICMSinterno_NCM),mlookup(tbl_ICMSinterest_data,UFdestino,tbl_ICMSinterest_ufdest,UFdestino,tbl_ICMSinterest_uforig)),""),0)</f>
        <v>0</v>
      </c>
      <c r="CI107" s="355">
        <f t="shared" si="977"/>
        <v>0</v>
      </c>
      <c r="CJ107" s="355">
        <f t="shared" si="978"/>
        <v>0</v>
      </c>
      <c r="CK107" s="355">
        <f t="shared" si="979"/>
        <v>0</v>
      </c>
      <c r="CL107" s="355">
        <f t="shared" si="980"/>
        <v>0</v>
      </c>
      <c r="CN107" s="370">
        <f t="shared" si="981"/>
        <v>0</v>
      </c>
      <c r="CO107" s="355">
        <f t="shared" si="982"/>
        <v>0</v>
      </c>
      <c r="CQ107" s="355" t="b">
        <f t="shared" si="983"/>
        <v>0</v>
      </c>
      <c r="CR107" s="355" t="b">
        <f t="shared" si="984"/>
        <v>1</v>
      </c>
      <c r="CS107" s="355" t="b">
        <f t="shared" si="985"/>
        <v>0</v>
      </c>
      <c r="CU107" s="2">
        <f t="shared" si="986"/>
        <v>0</v>
      </c>
      <c r="CV107" s="102">
        <f t="shared" si="987"/>
        <v>0</v>
      </c>
      <c r="CW107" s="102">
        <f t="shared" si="1014"/>
        <v>0</v>
      </c>
      <c r="CX107" s="102">
        <f t="shared" si="989"/>
        <v>0</v>
      </c>
      <c r="CY107" s="290">
        <f t="shared" si="990"/>
        <v>0</v>
      </c>
      <c r="CZ107" s="102">
        <f t="shared" si="991"/>
        <v>0</v>
      </c>
      <c r="DA107" s="290">
        <f t="shared" si="992"/>
        <v>0</v>
      </c>
      <c r="DB107" s="102">
        <f t="shared" si="993"/>
        <v>0</v>
      </c>
      <c r="DC107" s="290">
        <f t="shared" si="994"/>
        <v>0</v>
      </c>
      <c r="DD107" s="102">
        <f t="shared" si="1015"/>
        <v>0</v>
      </c>
      <c r="DE107" s="592">
        <f>IF(D107="Sim",HLOOKUP($DH$5,Parametrização!$G$2:$H$4,2,FALSE),0)</f>
        <v>0</v>
      </c>
      <c r="DF107" s="102">
        <f t="shared" si="996"/>
        <v>0</v>
      </c>
      <c r="DG107" s="592">
        <f>IF(D107="Sim",HLOOKUP($DH$5,Parametrização!$G$2:$H$4,3,FALSE),0)</f>
        <v>0</v>
      </c>
      <c r="DH107" s="102">
        <f t="shared" si="997"/>
        <v>0</v>
      </c>
      <c r="DI107" s="102">
        <f t="shared" si="998"/>
        <v>0</v>
      </c>
      <c r="DK107" s="3" t="str">
        <f t="shared" si="999"/>
        <v>NA</v>
      </c>
      <c r="DL107" s="2" t="str">
        <f t="shared" si="1000"/>
        <v>NA</v>
      </c>
      <c r="DM107" s="3" t="str">
        <f t="shared" si="1001"/>
        <v>NA</v>
      </c>
      <c r="DN107" s="9" t="str">
        <f t="shared" si="1002"/>
        <v>NA</v>
      </c>
      <c r="DO107" s="637" t="str">
        <f t="shared" si="1003"/>
        <v>NA</v>
      </c>
      <c r="DP107" s="637"/>
      <c r="DQ107" s="3" t="str">
        <f t="shared" si="1004"/>
        <v>NA</v>
      </c>
      <c r="DR107" s="2" t="str">
        <f t="shared" si="1005"/>
        <v>NA</v>
      </c>
      <c r="DS107" s="3" t="str">
        <f t="shared" si="1006"/>
        <v>NA</v>
      </c>
      <c r="DT107" s="9" t="str">
        <f t="shared" si="1007"/>
        <v>NA</v>
      </c>
      <c r="DU107" s="637" t="str">
        <f t="shared" si="1008"/>
        <v>NA</v>
      </c>
      <c r="DV107" s="637"/>
      <c r="DW107" s="682"/>
      <c r="DX107" s="682"/>
      <c r="DY107" s="682"/>
      <c r="DZ107" s="637"/>
      <c r="EA107" s="643"/>
    </row>
    <row r="108" spans="1:131" s="355" customFormat="1" ht="20.100000000000001" customHeight="1" outlineLevel="1" x14ac:dyDescent="0.25">
      <c r="A108" s="356"/>
      <c r="B108" s="355" t="s">
        <v>268</v>
      </c>
      <c r="C108" s="355" t="str">
        <f t="shared" si="1009"/>
        <v>Consumo</v>
      </c>
      <c r="D108" s="355" t="s">
        <v>53</v>
      </c>
      <c r="E108" s="18" t="s">
        <v>38</v>
      </c>
      <c r="F108" s="355" t="s">
        <v>53</v>
      </c>
      <c r="G108" s="357" t="str">
        <f t="shared" si="1010"/>
        <v>Geral</v>
      </c>
      <c r="H108" s="255" t="s">
        <v>377</v>
      </c>
      <c r="I108" s="356" t="str">
        <f t="shared" si="927"/>
        <v>Sistema</v>
      </c>
      <c r="K108" s="318" t="s">
        <v>2861</v>
      </c>
      <c r="L108" s="749" t="str">
        <f>IF(Padrões!JF49&lt;&gt;"",Padrões!JF49,"")</f>
        <v>Windows 7 Pro</v>
      </c>
      <c r="M108" s="358" t="str">
        <f t="shared" si="928"/>
        <v>?</v>
      </c>
      <c r="N108" s="359">
        <f>Padrões!JI49</f>
        <v>0</v>
      </c>
      <c r="O108" s="381" t="str">
        <f t="shared" si="929"/>
        <v>?</v>
      </c>
      <c r="P108" s="360">
        <f t="shared" si="930"/>
        <v>0.12</v>
      </c>
      <c r="Q108" s="360" t="str">
        <f t="shared" si="931"/>
        <v>?</v>
      </c>
      <c r="R108" s="360">
        <f t="shared" si="932"/>
        <v>0</v>
      </c>
      <c r="S108" s="361">
        <f t="shared" si="933"/>
        <v>0</v>
      </c>
      <c r="T108" s="362">
        <f t="shared" si="934"/>
        <v>0</v>
      </c>
      <c r="U108" s="53" t="str" cm="1">
        <f t="array" ref="U108">IFERROR(IF(I108&lt;&gt;"Serviço",IF(AND(mlookup(tbl_DIFAL_data,UFdestino,tbl_DIFAL_UF,O108,tbl_DIFAL_NCM)&lt;&gt;"",C108="Consumo"),"Sim",""),""),"?")</f>
        <v>?</v>
      </c>
      <c r="V108" s="363" t="str">
        <f>IFERROR(IF(I108&lt;&gt;"Serviço",IF(AND(D108="Não",mlookup(tbl_ST_data,UFdestino,tbl_ST_UF,O108,tbl_ST_NCM)&lt;&gt;"",C108="Revenda",CD108="Não"),"Sim",""),""),"?")</f>
        <v>?</v>
      </c>
      <c r="W108" s="364">
        <f t="shared" si="935"/>
        <v>0</v>
      </c>
      <c r="X108" s="365">
        <f>IF(V108="Sim",mlookup(tbl_ST_data,UFdestino,tbl_ST_UF,O108,tbl_ST_NCM),0)</f>
        <v>0</v>
      </c>
      <c r="Z108" s="355">
        <f t="shared" si="936"/>
        <v>0</v>
      </c>
      <c r="AA108" s="355">
        <f t="shared" si="937"/>
        <v>0</v>
      </c>
      <c r="AC108" s="366">
        <f t="shared" si="1011"/>
        <v>1.31243473968765E-2</v>
      </c>
      <c r="AD108" s="366">
        <f t="shared" si="939"/>
        <v>0.15</v>
      </c>
      <c r="AF108" s="355">
        <f t="shared" si="940"/>
        <v>0</v>
      </c>
      <c r="AG108" s="355">
        <f t="shared" si="941"/>
        <v>0</v>
      </c>
      <c r="AI108" s="355">
        <f t="shared" si="942"/>
        <v>0</v>
      </c>
      <c r="AK108" s="366">
        <f t="shared" si="1012"/>
        <v>0</v>
      </c>
      <c r="AL108" s="355">
        <f t="shared" si="944"/>
        <v>0</v>
      </c>
      <c r="AM108" s="355">
        <f t="shared" si="945"/>
        <v>0</v>
      </c>
      <c r="AO108" s="355" t="b">
        <f t="shared" si="946"/>
        <v>1</v>
      </c>
      <c r="AQ108" s="367">
        <f t="shared" si="947"/>
        <v>0</v>
      </c>
      <c r="AR108" s="367">
        <f t="shared" si="948"/>
        <v>0</v>
      </c>
      <c r="AT108" s="367">
        <f t="shared" si="949"/>
        <v>0</v>
      </c>
      <c r="AU108" s="367">
        <f t="shared" si="950"/>
        <v>0</v>
      </c>
      <c r="AW108" s="367">
        <f t="shared" si="951"/>
        <v>0</v>
      </c>
      <c r="AX108" s="367">
        <f t="shared" si="952"/>
        <v>0</v>
      </c>
      <c r="AY108" s="367">
        <f t="shared" si="953"/>
        <v>0</v>
      </c>
      <c r="AZ108" s="367">
        <f t="shared" si="954"/>
        <v>0</v>
      </c>
      <c r="BB108" s="355">
        <f t="shared" si="955"/>
        <v>0</v>
      </c>
      <c r="BC108" s="355">
        <f t="shared" si="956"/>
        <v>0</v>
      </c>
      <c r="BD108" s="355">
        <f t="shared" si="957"/>
        <v>0</v>
      </c>
      <c r="BE108" s="355">
        <f t="shared" si="958"/>
        <v>0</v>
      </c>
      <c r="BF108" s="355">
        <f t="shared" si="959"/>
        <v>0</v>
      </c>
      <c r="BH108" s="368">
        <f t="shared" si="960"/>
        <v>0</v>
      </c>
      <c r="BJ108" s="369">
        <f t="shared" si="961"/>
        <v>-0.12</v>
      </c>
      <c r="BK108" s="355">
        <f t="shared" si="962"/>
        <v>0</v>
      </c>
      <c r="BL108" s="355">
        <f t="shared" si="963"/>
        <v>0</v>
      </c>
      <c r="BN108" s="366">
        <f t="shared" si="964"/>
        <v>0</v>
      </c>
      <c r="BO108" s="355">
        <f t="shared" si="965"/>
        <v>0</v>
      </c>
      <c r="BP108" s="355">
        <f t="shared" si="966"/>
        <v>0</v>
      </c>
      <c r="BQ108" s="355">
        <f t="shared" si="967"/>
        <v>0</v>
      </c>
      <c r="BS108" s="367">
        <f t="shared" si="968"/>
        <v>0</v>
      </c>
      <c r="BT108" s="355">
        <f t="shared" si="969"/>
        <v>0</v>
      </c>
      <c r="BU108" s="355" t="b">
        <f t="shared" si="970"/>
        <v>1</v>
      </c>
      <c r="BW108" s="355" t="str">
        <f t="shared" si="971"/>
        <v/>
      </c>
      <c r="BX108" s="355">
        <f t="shared" si="972"/>
        <v>0</v>
      </c>
      <c r="BY108" s="356">
        <f t="shared" si="1013"/>
        <v>0</v>
      </c>
      <c r="BZ108" s="355">
        <f t="shared" si="974"/>
        <v>0</v>
      </c>
      <c r="CB108" s="102" t="str">
        <f t="shared" si="975"/>
        <v>?</v>
      </c>
      <c r="CD108" s="355" t="str">
        <f t="shared" si="976"/>
        <v>Não</v>
      </c>
      <c r="CE108" s="368">
        <f>ifzero(mlookup(tbl_ICMSinterest_data,UFdestino,tbl_ICMSinterest_ufdest,UForigem,tbl_ICMSinterest_uforig))</f>
        <v>0.12</v>
      </c>
      <c r="CF108" s="368">
        <f>IF(N108&gt;0,IF(I108&lt;&gt;"Serviço",ifzero(mlookup(tbl_ICMSinterno_data,UForigem,tbl_ICMSinterno_UF,O108,tbl_ICMSinterno_NCM),mlookup(tbl_ICMSinterest_data,UForigem,tbl_ICMSinterest_ufdest,UForigem,tbl_ICMSinterest_uforig)),""),0)</f>
        <v>0</v>
      </c>
      <c r="CG108" s="368">
        <f>IF(N108&gt;0,IF(I108&lt;&gt;"Serviço",ifzero(mlookup(tbl_ICMSinterno_data,UFdestino,tbl_ICMSinterno_UF,O108,tbl_ICMSinterno_NCM),mlookup(tbl_ICMSinterest_data,UFdestino,tbl_ICMSinterest_ufdest,UFdestino,tbl_ICMSinterest_uforig)),""),0)</f>
        <v>0</v>
      </c>
      <c r="CI108" s="355">
        <f t="shared" si="977"/>
        <v>0</v>
      </c>
      <c r="CJ108" s="355">
        <f t="shared" si="978"/>
        <v>0</v>
      </c>
      <c r="CK108" s="355">
        <f t="shared" si="979"/>
        <v>0</v>
      </c>
      <c r="CL108" s="355">
        <f t="shared" si="980"/>
        <v>0</v>
      </c>
      <c r="CN108" s="370">
        <f t="shared" si="981"/>
        <v>0</v>
      </c>
      <c r="CO108" s="355">
        <f t="shared" si="982"/>
        <v>0</v>
      </c>
      <c r="CQ108" s="355" t="b">
        <f t="shared" si="983"/>
        <v>0</v>
      </c>
      <c r="CR108" s="355" t="b">
        <f t="shared" si="984"/>
        <v>1</v>
      </c>
      <c r="CS108" s="355" t="b">
        <f t="shared" si="985"/>
        <v>0</v>
      </c>
      <c r="CU108" s="2">
        <f t="shared" si="986"/>
        <v>0</v>
      </c>
      <c r="CV108" s="102">
        <f t="shared" si="987"/>
        <v>0</v>
      </c>
      <c r="CW108" s="102">
        <f t="shared" si="1014"/>
        <v>0</v>
      </c>
      <c r="CX108" s="102">
        <f t="shared" si="989"/>
        <v>0</v>
      </c>
      <c r="CY108" s="290">
        <f t="shared" si="990"/>
        <v>0</v>
      </c>
      <c r="CZ108" s="102">
        <f t="shared" si="991"/>
        <v>0</v>
      </c>
      <c r="DA108" s="290">
        <f t="shared" si="992"/>
        <v>0</v>
      </c>
      <c r="DB108" s="102">
        <f t="shared" si="993"/>
        <v>0</v>
      </c>
      <c r="DC108" s="290">
        <f t="shared" si="994"/>
        <v>0</v>
      </c>
      <c r="DD108" s="102">
        <f t="shared" si="1015"/>
        <v>0</v>
      </c>
      <c r="DE108" s="592">
        <f>IF(D108="Sim",HLOOKUP($DH$5,Parametrização!$G$2:$H$4,2,FALSE),0)</f>
        <v>0</v>
      </c>
      <c r="DF108" s="102">
        <f t="shared" si="996"/>
        <v>0</v>
      </c>
      <c r="DG108" s="592">
        <f>IF(D108="Sim",HLOOKUP($DH$5,Parametrização!$G$2:$H$4,3,FALSE),0)</f>
        <v>0</v>
      </c>
      <c r="DH108" s="102">
        <f t="shared" si="997"/>
        <v>0</v>
      </c>
      <c r="DI108" s="102">
        <f t="shared" si="998"/>
        <v>0</v>
      </c>
      <c r="DK108" s="3" t="str">
        <f t="shared" si="999"/>
        <v>NA</v>
      </c>
      <c r="DL108" s="2" t="str">
        <f t="shared" si="1000"/>
        <v>NA</v>
      </c>
      <c r="DM108" s="3" t="str">
        <f t="shared" si="1001"/>
        <v>NA</v>
      </c>
      <c r="DN108" s="9" t="str">
        <f t="shared" si="1002"/>
        <v>NA</v>
      </c>
      <c r="DO108" s="637" t="str">
        <f t="shared" si="1003"/>
        <v>NA</v>
      </c>
      <c r="DP108" s="637"/>
      <c r="DQ108" s="3" t="str">
        <f t="shared" si="1004"/>
        <v>NA</v>
      </c>
      <c r="DR108" s="2" t="str">
        <f t="shared" si="1005"/>
        <v>NA</v>
      </c>
      <c r="DS108" s="3" t="str">
        <f t="shared" si="1006"/>
        <v>NA</v>
      </c>
      <c r="DT108" s="9" t="str">
        <f t="shared" si="1007"/>
        <v>NA</v>
      </c>
      <c r="DU108" s="637" t="str">
        <f t="shared" si="1008"/>
        <v>NA</v>
      </c>
      <c r="DV108" s="637"/>
      <c r="DW108" s="682"/>
      <c r="DX108" s="682"/>
      <c r="DY108" s="682"/>
      <c r="DZ108" s="637"/>
      <c r="EA108" s="643"/>
    </row>
    <row r="109" spans="1:131" s="355" customFormat="1" ht="20.100000000000001" customHeight="1" outlineLevel="1" x14ac:dyDescent="0.25">
      <c r="A109" s="356"/>
      <c r="B109" s="355" t="s">
        <v>268</v>
      </c>
      <c r="C109" s="355" t="str">
        <f t="shared" si="1009"/>
        <v>Consumo</v>
      </c>
      <c r="D109" s="355" t="s">
        <v>53</v>
      </c>
      <c r="E109" s="18" t="s">
        <v>38</v>
      </c>
      <c r="F109" s="355" t="s">
        <v>53</v>
      </c>
      <c r="G109" s="357" t="str">
        <f t="shared" si="1010"/>
        <v>Geral</v>
      </c>
      <c r="H109" s="255" t="s">
        <v>377</v>
      </c>
      <c r="I109" s="356" t="str">
        <f t="shared" si="927"/>
        <v>Sistema</v>
      </c>
      <c r="K109" s="318" t="s">
        <v>2862</v>
      </c>
      <c r="L109" s="749" t="str">
        <f>IF(Padrões!JF50&lt;&gt;"",Padrões!JF50,"")</f>
        <v>Monitor 21''</v>
      </c>
      <c r="M109" s="358" t="str">
        <f t="shared" si="928"/>
        <v>Monitor 21.5'' LED Full HD.</v>
      </c>
      <c r="N109" s="359">
        <f>Padrões!JI50</f>
        <v>0</v>
      </c>
      <c r="O109" s="381" t="str">
        <f t="shared" si="929"/>
        <v>?</v>
      </c>
      <c r="P109" s="360">
        <f t="shared" si="930"/>
        <v>0.12</v>
      </c>
      <c r="Q109" s="360" t="str">
        <f t="shared" si="931"/>
        <v>?</v>
      </c>
      <c r="R109" s="360">
        <f t="shared" si="932"/>
        <v>0</v>
      </c>
      <c r="S109" s="361">
        <f t="shared" si="933"/>
        <v>0</v>
      </c>
      <c r="T109" s="362">
        <f t="shared" si="934"/>
        <v>0</v>
      </c>
      <c r="U109" s="53" t="str" cm="1">
        <f t="array" ref="U109">IFERROR(IF(I109&lt;&gt;"Serviço",IF(AND(mlookup(tbl_DIFAL_data,UFdestino,tbl_DIFAL_UF,O109,tbl_DIFAL_NCM)&lt;&gt;"",C109="Consumo"),"Sim",""),""),"?")</f>
        <v>?</v>
      </c>
      <c r="V109" s="363" t="str">
        <f>IFERROR(IF(I109&lt;&gt;"Serviço",IF(AND(D109="Não",mlookup(tbl_ST_data,UFdestino,tbl_ST_UF,O109,tbl_ST_NCM)&lt;&gt;"",C109="Revenda",CD109="Não"),"Sim",""),""),"?")</f>
        <v>?</v>
      </c>
      <c r="W109" s="364">
        <f t="shared" si="935"/>
        <v>0</v>
      </c>
      <c r="X109" s="365">
        <f>IF(V109="Sim",mlookup(tbl_ST_data,UFdestino,tbl_ST_UF,O109,tbl_ST_NCM),0)</f>
        <v>0</v>
      </c>
      <c r="Z109" s="355">
        <f t="shared" si="936"/>
        <v>0</v>
      </c>
      <c r="AA109" s="355">
        <f t="shared" si="937"/>
        <v>0</v>
      </c>
      <c r="AC109" s="366">
        <f t="shared" si="1011"/>
        <v>1.31243473968765E-2</v>
      </c>
      <c r="AD109" s="366">
        <f t="shared" si="939"/>
        <v>0.15</v>
      </c>
      <c r="AF109" s="355">
        <f t="shared" si="940"/>
        <v>0</v>
      </c>
      <c r="AG109" s="355">
        <f t="shared" si="941"/>
        <v>0</v>
      </c>
      <c r="AI109" s="355">
        <f t="shared" si="942"/>
        <v>0</v>
      </c>
      <c r="AK109" s="366">
        <f t="shared" si="1012"/>
        <v>0</v>
      </c>
      <c r="AL109" s="355">
        <f t="shared" si="944"/>
        <v>0</v>
      </c>
      <c r="AM109" s="355">
        <f t="shared" si="945"/>
        <v>0</v>
      </c>
      <c r="AO109" s="355" t="b">
        <f t="shared" si="946"/>
        <v>1</v>
      </c>
      <c r="AQ109" s="367">
        <f t="shared" si="947"/>
        <v>0</v>
      </c>
      <c r="AR109" s="367">
        <f t="shared" si="948"/>
        <v>0</v>
      </c>
      <c r="AT109" s="367">
        <f t="shared" si="949"/>
        <v>0</v>
      </c>
      <c r="AU109" s="367">
        <f t="shared" si="950"/>
        <v>0</v>
      </c>
      <c r="AW109" s="367">
        <f t="shared" si="951"/>
        <v>0</v>
      </c>
      <c r="AX109" s="367">
        <f t="shared" si="952"/>
        <v>0</v>
      </c>
      <c r="AY109" s="367">
        <f t="shared" si="953"/>
        <v>0</v>
      </c>
      <c r="AZ109" s="367">
        <f t="shared" si="954"/>
        <v>0</v>
      </c>
      <c r="BB109" s="355">
        <f t="shared" si="955"/>
        <v>0</v>
      </c>
      <c r="BC109" s="355">
        <f t="shared" si="956"/>
        <v>0</v>
      </c>
      <c r="BD109" s="355">
        <f t="shared" si="957"/>
        <v>0</v>
      </c>
      <c r="BE109" s="355">
        <f t="shared" si="958"/>
        <v>0</v>
      </c>
      <c r="BF109" s="355">
        <f t="shared" si="959"/>
        <v>0</v>
      </c>
      <c r="BH109" s="368">
        <f t="shared" si="960"/>
        <v>0</v>
      </c>
      <c r="BJ109" s="369">
        <f t="shared" si="961"/>
        <v>-0.12</v>
      </c>
      <c r="BK109" s="355">
        <f t="shared" si="962"/>
        <v>0</v>
      </c>
      <c r="BL109" s="355">
        <f t="shared" si="963"/>
        <v>0</v>
      </c>
      <c r="BN109" s="366">
        <f t="shared" si="964"/>
        <v>0</v>
      </c>
      <c r="BO109" s="355">
        <f t="shared" si="965"/>
        <v>0</v>
      </c>
      <c r="BP109" s="355">
        <f t="shared" si="966"/>
        <v>0</v>
      </c>
      <c r="BQ109" s="355">
        <f t="shared" si="967"/>
        <v>0</v>
      </c>
      <c r="BS109" s="367">
        <f t="shared" si="968"/>
        <v>0</v>
      </c>
      <c r="BT109" s="355">
        <f t="shared" si="969"/>
        <v>0</v>
      </c>
      <c r="BU109" s="355" t="b">
        <f t="shared" si="970"/>
        <v>1</v>
      </c>
      <c r="BW109" s="355" t="str">
        <f t="shared" si="971"/>
        <v/>
      </c>
      <c r="BX109" s="355">
        <f t="shared" si="972"/>
        <v>0</v>
      </c>
      <c r="BY109" s="356">
        <f t="shared" si="1013"/>
        <v>0</v>
      </c>
      <c r="BZ109" s="355">
        <f t="shared" si="974"/>
        <v>0</v>
      </c>
      <c r="CB109" s="102" t="str">
        <f t="shared" si="975"/>
        <v xml:space="preserve">  Informática</v>
      </c>
      <c r="CD109" s="355" t="str">
        <f t="shared" si="976"/>
        <v>Não</v>
      </c>
      <c r="CE109" s="368">
        <f>ifzero(mlookup(tbl_ICMSinterest_data,UFdestino,tbl_ICMSinterest_ufdest,UForigem,tbl_ICMSinterest_uforig))</f>
        <v>0.12</v>
      </c>
      <c r="CF109" s="368">
        <f>IF(N109&gt;0,IF(I109&lt;&gt;"Serviço",ifzero(mlookup(tbl_ICMSinterno_data,UForigem,tbl_ICMSinterno_UF,O109,tbl_ICMSinterno_NCM),mlookup(tbl_ICMSinterest_data,UForigem,tbl_ICMSinterest_ufdest,UForigem,tbl_ICMSinterest_uforig)),""),0)</f>
        <v>0</v>
      </c>
      <c r="CG109" s="368">
        <f>IF(N109&gt;0,IF(I109&lt;&gt;"Serviço",ifzero(mlookup(tbl_ICMSinterno_data,UFdestino,tbl_ICMSinterno_UF,O109,tbl_ICMSinterno_NCM),mlookup(tbl_ICMSinterest_data,UFdestino,tbl_ICMSinterest_ufdest,UFdestino,tbl_ICMSinterest_uforig)),""),0)</f>
        <v>0</v>
      </c>
      <c r="CI109" s="355">
        <f t="shared" si="977"/>
        <v>0</v>
      </c>
      <c r="CJ109" s="355">
        <f t="shared" si="978"/>
        <v>0</v>
      </c>
      <c r="CK109" s="355">
        <f t="shared" si="979"/>
        <v>0</v>
      </c>
      <c r="CL109" s="355">
        <f t="shared" si="980"/>
        <v>0</v>
      </c>
      <c r="CN109" s="370">
        <f t="shared" si="981"/>
        <v>0</v>
      </c>
      <c r="CO109" s="355">
        <f t="shared" si="982"/>
        <v>0</v>
      </c>
      <c r="CQ109" s="355" t="b">
        <f t="shared" si="983"/>
        <v>0</v>
      </c>
      <c r="CR109" s="355" t="b">
        <f t="shared" si="984"/>
        <v>1</v>
      </c>
      <c r="CS109" s="355" t="b">
        <f t="shared" si="985"/>
        <v>0</v>
      </c>
      <c r="CU109" s="2">
        <f t="shared" si="986"/>
        <v>0</v>
      </c>
      <c r="CV109" s="102">
        <f t="shared" si="987"/>
        <v>0</v>
      </c>
      <c r="CW109" s="102">
        <f t="shared" si="1014"/>
        <v>0</v>
      </c>
      <c r="CX109" s="102">
        <f t="shared" si="989"/>
        <v>0</v>
      </c>
      <c r="CY109" s="290">
        <f t="shared" si="990"/>
        <v>0</v>
      </c>
      <c r="CZ109" s="102">
        <f t="shared" ref="CZ109:CZ172" si="1016">CX109*CY109</f>
        <v>0</v>
      </c>
      <c r="DA109" s="290">
        <f t="shared" si="992"/>
        <v>0</v>
      </c>
      <c r="DB109" s="102">
        <f t="shared" ref="DB109:DB172" si="1017">CX109*DA109</f>
        <v>0</v>
      </c>
      <c r="DC109" s="290">
        <f t="shared" si="994"/>
        <v>0</v>
      </c>
      <c r="DD109" s="102">
        <f t="shared" si="1015"/>
        <v>0</v>
      </c>
      <c r="DE109" s="592">
        <f>IF(D109="Sim",HLOOKUP($DH$5,Parametrização!$G$2:$H$4,2,FALSE),0)</f>
        <v>0</v>
      </c>
      <c r="DF109" s="102">
        <f t="shared" ref="DF109:DF172" si="1018">(CX109-DD109)*DE109</f>
        <v>0</v>
      </c>
      <c r="DG109" s="592">
        <f>IF(D109="Sim",HLOOKUP($DH$5,Parametrização!$G$2:$H$4,3,FALSE),0)</f>
        <v>0</v>
      </c>
      <c r="DH109" s="102">
        <f t="shared" ref="DH109:DH172" si="1019">(CX109-DD109)*DG109</f>
        <v>0</v>
      </c>
      <c r="DI109" s="102">
        <f t="shared" ref="DI109:DI172" si="1020">CX109-CZ109-DD109-DF109-DH109</f>
        <v>0</v>
      </c>
      <c r="DK109" s="3" t="str">
        <f t="shared" si="999"/>
        <v>NA</v>
      </c>
      <c r="DL109" s="2" t="str">
        <f t="shared" si="1000"/>
        <v>NA</v>
      </c>
      <c r="DM109" s="3" t="str">
        <f t="shared" si="1001"/>
        <v>NA</v>
      </c>
      <c r="DN109" s="9" t="str">
        <f t="shared" si="1002"/>
        <v>NA</v>
      </c>
      <c r="DO109" s="637" t="str">
        <f t="shared" si="1003"/>
        <v>NA</v>
      </c>
      <c r="DP109" s="637"/>
      <c r="DQ109" s="3" t="str">
        <f t="shared" si="1004"/>
        <v>NA</v>
      </c>
      <c r="DR109" s="2" t="str">
        <f t="shared" si="1005"/>
        <v>NA</v>
      </c>
      <c r="DS109" s="3" t="str">
        <f t="shared" si="1006"/>
        <v>NA</v>
      </c>
      <c r="DT109" s="9" t="str">
        <f t="shared" ref="DT109:DT172" si="1021">IF(CU109&gt;0,DE109,"NA")</f>
        <v>NA</v>
      </c>
      <c r="DU109" s="637" t="str">
        <f t="shared" ref="DU109:DU172" si="1022">IF(CU109&gt;0,DG109,"NA")</f>
        <v>NA</v>
      </c>
      <c r="DV109" s="637"/>
      <c r="DW109" s="682"/>
      <c r="DX109" s="682"/>
      <c r="DY109" s="682"/>
      <c r="DZ109" s="637"/>
      <c r="EA109" s="643"/>
    </row>
    <row r="110" spans="1:131" s="355" customFormat="1" ht="20.100000000000001" customHeight="1" outlineLevel="1" x14ac:dyDescent="0.25">
      <c r="A110" s="356"/>
      <c r="B110" s="355" t="s">
        <v>268</v>
      </c>
      <c r="C110" s="355" t="str">
        <f t="shared" si="1009"/>
        <v>Consumo</v>
      </c>
      <c r="D110" s="355" t="s">
        <v>53</v>
      </c>
      <c r="E110" s="18" t="s">
        <v>38</v>
      </c>
      <c r="F110" s="355" t="s">
        <v>53</v>
      </c>
      <c r="G110" s="357" t="str">
        <f t="shared" si="1010"/>
        <v>Geral</v>
      </c>
      <c r="H110" s="255" t="s">
        <v>377</v>
      </c>
      <c r="I110" s="356" t="str">
        <f t="shared" si="927"/>
        <v>Sistema</v>
      </c>
      <c r="K110" s="318" t="s">
        <v>2863</v>
      </c>
      <c r="L110" s="749" t="str">
        <f>IF(Padrões!JF51&lt;&gt;"",Padrões!JF51,"")</f>
        <v>Trendnet TK-409K</v>
      </c>
      <c r="M110" s="358" t="str">
        <f t="shared" si="928"/>
        <v>Switch KVM via USB modelo Trendnet TK-409K, gerenciamente de até 4 computador (áudio, VGA, 2x USB), inclusos todos os cabos necessários. Fabricante: Trendnet.</v>
      </c>
      <c r="N110" s="359">
        <f>Padrões!JI51</f>
        <v>0</v>
      </c>
      <c r="O110" s="381" t="str">
        <f t="shared" si="929"/>
        <v>?</v>
      </c>
      <c r="P110" s="360">
        <f t="shared" si="930"/>
        <v>0.12</v>
      </c>
      <c r="Q110" s="360" t="str">
        <f t="shared" si="931"/>
        <v>?</v>
      </c>
      <c r="R110" s="360">
        <f t="shared" si="932"/>
        <v>0</v>
      </c>
      <c r="S110" s="361">
        <f t="shared" si="933"/>
        <v>0</v>
      </c>
      <c r="T110" s="362">
        <f t="shared" si="934"/>
        <v>0</v>
      </c>
      <c r="U110" s="53" t="str" cm="1">
        <f t="array" ref="U110">IFERROR(IF(I110&lt;&gt;"Serviço",IF(AND(mlookup(tbl_DIFAL_data,UFdestino,tbl_DIFAL_UF,O110,tbl_DIFAL_NCM)&lt;&gt;"",C110="Consumo"),"Sim",""),""),"?")</f>
        <v>?</v>
      </c>
      <c r="V110" s="363" t="str">
        <f>IFERROR(IF(I110&lt;&gt;"Serviço",IF(AND(D110="Não",mlookup(tbl_ST_data,UFdestino,tbl_ST_UF,O110,tbl_ST_NCM)&lt;&gt;"",C110="Revenda",CD110="Não"),"Sim",""),""),"?")</f>
        <v>?</v>
      </c>
      <c r="W110" s="364">
        <f t="shared" si="935"/>
        <v>0</v>
      </c>
      <c r="X110" s="365">
        <f>IF(V110="Sim",mlookup(tbl_ST_data,UFdestino,tbl_ST_UF,O110,tbl_ST_NCM),0)</f>
        <v>0</v>
      </c>
      <c r="Z110" s="355">
        <f t="shared" si="936"/>
        <v>0</v>
      </c>
      <c r="AA110" s="355">
        <f t="shared" si="937"/>
        <v>0</v>
      </c>
      <c r="AC110" s="366">
        <f t="shared" si="1011"/>
        <v>1.31243473968765E-2</v>
      </c>
      <c r="AD110" s="366">
        <f t="shared" si="939"/>
        <v>0.15</v>
      </c>
      <c r="AF110" s="355">
        <f t="shared" si="940"/>
        <v>0</v>
      </c>
      <c r="AG110" s="355">
        <f t="shared" si="941"/>
        <v>0</v>
      </c>
      <c r="AI110" s="355">
        <f t="shared" si="942"/>
        <v>0</v>
      </c>
      <c r="AK110" s="366">
        <f t="shared" si="1012"/>
        <v>0</v>
      </c>
      <c r="AL110" s="355">
        <f t="shared" si="944"/>
        <v>0</v>
      </c>
      <c r="AM110" s="355">
        <f t="shared" si="945"/>
        <v>0</v>
      </c>
      <c r="AO110" s="355" t="b">
        <f t="shared" si="946"/>
        <v>1</v>
      </c>
      <c r="AQ110" s="367">
        <f t="shared" si="947"/>
        <v>0</v>
      </c>
      <c r="AR110" s="367">
        <f t="shared" si="948"/>
        <v>0</v>
      </c>
      <c r="AT110" s="367">
        <f t="shared" si="949"/>
        <v>0</v>
      </c>
      <c r="AU110" s="367">
        <f t="shared" si="950"/>
        <v>0</v>
      </c>
      <c r="AW110" s="367">
        <f t="shared" si="951"/>
        <v>0</v>
      </c>
      <c r="AX110" s="367">
        <f t="shared" si="952"/>
        <v>0</v>
      </c>
      <c r="AY110" s="367">
        <f t="shared" si="953"/>
        <v>0</v>
      </c>
      <c r="AZ110" s="367">
        <f t="shared" si="954"/>
        <v>0</v>
      </c>
      <c r="BB110" s="355">
        <f t="shared" si="955"/>
        <v>0</v>
      </c>
      <c r="BC110" s="355">
        <f t="shared" si="956"/>
        <v>0</v>
      </c>
      <c r="BD110" s="355">
        <f t="shared" si="957"/>
        <v>0</v>
      </c>
      <c r="BE110" s="355">
        <f t="shared" si="958"/>
        <v>0</v>
      </c>
      <c r="BF110" s="355">
        <f t="shared" si="959"/>
        <v>0</v>
      </c>
      <c r="BH110" s="368">
        <f t="shared" si="960"/>
        <v>0</v>
      </c>
      <c r="BJ110" s="369">
        <f t="shared" si="961"/>
        <v>-0.12</v>
      </c>
      <c r="BK110" s="355">
        <f t="shared" si="962"/>
        <v>0</v>
      </c>
      <c r="BL110" s="355">
        <f t="shared" si="963"/>
        <v>0</v>
      </c>
      <c r="BN110" s="366">
        <f t="shared" si="964"/>
        <v>0</v>
      </c>
      <c r="BO110" s="355">
        <f t="shared" si="965"/>
        <v>0</v>
      </c>
      <c r="BP110" s="355">
        <f t="shared" si="966"/>
        <v>0</v>
      </c>
      <c r="BQ110" s="355">
        <f t="shared" si="967"/>
        <v>0</v>
      </c>
      <c r="BS110" s="367">
        <f t="shared" si="968"/>
        <v>0</v>
      </c>
      <c r="BT110" s="355">
        <f t="shared" si="969"/>
        <v>0</v>
      </c>
      <c r="BU110" s="355" t="b">
        <f t="shared" si="970"/>
        <v>1</v>
      </c>
      <c r="BW110" s="355" t="str">
        <f t="shared" si="971"/>
        <v/>
      </c>
      <c r="BX110" s="355">
        <f t="shared" si="972"/>
        <v>0</v>
      </c>
      <c r="BY110" s="356">
        <f t="shared" si="1013"/>
        <v>0</v>
      </c>
      <c r="BZ110" s="355">
        <f t="shared" si="974"/>
        <v>0</v>
      </c>
      <c r="CB110" s="102" t="str">
        <f t="shared" si="975"/>
        <v xml:space="preserve">  Informática</v>
      </c>
      <c r="CD110" s="355" t="str">
        <f t="shared" si="976"/>
        <v>Não</v>
      </c>
      <c r="CE110" s="368">
        <f>ifzero(mlookup(tbl_ICMSinterest_data,UFdestino,tbl_ICMSinterest_ufdest,UForigem,tbl_ICMSinterest_uforig))</f>
        <v>0.12</v>
      </c>
      <c r="CF110" s="368">
        <f>IF(N110&gt;0,IF(I110&lt;&gt;"Serviço",ifzero(mlookup(tbl_ICMSinterno_data,UForigem,tbl_ICMSinterno_UF,O110,tbl_ICMSinterno_NCM),mlookup(tbl_ICMSinterest_data,UForigem,tbl_ICMSinterest_ufdest,UForigem,tbl_ICMSinterest_uforig)),""),0)</f>
        <v>0</v>
      </c>
      <c r="CG110" s="368">
        <f>IF(N110&gt;0,IF(I110&lt;&gt;"Serviço",ifzero(mlookup(tbl_ICMSinterno_data,UFdestino,tbl_ICMSinterno_UF,O110,tbl_ICMSinterno_NCM),mlookup(tbl_ICMSinterest_data,UFdestino,tbl_ICMSinterest_ufdest,UFdestino,tbl_ICMSinterest_uforig)),""),0)</f>
        <v>0</v>
      </c>
      <c r="CI110" s="355">
        <f t="shared" si="977"/>
        <v>0</v>
      </c>
      <c r="CJ110" s="355">
        <f t="shared" si="978"/>
        <v>0</v>
      </c>
      <c r="CK110" s="355">
        <f t="shared" si="979"/>
        <v>0</v>
      </c>
      <c r="CL110" s="355">
        <f t="shared" si="980"/>
        <v>0</v>
      </c>
      <c r="CN110" s="370">
        <f t="shared" si="981"/>
        <v>0</v>
      </c>
      <c r="CO110" s="355">
        <f t="shared" si="982"/>
        <v>0</v>
      </c>
      <c r="CQ110" s="355" t="b">
        <f t="shared" si="983"/>
        <v>0</v>
      </c>
      <c r="CR110" s="355" t="b">
        <f t="shared" si="984"/>
        <v>1</v>
      </c>
      <c r="CS110" s="355" t="b">
        <f t="shared" si="985"/>
        <v>0</v>
      </c>
      <c r="CU110" s="2">
        <f t="shared" si="986"/>
        <v>0</v>
      </c>
      <c r="CV110" s="102">
        <f t="shared" si="987"/>
        <v>0</v>
      </c>
      <c r="CW110" s="102">
        <f t="shared" si="1014"/>
        <v>0</v>
      </c>
      <c r="CX110" s="102">
        <f t="shared" si="989"/>
        <v>0</v>
      </c>
      <c r="CY110" s="290">
        <f t="shared" si="990"/>
        <v>0</v>
      </c>
      <c r="CZ110" s="102">
        <f t="shared" si="1016"/>
        <v>0</v>
      </c>
      <c r="DA110" s="290">
        <f t="shared" si="992"/>
        <v>0</v>
      </c>
      <c r="DB110" s="102">
        <f t="shared" si="1017"/>
        <v>0</v>
      </c>
      <c r="DC110" s="290">
        <f t="shared" si="994"/>
        <v>0</v>
      </c>
      <c r="DD110" s="102">
        <f t="shared" si="1015"/>
        <v>0</v>
      </c>
      <c r="DE110" s="592">
        <f>IF(D110="Sim",HLOOKUP($DH$5,Parametrização!$G$2:$H$4,2,FALSE),0)</f>
        <v>0</v>
      </c>
      <c r="DF110" s="102">
        <f t="shared" si="1018"/>
        <v>0</v>
      </c>
      <c r="DG110" s="592">
        <f>IF(D110="Sim",HLOOKUP($DH$5,Parametrização!$G$2:$H$4,3,FALSE),0)</f>
        <v>0</v>
      </c>
      <c r="DH110" s="102">
        <f t="shared" si="1019"/>
        <v>0</v>
      </c>
      <c r="DI110" s="102">
        <f t="shared" si="1020"/>
        <v>0</v>
      </c>
      <c r="DK110" s="3" t="str">
        <f t="shared" si="999"/>
        <v>NA</v>
      </c>
      <c r="DL110" s="2" t="str">
        <f t="shared" si="1000"/>
        <v>NA</v>
      </c>
      <c r="DM110" s="3" t="str">
        <f t="shared" si="1001"/>
        <v>NA</v>
      </c>
      <c r="DN110" s="9" t="str">
        <f t="shared" si="1002"/>
        <v>NA</v>
      </c>
      <c r="DO110" s="637" t="str">
        <f t="shared" si="1003"/>
        <v>NA</v>
      </c>
      <c r="DP110" s="637"/>
      <c r="DQ110" s="3" t="str">
        <f t="shared" si="1004"/>
        <v>NA</v>
      </c>
      <c r="DR110" s="2" t="str">
        <f t="shared" si="1005"/>
        <v>NA</v>
      </c>
      <c r="DS110" s="3" t="str">
        <f t="shared" si="1006"/>
        <v>NA</v>
      </c>
      <c r="DT110" s="9" t="str">
        <f t="shared" si="1021"/>
        <v>NA</v>
      </c>
      <c r="DU110" s="637" t="str">
        <f t="shared" si="1022"/>
        <v>NA</v>
      </c>
      <c r="DV110" s="637"/>
      <c r="DW110" s="682"/>
      <c r="DX110" s="682"/>
      <c r="DY110" s="682"/>
      <c r="DZ110" s="637"/>
      <c r="EA110" s="643"/>
    </row>
    <row r="111" spans="1:131" s="355" customFormat="1" ht="20.100000000000001" customHeight="1" outlineLevel="1" x14ac:dyDescent="0.25">
      <c r="A111" s="356"/>
      <c r="B111" s="355" t="s">
        <v>268</v>
      </c>
      <c r="C111" s="355" t="str">
        <f t="shared" si="1009"/>
        <v>Consumo</v>
      </c>
      <c r="D111" s="355" t="s">
        <v>53</v>
      </c>
      <c r="E111" s="18" t="s">
        <v>38</v>
      </c>
      <c r="F111" s="355" t="s">
        <v>53</v>
      </c>
      <c r="G111" s="357" t="str">
        <f t="shared" si="1010"/>
        <v>Geral</v>
      </c>
      <c r="H111" s="255" t="s">
        <v>377</v>
      </c>
      <c r="I111" s="356" t="str">
        <f t="shared" si="927"/>
        <v>Sistema</v>
      </c>
      <c r="K111" s="318" t="s">
        <v>2864</v>
      </c>
      <c r="L111" s="749" t="str">
        <f>IF(Padrões!JF52&lt;&gt;"",Padrões!JF52,"")</f>
        <v>D-Link DGS-1016D</v>
      </c>
      <c r="M111" s="358" t="str">
        <f t="shared" si="928"/>
        <v>?</v>
      </c>
      <c r="N111" s="359">
        <f>Padrões!JI52</f>
        <v>0</v>
      </c>
      <c r="O111" s="381" t="str">
        <f t="shared" si="929"/>
        <v>?</v>
      </c>
      <c r="P111" s="360">
        <f t="shared" si="930"/>
        <v>0.12</v>
      </c>
      <c r="Q111" s="360" t="str">
        <f t="shared" si="931"/>
        <v>?</v>
      </c>
      <c r="R111" s="360">
        <f t="shared" si="932"/>
        <v>0</v>
      </c>
      <c r="S111" s="361">
        <f t="shared" si="933"/>
        <v>0</v>
      </c>
      <c r="T111" s="362">
        <f t="shared" si="934"/>
        <v>0</v>
      </c>
      <c r="U111" s="53" t="str" cm="1">
        <f t="array" ref="U111">IFERROR(IF(I111&lt;&gt;"Serviço",IF(AND(mlookup(tbl_DIFAL_data,UFdestino,tbl_DIFAL_UF,O111,tbl_DIFAL_NCM)&lt;&gt;"",C111="Consumo"),"Sim",""),""),"?")</f>
        <v>?</v>
      </c>
      <c r="V111" s="363" t="str">
        <f>IFERROR(IF(I111&lt;&gt;"Serviço",IF(AND(D111="Não",mlookup(tbl_ST_data,UFdestino,tbl_ST_UF,O111,tbl_ST_NCM)&lt;&gt;"",C111="Revenda",CD111="Não"),"Sim",""),""),"?")</f>
        <v>?</v>
      </c>
      <c r="W111" s="364">
        <f t="shared" si="935"/>
        <v>0</v>
      </c>
      <c r="X111" s="365">
        <f>IF(V111="Sim",mlookup(tbl_ST_data,UFdestino,tbl_ST_UF,O111,tbl_ST_NCM),0)</f>
        <v>0</v>
      </c>
      <c r="Z111" s="355">
        <f t="shared" si="936"/>
        <v>0</v>
      </c>
      <c r="AA111" s="355">
        <f t="shared" si="937"/>
        <v>0</v>
      </c>
      <c r="AC111" s="366">
        <f t="shared" si="1011"/>
        <v>1.31243473968765E-2</v>
      </c>
      <c r="AD111" s="366">
        <f t="shared" si="939"/>
        <v>0.15</v>
      </c>
      <c r="AF111" s="355">
        <f t="shared" si="940"/>
        <v>0</v>
      </c>
      <c r="AG111" s="355">
        <f t="shared" si="941"/>
        <v>0</v>
      </c>
      <c r="AI111" s="355">
        <f t="shared" si="942"/>
        <v>0</v>
      </c>
      <c r="AK111" s="366">
        <f t="shared" si="1012"/>
        <v>0</v>
      </c>
      <c r="AL111" s="355">
        <f t="shared" si="944"/>
        <v>0</v>
      </c>
      <c r="AM111" s="355">
        <f t="shared" si="945"/>
        <v>0</v>
      </c>
      <c r="AO111" s="355" t="b">
        <f t="shared" si="946"/>
        <v>1</v>
      </c>
      <c r="AQ111" s="367">
        <f t="shared" si="947"/>
        <v>0</v>
      </c>
      <c r="AR111" s="367">
        <f t="shared" si="948"/>
        <v>0</v>
      </c>
      <c r="AT111" s="367">
        <f t="shared" si="949"/>
        <v>0</v>
      </c>
      <c r="AU111" s="367">
        <f t="shared" si="950"/>
        <v>0</v>
      </c>
      <c r="AW111" s="367">
        <f t="shared" si="951"/>
        <v>0</v>
      </c>
      <c r="AX111" s="367">
        <f t="shared" si="952"/>
        <v>0</v>
      </c>
      <c r="AY111" s="367">
        <f t="shared" si="953"/>
        <v>0</v>
      </c>
      <c r="AZ111" s="367">
        <f t="shared" si="954"/>
        <v>0</v>
      </c>
      <c r="BB111" s="355">
        <f t="shared" si="955"/>
        <v>0</v>
      </c>
      <c r="BC111" s="355">
        <f t="shared" si="956"/>
        <v>0</v>
      </c>
      <c r="BD111" s="355">
        <f t="shared" si="957"/>
        <v>0</v>
      </c>
      <c r="BE111" s="355">
        <f t="shared" si="958"/>
        <v>0</v>
      </c>
      <c r="BF111" s="355">
        <f t="shared" si="959"/>
        <v>0</v>
      </c>
      <c r="BH111" s="368">
        <f t="shared" si="960"/>
        <v>0</v>
      </c>
      <c r="BJ111" s="369">
        <f t="shared" si="961"/>
        <v>-0.12</v>
      </c>
      <c r="BK111" s="355">
        <f t="shared" si="962"/>
        <v>0</v>
      </c>
      <c r="BL111" s="355">
        <f t="shared" si="963"/>
        <v>0</v>
      </c>
      <c r="BN111" s="366">
        <f t="shared" si="964"/>
        <v>0</v>
      </c>
      <c r="BO111" s="355">
        <f t="shared" si="965"/>
        <v>0</v>
      </c>
      <c r="BP111" s="355">
        <f t="shared" si="966"/>
        <v>0</v>
      </c>
      <c r="BQ111" s="355">
        <f t="shared" si="967"/>
        <v>0</v>
      </c>
      <c r="BS111" s="367">
        <f t="shared" si="968"/>
        <v>0</v>
      </c>
      <c r="BT111" s="355">
        <f t="shared" si="969"/>
        <v>0</v>
      </c>
      <c r="BU111" s="355" t="b">
        <f t="shared" si="970"/>
        <v>1</v>
      </c>
      <c r="BW111" s="355" t="str">
        <f t="shared" si="971"/>
        <v/>
      </c>
      <c r="BX111" s="355">
        <f t="shared" si="972"/>
        <v>0</v>
      </c>
      <c r="BY111" s="356">
        <f t="shared" si="1013"/>
        <v>0</v>
      </c>
      <c r="BZ111" s="355">
        <f t="shared" si="974"/>
        <v>0</v>
      </c>
      <c r="CB111" s="102" t="str">
        <f t="shared" si="975"/>
        <v>?</v>
      </c>
      <c r="CD111" s="355" t="str">
        <f t="shared" si="976"/>
        <v>Não</v>
      </c>
      <c r="CE111" s="368">
        <f>ifzero(mlookup(tbl_ICMSinterest_data,UFdestino,tbl_ICMSinterest_ufdest,UForigem,tbl_ICMSinterest_uforig))</f>
        <v>0.12</v>
      </c>
      <c r="CF111" s="368">
        <f>IF(N111&gt;0,IF(I111&lt;&gt;"Serviço",ifzero(mlookup(tbl_ICMSinterno_data,UForigem,tbl_ICMSinterno_UF,O111,tbl_ICMSinterno_NCM),mlookup(tbl_ICMSinterest_data,UForigem,tbl_ICMSinterest_ufdest,UForigem,tbl_ICMSinterest_uforig)),""),0)</f>
        <v>0</v>
      </c>
      <c r="CG111" s="368">
        <f>IF(N111&gt;0,IF(I111&lt;&gt;"Serviço",ifzero(mlookup(tbl_ICMSinterno_data,UFdestino,tbl_ICMSinterno_UF,O111,tbl_ICMSinterno_NCM),mlookup(tbl_ICMSinterest_data,UFdestino,tbl_ICMSinterest_ufdest,UFdestino,tbl_ICMSinterest_uforig)),""),0)</f>
        <v>0</v>
      </c>
      <c r="CI111" s="355">
        <f t="shared" si="977"/>
        <v>0</v>
      </c>
      <c r="CJ111" s="355">
        <f t="shared" si="978"/>
        <v>0</v>
      </c>
      <c r="CK111" s="355">
        <f t="shared" si="979"/>
        <v>0</v>
      </c>
      <c r="CL111" s="355">
        <f t="shared" si="980"/>
        <v>0</v>
      </c>
      <c r="CN111" s="370">
        <f t="shared" si="981"/>
        <v>0</v>
      </c>
      <c r="CO111" s="355">
        <f t="shared" si="982"/>
        <v>0</v>
      </c>
      <c r="CQ111" s="355" t="b">
        <f t="shared" si="983"/>
        <v>0</v>
      </c>
      <c r="CR111" s="355" t="b">
        <f t="shared" si="984"/>
        <v>1</v>
      </c>
      <c r="CS111" s="355" t="b">
        <f t="shared" si="985"/>
        <v>0</v>
      </c>
      <c r="CU111" s="2">
        <f t="shared" si="986"/>
        <v>0</v>
      </c>
      <c r="CV111" s="102">
        <f t="shared" si="987"/>
        <v>0</v>
      </c>
      <c r="CW111" s="102">
        <f t="shared" si="1014"/>
        <v>0</v>
      </c>
      <c r="CX111" s="102">
        <f t="shared" si="989"/>
        <v>0</v>
      </c>
      <c r="CY111" s="290">
        <f t="shared" si="990"/>
        <v>0</v>
      </c>
      <c r="CZ111" s="102">
        <f t="shared" si="1016"/>
        <v>0</v>
      </c>
      <c r="DA111" s="290">
        <f t="shared" si="992"/>
        <v>0</v>
      </c>
      <c r="DB111" s="102">
        <f t="shared" si="1017"/>
        <v>0</v>
      </c>
      <c r="DC111" s="290">
        <f t="shared" si="994"/>
        <v>0</v>
      </c>
      <c r="DD111" s="102">
        <f t="shared" si="1015"/>
        <v>0</v>
      </c>
      <c r="DE111" s="592">
        <f>IF(D111="Sim",HLOOKUP($DH$5,Parametrização!$G$2:$H$4,2,FALSE),0)</f>
        <v>0</v>
      </c>
      <c r="DF111" s="102">
        <f t="shared" si="1018"/>
        <v>0</v>
      </c>
      <c r="DG111" s="592">
        <f>IF(D111="Sim",HLOOKUP($DH$5,Parametrização!$G$2:$H$4,3,FALSE),0)</f>
        <v>0</v>
      </c>
      <c r="DH111" s="102">
        <f t="shared" si="1019"/>
        <v>0</v>
      </c>
      <c r="DI111" s="102">
        <f t="shared" si="1020"/>
        <v>0</v>
      </c>
      <c r="DK111" s="3" t="str">
        <f t="shared" si="999"/>
        <v>NA</v>
      </c>
      <c r="DL111" s="2" t="str">
        <f t="shared" si="1000"/>
        <v>NA</v>
      </c>
      <c r="DM111" s="3" t="str">
        <f t="shared" si="1001"/>
        <v>NA</v>
      </c>
      <c r="DN111" s="9" t="str">
        <f t="shared" si="1002"/>
        <v>NA</v>
      </c>
      <c r="DO111" s="637" t="str">
        <f t="shared" si="1003"/>
        <v>NA</v>
      </c>
      <c r="DP111" s="637"/>
      <c r="DQ111" s="3" t="str">
        <f t="shared" si="1004"/>
        <v>NA</v>
      </c>
      <c r="DR111" s="2" t="str">
        <f t="shared" si="1005"/>
        <v>NA</v>
      </c>
      <c r="DS111" s="3" t="str">
        <f t="shared" si="1006"/>
        <v>NA</v>
      </c>
      <c r="DT111" s="9" t="str">
        <f t="shared" si="1021"/>
        <v>NA</v>
      </c>
      <c r="DU111" s="637" t="str">
        <f t="shared" si="1022"/>
        <v>NA</v>
      </c>
      <c r="DV111" s="637"/>
      <c r="DW111" s="682"/>
      <c r="DX111" s="682"/>
      <c r="DY111" s="682"/>
      <c r="DZ111" s="637"/>
      <c r="EA111" s="643"/>
    </row>
    <row r="112" spans="1:131" s="355" customFormat="1" ht="20.100000000000001" customHeight="1" outlineLevel="1" x14ac:dyDescent="0.25">
      <c r="A112" s="356"/>
      <c r="B112" s="355" t="s">
        <v>268</v>
      </c>
      <c r="C112" s="355" t="str">
        <f t="shared" si="1009"/>
        <v>Consumo</v>
      </c>
      <c r="D112" s="355" t="s">
        <v>53</v>
      </c>
      <c r="E112" s="18" t="s">
        <v>38</v>
      </c>
      <c r="F112" s="355" t="s">
        <v>53</v>
      </c>
      <c r="G112" s="357" t="str">
        <f t="shared" si="1010"/>
        <v>Geral</v>
      </c>
      <c r="H112" s="255" t="s">
        <v>377</v>
      </c>
      <c r="I112" s="356" t="str">
        <f t="shared" si="927"/>
        <v>Sistema</v>
      </c>
      <c r="K112" s="318" t="s">
        <v>2865</v>
      </c>
      <c r="L112" s="749" t="str">
        <f>IF(Padrões!JF53&lt;&gt;"",Padrões!JF53,"")</f>
        <v>TL-ER6120</v>
      </c>
      <c r="M112" s="358" t="str">
        <f t="shared" si="928"/>
        <v>?</v>
      </c>
      <c r="N112" s="359">
        <f>Padrões!JI53</f>
        <v>0</v>
      </c>
      <c r="O112" s="381" t="str">
        <f t="shared" si="929"/>
        <v>?</v>
      </c>
      <c r="P112" s="360">
        <f t="shared" si="930"/>
        <v>0.12</v>
      </c>
      <c r="Q112" s="360" t="str">
        <f t="shared" si="931"/>
        <v>?</v>
      </c>
      <c r="R112" s="360">
        <f t="shared" si="932"/>
        <v>0</v>
      </c>
      <c r="S112" s="361">
        <f t="shared" si="933"/>
        <v>0</v>
      </c>
      <c r="T112" s="362">
        <f t="shared" si="934"/>
        <v>0</v>
      </c>
      <c r="U112" s="53" t="str" cm="1">
        <f t="array" ref="U112">IFERROR(IF(I112&lt;&gt;"Serviço",IF(AND(mlookup(tbl_DIFAL_data,UFdestino,tbl_DIFAL_UF,O112,tbl_DIFAL_NCM)&lt;&gt;"",C112="Consumo"),"Sim",""),""),"?")</f>
        <v>?</v>
      </c>
      <c r="V112" s="363" t="str">
        <f>IFERROR(IF(I112&lt;&gt;"Serviço",IF(AND(D112="Não",mlookup(tbl_ST_data,UFdestino,tbl_ST_UF,O112,tbl_ST_NCM)&lt;&gt;"",C112="Revenda",CD112="Não"),"Sim",""),""),"?")</f>
        <v>?</v>
      </c>
      <c r="W112" s="364">
        <f t="shared" si="935"/>
        <v>0</v>
      </c>
      <c r="X112" s="365">
        <f>IF(V112="Sim",mlookup(tbl_ST_data,UFdestino,tbl_ST_UF,O112,tbl_ST_NCM),0)</f>
        <v>0</v>
      </c>
      <c r="Z112" s="355">
        <f t="shared" si="936"/>
        <v>0</v>
      </c>
      <c r="AA112" s="355">
        <f t="shared" si="937"/>
        <v>0</v>
      </c>
      <c r="AC112" s="366">
        <f t="shared" si="1011"/>
        <v>1.31243473968765E-2</v>
      </c>
      <c r="AD112" s="366">
        <f t="shared" si="939"/>
        <v>0.15</v>
      </c>
      <c r="AF112" s="355">
        <f t="shared" si="940"/>
        <v>0</v>
      </c>
      <c r="AG112" s="355">
        <f t="shared" si="941"/>
        <v>0</v>
      </c>
      <c r="AI112" s="355">
        <f t="shared" si="942"/>
        <v>0</v>
      </c>
      <c r="AK112" s="366">
        <f t="shared" si="1012"/>
        <v>0</v>
      </c>
      <c r="AL112" s="355">
        <f t="shared" si="944"/>
        <v>0</v>
      </c>
      <c r="AM112" s="355">
        <f t="shared" si="945"/>
        <v>0</v>
      </c>
      <c r="AO112" s="355" t="b">
        <f t="shared" si="946"/>
        <v>1</v>
      </c>
      <c r="AQ112" s="367">
        <f t="shared" si="947"/>
        <v>0</v>
      </c>
      <c r="AR112" s="367">
        <f t="shared" si="948"/>
        <v>0</v>
      </c>
      <c r="AT112" s="367">
        <f t="shared" si="949"/>
        <v>0</v>
      </c>
      <c r="AU112" s="367">
        <f t="shared" si="950"/>
        <v>0</v>
      </c>
      <c r="AW112" s="367">
        <f t="shared" si="951"/>
        <v>0</v>
      </c>
      <c r="AX112" s="367">
        <f t="shared" si="952"/>
        <v>0</v>
      </c>
      <c r="AY112" s="367">
        <f t="shared" si="953"/>
        <v>0</v>
      </c>
      <c r="AZ112" s="367">
        <f t="shared" si="954"/>
        <v>0</v>
      </c>
      <c r="BB112" s="355">
        <f t="shared" si="955"/>
        <v>0</v>
      </c>
      <c r="BC112" s="355">
        <f t="shared" si="956"/>
        <v>0</v>
      </c>
      <c r="BD112" s="355">
        <f t="shared" si="957"/>
        <v>0</v>
      </c>
      <c r="BE112" s="355">
        <f t="shared" si="958"/>
        <v>0</v>
      </c>
      <c r="BF112" s="355">
        <f t="shared" si="959"/>
        <v>0</v>
      </c>
      <c r="BH112" s="368">
        <f t="shared" si="960"/>
        <v>0</v>
      </c>
      <c r="BJ112" s="369">
        <f t="shared" si="961"/>
        <v>-0.12</v>
      </c>
      <c r="BK112" s="355">
        <f t="shared" si="962"/>
        <v>0</v>
      </c>
      <c r="BL112" s="355">
        <f t="shared" si="963"/>
        <v>0</v>
      </c>
      <c r="BN112" s="366">
        <f t="shared" si="964"/>
        <v>0</v>
      </c>
      <c r="BO112" s="355">
        <f t="shared" si="965"/>
        <v>0</v>
      </c>
      <c r="BP112" s="355">
        <f t="shared" si="966"/>
        <v>0</v>
      </c>
      <c r="BQ112" s="355">
        <f t="shared" si="967"/>
        <v>0</v>
      </c>
      <c r="BS112" s="367">
        <f t="shared" si="968"/>
        <v>0</v>
      </c>
      <c r="BT112" s="355">
        <f t="shared" si="969"/>
        <v>0</v>
      </c>
      <c r="BU112" s="355" t="b">
        <f t="shared" si="970"/>
        <v>1</v>
      </c>
      <c r="BW112" s="355" t="str">
        <f t="shared" si="971"/>
        <v/>
      </c>
      <c r="BX112" s="355">
        <f t="shared" si="972"/>
        <v>0</v>
      </c>
      <c r="BY112" s="356">
        <f t="shared" si="1013"/>
        <v>0</v>
      </c>
      <c r="BZ112" s="355">
        <f t="shared" si="974"/>
        <v>0</v>
      </c>
      <c r="CB112" s="102" t="str">
        <f t="shared" si="975"/>
        <v>?</v>
      </c>
      <c r="CD112" s="355" t="str">
        <f t="shared" si="976"/>
        <v>Não</v>
      </c>
      <c r="CE112" s="368">
        <f>ifzero(mlookup(tbl_ICMSinterest_data,UFdestino,tbl_ICMSinterest_ufdest,UForigem,tbl_ICMSinterest_uforig))</f>
        <v>0.12</v>
      </c>
      <c r="CF112" s="368">
        <f>IF(N112&gt;0,IF(I112&lt;&gt;"Serviço",ifzero(mlookup(tbl_ICMSinterno_data,UForigem,tbl_ICMSinterno_UF,O112,tbl_ICMSinterno_NCM),mlookup(tbl_ICMSinterest_data,UForigem,tbl_ICMSinterest_ufdest,UForigem,tbl_ICMSinterest_uforig)),""),0)</f>
        <v>0</v>
      </c>
      <c r="CG112" s="368">
        <f>IF(N112&gt;0,IF(I112&lt;&gt;"Serviço",ifzero(mlookup(tbl_ICMSinterno_data,UFdestino,tbl_ICMSinterno_UF,O112,tbl_ICMSinterno_NCM),mlookup(tbl_ICMSinterest_data,UFdestino,tbl_ICMSinterest_ufdest,UFdestino,tbl_ICMSinterest_uforig)),""),0)</f>
        <v>0</v>
      </c>
      <c r="CI112" s="355">
        <f t="shared" si="977"/>
        <v>0</v>
      </c>
      <c r="CJ112" s="355">
        <f t="shared" si="978"/>
        <v>0</v>
      </c>
      <c r="CK112" s="355">
        <f t="shared" si="979"/>
        <v>0</v>
      </c>
      <c r="CL112" s="355">
        <f t="shared" si="980"/>
        <v>0</v>
      </c>
      <c r="CN112" s="370">
        <f t="shared" si="981"/>
        <v>0</v>
      </c>
      <c r="CO112" s="355">
        <f t="shared" si="982"/>
        <v>0</v>
      </c>
      <c r="CQ112" s="355" t="b">
        <f t="shared" si="983"/>
        <v>0</v>
      </c>
      <c r="CR112" s="355" t="b">
        <f t="shared" si="984"/>
        <v>1</v>
      </c>
      <c r="CS112" s="355" t="b">
        <f t="shared" si="985"/>
        <v>0</v>
      </c>
      <c r="CU112" s="2">
        <f t="shared" si="986"/>
        <v>0</v>
      </c>
      <c r="CV112" s="102">
        <f t="shared" si="987"/>
        <v>0</v>
      </c>
      <c r="CW112" s="102">
        <f t="shared" si="1014"/>
        <v>0</v>
      </c>
      <c r="CX112" s="102">
        <f t="shared" si="989"/>
        <v>0</v>
      </c>
      <c r="CY112" s="290">
        <f t="shared" si="990"/>
        <v>0</v>
      </c>
      <c r="CZ112" s="102">
        <f t="shared" si="1016"/>
        <v>0</v>
      </c>
      <c r="DA112" s="290">
        <f t="shared" si="992"/>
        <v>0</v>
      </c>
      <c r="DB112" s="102">
        <f t="shared" si="1017"/>
        <v>0</v>
      </c>
      <c r="DC112" s="290">
        <f t="shared" si="994"/>
        <v>0</v>
      </c>
      <c r="DD112" s="102">
        <f t="shared" si="1015"/>
        <v>0</v>
      </c>
      <c r="DE112" s="592">
        <f>IF(D112="Sim",HLOOKUP($DH$5,Parametrização!$G$2:$H$4,2,FALSE),0)</f>
        <v>0</v>
      </c>
      <c r="DF112" s="102">
        <f t="shared" si="1018"/>
        <v>0</v>
      </c>
      <c r="DG112" s="592">
        <f>IF(D112="Sim",HLOOKUP($DH$5,Parametrização!$G$2:$H$4,3,FALSE),0)</f>
        <v>0</v>
      </c>
      <c r="DH112" s="102">
        <f t="shared" si="1019"/>
        <v>0</v>
      </c>
      <c r="DI112" s="102">
        <f t="shared" si="1020"/>
        <v>0</v>
      </c>
      <c r="DK112" s="3" t="str">
        <f t="shared" si="999"/>
        <v>NA</v>
      </c>
      <c r="DL112" s="2" t="str">
        <f t="shared" si="1000"/>
        <v>NA</v>
      </c>
      <c r="DM112" s="3" t="str">
        <f t="shared" si="1001"/>
        <v>NA</v>
      </c>
      <c r="DN112" s="9" t="str">
        <f t="shared" si="1002"/>
        <v>NA</v>
      </c>
      <c r="DO112" s="637" t="str">
        <f t="shared" si="1003"/>
        <v>NA</v>
      </c>
      <c r="DP112" s="637"/>
      <c r="DQ112" s="3" t="str">
        <f t="shared" si="1004"/>
        <v>NA</v>
      </c>
      <c r="DR112" s="2" t="str">
        <f t="shared" si="1005"/>
        <v>NA</v>
      </c>
      <c r="DS112" s="3" t="str">
        <f t="shared" si="1006"/>
        <v>NA</v>
      </c>
      <c r="DT112" s="9" t="str">
        <f t="shared" si="1021"/>
        <v>NA</v>
      </c>
      <c r="DU112" s="637" t="str">
        <f t="shared" si="1022"/>
        <v>NA</v>
      </c>
      <c r="DV112" s="637"/>
      <c r="DW112" s="682"/>
      <c r="DX112" s="682"/>
      <c r="DY112" s="682"/>
      <c r="DZ112" s="637"/>
      <c r="EA112" s="643"/>
    </row>
    <row r="113" spans="1:131" s="355" customFormat="1" ht="20.100000000000001" customHeight="1" outlineLevel="1" x14ac:dyDescent="0.25">
      <c r="A113" s="356"/>
      <c r="B113" s="355" t="s">
        <v>268</v>
      </c>
      <c r="C113" s="355" t="str">
        <f t="shared" si="1009"/>
        <v>Consumo</v>
      </c>
      <c r="D113" s="355" t="s">
        <v>53</v>
      </c>
      <c r="E113" s="18" t="s">
        <v>38</v>
      </c>
      <c r="F113" s="355" t="s">
        <v>53</v>
      </c>
      <c r="G113" s="357" t="str">
        <f t="shared" si="1010"/>
        <v>Geral</v>
      </c>
      <c r="H113" s="255" t="s">
        <v>377</v>
      </c>
      <c r="I113" s="356" t="str">
        <f t="shared" si="927"/>
        <v>Sistema</v>
      </c>
      <c r="K113" s="318" t="s">
        <v>2866</v>
      </c>
      <c r="L113" s="749" t="str">
        <f>IF(Padrões!JF54&lt;&gt;"",Padrões!JF54,"")</f>
        <v>6GK6021-0AS13-3DB0-Z A05+B05+C05+D05+E00+F00+G01+H01+J00+K00</v>
      </c>
      <c r="M113" s="358" t="str">
        <f t="shared" si="928"/>
        <v>?</v>
      </c>
      <c r="N113" s="359">
        <f>Padrões!JI54</f>
        <v>0</v>
      </c>
      <c r="O113" s="381" t="str">
        <f t="shared" si="929"/>
        <v>?</v>
      </c>
      <c r="P113" s="360">
        <f t="shared" si="930"/>
        <v>0.12</v>
      </c>
      <c r="Q113" s="360" t="str">
        <f t="shared" si="931"/>
        <v>?</v>
      </c>
      <c r="R113" s="360">
        <f t="shared" si="932"/>
        <v>0</v>
      </c>
      <c r="S113" s="361">
        <f t="shared" si="933"/>
        <v>0</v>
      </c>
      <c r="T113" s="362">
        <f t="shared" si="934"/>
        <v>0</v>
      </c>
      <c r="U113" s="53" t="str" cm="1">
        <f t="array" ref="U113">IFERROR(IF(I113&lt;&gt;"Serviço",IF(AND(mlookup(tbl_DIFAL_data,UFdestino,tbl_DIFAL_UF,O113,tbl_DIFAL_NCM)&lt;&gt;"",C113="Consumo"),"Sim",""),""),"?")</f>
        <v>?</v>
      </c>
      <c r="V113" s="363" t="str">
        <f>IFERROR(IF(I113&lt;&gt;"Serviço",IF(AND(D113="Não",mlookup(tbl_ST_data,UFdestino,tbl_ST_UF,O113,tbl_ST_NCM)&lt;&gt;"",C113="Revenda",CD113="Não"),"Sim",""),""),"?")</f>
        <v>?</v>
      </c>
      <c r="W113" s="364">
        <f t="shared" si="935"/>
        <v>0</v>
      </c>
      <c r="X113" s="365">
        <f>IF(V113="Sim",mlookup(tbl_ST_data,UFdestino,tbl_ST_UF,O113,tbl_ST_NCM),0)</f>
        <v>0</v>
      </c>
      <c r="Z113" s="355">
        <f t="shared" si="936"/>
        <v>0</v>
      </c>
      <c r="AA113" s="355">
        <f t="shared" si="937"/>
        <v>0</v>
      </c>
      <c r="AC113" s="366">
        <f t="shared" si="1011"/>
        <v>1.31243473968765E-2</v>
      </c>
      <c r="AD113" s="366">
        <f t="shared" si="939"/>
        <v>0.15</v>
      </c>
      <c r="AF113" s="355">
        <f t="shared" si="940"/>
        <v>0</v>
      </c>
      <c r="AG113" s="355">
        <f t="shared" si="941"/>
        <v>0</v>
      </c>
      <c r="AI113" s="355">
        <f t="shared" si="942"/>
        <v>0</v>
      </c>
      <c r="AK113" s="366">
        <f t="shared" si="1012"/>
        <v>0</v>
      </c>
      <c r="AL113" s="355">
        <f t="shared" si="944"/>
        <v>0</v>
      </c>
      <c r="AM113" s="355">
        <f t="shared" si="945"/>
        <v>0</v>
      </c>
      <c r="AO113" s="355" t="b">
        <f t="shared" si="946"/>
        <v>1</v>
      </c>
      <c r="AQ113" s="367">
        <f t="shared" si="947"/>
        <v>0</v>
      </c>
      <c r="AR113" s="367">
        <f t="shared" si="948"/>
        <v>0</v>
      </c>
      <c r="AT113" s="367">
        <f t="shared" si="949"/>
        <v>0</v>
      </c>
      <c r="AU113" s="367">
        <f t="shared" si="950"/>
        <v>0</v>
      </c>
      <c r="AW113" s="367">
        <f t="shared" si="951"/>
        <v>0</v>
      </c>
      <c r="AX113" s="367">
        <f t="shared" si="952"/>
        <v>0</v>
      </c>
      <c r="AY113" s="367">
        <f t="shared" si="953"/>
        <v>0</v>
      </c>
      <c r="AZ113" s="367">
        <f t="shared" si="954"/>
        <v>0</v>
      </c>
      <c r="BB113" s="355">
        <f t="shared" si="955"/>
        <v>0</v>
      </c>
      <c r="BC113" s="355">
        <f t="shared" si="956"/>
        <v>0</v>
      </c>
      <c r="BD113" s="355">
        <f t="shared" si="957"/>
        <v>0</v>
      </c>
      <c r="BE113" s="355">
        <f t="shared" si="958"/>
        <v>0</v>
      </c>
      <c r="BF113" s="355">
        <f t="shared" si="959"/>
        <v>0</v>
      </c>
      <c r="BH113" s="368">
        <f t="shared" si="960"/>
        <v>0</v>
      </c>
      <c r="BJ113" s="369">
        <f t="shared" si="961"/>
        <v>-0.12</v>
      </c>
      <c r="BK113" s="355">
        <f t="shared" si="962"/>
        <v>0</v>
      </c>
      <c r="BL113" s="355">
        <f t="shared" si="963"/>
        <v>0</v>
      </c>
      <c r="BN113" s="366">
        <f t="shared" si="964"/>
        <v>0</v>
      </c>
      <c r="BO113" s="355">
        <f t="shared" si="965"/>
        <v>0</v>
      </c>
      <c r="BP113" s="355">
        <f t="shared" si="966"/>
        <v>0</v>
      </c>
      <c r="BQ113" s="355">
        <f t="shared" si="967"/>
        <v>0</v>
      </c>
      <c r="BS113" s="367">
        <f t="shared" si="968"/>
        <v>0</v>
      </c>
      <c r="BT113" s="355">
        <f t="shared" si="969"/>
        <v>0</v>
      </c>
      <c r="BU113" s="355" t="b">
        <f t="shared" si="970"/>
        <v>1</v>
      </c>
      <c r="BW113" s="355" t="str">
        <f t="shared" si="971"/>
        <v/>
      </c>
      <c r="BX113" s="355">
        <f t="shared" si="972"/>
        <v>0</v>
      </c>
      <c r="BY113" s="356">
        <f t="shared" si="1013"/>
        <v>0</v>
      </c>
      <c r="BZ113" s="355">
        <f t="shared" si="974"/>
        <v>0</v>
      </c>
      <c r="CB113" s="102" t="str">
        <f t="shared" si="975"/>
        <v>?</v>
      </c>
      <c r="CD113" s="355" t="str">
        <f t="shared" si="976"/>
        <v>Não</v>
      </c>
      <c r="CE113" s="368">
        <f>ifzero(mlookup(tbl_ICMSinterest_data,UFdestino,tbl_ICMSinterest_ufdest,UForigem,tbl_ICMSinterest_uforig))</f>
        <v>0.12</v>
      </c>
      <c r="CF113" s="368">
        <f>IF(N113&gt;0,IF(I113&lt;&gt;"Serviço",ifzero(mlookup(tbl_ICMSinterno_data,UForigem,tbl_ICMSinterno_UF,O113,tbl_ICMSinterno_NCM),mlookup(tbl_ICMSinterest_data,UForigem,tbl_ICMSinterest_ufdest,UForigem,tbl_ICMSinterest_uforig)),""),0)</f>
        <v>0</v>
      </c>
      <c r="CG113" s="368">
        <f>IF(N113&gt;0,IF(I113&lt;&gt;"Serviço",ifzero(mlookup(tbl_ICMSinterno_data,UFdestino,tbl_ICMSinterno_UF,O113,tbl_ICMSinterno_NCM),mlookup(tbl_ICMSinterest_data,UFdestino,tbl_ICMSinterest_ufdest,UFdestino,tbl_ICMSinterest_uforig)),""),0)</f>
        <v>0</v>
      </c>
      <c r="CI113" s="355">
        <f t="shared" si="977"/>
        <v>0</v>
      </c>
      <c r="CJ113" s="355">
        <f t="shared" si="978"/>
        <v>0</v>
      </c>
      <c r="CK113" s="355">
        <f t="shared" si="979"/>
        <v>0</v>
      </c>
      <c r="CL113" s="355">
        <f t="shared" si="980"/>
        <v>0</v>
      </c>
      <c r="CN113" s="370">
        <f t="shared" si="981"/>
        <v>0</v>
      </c>
      <c r="CO113" s="355">
        <f t="shared" si="982"/>
        <v>0</v>
      </c>
      <c r="CQ113" s="355" t="b">
        <f t="shared" si="983"/>
        <v>0</v>
      </c>
      <c r="CR113" s="355" t="b">
        <f t="shared" si="984"/>
        <v>1</v>
      </c>
      <c r="CS113" s="355" t="b">
        <f t="shared" si="985"/>
        <v>0</v>
      </c>
      <c r="CU113" s="2">
        <f t="shared" si="986"/>
        <v>0</v>
      </c>
      <c r="CV113" s="102">
        <f t="shared" si="987"/>
        <v>0</v>
      </c>
      <c r="CW113" s="102">
        <f t="shared" si="1014"/>
        <v>0</v>
      </c>
      <c r="CX113" s="102">
        <f t="shared" si="989"/>
        <v>0</v>
      </c>
      <c r="CY113" s="290">
        <f t="shared" si="990"/>
        <v>0</v>
      </c>
      <c r="CZ113" s="102">
        <f t="shared" si="1016"/>
        <v>0</v>
      </c>
      <c r="DA113" s="290">
        <f t="shared" si="992"/>
        <v>0</v>
      </c>
      <c r="DB113" s="102">
        <f t="shared" si="1017"/>
        <v>0</v>
      </c>
      <c r="DC113" s="290">
        <f t="shared" si="994"/>
        <v>0</v>
      </c>
      <c r="DD113" s="102">
        <f t="shared" si="1015"/>
        <v>0</v>
      </c>
      <c r="DE113" s="592">
        <f>IF(D113="Sim",HLOOKUP($DH$5,Parametrização!$G$2:$H$4,2,FALSE),0)</f>
        <v>0</v>
      </c>
      <c r="DF113" s="102">
        <f t="shared" si="1018"/>
        <v>0</v>
      </c>
      <c r="DG113" s="592">
        <f>IF(D113="Sim",HLOOKUP($DH$5,Parametrização!$G$2:$H$4,3,FALSE),0)</f>
        <v>0</v>
      </c>
      <c r="DH113" s="102">
        <f t="shared" si="1019"/>
        <v>0</v>
      </c>
      <c r="DI113" s="102">
        <f t="shared" si="1020"/>
        <v>0</v>
      </c>
      <c r="DK113" s="3" t="str">
        <f t="shared" si="999"/>
        <v>NA</v>
      </c>
      <c r="DL113" s="2" t="str">
        <f t="shared" si="1000"/>
        <v>NA</v>
      </c>
      <c r="DM113" s="3" t="str">
        <f t="shared" si="1001"/>
        <v>NA</v>
      </c>
      <c r="DN113" s="9" t="str">
        <f t="shared" si="1002"/>
        <v>NA</v>
      </c>
      <c r="DO113" s="637" t="str">
        <f t="shared" si="1003"/>
        <v>NA</v>
      </c>
      <c r="DP113" s="637"/>
      <c r="DQ113" s="3" t="str">
        <f t="shared" si="1004"/>
        <v>NA</v>
      </c>
      <c r="DR113" s="2" t="str">
        <f t="shared" si="1005"/>
        <v>NA</v>
      </c>
      <c r="DS113" s="3" t="str">
        <f t="shared" si="1006"/>
        <v>NA</v>
      </c>
      <c r="DT113" s="9" t="str">
        <f t="shared" si="1021"/>
        <v>NA</v>
      </c>
      <c r="DU113" s="637" t="str">
        <f t="shared" si="1022"/>
        <v>NA</v>
      </c>
      <c r="DV113" s="637"/>
      <c r="DW113" s="682"/>
      <c r="DX113" s="682"/>
      <c r="DY113" s="682"/>
      <c r="DZ113" s="637"/>
      <c r="EA113" s="643"/>
    </row>
    <row r="114" spans="1:131" s="355" customFormat="1" ht="20.100000000000001" customHeight="1" outlineLevel="1" x14ac:dyDescent="0.25">
      <c r="A114" s="356"/>
      <c r="B114" s="355" t="s">
        <v>268</v>
      </c>
      <c r="C114" s="355" t="str">
        <f t="shared" si="1009"/>
        <v>Consumo</v>
      </c>
      <c r="D114" s="355" t="s">
        <v>53</v>
      </c>
      <c r="E114" s="18" t="s">
        <v>38</v>
      </c>
      <c r="F114" s="355" t="s">
        <v>53</v>
      </c>
      <c r="G114" s="357" t="str">
        <f t="shared" si="1010"/>
        <v>Geral</v>
      </c>
      <c r="H114" s="255" t="s">
        <v>377</v>
      </c>
      <c r="I114" s="356" t="str">
        <f t="shared" si="927"/>
        <v>Sistema</v>
      </c>
      <c r="K114" s="318" t="s">
        <v>2867</v>
      </c>
      <c r="L114" s="749" t="str">
        <f>IF(Padrões!JF55&lt;&gt;"",Padrões!JF55,"")</f>
        <v>RT4303XPCA2C08B231</v>
      </c>
      <c r="M114" s="358" t="str">
        <f t="shared" si="928"/>
        <v>?</v>
      </c>
      <c r="N114" s="359">
        <f>Padrões!JI55</f>
        <v>0</v>
      </c>
      <c r="O114" s="381" t="str">
        <f t="shared" si="929"/>
        <v>?</v>
      </c>
      <c r="P114" s="360">
        <f t="shared" si="930"/>
        <v>0.12</v>
      </c>
      <c r="Q114" s="360" t="str">
        <f t="shared" si="931"/>
        <v>?</v>
      </c>
      <c r="R114" s="360">
        <f t="shared" si="932"/>
        <v>0</v>
      </c>
      <c r="S114" s="361">
        <f t="shared" si="933"/>
        <v>0</v>
      </c>
      <c r="T114" s="362">
        <f t="shared" si="934"/>
        <v>0</v>
      </c>
      <c r="U114" s="53" t="str" cm="1">
        <f t="array" ref="U114">IFERROR(IF(I114&lt;&gt;"Serviço",IF(AND(mlookup(tbl_DIFAL_data,UFdestino,tbl_DIFAL_UF,O114,tbl_DIFAL_NCM)&lt;&gt;"",C114="Consumo"),"Sim",""),""),"?")</f>
        <v>?</v>
      </c>
      <c r="V114" s="363" t="str">
        <f>IFERROR(IF(I114&lt;&gt;"Serviço",IF(AND(D114="Não",mlookup(tbl_ST_data,UFdestino,tbl_ST_UF,O114,tbl_ST_NCM)&lt;&gt;"",C114="Revenda",CD114="Não"),"Sim",""),""),"?")</f>
        <v>?</v>
      </c>
      <c r="W114" s="364">
        <f t="shared" si="935"/>
        <v>0</v>
      </c>
      <c r="X114" s="365">
        <f>IF(V114="Sim",mlookup(tbl_ST_data,UFdestino,tbl_ST_UF,O114,tbl_ST_NCM),0)</f>
        <v>0</v>
      </c>
      <c r="Z114" s="355">
        <f t="shared" si="936"/>
        <v>0</v>
      </c>
      <c r="AA114" s="355">
        <f t="shared" si="937"/>
        <v>0</v>
      </c>
      <c r="AC114" s="366">
        <f t="shared" si="1011"/>
        <v>1.31243473968765E-2</v>
      </c>
      <c r="AD114" s="366">
        <f t="shared" si="939"/>
        <v>0.15</v>
      </c>
      <c r="AF114" s="355">
        <f t="shared" si="940"/>
        <v>0</v>
      </c>
      <c r="AG114" s="355">
        <f t="shared" si="941"/>
        <v>0</v>
      </c>
      <c r="AI114" s="355">
        <f t="shared" si="942"/>
        <v>0</v>
      </c>
      <c r="AK114" s="366">
        <f t="shared" si="1012"/>
        <v>0</v>
      </c>
      <c r="AL114" s="355">
        <f t="shared" si="944"/>
        <v>0</v>
      </c>
      <c r="AM114" s="355">
        <f t="shared" si="945"/>
        <v>0</v>
      </c>
      <c r="AO114" s="355" t="b">
        <f t="shared" si="946"/>
        <v>1</v>
      </c>
      <c r="AQ114" s="367">
        <f t="shared" si="947"/>
        <v>0</v>
      </c>
      <c r="AR114" s="367">
        <f t="shared" si="948"/>
        <v>0</v>
      </c>
      <c r="AT114" s="367">
        <f t="shared" si="949"/>
        <v>0</v>
      </c>
      <c r="AU114" s="367">
        <f t="shared" si="950"/>
        <v>0</v>
      </c>
      <c r="AW114" s="367">
        <f t="shared" si="951"/>
        <v>0</v>
      </c>
      <c r="AX114" s="367">
        <f t="shared" si="952"/>
        <v>0</v>
      </c>
      <c r="AY114" s="367">
        <f t="shared" si="953"/>
        <v>0</v>
      </c>
      <c r="AZ114" s="367">
        <f t="shared" si="954"/>
        <v>0</v>
      </c>
      <c r="BB114" s="355">
        <f t="shared" si="955"/>
        <v>0</v>
      </c>
      <c r="BC114" s="355">
        <f t="shared" si="956"/>
        <v>0</v>
      </c>
      <c r="BD114" s="355">
        <f t="shared" si="957"/>
        <v>0</v>
      </c>
      <c r="BE114" s="355">
        <f t="shared" si="958"/>
        <v>0</v>
      </c>
      <c r="BF114" s="355">
        <f t="shared" si="959"/>
        <v>0</v>
      </c>
      <c r="BH114" s="368">
        <f t="shared" si="960"/>
        <v>0</v>
      </c>
      <c r="BJ114" s="369">
        <f t="shared" si="961"/>
        <v>-0.12</v>
      </c>
      <c r="BK114" s="355">
        <f t="shared" si="962"/>
        <v>0</v>
      </c>
      <c r="BL114" s="355">
        <f t="shared" si="963"/>
        <v>0</v>
      </c>
      <c r="BN114" s="366">
        <f t="shared" si="964"/>
        <v>0</v>
      </c>
      <c r="BO114" s="355">
        <f t="shared" si="965"/>
        <v>0</v>
      </c>
      <c r="BP114" s="355">
        <f t="shared" si="966"/>
        <v>0</v>
      </c>
      <c r="BQ114" s="355">
        <f t="shared" si="967"/>
        <v>0</v>
      </c>
      <c r="BS114" s="367">
        <f t="shared" si="968"/>
        <v>0</v>
      </c>
      <c r="BT114" s="355">
        <f t="shared" si="969"/>
        <v>0</v>
      </c>
      <c r="BU114" s="355" t="b">
        <f t="shared" si="970"/>
        <v>1</v>
      </c>
      <c r="BW114" s="355" t="str">
        <f t="shared" si="971"/>
        <v/>
      </c>
      <c r="BX114" s="355">
        <f t="shared" si="972"/>
        <v>0</v>
      </c>
      <c r="BY114" s="356">
        <f t="shared" si="1013"/>
        <v>0</v>
      </c>
      <c r="BZ114" s="355">
        <f t="shared" si="974"/>
        <v>0</v>
      </c>
      <c r="CB114" s="102" t="str">
        <f t="shared" si="975"/>
        <v>?</v>
      </c>
      <c r="CD114" s="355" t="str">
        <f t="shared" si="976"/>
        <v>Não</v>
      </c>
      <c r="CE114" s="368">
        <f>ifzero(mlookup(tbl_ICMSinterest_data,UFdestino,tbl_ICMSinterest_ufdest,UForigem,tbl_ICMSinterest_uforig))</f>
        <v>0.12</v>
      </c>
      <c r="CF114" s="368">
        <f>IF(N114&gt;0,IF(I114&lt;&gt;"Serviço",ifzero(mlookup(tbl_ICMSinterno_data,UForigem,tbl_ICMSinterno_UF,O114,tbl_ICMSinterno_NCM),mlookup(tbl_ICMSinterest_data,UForigem,tbl_ICMSinterest_ufdest,UForigem,tbl_ICMSinterest_uforig)),""),0)</f>
        <v>0</v>
      </c>
      <c r="CG114" s="368">
        <f>IF(N114&gt;0,IF(I114&lt;&gt;"Serviço",ifzero(mlookup(tbl_ICMSinterno_data,UFdestino,tbl_ICMSinterno_UF,O114,tbl_ICMSinterno_NCM),mlookup(tbl_ICMSinterest_data,UFdestino,tbl_ICMSinterest_ufdest,UFdestino,tbl_ICMSinterest_uforig)),""),0)</f>
        <v>0</v>
      </c>
      <c r="CI114" s="355">
        <f t="shared" si="977"/>
        <v>0</v>
      </c>
      <c r="CJ114" s="355">
        <f t="shared" si="978"/>
        <v>0</v>
      </c>
      <c r="CK114" s="355">
        <f t="shared" si="979"/>
        <v>0</v>
      </c>
      <c r="CL114" s="355">
        <f t="shared" si="980"/>
        <v>0</v>
      </c>
      <c r="CN114" s="370">
        <f t="shared" si="981"/>
        <v>0</v>
      </c>
      <c r="CO114" s="355">
        <f t="shared" si="982"/>
        <v>0</v>
      </c>
      <c r="CQ114" s="355" t="b">
        <f t="shared" si="983"/>
        <v>0</v>
      </c>
      <c r="CR114" s="355" t="b">
        <f t="shared" si="984"/>
        <v>1</v>
      </c>
      <c r="CS114" s="355" t="b">
        <f t="shared" si="985"/>
        <v>0</v>
      </c>
      <c r="CU114" s="2">
        <f t="shared" si="986"/>
        <v>0</v>
      </c>
      <c r="CV114" s="102">
        <f t="shared" si="987"/>
        <v>0</v>
      </c>
      <c r="CW114" s="102">
        <f t="shared" si="1014"/>
        <v>0</v>
      </c>
      <c r="CX114" s="102">
        <f t="shared" si="989"/>
        <v>0</v>
      </c>
      <c r="CY114" s="290">
        <f t="shared" si="990"/>
        <v>0</v>
      </c>
      <c r="CZ114" s="102">
        <f t="shared" si="1016"/>
        <v>0</v>
      </c>
      <c r="DA114" s="290">
        <f t="shared" si="992"/>
        <v>0</v>
      </c>
      <c r="DB114" s="102">
        <f t="shared" si="1017"/>
        <v>0</v>
      </c>
      <c r="DC114" s="290">
        <f t="shared" si="994"/>
        <v>0</v>
      </c>
      <c r="DD114" s="102">
        <f t="shared" si="1015"/>
        <v>0</v>
      </c>
      <c r="DE114" s="592">
        <f>IF(D114="Sim",HLOOKUP($DH$5,Parametrização!$G$2:$H$4,2,FALSE),0)</f>
        <v>0</v>
      </c>
      <c r="DF114" s="102">
        <f t="shared" si="1018"/>
        <v>0</v>
      </c>
      <c r="DG114" s="592">
        <f>IF(D114="Sim",HLOOKUP($DH$5,Parametrização!$G$2:$H$4,3,FALSE),0)</f>
        <v>0</v>
      </c>
      <c r="DH114" s="102">
        <f t="shared" si="1019"/>
        <v>0</v>
      </c>
      <c r="DI114" s="102">
        <f t="shared" si="1020"/>
        <v>0</v>
      </c>
      <c r="DK114" s="3" t="str">
        <f t="shared" si="999"/>
        <v>NA</v>
      </c>
      <c r="DL114" s="2" t="str">
        <f t="shared" si="1000"/>
        <v>NA</v>
      </c>
      <c r="DM114" s="3" t="str">
        <f t="shared" si="1001"/>
        <v>NA</v>
      </c>
      <c r="DN114" s="9" t="str">
        <f t="shared" si="1002"/>
        <v>NA</v>
      </c>
      <c r="DO114" s="637" t="str">
        <f t="shared" si="1003"/>
        <v>NA</v>
      </c>
      <c r="DP114" s="637"/>
      <c r="DQ114" s="3" t="str">
        <f t="shared" si="1004"/>
        <v>NA</v>
      </c>
      <c r="DR114" s="2" t="str">
        <f t="shared" si="1005"/>
        <v>NA</v>
      </c>
      <c r="DS114" s="3" t="str">
        <f t="shared" si="1006"/>
        <v>NA</v>
      </c>
      <c r="DT114" s="9" t="str">
        <f t="shared" si="1021"/>
        <v>NA</v>
      </c>
      <c r="DU114" s="637" t="str">
        <f t="shared" si="1022"/>
        <v>NA</v>
      </c>
      <c r="DV114" s="637"/>
      <c r="DW114" s="682"/>
      <c r="DX114" s="682"/>
      <c r="DY114" s="682"/>
      <c r="DZ114" s="637"/>
      <c r="EA114" s="643"/>
    </row>
    <row r="115" spans="1:131" s="355" customFormat="1" ht="20.100000000000001" customHeight="1" outlineLevel="1" x14ac:dyDescent="0.25">
      <c r="A115" s="356"/>
      <c r="B115" s="355" t="s">
        <v>268</v>
      </c>
      <c r="C115" s="355" t="str">
        <f t="shared" si="1009"/>
        <v>Consumo</v>
      </c>
      <c r="D115" s="355" t="s">
        <v>53</v>
      </c>
      <c r="E115" s="18" t="s">
        <v>38</v>
      </c>
      <c r="F115" s="355" t="s">
        <v>53</v>
      </c>
      <c r="G115" s="357" t="str">
        <f t="shared" si="1010"/>
        <v>Geral</v>
      </c>
      <c r="H115" s="255" t="s">
        <v>377</v>
      </c>
      <c r="I115" s="356" t="str">
        <f t="shared" si="927"/>
        <v>Sistema</v>
      </c>
      <c r="K115" s="318" t="s">
        <v>2868</v>
      </c>
      <c r="L115" s="749" t="str">
        <f>IF(Padrões!JF56&lt;&gt;"",Padrões!JF56,"")</f>
        <v/>
      </c>
      <c r="M115" s="358" t="str">
        <f t="shared" si="928"/>
        <v>?</v>
      </c>
      <c r="N115" s="359">
        <f>Padrões!JI56</f>
        <v>0</v>
      </c>
      <c r="O115" s="381" t="str">
        <f t="shared" si="929"/>
        <v>?</v>
      </c>
      <c r="P115" s="360">
        <f t="shared" si="930"/>
        <v>0.12</v>
      </c>
      <c r="Q115" s="360" t="str">
        <f t="shared" si="931"/>
        <v>?</v>
      </c>
      <c r="R115" s="360">
        <f t="shared" si="932"/>
        <v>0</v>
      </c>
      <c r="S115" s="361">
        <f t="shared" si="933"/>
        <v>0</v>
      </c>
      <c r="T115" s="362">
        <f t="shared" si="934"/>
        <v>0</v>
      </c>
      <c r="U115" s="53" t="str" cm="1">
        <f t="array" ref="U115">IFERROR(IF(I115&lt;&gt;"Serviço",IF(AND(mlookup(tbl_DIFAL_data,UFdestino,tbl_DIFAL_UF,O115,tbl_DIFAL_NCM)&lt;&gt;"",C115="Consumo"),"Sim",""),""),"?")</f>
        <v>?</v>
      </c>
      <c r="V115" s="363" t="str">
        <f>IFERROR(IF(I115&lt;&gt;"Serviço",IF(AND(D115="Não",mlookup(tbl_ST_data,UFdestino,tbl_ST_UF,O115,tbl_ST_NCM)&lt;&gt;"",C115="Revenda",CD115="Não"),"Sim",""),""),"?")</f>
        <v>?</v>
      </c>
      <c r="W115" s="364">
        <f t="shared" si="935"/>
        <v>0</v>
      </c>
      <c r="X115" s="365">
        <f>IF(V115="Sim",mlookup(tbl_ST_data,UFdestino,tbl_ST_UF,O115,tbl_ST_NCM),0)</f>
        <v>0</v>
      </c>
      <c r="Z115" s="355">
        <f t="shared" si="936"/>
        <v>0</v>
      </c>
      <c r="AA115" s="355">
        <f t="shared" si="937"/>
        <v>0</v>
      </c>
      <c r="AC115" s="366">
        <f t="shared" si="1011"/>
        <v>1.31243473968765E-2</v>
      </c>
      <c r="AD115" s="366">
        <f t="shared" si="939"/>
        <v>0.15</v>
      </c>
      <c r="AF115" s="355">
        <f t="shared" si="940"/>
        <v>0</v>
      </c>
      <c r="AG115" s="355">
        <f t="shared" si="941"/>
        <v>0</v>
      </c>
      <c r="AI115" s="355">
        <f t="shared" si="942"/>
        <v>0</v>
      </c>
      <c r="AK115" s="366">
        <f t="shared" si="1012"/>
        <v>0</v>
      </c>
      <c r="AL115" s="355">
        <f t="shared" si="944"/>
        <v>0</v>
      </c>
      <c r="AM115" s="355">
        <f t="shared" si="945"/>
        <v>0</v>
      </c>
      <c r="AO115" s="355" t="b">
        <f t="shared" si="946"/>
        <v>1</v>
      </c>
      <c r="AQ115" s="367">
        <f t="shared" si="947"/>
        <v>0</v>
      </c>
      <c r="AR115" s="367">
        <f t="shared" si="948"/>
        <v>0</v>
      </c>
      <c r="AT115" s="367">
        <f t="shared" si="949"/>
        <v>0</v>
      </c>
      <c r="AU115" s="367">
        <f t="shared" si="950"/>
        <v>0</v>
      </c>
      <c r="AW115" s="367">
        <f t="shared" si="951"/>
        <v>0</v>
      </c>
      <c r="AX115" s="367">
        <f t="shared" si="952"/>
        <v>0</v>
      </c>
      <c r="AY115" s="367">
        <f t="shared" si="953"/>
        <v>0</v>
      </c>
      <c r="AZ115" s="367">
        <f t="shared" si="954"/>
        <v>0</v>
      </c>
      <c r="BB115" s="355">
        <f t="shared" si="955"/>
        <v>0</v>
      </c>
      <c r="BC115" s="355">
        <f t="shared" si="956"/>
        <v>0</v>
      </c>
      <c r="BD115" s="355">
        <f t="shared" si="957"/>
        <v>0</v>
      </c>
      <c r="BE115" s="355">
        <f t="shared" si="958"/>
        <v>0</v>
      </c>
      <c r="BF115" s="355">
        <f t="shared" si="959"/>
        <v>0</v>
      </c>
      <c r="BH115" s="368">
        <f t="shared" si="960"/>
        <v>0</v>
      </c>
      <c r="BJ115" s="369">
        <f t="shared" si="961"/>
        <v>-0.12</v>
      </c>
      <c r="BK115" s="355">
        <f t="shared" si="962"/>
        <v>0</v>
      </c>
      <c r="BL115" s="355">
        <f t="shared" si="963"/>
        <v>0</v>
      </c>
      <c r="BN115" s="366">
        <f t="shared" si="964"/>
        <v>0</v>
      </c>
      <c r="BO115" s="355">
        <f t="shared" si="965"/>
        <v>0</v>
      </c>
      <c r="BP115" s="355">
        <f t="shared" si="966"/>
        <v>0</v>
      </c>
      <c r="BQ115" s="355">
        <f t="shared" si="967"/>
        <v>0</v>
      </c>
      <c r="BS115" s="367">
        <f t="shared" si="968"/>
        <v>0</v>
      </c>
      <c r="BT115" s="355">
        <f t="shared" si="969"/>
        <v>0</v>
      </c>
      <c r="BU115" s="355" t="b">
        <f t="shared" si="970"/>
        <v>1</v>
      </c>
      <c r="BW115" s="355" t="str">
        <f t="shared" si="971"/>
        <v/>
      </c>
      <c r="BX115" s="355">
        <f t="shared" si="972"/>
        <v>0</v>
      </c>
      <c r="BY115" s="356">
        <f t="shared" si="1013"/>
        <v>0</v>
      </c>
      <c r="BZ115" s="355">
        <f t="shared" si="974"/>
        <v>0</v>
      </c>
      <c r="CB115" s="102" t="str">
        <f t="shared" si="975"/>
        <v>?</v>
      </c>
      <c r="CD115" s="355" t="str">
        <f t="shared" si="976"/>
        <v>Não</v>
      </c>
      <c r="CE115" s="368">
        <f>ifzero(mlookup(tbl_ICMSinterest_data,UFdestino,tbl_ICMSinterest_ufdest,UForigem,tbl_ICMSinterest_uforig))</f>
        <v>0.12</v>
      </c>
      <c r="CF115" s="368">
        <f>IF(N115&gt;0,IF(I115&lt;&gt;"Serviço",ifzero(mlookup(tbl_ICMSinterno_data,UForigem,tbl_ICMSinterno_UF,O115,tbl_ICMSinterno_NCM),mlookup(tbl_ICMSinterest_data,UForigem,tbl_ICMSinterest_ufdest,UForigem,tbl_ICMSinterest_uforig)),""),0)</f>
        <v>0</v>
      </c>
      <c r="CG115" s="368">
        <f>IF(N115&gt;0,IF(I115&lt;&gt;"Serviço",ifzero(mlookup(tbl_ICMSinterno_data,UFdestino,tbl_ICMSinterno_UF,O115,tbl_ICMSinterno_NCM),mlookup(tbl_ICMSinterest_data,UFdestino,tbl_ICMSinterest_ufdest,UFdestino,tbl_ICMSinterest_uforig)),""),0)</f>
        <v>0</v>
      </c>
      <c r="CI115" s="355">
        <f t="shared" si="977"/>
        <v>0</v>
      </c>
      <c r="CJ115" s="355">
        <f t="shared" si="978"/>
        <v>0</v>
      </c>
      <c r="CK115" s="355">
        <f t="shared" si="979"/>
        <v>0</v>
      </c>
      <c r="CL115" s="355">
        <f t="shared" si="980"/>
        <v>0</v>
      </c>
      <c r="CN115" s="370">
        <f t="shared" si="981"/>
        <v>1540</v>
      </c>
      <c r="CO115" s="355">
        <f t="shared" si="982"/>
        <v>0</v>
      </c>
      <c r="CQ115" s="355" t="b">
        <f t="shared" si="983"/>
        <v>0</v>
      </c>
      <c r="CR115" s="355" t="b">
        <f t="shared" si="984"/>
        <v>1</v>
      </c>
      <c r="CS115" s="355" t="b">
        <f t="shared" si="985"/>
        <v>0</v>
      </c>
      <c r="CU115" s="2">
        <f t="shared" si="986"/>
        <v>0</v>
      </c>
      <c r="CV115" s="102">
        <f t="shared" si="987"/>
        <v>0</v>
      </c>
      <c r="CW115" s="102">
        <f t="shared" si="1014"/>
        <v>0</v>
      </c>
      <c r="CX115" s="102">
        <f t="shared" si="989"/>
        <v>0</v>
      </c>
      <c r="CY115" s="290">
        <f t="shared" si="990"/>
        <v>0</v>
      </c>
      <c r="CZ115" s="102">
        <f t="shared" si="1016"/>
        <v>0</v>
      </c>
      <c r="DA115" s="290">
        <f t="shared" si="992"/>
        <v>0</v>
      </c>
      <c r="DB115" s="102">
        <f t="shared" si="1017"/>
        <v>0</v>
      </c>
      <c r="DC115" s="290">
        <f t="shared" si="994"/>
        <v>0</v>
      </c>
      <c r="DD115" s="102">
        <f t="shared" si="1015"/>
        <v>0</v>
      </c>
      <c r="DE115" s="592">
        <f>IF(D115="Sim",HLOOKUP($DH$5,Parametrização!$G$2:$H$4,2,FALSE),0)</f>
        <v>0</v>
      </c>
      <c r="DF115" s="102">
        <f t="shared" si="1018"/>
        <v>0</v>
      </c>
      <c r="DG115" s="592">
        <f>IF(D115="Sim",HLOOKUP($DH$5,Parametrização!$G$2:$H$4,3,FALSE),0)</f>
        <v>0</v>
      </c>
      <c r="DH115" s="102">
        <f t="shared" si="1019"/>
        <v>0</v>
      </c>
      <c r="DI115" s="102">
        <f t="shared" si="1020"/>
        <v>0</v>
      </c>
      <c r="DK115" s="3" t="str">
        <f t="shared" si="999"/>
        <v>NA</v>
      </c>
      <c r="DL115" s="2" t="str">
        <f t="shared" si="1000"/>
        <v>NA</v>
      </c>
      <c r="DM115" s="3" t="str">
        <f t="shared" si="1001"/>
        <v>NA</v>
      </c>
      <c r="DN115" s="9" t="str">
        <f t="shared" si="1002"/>
        <v>NA</v>
      </c>
      <c r="DO115" s="637" t="str">
        <f t="shared" si="1003"/>
        <v>NA</v>
      </c>
      <c r="DP115" s="637"/>
      <c r="DQ115" s="3" t="str">
        <f t="shared" si="1004"/>
        <v>NA</v>
      </c>
      <c r="DR115" s="2" t="str">
        <f t="shared" si="1005"/>
        <v>NA</v>
      </c>
      <c r="DS115" s="3" t="str">
        <f t="shared" si="1006"/>
        <v>NA</v>
      </c>
      <c r="DT115" s="9" t="str">
        <f t="shared" si="1021"/>
        <v>NA</v>
      </c>
      <c r="DU115" s="637" t="str">
        <f t="shared" si="1022"/>
        <v>NA</v>
      </c>
      <c r="DV115" s="637"/>
      <c r="DW115" s="682"/>
      <c r="DX115" s="682"/>
      <c r="DY115" s="682"/>
      <c r="DZ115" s="637"/>
      <c r="EA115" s="643"/>
    </row>
    <row r="116" spans="1:131" s="355" customFormat="1" ht="20.100000000000001" customHeight="1" outlineLevel="1" x14ac:dyDescent="0.25">
      <c r="A116" s="356"/>
      <c r="B116" s="355" t="s">
        <v>268</v>
      </c>
      <c r="C116" s="355" t="str">
        <f t="shared" si="1009"/>
        <v>Consumo</v>
      </c>
      <c r="D116" s="355" t="s">
        <v>53</v>
      </c>
      <c r="E116" s="18" t="s">
        <v>38</v>
      </c>
      <c r="F116" s="355" t="s">
        <v>53</v>
      </c>
      <c r="G116" s="357" t="str">
        <f t="shared" si="1010"/>
        <v>Geral</v>
      </c>
      <c r="H116" s="255" t="s">
        <v>377</v>
      </c>
      <c r="I116" s="356" t="str">
        <f t="shared" si="927"/>
        <v>Sistema</v>
      </c>
      <c r="K116" s="318" t="s">
        <v>2869</v>
      </c>
      <c r="L116" s="749" t="str">
        <f>IF(Padrões!JF57&lt;&gt;"",Padrões!JF57,"")</f>
        <v>Software dos IED's</v>
      </c>
      <c r="M116" s="358" t="str">
        <f t="shared" si="928"/>
        <v>?</v>
      </c>
      <c r="N116" s="359">
        <f>Padrões!JI57</f>
        <v>0</v>
      </c>
      <c r="O116" s="381" t="str">
        <f t="shared" si="929"/>
        <v>?</v>
      </c>
      <c r="P116" s="360">
        <f t="shared" si="930"/>
        <v>0.12</v>
      </c>
      <c r="Q116" s="360" t="str">
        <f t="shared" si="931"/>
        <v>?</v>
      </c>
      <c r="R116" s="360">
        <f t="shared" si="932"/>
        <v>0</v>
      </c>
      <c r="S116" s="361">
        <f t="shared" si="933"/>
        <v>0</v>
      </c>
      <c r="T116" s="362">
        <f t="shared" si="934"/>
        <v>0</v>
      </c>
      <c r="U116" s="53" t="str" cm="1">
        <f t="array" ref="U116">IFERROR(IF(I116&lt;&gt;"Serviço",IF(AND(mlookup(tbl_DIFAL_data,UFdestino,tbl_DIFAL_UF,O116,tbl_DIFAL_NCM)&lt;&gt;"",C116="Consumo"),"Sim",""),""),"?")</f>
        <v>?</v>
      </c>
      <c r="V116" s="363" t="str">
        <f>IFERROR(IF(I116&lt;&gt;"Serviço",IF(AND(D116="Não",mlookup(tbl_ST_data,UFdestino,tbl_ST_UF,O116,tbl_ST_NCM)&lt;&gt;"",C116="Revenda",CD116="Não"),"Sim",""),""),"?")</f>
        <v>?</v>
      </c>
      <c r="W116" s="364">
        <f t="shared" si="935"/>
        <v>0</v>
      </c>
      <c r="X116" s="365">
        <f>IF(V116="Sim",mlookup(tbl_ST_data,UFdestino,tbl_ST_UF,O116,tbl_ST_NCM),0)</f>
        <v>0</v>
      </c>
      <c r="Z116" s="355">
        <f t="shared" si="936"/>
        <v>0</v>
      </c>
      <c r="AA116" s="355">
        <f t="shared" si="937"/>
        <v>0</v>
      </c>
      <c r="AC116" s="366">
        <f t="shared" si="1011"/>
        <v>1.31243473968765E-2</v>
      </c>
      <c r="AD116" s="366">
        <f t="shared" si="939"/>
        <v>0.15</v>
      </c>
      <c r="AF116" s="355">
        <f t="shared" si="940"/>
        <v>0</v>
      </c>
      <c r="AG116" s="355">
        <f t="shared" si="941"/>
        <v>0</v>
      </c>
      <c r="AI116" s="355">
        <f t="shared" si="942"/>
        <v>0</v>
      </c>
      <c r="AK116" s="366">
        <f t="shared" si="1012"/>
        <v>0</v>
      </c>
      <c r="AL116" s="355">
        <f t="shared" si="944"/>
        <v>0</v>
      </c>
      <c r="AM116" s="355">
        <f t="shared" si="945"/>
        <v>0</v>
      </c>
      <c r="AO116" s="355" t="b">
        <f t="shared" si="946"/>
        <v>1</v>
      </c>
      <c r="AQ116" s="367">
        <f t="shared" si="947"/>
        <v>0</v>
      </c>
      <c r="AR116" s="367">
        <f t="shared" si="948"/>
        <v>0</v>
      </c>
      <c r="AT116" s="367">
        <f t="shared" si="949"/>
        <v>0</v>
      </c>
      <c r="AU116" s="367">
        <f t="shared" si="950"/>
        <v>0</v>
      </c>
      <c r="AW116" s="367">
        <f t="shared" si="951"/>
        <v>0</v>
      </c>
      <c r="AX116" s="367">
        <f t="shared" si="952"/>
        <v>0</v>
      </c>
      <c r="AY116" s="367">
        <f t="shared" si="953"/>
        <v>0</v>
      </c>
      <c r="AZ116" s="367">
        <f t="shared" si="954"/>
        <v>0</v>
      </c>
      <c r="BB116" s="355">
        <f t="shared" si="955"/>
        <v>0</v>
      </c>
      <c r="BC116" s="355">
        <f t="shared" si="956"/>
        <v>0</v>
      </c>
      <c r="BD116" s="355">
        <f t="shared" si="957"/>
        <v>0</v>
      </c>
      <c r="BE116" s="355">
        <f t="shared" si="958"/>
        <v>0</v>
      </c>
      <c r="BF116" s="355">
        <f t="shared" si="959"/>
        <v>0</v>
      </c>
      <c r="BH116" s="368">
        <f t="shared" si="960"/>
        <v>0</v>
      </c>
      <c r="BJ116" s="369">
        <f t="shared" si="961"/>
        <v>-0.12</v>
      </c>
      <c r="BK116" s="355">
        <f t="shared" si="962"/>
        <v>0</v>
      </c>
      <c r="BL116" s="355">
        <f t="shared" si="963"/>
        <v>0</v>
      </c>
      <c r="BN116" s="366">
        <f t="shared" si="964"/>
        <v>0</v>
      </c>
      <c r="BO116" s="355">
        <f t="shared" si="965"/>
        <v>0</v>
      </c>
      <c r="BP116" s="355">
        <f t="shared" si="966"/>
        <v>0</v>
      </c>
      <c r="BQ116" s="355">
        <f t="shared" si="967"/>
        <v>0</v>
      </c>
      <c r="BS116" s="367">
        <f t="shared" si="968"/>
        <v>0</v>
      </c>
      <c r="BT116" s="355">
        <f t="shared" si="969"/>
        <v>0</v>
      </c>
      <c r="BU116" s="355" t="b">
        <f t="shared" si="970"/>
        <v>1</v>
      </c>
      <c r="BW116" s="355" t="str">
        <f t="shared" si="971"/>
        <v/>
      </c>
      <c r="BX116" s="355">
        <f t="shared" si="972"/>
        <v>0</v>
      </c>
      <c r="BY116" s="356">
        <f t="shared" si="1013"/>
        <v>0</v>
      </c>
      <c r="BZ116" s="355">
        <f t="shared" si="974"/>
        <v>0</v>
      </c>
      <c r="CB116" s="102" t="str">
        <f t="shared" si="975"/>
        <v>?</v>
      </c>
      <c r="CD116" s="355" t="str">
        <f t="shared" si="976"/>
        <v>Não</v>
      </c>
      <c r="CE116" s="368">
        <f>ifzero(mlookup(tbl_ICMSinterest_data,UFdestino,tbl_ICMSinterest_ufdest,UForigem,tbl_ICMSinterest_uforig))</f>
        <v>0.12</v>
      </c>
      <c r="CF116" s="368">
        <f>IF(N116&gt;0,IF(I116&lt;&gt;"Serviço",ifzero(mlookup(tbl_ICMSinterno_data,UForigem,tbl_ICMSinterno_UF,O116,tbl_ICMSinterno_NCM),mlookup(tbl_ICMSinterest_data,UForigem,tbl_ICMSinterest_ufdest,UForigem,tbl_ICMSinterest_uforig)),""),0)</f>
        <v>0</v>
      </c>
      <c r="CG116" s="368">
        <f>IF(N116&gt;0,IF(I116&lt;&gt;"Serviço",ifzero(mlookup(tbl_ICMSinterno_data,UFdestino,tbl_ICMSinterno_UF,O116,tbl_ICMSinterno_NCM),mlookup(tbl_ICMSinterest_data,UFdestino,tbl_ICMSinterest_ufdest,UFdestino,tbl_ICMSinterest_uforig)),""),0)</f>
        <v>0</v>
      </c>
      <c r="CI116" s="355">
        <f t="shared" si="977"/>
        <v>0</v>
      </c>
      <c r="CJ116" s="355">
        <f t="shared" si="978"/>
        <v>0</v>
      </c>
      <c r="CK116" s="355">
        <f t="shared" si="979"/>
        <v>0</v>
      </c>
      <c r="CL116" s="355">
        <f t="shared" si="980"/>
        <v>0</v>
      </c>
      <c r="CN116" s="370">
        <f t="shared" si="981"/>
        <v>0</v>
      </c>
      <c r="CO116" s="355">
        <f t="shared" si="982"/>
        <v>0</v>
      </c>
      <c r="CQ116" s="355" t="b">
        <f t="shared" si="983"/>
        <v>0</v>
      </c>
      <c r="CR116" s="355" t="b">
        <f t="shared" si="984"/>
        <v>1</v>
      </c>
      <c r="CS116" s="355" t="b">
        <f t="shared" si="985"/>
        <v>0</v>
      </c>
      <c r="CU116" s="2">
        <f t="shared" si="986"/>
        <v>0</v>
      </c>
      <c r="CV116" s="102">
        <f t="shared" si="987"/>
        <v>0</v>
      </c>
      <c r="CW116" s="102">
        <f t="shared" si="1014"/>
        <v>0</v>
      </c>
      <c r="CX116" s="102">
        <f t="shared" si="989"/>
        <v>0</v>
      </c>
      <c r="CY116" s="290">
        <f t="shared" si="990"/>
        <v>0</v>
      </c>
      <c r="CZ116" s="102">
        <f t="shared" si="1016"/>
        <v>0</v>
      </c>
      <c r="DA116" s="290">
        <f t="shared" si="992"/>
        <v>0</v>
      </c>
      <c r="DB116" s="102">
        <f t="shared" si="1017"/>
        <v>0</v>
      </c>
      <c r="DC116" s="290">
        <f t="shared" si="994"/>
        <v>0</v>
      </c>
      <c r="DD116" s="102">
        <f t="shared" si="1015"/>
        <v>0</v>
      </c>
      <c r="DE116" s="592">
        <f>IF(D116="Sim",HLOOKUP($DH$5,Parametrização!$G$2:$H$4,2,FALSE),0)</f>
        <v>0</v>
      </c>
      <c r="DF116" s="102">
        <f t="shared" si="1018"/>
        <v>0</v>
      </c>
      <c r="DG116" s="592">
        <f>IF(D116="Sim",HLOOKUP($DH$5,Parametrização!$G$2:$H$4,3,FALSE),0)</f>
        <v>0</v>
      </c>
      <c r="DH116" s="102">
        <f t="shared" si="1019"/>
        <v>0</v>
      </c>
      <c r="DI116" s="102">
        <f t="shared" si="1020"/>
        <v>0</v>
      </c>
      <c r="DK116" s="3" t="str">
        <f t="shared" si="999"/>
        <v>NA</v>
      </c>
      <c r="DL116" s="2" t="str">
        <f t="shared" si="1000"/>
        <v>NA</v>
      </c>
      <c r="DM116" s="3" t="str">
        <f t="shared" si="1001"/>
        <v>NA</v>
      </c>
      <c r="DN116" s="9" t="str">
        <f t="shared" si="1002"/>
        <v>NA</v>
      </c>
      <c r="DO116" s="637" t="str">
        <f t="shared" si="1003"/>
        <v>NA</v>
      </c>
      <c r="DP116" s="637"/>
      <c r="DQ116" s="3" t="str">
        <f t="shared" si="1004"/>
        <v>NA</v>
      </c>
      <c r="DR116" s="2" t="str">
        <f t="shared" si="1005"/>
        <v>NA</v>
      </c>
      <c r="DS116" s="3" t="str">
        <f t="shared" si="1006"/>
        <v>NA</v>
      </c>
      <c r="DT116" s="9" t="str">
        <f t="shared" si="1021"/>
        <v>NA</v>
      </c>
      <c r="DU116" s="637" t="str">
        <f t="shared" si="1022"/>
        <v>NA</v>
      </c>
      <c r="DV116" s="637"/>
      <c r="DW116" s="682"/>
      <c r="DX116" s="682"/>
      <c r="DY116" s="682"/>
      <c r="DZ116" s="637"/>
      <c r="EA116" s="643"/>
    </row>
    <row r="117" spans="1:131" s="355" customFormat="1" ht="20.100000000000001" customHeight="1" outlineLevel="1" x14ac:dyDescent="0.25">
      <c r="A117" s="356"/>
      <c r="B117" s="355" t="s">
        <v>268</v>
      </c>
      <c r="C117" s="355" t="str">
        <f t="shared" si="1009"/>
        <v>Consumo</v>
      </c>
      <c r="D117" s="355" t="s">
        <v>53</v>
      </c>
      <c r="E117" s="18" t="s">
        <v>38</v>
      </c>
      <c r="F117" s="355" t="s">
        <v>53</v>
      </c>
      <c r="G117" s="357" t="str">
        <f t="shared" si="1010"/>
        <v>Geral</v>
      </c>
      <c r="H117" s="255" t="s">
        <v>377</v>
      </c>
      <c r="I117" s="356" t="str">
        <f t="shared" si="927"/>
        <v>Sistema</v>
      </c>
      <c r="K117" s="318" t="s">
        <v>2870</v>
      </c>
      <c r="L117" s="749" t="str">
        <f>IF(Padrões!JF58&lt;&gt;"",Padrões!JF58,"")</f>
        <v/>
      </c>
      <c r="M117" s="358" t="str">
        <f t="shared" si="928"/>
        <v>?</v>
      </c>
      <c r="N117" s="359">
        <f>Padrões!JI58</f>
        <v>0</v>
      </c>
      <c r="O117" s="381" t="str">
        <f t="shared" si="929"/>
        <v>?</v>
      </c>
      <c r="P117" s="360">
        <f t="shared" si="930"/>
        <v>0.12</v>
      </c>
      <c r="Q117" s="360" t="str">
        <f t="shared" si="931"/>
        <v>?</v>
      </c>
      <c r="R117" s="360">
        <f t="shared" si="932"/>
        <v>0</v>
      </c>
      <c r="S117" s="361">
        <f t="shared" si="933"/>
        <v>0</v>
      </c>
      <c r="T117" s="362">
        <f t="shared" si="934"/>
        <v>0</v>
      </c>
      <c r="U117" s="53" t="str" cm="1">
        <f t="array" ref="U117">IFERROR(IF(I117&lt;&gt;"Serviço",IF(AND(mlookup(tbl_DIFAL_data,UFdestino,tbl_DIFAL_UF,O117,tbl_DIFAL_NCM)&lt;&gt;"",C117="Consumo"),"Sim",""),""),"?")</f>
        <v>?</v>
      </c>
      <c r="V117" s="363" t="str">
        <f>IFERROR(IF(I117&lt;&gt;"Serviço",IF(AND(D117="Não",mlookup(tbl_ST_data,UFdestino,tbl_ST_UF,O117,tbl_ST_NCM)&lt;&gt;"",C117="Revenda",CD117="Não"),"Sim",""),""),"?")</f>
        <v>?</v>
      </c>
      <c r="W117" s="364">
        <f t="shared" si="935"/>
        <v>0</v>
      </c>
      <c r="X117" s="365">
        <f>IF(V117="Sim",mlookup(tbl_ST_data,UFdestino,tbl_ST_UF,O117,tbl_ST_NCM),0)</f>
        <v>0</v>
      </c>
      <c r="Z117" s="355">
        <f t="shared" si="936"/>
        <v>0</v>
      </c>
      <c r="AA117" s="355">
        <f t="shared" si="937"/>
        <v>0</v>
      </c>
      <c r="AC117" s="366">
        <f t="shared" si="1011"/>
        <v>1.31243473968765E-2</v>
      </c>
      <c r="AD117" s="366">
        <f t="shared" si="939"/>
        <v>0.15</v>
      </c>
      <c r="AF117" s="355">
        <f t="shared" si="940"/>
        <v>0</v>
      </c>
      <c r="AG117" s="355">
        <f t="shared" si="941"/>
        <v>0</v>
      </c>
      <c r="AI117" s="355">
        <f t="shared" si="942"/>
        <v>0</v>
      </c>
      <c r="AK117" s="366">
        <f t="shared" si="1012"/>
        <v>0</v>
      </c>
      <c r="AL117" s="355">
        <f t="shared" si="944"/>
        <v>0</v>
      </c>
      <c r="AM117" s="355">
        <f t="shared" si="945"/>
        <v>0</v>
      </c>
      <c r="AO117" s="355" t="b">
        <f t="shared" si="946"/>
        <v>1</v>
      </c>
      <c r="AQ117" s="367">
        <f t="shared" si="947"/>
        <v>0</v>
      </c>
      <c r="AR117" s="367">
        <f t="shared" si="948"/>
        <v>0</v>
      </c>
      <c r="AT117" s="367">
        <f t="shared" si="949"/>
        <v>0</v>
      </c>
      <c r="AU117" s="367">
        <f t="shared" si="950"/>
        <v>0</v>
      </c>
      <c r="AW117" s="367">
        <f t="shared" si="951"/>
        <v>0</v>
      </c>
      <c r="AX117" s="367">
        <f t="shared" si="952"/>
        <v>0</v>
      </c>
      <c r="AY117" s="367">
        <f t="shared" si="953"/>
        <v>0</v>
      </c>
      <c r="AZ117" s="367">
        <f t="shared" si="954"/>
        <v>0</v>
      </c>
      <c r="BB117" s="355">
        <f t="shared" si="955"/>
        <v>0</v>
      </c>
      <c r="BC117" s="355">
        <f t="shared" si="956"/>
        <v>0</v>
      </c>
      <c r="BD117" s="355">
        <f t="shared" si="957"/>
        <v>0</v>
      </c>
      <c r="BE117" s="355">
        <f t="shared" si="958"/>
        <v>0</v>
      </c>
      <c r="BF117" s="355">
        <f t="shared" si="959"/>
        <v>0</v>
      </c>
      <c r="BH117" s="368">
        <f t="shared" si="960"/>
        <v>0</v>
      </c>
      <c r="BJ117" s="369">
        <f t="shared" si="961"/>
        <v>-0.12</v>
      </c>
      <c r="BK117" s="355">
        <f t="shared" si="962"/>
        <v>0</v>
      </c>
      <c r="BL117" s="355">
        <f t="shared" si="963"/>
        <v>0</v>
      </c>
      <c r="BN117" s="366">
        <f t="shared" si="964"/>
        <v>0</v>
      </c>
      <c r="BO117" s="355">
        <f t="shared" si="965"/>
        <v>0</v>
      </c>
      <c r="BP117" s="355">
        <f t="shared" si="966"/>
        <v>0</v>
      </c>
      <c r="BQ117" s="355">
        <f t="shared" si="967"/>
        <v>0</v>
      </c>
      <c r="BS117" s="367">
        <f t="shared" si="968"/>
        <v>0</v>
      </c>
      <c r="BT117" s="355">
        <f t="shared" si="969"/>
        <v>0</v>
      </c>
      <c r="BU117" s="355" t="b">
        <f t="shared" si="970"/>
        <v>1</v>
      </c>
      <c r="BW117" s="355" t="str">
        <f t="shared" si="971"/>
        <v/>
      </c>
      <c r="BX117" s="355">
        <f t="shared" si="972"/>
        <v>0</v>
      </c>
      <c r="BY117" s="356">
        <f t="shared" si="1013"/>
        <v>0</v>
      </c>
      <c r="BZ117" s="355">
        <f t="shared" si="974"/>
        <v>0</v>
      </c>
      <c r="CB117" s="102" t="str">
        <f t="shared" si="975"/>
        <v>?</v>
      </c>
      <c r="CD117" s="355" t="str">
        <f t="shared" si="976"/>
        <v>Não</v>
      </c>
      <c r="CE117" s="368">
        <f>ifzero(mlookup(tbl_ICMSinterest_data,UFdestino,tbl_ICMSinterest_ufdest,UForigem,tbl_ICMSinterest_uforig))</f>
        <v>0.12</v>
      </c>
      <c r="CF117" s="368">
        <f>IF(N117&gt;0,IF(I117&lt;&gt;"Serviço",ifzero(mlookup(tbl_ICMSinterno_data,UForigem,tbl_ICMSinterno_UF,O117,tbl_ICMSinterno_NCM),mlookup(tbl_ICMSinterest_data,UForigem,tbl_ICMSinterest_ufdest,UForigem,tbl_ICMSinterest_uforig)),""),0)</f>
        <v>0</v>
      </c>
      <c r="CG117" s="368">
        <f>IF(N117&gt;0,IF(I117&lt;&gt;"Serviço",ifzero(mlookup(tbl_ICMSinterno_data,UFdestino,tbl_ICMSinterno_UF,O117,tbl_ICMSinterno_NCM),mlookup(tbl_ICMSinterest_data,UFdestino,tbl_ICMSinterest_ufdest,UFdestino,tbl_ICMSinterest_uforig)),""),0)</f>
        <v>0</v>
      </c>
      <c r="CI117" s="355">
        <f t="shared" si="977"/>
        <v>0</v>
      </c>
      <c r="CJ117" s="355">
        <f t="shared" si="978"/>
        <v>0</v>
      </c>
      <c r="CK117" s="355">
        <f t="shared" si="979"/>
        <v>0</v>
      </c>
      <c r="CL117" s="355">
        <f t="shared" si="980"/>
        <v>0</v>
      </c>
      <c r="CN117" s="370">
        <f t="shared" si="981"/>
        <v>1540</v>
      </c>
      <c r="CO117" s="355">
        <f t="shared" si="982"/>
        <v>0</v>
      </c>
      <c r="CQ117" s="355" t="b">
        <f t="shared" si="983"/>
        <v>0</v>
      </c>
      <c r="CR117" s="355" t="b">
        <f t="shared" si="984"/>
        <v>1</v>
      </c>
      <c r="CS117" s="355" t="b">
        <f t="shared" si="985"/>
        <v>0</v>
      </c>
      <c r="CU117" s="2">
        <f t="shared" si="986"/>
        <v>0</v>
      </c>
      <c r="CV117" s="102">
        <f t="shared" si="987"/>
        <v>0</v>
      </c>
      <c r="CW117" s="102">
        <f t="shared" si="1014"/>
        <v>0</v>
      </c>
      <c r="CX117" s="102">
        <f t="shared" si="989"/>
        <v>0</v>
      </c>
      <c r="CY117" s="290">
        <f t="shared" si="990"/>
        <v>0</v>
      </c>
      <c r="CZ117" s="102">
        <f t="shared" si="1016"/>
        <v>0</v>
      </c>
      <c r="DA117" s="290">
        <f t="shared" si="992"/>
        <v>0</v>
      </c>
      <c r="DB117" s="102">
        <f t="shared" si="1017"/>
        <v>0</v>
      </c>
      <c r="DC117" s="290">
        <f t="shared" si="994"/>
        <v>0</v>
      </c>
      <c r="DD117" s="102">
        <f t="shared" si="1015"/>
        <v>0</v>
      </c>
      <c r="DE117" s="592">
        <f>IF(D117="Sim",HLOOKUP($DH$5,Parametrização!$G$2:$H$4,2,FALSE),0)</f>
        <v>0</v>
      </c>
      <c r="DF117" s="102">
        <f t="shared" si="1018"/>
        <v>0</v>
      </c>
      <c r="DG117" s="592">
        <f>IF(D117="Sim",HLOOKUP($DH$5,Parametrização!$G$2:$H$4,3,FALSE),0)</f>
        <v>0</v>
      </c>
      <c r="DH117" s="102">
        <f t="shared" si="1019"/>
        <v>0</v>
      </c>
      <c r="DI117" s="102">
        <f t="shared" si="1020"/>
        <v>0</v>
      </c>
      <c r="DK117" s="3" t="str">
        <f t="shared" si="999"/>
        <v>NA</v>
      </c>
      <c r="DL117" s="2" t="str">
        <f t="shared" si="1000"/>
        <v>NA</v>
      </c>
      <c r="DM117" s="3" t="str">
        <f t="shared" si="1001"/>
        <v>NA</v>
      </c>
      <c r="DN117" s="9" t="str">
        <f t="shared" si="1002"/>
        <v>NA</v>
      </c>
      <c r="DO117" s="637" t="str">
        <f t="shared" si="1003"/>
        <v>NA</v>
      </c>
      <c r="DP117" s="637"/>
      <c r="DQ117" s="3" t="str">
        <f t="shared" si="1004"/>
        <v>NA</v>
      </c>
      <c r="DR117" s="2" t="str">
        <f t="shared" si="1005"/>
        <v>NA</v>
      </c>
      <c r="DS117" s="3" t="str">
        <f t="shared" si="1006"/>
        <v>NA</v>
      </c>
      <c r="DT117" s="9" t="str">
        <f t="shared" si="1021"/>
        <v>NA</v>
      </c>
      <c r="DU117" s="637" t="str">
        <f t="shared" si="1022"/>
        <v>NA</v>
      </c>
      <c r="DV117" s="637"/>
      <c r="DW117" s="682"/>
      <c r="DX117" s="682"/>
      <c r="DY117" s="682"/>
      <c r="DZ117" s="637"/>
      <c r="EA117" s="643"/>
    </row>
    <row r="118" spans="1:131" s="355" customFormat="1" ht="20.100000000000001" customHeight="1" outlineLevel="1" x14ac:dyDescent="0.25">
      <c r="A118" s="356"/>
      <c r="B118" s="355" t="s">
        <v>268</v>
      </c>
      <c r="C118" s="355" t="str">
        <f t="shared" si="1009"/>
        <v>Consumo</v>
      </c>
      <c r="D118" s="355" t="s">
        <v>53</v>
      </c>
      <c r="E118" s="18" t="s">
        <v>38</v>
      </c>
      <c r="F118" s="355" t="s">
        <v>53</v>
      </c>
      <c r="G118" s="357" t="str">
        <f t="shared" si="1010"/>
        <v>Geral</v>
      </c>
      <c r="H118" s="255" t="s">
        <v>377</v>
      </c>
      <c r="I118" s="356" t="str">
        <f t="shared" si="927"/>
        <v>Sistema</v>
      </c>
      <c r="K118" s="318" t="s">
        <v>2871</v>
      </c>
      <c r="L118" s="749" t="str">
        <f>IF(Padrões!JF59&lt;&gt;"",Padrões!JF59,"")</f>
        <v>KEY-E</v>
      </c>
      <c r="M118" s="358" t="str">
        <f t="shared" si="928"/>
        <v>Chave de testes, montagem semi-embutida, ref. KEY-E 073. Fabricante: Konecty.</v>
      </c>
      <c r="N118" s="359">
        <f>Padrões!JI59</f>
        <v>0</v>
      </c>
      <c r="O118" s="381" t="str">
        <f t="shared" si="929"/>
        <v>?</v>
      </c>
      <c r="P118" s="360">
        <f t="shared" si="930"/>
        <v>0.12</v>
      </c>
      <c r="Q118" s="360" t="str">
        <f t="shared" si="931"/>
        <v>?</v>
      </c>
      <c r="R118" s="360">
        <f t="shared" si="932"/>
        <v>0</v>
      </c>
      <c r="S118" s="361">
        <f t="shared" si="933"/>
        <v>0</v>
      </c>
      <c r="T118" s="362">
        <f t="shared" si="934"/>
        <v>0</v>
      </c>
      <c r="U118" s="53" t="str" cm="1">
        <f t="array" ref="U118">IFERROR(IF(I118&lt;&gt;"Serviço",IF(AND(mlookup(tbl_DIFAL_data,UFdestino,tbl_DIFAL_UF,O118,tbl_DIFAL_NCM)&lt;&gt;"",C118="Consumo"),"Sim",""),""),"?")</f>
        <v>?</v>
      </c>
      <c r="V118" s="363" t="str">
        <f>IFERROR(IF(I118&lt;&gt;"Serviço",IF(AND(D118="Não",mlookup(tbl_ST_data,UFdestino,tbl_ST_UF,O118,tbl_ST_NCM)&lt;&gt;"",C118="Revenda",CD118="Não"),"Sim",""),""),"?")</f>
        <v>?</v>
      </c>
      <c r="W118" s="364">
        <f t="shared" si="935"/>
        <v>0</v>
      </c>
      <c r="X118" s="365">
        <f>IF(V118="Sim",mlookup(tbl_ST_data,UFdestino,tbl_ST_UF,O118,tbl_ST_NCM),0)</f>
        <v>0</v>
      </c>
      <c r="Z118" s="355">
        <f t="shared" si="936"/>
        <v>0</v>
      </c>
      <c r="AA118" s="355">
        <f t="shared" ref="AA118:AA181" si="1023">Z118*N118</f>
        <v>0</v>
      </c>
      <c r="AC118" s="366">
        <f t="shared" si="1011"/>
        <v>1.31243473968765E-2</v>
      </c>
      <c r="AD118" s="366">
        <f t="shared" si="939"/>
        <v>0.15</v>
      </c>
      <c r="AF118" s="355">
        <f t="shared" si="940"/>
        <v>0</v>
      </c>
      <c r="AG118" s="355">
        <f t="shared" si="941"/>
        <v>0</v>
      </c>
      <c r="AI118" s="355">
        <f t="shared" si="942"/>
        <v>0</v>
      </c>
      <c r="AK118" s="366">
        <f t="shared" si="1012"/>
        <v>0</v>
      </c>
      <c r="AL118" s="355">
        <f t="shared" ref="AL118:AL181" si="1024">AM118*AK118</f>
        <v>0</v>
      </c>
      <c r="AM118" s="355">
        <f t="shared" ref="AM118:AM181" si="1025">AI118/(1-AK118)</f>
        <v>0</v>
      </c>
      <c r="AO118" s="355" t="b">
        <f t="shared" si="946"/>
        <v>1</v>
      </c>
      <c r="AQ118" s="367">
        <f t="shared" si="947"/>
        <v>0</v>
      </c>
      <c r="AR118" s="367">
        <f t="shared" ref="AR118:AR181" si="1026">AM118</f>
        <v>0</v>
      </c>
      <c r="AT118" s="367">
        <f t="shared" si="949"/>
        <v>0</v>
      </c>
      <c r="AU118" s="367">
        <f t="shared" si="950"/>
        <v>0</v>
      </c>
      <c r="AW118" s="367">
        <f t="shared" si="951"/>
        <v>0</v>
      </c>
      <c r="AX118" s="367">
        <f t="shared" si="952"/>
        <v>0</v>
      </c>
      <c r="AY118" s="367">
        <f t="shared" si="953"/>
        <v>0</v>
      </c>
      <c r="AZ118" s="367">
        <f t="shared" si="954"/>
        <v>0</v>
      </c>
      <c r="BB118" s="355">
        <f t="shared" si="955"/>
        <v>0</v>
      </c>
      <c r="BC118" s="355">
        <f t="shared" si="956"/>
        <v>0</v>
      </c>
      <c r="BD118" s="355">
        <f t="shared" si="957"/>
        <v>0</v>
      </c>
      <c r="BE118" s="355">
        <f t="shared" si="958"/>
        <v>0</v>
      </c>
      <c r="BF118" s="355">
        <f t="shared" si="959"/>
        <v>0</v>
      </c>
      <c r="BH118" s="368">
        <f t="shared" si="960"/>
        <v>0</v>
      </c>
      <c r="BJ118" s="369">
        <f t="shared" si="961"/>
        <v>-0.12</v>
      </c>
      <c r="BK118" s="355">
        <f t="shared" si="962"/>
        <v>0</v>
      </c>
      <c r="BL118" s="355">
        <f t="shared" si="963"/>
        <v>0</v>
      </c>
      <c r="BN118" s="366">
        <f t="shared" si="964"/>
        <v>0</v>
      </c>
      <c r="BO118" s="355">
        <f t="shared" si="965"/>
        <v>0</v>
      </c>
      <c r="BP118" s="355">
        <f t="shared" si="966"/>
        <v>0</v>
      </c>
      <c r="BQ118" s="355">
        <f t="shared" si="967"/>
        <v>0</v>
      </c>
      <c r="BS118" s="367">
        <f t="shared" si="968"/>
        <v>0</v>
      </c>
      <c r="BT118" s="355">
        <f t="shared" si="969"/>
        <v>0</v>
      </c>
      <c r="BU118" s="355" t="b">
        <f t="shared" ref="BU118:BU181" si="1027">IF(ABS(BT118-BS118-SUM(BB118:BF118))&lt;0.01,TRUE,FALSE)</f>
        <v>1</v>
      </c>
      <c r="BW118" s="355" t="str">
        <f t="shared" si="971"/>
        <v/>
      </c>
      <c r="BX118" s="355">
        <f t="shared" si="972"/>
        <v>0</v>
      </c>
      <c r="BY118" s="356">
        <f t="shared" si="1013"/>
        <v>0</v>
      </c>
      <c r="BZ118" s="355">
        <f t="shared" si="974"/>
        <v>0</v>
      </c>
      <c r="CB118" s="102" t="str">
        <f t="shared" si="975"/>
        <v xml:space="preserve">  Bloco de teste</v>
      </c>
      <c r="CD118" s="355" t="str">
        <f t="shared" si="976"/>
        <v>Não</v>
      </c>
      <c r="CE118" s="368">
        <f>ifzero(mlookup(tbl_ICMSinterest_data,UFdestino,tbl_ICMSinterest_ufdest,UForigem,tbl_ICMSinterest_uforig))</f>
        <v>0.12</v>
      </c>
      <c r="CF118" s="368">
        <f>IF(N118&gt;0,IF(I118&lt;&gt;"Serviço",ifzero(mlookup(tbl_ICMSinterno_data,UForigem,tbl_ICMSinterno_UF,O118,tbl_ICMSinterno_NCM),mlookup(tbl_ICMSinterest_data,UForigem,tbl_ICMSinterest_ufdest,UForigem,tbl_ICMSinterest_uforig)),""),0)</f>
        <v>0</v>
      </c>
      <c r="CG118" s="368">
        <f>IF(N118&gt;0,IF(I118&lt;&gt;"Serviço",ifzero(mlookup(tbl_ICMSinterno_data,UFdestino,tbl_ICMSinterno_UF,O118,tbl_ICMSinterno_NCM),mlookup(tbl_ICMSinterest_data,UFdestino,tbl_ICMSinterest_ufdest,UFdestino,tbl_ICMSinterest_uforig)),""),0)</f>
        <v>0</v>
      </c>
      <c r="CI118" s="355">
        <f t="shared" si="977"/>
        <v>0</v>
      </c>
      <c r="CJ118" s="355">
        <f t="shared" si="978"/>
        <v>0</v>
      </c>
      <c r="CK118" s="355">
        <f t="shared" si="979"/>
        <v>0</v>
      </c>
      <c r="CL118" s="355">
        <f t="shared" si="980"/>
        <v>0</v>
      </c>
      <c r="CN118" s="370">
        <f t="shared" si="981"/>
        <v>0</v>
      </c>
      <c r="CO118" s="355">
        <f t="shared" si="982"/>
        <v>0</v>
      </c>
      <c r="CQ118" s="355" t="b">
        <f t="shared" si="983"/>
        <v>0</v>
      </c>
      <c r="CR118" s="355" t="b">
        <f t="shared" si="984"/>
        <v>1</v>
      </c>
      <c r="CS118" s="355" t="b">
        <f t="shared" si="985"/>
        <v>0</v>
      </c>
      <c r="CU118" s="2">
        <f t="shared" si="986"/>
        <v>0</v>
      </c>
      <c r="CV118" s="102">
        <f t="shared" si="987"/>
        <v>0</v>
      </c>
      <c r="CW118" s="102">
        <f t="shared" si="1014"/>
        <v>0</v>
      </c>
      <c r="CX118" s="102">
        <f t="shared" si="989"/>
        <v>0</v>
      </c>
      <c r="CY118" s="290">
        <f t="shared" si="990"/>
        <v>0</v>
      </c>
      <c r="CZ118" s="102">
        <f t="shared" si="1016"/>
        <v>0</v>
      </c>
      <c r="DA118" s="290">
        <f t="shared" si="992"/>
        <v>0</v>
      </c>
      <c r="DB118" s="102">
        <f t="shared" si="1017"/>
        <v>0</v>
      </c>
      <c r="DC118" s="290">
        <f t="shared" si="994"/>
        <v>0</v>
      </c>
      <c r="DD118" s="102">
        <f t="shared" si="1015"/>
        <v>0</v>
      </c>
      <c r="DE118" s="592">
        <f>IF(D118="Sim",HLOOKUP($DH$5,Parametrização!$G$2:$H$4,2,FALSE),0)</f>
        <v>0</v>
      </c>
      <c r="DF118" s="102">
        <f t="shared" si="1018"/>
        <v>0</v>
      </c>
      <c r="DG118" s="592">
        <f>IF(D118="Sim",HLOOKUP($DH$5,Parametrização!$G$2:$H$4,3,FALSE),0)</f>
        <v>0</v>
      </c>
      <c r="DH118" s="102">
        <f t="shared" si="1019"/>
        <v>0</v>
      </c>
      <c r="DI118" s="102">
        <f t="shared" si="1020"/>
        <v>0</v>
      </c>
      <c r="DK118" s="3" t="str">
        <f t="shared" si="999"/>
        <v>NA</v>
      </c>
      <c r="DL118" s="2" t="str">
        <f t="shared" si="1000"/>
        <v>NA</v>
      </c>
      <c r="DM118" s="3" t="str">
        <f t="shared" si="1001"/>
        <v>NA</v>
      </c>
      <c r="DN118" s="9" t="str">
        <f t="shared" si="1002"/>
        <v>NA</v>
      </c>
      <c r="DO118" s="637" t="str">
        <f t="shared" si="1003"/>
        <v>NA</v>
      </c>
      <c r="DP118" s="637"/>
      <c r="DQ118" s="3" t="str">
        <f t="shared" si="1004"/>
        <v>NA</v>
      </c>
      <c r="DR118" s="2" t="str">
        <f t="shared" si="1005"/>
        <v>NA</v>
      </c>
      <c r="DS118" s="3" t="str">
        <f t="shared" si="1006"/>
        <v>NA</v>
      </c>
      <c r="DT118" s="9" t="str">
        <f t="shared" si="1021"/>
        <v>NA</v>
      </c>
      <c r="DU118" s="637" t="str">
        <f t="shared" si="1022"/>
        <v>NA</v>
      </c>
      <c r="DV118" s="637"/>
      <c r="DW118" s="682"/>
      <c r="DX118" s="682"/>
      <c r="DY118" s="682"/>
      <c r="DZ118" s="637"/>
      <c r="EA118" s="643"/>
    </row>
    <row r="119" spans="1:131" s="355" customFormat="1" ht="20.100000000000001" customHeight="1" outlineLevel="1" x14ac:dyDescent="0.25">
      <c r="A119" s="356"/>
      <c r="B119" s="355" t="s">
        <v>268</v>
      </c>
      <c r="C119" s="355" t="str">
        <f t="shared" si="1009"/>
        <v>Consumo</v>
      </c>
      <c r="D119" s="355" t="s">
        <v>53</v>
      </c>
      <c r="E119" s="18" t="s">
        <v>38</v>
      </c>
      <c r="F119" s="355" t="s">
        <v>53</v>
      </c>
      <c r="G119" s="357" t="str">
        <f t="shared" si="1010"/>
        <v>Geral</v>
      </c>
      <c r="H119" s="255" t="s">
        <v>377</v>
      </c>
      <c r="I119" s="356" t="str">
        <f t="shared" si="927"/>
        <v>Sistema</v>
      </c>
      <c r="K119" s="318" t="s">
        <v>2872</v>
      </c>
      <c r="L119" s="749" t="str">
        <f>IF(Padrões!JF60&lt;&gt;"",Padrões!JF60,"")</f>
        <v>FMS-10</v>
      </c>
      <c r="M119" s="358" t="str">
        <f t="shared" si="928"/>
        <v>Bloco de testes com 10 polos, montagem semi-embutida. Fabricante: States.</v>
      </c>
      <c r="N119" s="359">
        <f>Padrões!JI60</f>
        <v>0</v>
      </c>
      <c r="O119" s="381" t="str">
        <f t="shared" si="929"/>
        <v>?</v>
      </c>
      <c r="P119" s="360">
        <f t="shared" si="930"/>
        <v>0.12</v>
      </c>
      <c r="Q119" s="360" t="str">
        <f t="shared" si="931"/>
        <v>?</v>
      </c>
      <c r="R119" s="360">
        <f t="shared" si="932"/>
        <v>0</v>
      </c>
      <c r="S119" s="361">
        <f t="shared" si="933"/>
        <v>0</v>
      </c>
      <c r="T119" s="362">
        <f t="shared" si="934"/>
        <v>0</v>
      </c>
      <c r="U119" s="53" t="str" cm="1">
        <f t="array" ref="U119">IFERROR(IF(I119&lt;&gt;"Serviço",IF(AND(mlookup(tbl_DIFAL_data,UFdestino,tbl_DIFAL_UF,O119,tbl_DIFAL_NCM)&lt;&gt;"",C119="Consumo"),"Sim",""),""),"?")</f>
        <v>?</v>
      </c>
      <c r="V119" s="363" t="str">
        <f>IFERROR(IF(I119&lt;&gt;"Serviço",IF(AND(D119="Não",mlookup(tbl_ST_data,UFdestino,tbl_ST_UF,O119,tbl_ST_NCM)&lt;&gt;"",C119="Revenda",CD119="Não"),"Sim",""),""),"?")</f>
        <v>?</v>
      </c>
      <c r="W119" s="364">
        <f t="shared" si="935"/>
        <v>0</v>
      </c>
      <c r="X119" s="365">
        <f>IF(V119="Sim",mlookup(tbl_ST_data,UFdestino,tbl_ST_UF,O119,tbl_ST_NCM),0)</f>
        <v>0</v>
      </c>
      <c r="Z119" s="355">
        <f t="shared" si="936"/>
        <v>0</v>
      </c>
      <c r="AA119" s="355">
        <f t="shared" si="1023"/>
        <v>0</v>
      </c>
      <c r="AC119" s="366">
        <f t="shared" si="1011"/>
        <v>1.31243473968765E-2</v>
      </c>
      <c r="AD119" s="366">
        <f t="shared" si="939"/>
        <v>0.15</v>
      </c>
      <c r="AF119" s="355">
        <f t="shared" si="940"/>
        <v>0</v>
      </c>
      <c r="AG119" s="355">
        <f t="shared" si="941"/>
        <v>0</v>
      </c>
      <c r="AI119" s="355">
        <f t="shared" si="942"/>
        <v>0</v>
      </c>
      <c r="AK119" s="366">
        <f t="shared" si="1012"/>
        <v>0</v>
      </c>
      <c r="AL119" s="355">
        <f t="shared" si="1024"/>
        <v>0</v>
      </c>
      <c r="AM119" s="355">
        <f t="shared" si="1025"/>
        <v>0</v>
      </c>
      <c r="AO119" s="355" t="b">
        <f t="shared" si="946"/>
        <v>1</v>
      </c>
      <c r="AQ119" s="367">
        <f t="shared" si="947"/>
        <v>0</v>
      </c>
      <c r="AR119" s="367">
        <f t="shared" si="1026"/>
        <v>0</v>
      </c>
      <c r="AT119" s="367">
        <f t="shared" si="949"/>
        <v>0</v>
      </c>
      <c r="AU119" s="367">
        <f t="shared" si="950"/>
        <v>0</v>
      </c>
      <c r="AW119" s="367">
        <f t="shared" si="951"/>
        <v>0</v>
      </c>
      <c r="AX119" s="367">
        <f t="shared" si="952"/>
        <v>0</v>
      </c>
      <c r="AY119" s="367">
        <f t="shared" si="953"/>
        <v>0</v>
      </c>
      <c r="AZ119" s="367">
        <f t="shared" si="954"/>
        <v>0</v>
      </c>
      <c r="BB119" s="355">
        <f t="shared" si="955"/>
        <v>0</v>
      </c>
      <c r="BC119" s="355">
        <f t="shared" si="956"/>
        <v>0</v>
      </c>
      <c r="BD119" s="355">
        <f t="shared" si="957"/>
        <v>0</v>
      </c>
      <c r="BE119" s="355">
        <f t="shared" si="958"/>
        <v>0</v>
      </c>
      <c r="BF119" s="355">
        <f t="shared" si="959"/>
        <v>0</v>
      </c>
      <c r="BH119" s="368">
        <f t="shared" si="960"/>
        <v>0</v>
      </c>
      <c r="BJ119" s="369">
        <f t="shared" si="961"/>
        <v>-0.12</v>
      </c>
      <c r="BK119" s="355">
        <f t="shared" si="962"/>
        <v>0</v>
      </c>
      <c r="BL119" s="355">
        <f t="shared" si="963"/>
        <v>0</v>
      </c>
      <c r="BN119" s="366">
        <f t="shared" si="964"/>
        <v>0</v>
      </c>
      <c r="BO119" s="355">
        <f t="shared" si="965"/>
        <v>0</v>
      </c>
      <c r="BP119" s="355">
        <f t="shared" si="966"/>
        <v>0</v>
      </c>
      <c r="BQ119" s="355">
        <f t="shared" si="967"/>
        <v>0</v>
      </c>
      <c r="BS119" s="367">
        <f t="shared" si="968"/>
        <v>0</v>
      </c>
      <c r="BT119" s="355">
        <f t="shared" si="969"/>
        <v>0</v>
      </c>
      <c r="BU119" s="355" t="b">
        <f t="shared" si="1027"/>
        <v>1</v>
      </c>
      <c r="BW119" s="355" t="str">
        <f t="shared" si="971"/>
        <v/>
      </c>
      <c r="BX119" s="355">
        <f t="shared" si="972"/>
        <v>0</v>
      </c>
      <c r="BY119" s="356">
        <f t="shared" si="1013"/>
        <v>0</v>
      </c>
      <c r="BZ119" s="355">
        <f t="shared" si="974"/>
        <v>0</v>
      </c>
      <c r="CB119" s="102" t="str">
        <f t="shared" si="975"/>
        <v xml:space="preserve">  Bloco de teste</v>
      </c>
      <c r="CD119" s="355" t="str">
        <f t="shared" si="976"/>
        <v>Não</v>
      </c>
      <c r="CE119" s="368">
        <f>ifzero(mlookup(tbl_ICMSinterest_data,UFdestino,tbl_ICMSinterest_ufdest,UForigem,tbl_ICMSinterest_uforig))</f>
        <v>0.12</v>
      </c>
      <c r="CF119" s="368">
        <f>IF(N119&gt;0,IF(I119&lt;&gt;"Serviço",ifzero(mlookup(tbl_ICMSinterno_data,UForigem,tbl_ICMSinterno_UF,O119,tbl_ICMSinterno_NCM),mlookup(tbl_ICMSinterest_data,UForigem,tbl_ICMSinterest_ufdest,UForigem,tbl_ICMSinterest_uforig)),""),0)</f>
        <v>0</v>
      </c>
      <c r="CG119" s="368">
        <f>IF(N119&gt;0,IF(I119&lt;&gt;"Serviço",ifzero(mlookup(tbl_ICMSinterno_data,UFdestino,tbl_ICMSinterno_UF,O119,tbl_ICMSinterno_NCM),mlookup(tbl_ICMSinterest_data,UFdestino,tbl_ICMSinterest_ufdest,UFdestino,tbl_ICMSinterest_uforig)),""),0)</f>
        <v>0</v>
      </c>
      <c r="CI119" s="355">
        <f t="shared" si="977"/>
        <v>0</v>
      </c>
      <c r="CJ119" s="355">
        <f t="shared" si="978"/>
        <v>0</v>
      </c>
      <c r="CK119" s="355">
        <f t="shared" si="979"/>
        <v>0</v>
      </c>
      <c r="CL119" s="355">
        <f t="shared" si="980"/>
        <v>0</v>
      </c>
      <c r="CN119" s="370">
        <f t="shared" si="981"/>
        <v>0</v>
      </c>
      <c r="CO119" s="355">
        <f t="shared" si="982"/>
        <v>0</v>
      </c>
      <c r="CQ119" s="355" t="b">
        <f t="shared" si="983"/>
        <v>0</v>
      </c>
      <c r="CR119" s="355" t="b">
        <f t="shared" si="984"/>
        <v>1</v>
      </c>
      <c r="CS119" s="355" t="b">
        <f t="shared" si="985"/>
        <v>0</v>
      </c>
      <c r="CU119" s="2">
        <f t="shared" si="986"/>
        <v>0</v>
      </c>
      <c r="CV119" s="102">
        <f t="shared" si="987"/>
        <v>0</v>
      </c>
      <c r="CW119" s="102">
        <f t="shared" si="1014"/>
        <v>0</v>
      </c>
      <c r="CX119" s="102">
        <f t="shared" si="989"/>
        <v>0</v>
      </c>
      <c r="CY119" s="290">
        <f t="shared" si="990"/>
        <v>0</v>
      </c>
      <c r="CZ119" s="102">
        <f t="shared" si="1016"/>
        <v>0</v>
      </c>
      <c r="DA119" s="290">
        <f t="shared" si="992"/>
        <v>0</v>
      </c>
      <c r="DB119" s="102">
        <f t="shared" si="1017"/>
        <v>0</v>
      </c>
      <c r="DC119" s="290">
        <f t="shared" si="994"/>
        <v>0</v>
      </c>
      <c r="DD119" s="102">
        <f t="shared" si="1015"/>
        <v>0</v>
      </c>
      <c r="DE119" s="592">
        <f>IF(D119="Sim",HLOOKUP($DH$5,Parametrização!$G$2:$H$4,2,FALSE),0)</f>
        <v>0</v>
      </c>
      <c r="DF119" s="102">
        <f t="shared" si="1018"/>
        <v>0</v>
      </c>
      <c r="DG119" s="592">
        <f>IF(D119="Sim",HLOOKUP($DH$5,Parametrização!$G$2:$H$4,3,FALSE),0)</f>
        <v>0</v>
      </c>
      <c r="DH119" s="102">
        <f t="shared" si="1019"/>
        <v>0</v>
      </c>
      <c r="DI119" s="102">
        <f t="shared" si="1020"/>
        <v>0</v>
      </c>
      <c r="DK119" s="3" t="str">
        <f t="shared" si="999"/>
        <v>NA</v>
      </c>
      <c r="DL119" s="2" t="str">
        <f t="shared" si="1000"/>
        <v>NA</v>
      </c>
      <c r="DM119" s="3" t="str">
        <f t="shared" si="1001"/>
        <v>NA</v>
      </c>
      <c r="DN119" s="9" t="str">
        <f t="shared" si="1002"/>
        <v>NA</v>
      </c>
      <c r="DO119" s="637" t="str">
        <f t="shared" si="1003"/>
        <v>NA</v>
      </c>
      <c r="DP119" s="637"/>
      <c r="DQ119" s="3" t="str">
        <f t="shared" si="1004"/>
        <v>NA</v>
      </c>
      <c r="DR119" s="2" t="str">
        <f t="shared" si="1005"/>
        <v>NA</v>
      </c>
      <c r="DS119" s="3" t="str">
        <f t="shared" si="1006"/>
        <v>NA</v>
      </c>
      <c r="DT119" s="9" t="str">
        <f t="shared" si="1021"/>
        <v>NA</v>
      </c>
      <c r="DU119" s="637" t="str">
        <f t="shared" si="1022"/>
        <v>NA</v>
      </c>
      <c r="DV119" s="637"/>
      <c r="DW119" s="682"/>
      <c r="DX119" s="682"/>
      <c r="DY119" s="682"/>
      <c r="DZ119" s="637"/>
      <c r="EA119" s="643"/>
    </row>
    <row r="120" spans="1:131" s="355" customFormat="1" ht="20.100000000000001" customHeight="1" outlineLevel="1" x14ac:dyDescent="0.25">
      <c r="A120" s="356"/>
      <c r="B120" s="355" t="s">
        <v>268</v>
      </c>
      <c r="C120" s="355" t="str">
        <f t="shared" si="1009"/>
        <v>Consumo</v>
      </c>
      <c r="D120" s="355" t="s">
        <v>53</v>
      </c>
      <c r="E120" s="18" t="s">
        <v>38</v>
      </c>
      <c r="F120" s="355" t="s">
        <v>53</v>
      </c>
      <c r="G120" s="357" t="str">
        <f t="shared" si="1010"/>
        <v>Geral</v>
      </c>
      <c r="H120" s="255" t="s">
        <v>377</v>
      </c>
      <c r="I120" s="356" t="str">
        <f t="shared" si="927"/>
        <v>Sistema</v>
      </c>
      <c r="K120" s="318" t="s">
        <v>2873</v>
      </c>
      <c r="L120" s="749" t="str">
        <f>IF(Padrões!JF61&lt;&gt;"",Padrões!JF61,"")</f>
        <v>Finder 22.64</v>
      </c>
      <c r="M120" s="358" t="str">
        <f t="shared" si="928"/>
        <v>Relé de potência, 4 contatos NA, 125VCC, ref. 22.64.9.125.4310. Fabricante: Finder.</v>
      </c>
      <c r="N120" s="359">
        <f>Padrões!JI61</f>
        <v>0</v>
      </c>
      <c r="O120" s="381" t="str">
        <f t="shared" si="929"/>
        <v>?</v>
      </c>
      <c r="P120" s="360">
        <f t="shared" si="930"/>
        <v>0.12</v>
      </c>
      <c r="Q120" s="360" t="str">
        <f t="shared" si="931"/>
        <v>?</v>
      </c>
      <c r="R120" s="360">
        <f t="shared" si="932"/>
        <v>0</v>
      </c>
      <c r="S120" s="361">
        <f t="shared" si="933"/>
        <v>0</v>
      </c>
      <c r="T120" s="362">
        <f t="shared" si="934"/>
        <v>0</v>
      </c>
      <c r="U120" s="53" t="str" cm="1">
        <f t="array" ref="U120">IFERROR(IF(I120&lt;&gt;"Serviço",IF(AND(mlookup(tbl_DIFAL_data,UFdestino,tbl_DIFAL_UF,O120,tbl_DIFAL_NCM)&lt;&gt;"",C120="Consumo"),"Sim",""),""),"?")</f>
        <v>?</v>
      </c>
      <c r="V120" s="363" t="str">
        <f>IFERROR(IF(I120&lt;&gt;"Serviço",IF(AND(D120="Não",mlookup(tbl_ST_data,UFdestino,tbl_ST_UF,O120,tbl_ST_NCM)&lt;&gt;"",C120="Revenda",CD120="Não"),"Sim",""),""),"?")</f>
        <v>?</v>
      </c>
      <c r="W120" s="364">
        <f t="shared" si="935"/>
        <v>0</v>
      </c>
      <c r="X120" s="365">
        <f>IF(V120="Sim",mlookup(tbl_ST_data,UFdestino,tbl_ST_UF,O120,tbl_ST_NCM),0)</f>
        <v>0</v>
      </c>
      <c r="Z120" s="355">
        <f t="shared" si="936"/>
        <v>0</v>
      </c>
      <c r="AA120" s="355">
        <f t="shared" si="1023"/>
        <v>0</v>
      </c>
      <c r="AC120" s="366">
        <f t="shared" si="1011"/>
        <v>1.31243473968765E-2</v>
      </c>
      <c r="AD120" s="366">
        <f t="shared" si="939"/>
        <v>0.15</v>
      </c>
      <c r="AF120" s="355">
        <f t="shared" si="940"/>
        <v>0</v>
      </c>
      <c r="AG120" s="355">
        <f t="shared" si="941"/>
        <v>0</v>
      </c>
      <c r="AI120" s="355">
        <f t="shared" si="942"/>
        <v>0</v>
      </c>
      <c r="AK120" s="366">
        <f t="shared" si="1012"/>
        <v>0</v>
      </c>
      <c r="AL120" s="355">
        <f t="shared" si="1024"/>
        <v>0</v>
      </c>
      <c r="AM120" s="355">
        <f t="shared" si="1025"/>
        <v>0</v>
      </c>
      <c r="AO120" s="355" t="b">
        <f t="shared" si="946"/>
        <v>1</v>
      </c>
      <c r="AQ120" s="367">
        <f t="shared" si="947"/>
        <v>0</v>
      </c>
      <c r="AR120" s="367">
        <f t="shared" si="1026"/>
        <v>0</v>
      </c>
      <c r="AT120" s="367">
        <f t="shared" si="949"/>
        <v>0</v>
      </c>
      <c r="AU120" s="367">
        <f t="shared" si="950"/>
        <v>0</v>
      </c>
      <c r="AW120" s="367">
        <f t="shared" si="951"/>
        <v>0</v>
      </c>
      <c r="AX120" s="367">
        <f t="shared" si="952"/>
        <v>0</v>
      </c>
      <c r="AY120" s="367">
        <f t="shared" si="953"/>
        <v>0</v>
      </c>
      <c r="AZ120" s="367">
        <f t="shared" si="954"/>
        <v>0</v>
      </c>
      <c r="BB120" s="355">
        <f t="shared" si="955"/>
        <v>0</v>
      </c>
      <c r="BC120" s="355">
        <f t="shared" si="956"/>
        <v>0</v>
      </c>
      <c r="BD120" s="355">
        <f t="shared" si="957"/>
        <v>0</v>
      </c>
      <c r="BE120" s="355">
        <f t="shared" si="958"/>
        <v>0</v>
      </c>
      <c r="BF120" s="355">
        <f t="shared" si="959"/>
        <v>0</v>
      </c>
      <c r="BH120" s="368">
        <f t="shared" si="960"/>
        <v>0</v>
      </c>
      <c r="BJ120" s="369">
        <f t="shared" si="961"/>
        <v>-0.12</v>
      </c>
      <c r="BK120" s="355">
        <f t="shared" si="962"/>
        <v>0</v>
      </c>
      <c r="BL120" s="355">
        <f t="shared" si="963"/>
        <v>0</v>
      </c>
      <c r="BN120" s="366">
        <f t="shared" si="964"/>
        <v>0</v>
      </c>
      <c r="BO120" s="355">
        <f t="shared" si="965"/>
        <v>0</v>
      </c>
      <c r="BP120" s="355">
        <f t="shared" si="966"/>
        <v>0</v>
      </c>
      <c r="BQ120" s="355">
        <f t="shared" si="967"/>
        <v>0</v>
      </c>
      <c r="BS120" s="367">
        <f t="shared" si="968"/>
        <v>0</v>
      </c>
      <c r="BT120" s="355">
        <f t="shared" si="969"/>
        <v>0</v>
      </c>
      <c r="BU120" s="355" t="b">
        <f t="shared" si="1027"/>
        <v>1</v>
      </c>
      <c r="BW120" s="355" t="str">
        <f t="shared" si="971"/>
        <v/>
      </c>
      <c r="BX120" s="355">
        <f t="shared" si="972"/>
        <v>0</v>
      </c>
      <c r="BY120" s="356">
        <f t="shared" si="1013"/>
        <v>0</v>
      </c>
      <c r="BZ120" s="355">
        <f t="shared" si="974"/>
        <v>0</v>
      </c>
      <c r="CB120" s="102" t="str">
        <f t="shared" si="975"/>
        <v xml:space="preserve">  Relé auxiliar</v>
      </c>
      <c r="CD120" s="355" t="str">
        <f t="shared" si="976"/>
        <v>Não</v>
      </c>
      <c r="CE120" s="368">
        <f>ifzero(mlookup(tbl_ICMSinterest_data,UFdestino,tbl_ICMSinterest_ufdest,UForigem,tbl_ICMSinterest_uforig))</f>
        <v>0.12</v>
      </c>
      <c r="CF120" s="368">
        <f>IF(N120&gt;0,IF(I120&lt;&gt;"Serviço",ifzero(mlookup(tbl_ICMSinterno_data,UForigem,tbl_ICMSinterno_UF,O120,tbl_ICMSinterno_NCM),mlookup(tbl_ICMSinterest_data,UForigem,tbl_ICMSinterest_ufdest,UForigem,tbl_ICMSinterest_uforig)),""),0)</f>
        <v>0</v>
      </c>
      <c r="CG120" s="368">
        <f>IF(N120&gt;0,IF(I120&lt;&gt;"Serviço",ifzero(mlookup(tbl_ICMSinterno_data,UFdestino,tbl_ICMSinterno_UF,O120,tbl_ICMSinterno_NCM),mlookup(tbl_ICMSinterest_data,UFdestino,tbl_ICMSinterest_ufdest,UFdestino,tbl_ICMSinterest_uforig)),""),0)</f>
        <v>0</v>
      </c>
      <c r="CI120" s="355">
        <f t="shared" si="977"/>
        <v>0</v>
      </c>
      <c r="CJ120" s="355">
        <f t="shared" si="978"/>
        <v>0</v>
      </c>
      <c r="CK120" s="355">
        <f t="shared" si="979"/>
        <v>0</v>
      </c>
      <c r="CL120" s="355">
        <f t="shared" si="980"/>
        <v>0</v>
      </c>
      <c r="CN120" s="370">
        <f t="shared" si="981"/>
        <v>0</v>
      </c>
      <c r="CO120" s="355">
        <f t="shared" si="982"/>
        <v>0</v>
      </c>
      <c r="CQ120" s="355" t="b">
        <f t="shared" si="983"/>
        <v>0</v>
      </c>
      <c r="CR120" s="355" t="b">
        <f t="shared" si="984"/>
        <v>1</v>
      </c>
      <c r="CS120" s="355" t="b">
        <f t="shared" si="985"/>
        <v>0</v>
      </c>
      <c r="CU120" s="2">
        <f t="shared" si="986"/>
        <v>0</v>
      </c>
      <c r="CV120" s="102">
        <f t="shared" si="987"/>
        <v>0</v>
      </c>
      <c r="CW120" s="102">
        <f t="shared" si="1014"/>
        <v>0</v>
      </c>
      <c r="CX120" s="102">
        <f t="shared" si="989"/>
        <v>0</v>
      </c>
      <c r="CY120" s="290">
        <f t="shared" si="990"/>
        <v>0</v>
      </c>
      <c r="CZ120" s="102">
        <f t="shared" si="1016"/>
        <v>0</v>
      </c>
      <c r="DA120" s="290">
        <f t="shared" si="992"/>
        <v>0</v>
      </c>
      <c r="DB120" s="102">
        <f t="shared" si="1017"/>
        <v>0</v>
      </c>
      <c r="DC120" s="290">
        <f t="shared" si="994"/>
        <v>0</v>
      </c>
      <c r="DD120" s="102">
        <f t="shared" si="1015"/>
        <v>0</v>
      </c>
      <c r="DE120" s="592">
        <f>IF(D120="Sim",HLOOKUP($DH$5,Parametrização!$G$2:$H$4,2,FALSE),0)</f>
        <v>0</v>
      </c>
      <c r="DF120" s="102">
        <f t="shared" si="1018"/>
        <v>0</v>
      </c>
      <c r="DG120" s="592">
        <f>IF(D120="Sim",HLOOKUP($DH$5,Parametrização!$G$2:$H$4,3,FALSE),0)</f>
        <v>0</v>
      </c>
      <c r="DH120" s="102">
        <f t="shared" si="1019"/>
        <v>0</v>
      </c>
      <c r="DI120" s="102">
        <f t="shared" si="1020"/>
        <v>0</v>
      </c>
      <c r="DK120" s="3" t="str">
        <f t="shared" si="999"/>
        <v>NA</v>
      </c>
      <c r="DL120" s="2" t="str">
        <f t="shared" si="1000"/>
        <v>NA</v>
      </c>
      <c r="DM120" s="3" t="str">
        <f t="shared" si="1001"/>
        <v>NA</v>
      </c>
      <c r="DN120" s="9" t="str">
        <f t="shared" si="1002"/>
        <v>NA</v>
      </c>
      <c r="DO120" s="637" t="str">
        <f t="shared" si="1003"/>
        <v>NA</v>
      </c>
      <c r="DP120" s="637"/>
      <c r="DQ120" s="3" t="str">
        <f t="shared" si="1004"/>
        <v>NA</v>
      </c>
      <c r="DR120" s="2" t="str">
        <f t="shared" si="1005"/>
        <v>NA</v>
      </c>
      <c r="DS120" s="3" t="str">
        <f t="shared" si="1006"/>
        <v>NA</v>
      </c>
      <c r="DT120" s="9" t="str">
        <f t="shared" si="1021"/>
        <v>NA</v>
      </c>
      <c r="DU120" s="637" t="str">
        <f t="shared" si="1022"/>
        <v>NA</v>
      </c>
      <c r="DV120" s="637"/>
      <c r="DW120" s="682"/>
      <c r="DX120" s="682"/>
      <c r="DY120" s="682"/>
      <c r="DZ120" s="637"/>
      <c r="EA120" s="643"/>
    </row>
    <row r="121" spans="1:131" s="355" customFormat="1" ht="20.100000000000001" customHeight="1" outlineLevel="1" x14ac:dyDescent="0.25">
      <c r="A121" s="356"/>
      <c r="B121" s="355" t="s">
        <v>268</v>
      </c>
      <c r="C121" s="355" t="str">
        <f t="shared" si="1009"/>
        <v>Consumo</v>
      </c>
      <c r="D121" s="355" t="s">
        <v>53</v>
      </c>
      <c r="E121" s="18" t="s">
        <v>38</v>
      </c>
      <c r="F121" s="355" t="s">
        <v>53</v>
      </c>
      <c r="G121" s="357" t="str">
        <f t="shared" si="1010"/>
        <v>Geral</v>
      </c>
      <c r="H121" s="255" t="s">
        <v>377</v>
      </c>
      <c r="I121" s="356" t="str">
        <f t="shared" si="927"/>
        <v>Sistema</v>
      </c>
      <c r="K121" s="318" t="s">
        <v>2874</v>
      </c>
      <c r="L121" s="749" t="str">
        <f>IF(Padrões!JF62&lt;&gt;"",Padrões!JF62,"")</f>
        <v>Finder RR.14</v>
      </c>
      <c r="M121" s="358" t="str">
        <f t="shared" si="928"/>
        <v>Relé auxiliar rápido, 4 contatos reversíveis, com base (90.21), 125VCC, ref. RR.14.9.125.0000. Fabricante: Finder.</v>
      </c>
      <c r="N121" s="359">
        <f>Padrões!JI62</f>
        <v>0</v>
      </c>
      <c r="O121" s="381" t="str">
        <f t="shared" si="929"/>
        <v>?</v>
      </c>
      <c r="P121" s="360">
        <f t="shared" si="930"/>
        <v>0.12</v>
      </c>
      <c r="Q121" s="360" t="str">
        <f t="shared" si="931"/>
        <v>?</v>
      </c>
      <c r="R121" s="360">
        <f t="shared" si="932"/>
        <v>0</v>
      </c>
      <c r="S121" s="361">
        <f t="shared" si="933"/>
        <v>0</v>
      </c>
      <c r="T121" s="362">
        <f t="shared" si="934"/>
        <v>0</v>
      </c>
      <c r="U121" s="53" t="str" cm="1">
        <f t="array" ref="U121">IFERROR(IF(I121&lt;&gt;"Serviço",IF(AND(mlookup(tbl_DIFAL_data,UFdestino,tbl_DIFAL_UF,O121,tbl_DIFAL_NCM)&lt;&gt;"",C121="Consumo"),"Sim",""),""),"?")</f>
        <v>?</v>
      </c>
      <c r="V121" s="363" t="str">
        <f>IFERROR(IF(I121&lt;&gt;"Serviço",IF(AND(D121="Não",mlookup(tbl_ST_data,UFdestino,tbl_ST_UF,O121,tbl_ST_NCM)&lt;&gt;"",C121="Revenda",CD121="Não"),"Sim",""),""),"?")</f>
        <v>?</v>
      </c>
      <c r="W121" s="364">
        <f t="shared" si="935"/>
        <v>0</v>
      </c>
      <c r="X121" s="365">
        <f>IF(V121="Sim",mlookup(tbl_ST_data,UFdestino,tbl_ST_UF,O121,tbl_ST_NCM),0)</f>
        <v>0</v>
      </c>
      <c r="Z121" s="355">
        <f t="shared" si="936"/>
        <v>0</v>
      </c>
      <c r="AA121" s="355">
        <f t="shared" si="1023"/>
        <v>0</v>
      </c>
      <c r="AC121" s="366">
        <f t="shared" si="1011"/>
        <v>1.31243473968765E-2</v>
      </c>
      <c r="AD121" s="366">
        <f t="shared" si="939"/>
        <v>0.15</v>
      </c>
      <c r="AF121" s="355">
        <f t="shared" si="940"/>
        <v>0</v>
      </c>
      <c r="AG121" s="355">
        <f t="shared" si="941"/>
        <v>0</v>
      </c>
      <c r="AI121" s="355">
        <f t="shared" si="942"/>
        <v>0</v>
      </c>
      <c r="AK121" s="366">
        <f t="shared" si="1012"/>
        <v>0</v>
      </c>
      <c r="AL121" s="355">
        <f t="shared" si="1024"/>
        <v>0</v>
      </c>
      <c r="AM121" s="355">
        <f t="shared" si="1025"/>
        <v>0</v>
      </c>
      <c r="AO121" s="355" t="b">
        <f t="shared" si="946"/>
        <v>1</v>
      </c>
      <c r="AQ121" s="367">
        <f t="shared" si="947"/>
        <v>0</v>
      </c>
      <c r="AR121" s="367">
        <f t="shared" si="1026"/>
        <v>0</v>
      </c>
      <c r="AT121" s="367">
        <f t="shared" si="949"/>
        <v>0</v>
      </c>
      <c r="AU121" s="367">
        <f t="shared" si="950"/>
        <v>0</v>
      </c>
      <c r="AW121" s="367">
        <f t="shared" si="951"/>
        <v>0</v>
      </c>
      <c r="AX121" s="367">
        <f t="shared" si="952"/>
        <v>0</v>
      </c>
      <c r="AY121" s="367">
        <f t="shared" si="953"/>
        <v>0</v>
      </c>
      <c r="AZ121" s="367">
        <f t="shared" si="954"/>
        <v>0</v>
      </c>
      <c r="BB121" s="355">
        <f t="shared" si="955"/>
        <v>0</v>
      </c>
      <c r="BC121" s="355">
        <f t="shared" si="956"/>
        <v>0</v>
      </c>
      <c r="BD121" s="355">
        <f t="shared" si="957"/>
        <v>0</v>
      </c>
      <c r="BE121" s="355">
        <f t="shared" si="958"/>
        <v>0</v>
      </c>
      <c r="BF121" s="355">
        <f t="shared" si="959"/>
        <v>0</v>
      </c>
      <c r="BH121" s="368">
        <f t="shared" si="960"/>
        <v>0</v>
      </c>
      <c r="BJ121" s="369">
        <f t="shared" si="961"/>
        <v>-0.12</v>
      </c>
      <c r="BK121" s="355">
        <f t="shared" si="962"/>
        <v>0</v>
      </c>
      <c r="BL121" s="355">
        <f t="shared" si="963"/>
        <v>0</v>
      </c>
      <c r="BN121" s="366">
        <f t="shared" si="964"/>
        <v>0</v>
      </c>
      <c r="BO121" s="355">
        <f t="shared" si="965"/>
        <v>0</v>
      </c>
      <c r="BP121" s="355">
        <f t="shared" si="966"/>
        <v>0</v>
      </c>
      <c r="BQ121" s="355">
        <f t="shared" si="967"/>
        <v>0</v>
      </c>
      <c r="BS121" s="367">
        <f t="shared" si="968"/>
        <v>0</v>
      </c>
      <c r="BT121" s="355">
        <f t="shared" si="969"/>
        <v>0</v>
      </c>
      <c r="BU121" s="355" t="b">
        <f t="shared" si="1027"/>
        <v>1</v>
      </c>
      <c r="BW121" s="355" t="str">
        <f t="shared" si="971"/>
        <v/>
      </c>
      <c r="BX121" s="355">
        <f t="shared" si="972"/>
        <v>0</v>
      </c>
      <c r="BY121" s="356">
        <f t="shared" si="1013"/>
        <v>0</v>
      </c>
      <c r="BZ121" s="355">
        <f t="shared" si="974"/>
        <v>0</v>
      </c>
      <c r="CB121" s="102" t="str">
        <f t="shared" si="975"/>
        <v xml:space="preserve">  Relé auxiliar</v>
      </c>
      <c r="CD121" s="355" t="str">
        <f t="shared" si="976"/>
        <v>Não</v>
      </c>
      <c r="CE121" s="368">
        <f>ifzero(mlookup(tbl_ICMSinterest_data,UFdestino,tbl_ICMSinterest_ufdest,UForigem,tbl_ICMSinterest_uforig))</f>
        <v>0.12</v>
      </c>
      <c r="CF121" s="368">
        <f>IF(N121&gt;0,IF(I121&lt;&gt;"Serviço",ifzero(mlookup(tbl_ICMSinterno_data,UForigem,tbl_ICMSinterno_UF,O121,tbl_ICMSinterno_NCM),mlookup(tbl_ICMSinterest_data,UForigem,tbl_ICMSinterest_ufdest,UForigem,tbl_ICMSinterest_uforig)),""),0)</f>
        <v>0</v>
      </c>
      <c r="CG121" s="368">
        <f>IF(N121&gt;0,IF(I121&lt;&gt;"Serviço",ifzero(mlookup(tbl_ICMSinterno_data,UFdestino,tbl_ICMSinterno_UF,O121,tbl_ICMSinterno_NCM),mlookup(tbl_ICMSinterest_data,UFdestino,tbl_ICMSinterest_ufdest,UFdestino,tbl_ICMSinterest_uforig)),""),0)</f>
        <v>0</v>
      </c>
      <c r="CI121" s="355">
        <f t="shared" si="977"/>
        <v>0</v>
      </c>
      <c r="CJ121" s="355">
        <f t="shared" si="978"/>
        <v>0</v>
      </c>
      <c r="CK121" s="355">
        <f t="shared" si="979"/>
        <v>0</v>
      </c>
      <c r="CL121" s="355">
        <f t="shared" si="980"/>
        <v>0</v>
      </c>
      <c r="CN121" s="370">
        <f t="shared" si="981"/>
        <v>0</v>
      </c>
      <c r="CO121" s="355">
        <f t="shared" si="982"/>
        <v>0</v>
      </c>
      <c r="CQ121" s="355" t="b">
        <f t="shared" si="983"/>
        <v>0</v>
      </c>
      <c r="CR121" s="355" t="b">
        <f t="shared" si="984"/>
        <v>1</v>
      </c>
      <c r="CS121" s="355" t="b">
        <f t="shared" si="985"/>
        <v>0</v>
      </c>
      <c r="CU121" s="2">
        <f t="shared" si="986"/>
        <v>0</v>
      </c>
      <c r="CV121" s="102">
        <f t="shared" si="987"/>
        <v>0</v>
      </c>
      <c r="CW121" s="102">
        <f t="shared" si="1014"/>
        <v>0</v>
      </c>
      <c r="CX121" s="102">
        <f t="shared" si="989"/>
        <v>0</v>
      </c>
      <c r="CY121" s="290">
        <f t="shared" si="990"/>
        <v>0</v>
      </c>
      <c r="CZ121" s="102">
        <f t="shared" si="1016"/>
        <v>0</v>
      </c>
      <c r="DA121" s="290">
        <f t="shared" si="992"/>
        <v>0</v>
      </c>
      <c r="DB121" s="102">
        <f t="shared" si="1017"/>
        <v>0</v>
      </c>
      <c r="DC121" s="290">
        <f t="shared" si="994"/>
        <v>0</v>
      </c>
      <c r="DD121" s="102">
        <f t="shared" si="1015"/>
        <v>0</v>
      </c>
      <c r="DE121" s="592">
        <f>IF(D121="Sim",HLOOKUP($DH$5,Parametrização!$G$2:$H$4,2,FALSE),0)</f>
        <v>0</v>
      </c>
      <c r="DF121" s="102">
        <f t="shared" si="1018"/>
        <v>0</v>
      </c>
      <c r="DG121" s="592">
        <f>IF(D121="Sim",HLOOKUP($DH$5,Parametrização!$G$2:$H$4,3,FALSE),0)</f>
        <v>0</v>
      </c>
      <c r="DH121" s="102">
        <f t="shared" si="1019"/>
        <v>0</v>
      </c>
      <c r="DI121" s="102">
        <f t="shared" si="1020"/>
        <v>0</v>
      </c>
      <c r="DK121" s="3" t="str">
        <f t="shared" si="999"/>
        <v>NA</v>
      </c>
      <c r="DL121" s="2" t="str">
        <f t="shared" si="1000"/>
        <v>NA</v>
      </c>
      <c r="DM121" s="3" t="str">
        <f t="shared" si="1001"/>
        <v>NA</v>
      </c>
      <c r="DN121" s="9" t="str">
        <f t="shared" si="1002"/>
        <v>NA</v>
      </c>
      <c r="DO121" s="637" t="str">
        <f t="shared" si="1003"/>
        <v>NA</v>
      </c>
      <c r="DP121" s="637"/>
      <c r="DQ121" s="3" t="str">
        <f t="shared" si="1004"/>
        <v>NA</v>
      </c>
      <c r="DR121" s="2" t="str">
        <f t="shared" si="1005"/>
        <v>NA</v>
      </c>
      <c r="DS121" s="3" t="str">
        <f t="shared" si="1006"/>
        <v>NA</v>
      </c>
      <c r="DT121" s="9" t="str">
        <f t="shared" si="1021"/>
        <v>NA</v>
      </c>
      <c r="DU121" s="637" t="str">
        <f t="shared" si="1022"/>
        <v>NA</v>
      </c>
      <c r="DV121" s="637"/>
      <c r="DW121" s="682"/>
      <c r="DX121" s="682"/>
      <c r="DY121" s="682"/>
      <c r="DZ121" s="637"/>
      <c r="EA121" s="643"/>
    </row>
    <row r="122" spans="1:131" s="355" customFormat="1" ht="20.100000000000001" customHeight="1" outlineLevel="1" x14ac:dyDescent="0.25">
      <c r="A122" s="356"/>
      <c r="B122" s="355" t="s">
        <v>268</v>
      </c>
      <c r="C122" s="355" t="str">
        <f t="shared" si="1009"/>
        <v>Consumo</v>
      </c>
      <c r="D122" s="355" t="s">
        <v>53</v>
      </c>
      <c r="E122" s="18" t="s">
        <v>38</v>
      </c>
      <c r="F122" s="355" t="s">
        <v>53</v>
      </c>
      <c r="G122" s="357" t="str">
        <f t="shared" si="1010"/>
        <v>Geral</v>
      </c>
      <c r="H122" s="255" t="s">
        <v>377</v>
      </c>
      <c r="I122" s="356" t="str">
        <f t="shared" si="927"/>
        <v>Sistema</v>
      </c>
      <c r="K122" s="318" t="s">
        <v>2875</v>
      </c>
      <c r="L122" s="749" t="str">
        <f>IF(Padrões!JF63&lt;&gt;"",Padrões!JF63,"")</f>
        <v>Finder RB.14</v>
      </c>
      <c r="M122" s="358" t="str">
        <f t="shared" si="928"/>
        <v>Relé biestável, 4 contatos reversíveis, 125VCC, ref. RB.14.9.125.0000. Fabricante. Finder.</v>
      </c>
      <c r="N122" s="359">
        <f>Padrões!JI63</f>
        <v>0</v>
      </c>
      <c r="O122" s="381" t="str">
        <f t="shared" si="929"/>
        <v>?</v>
      </c>
      <c r="P122" s="360">
        <f t="shared" si="930"/>
        <v>0.12</v>
      </c>
      <c r="Q122" s="360" t="str">
        <f t="shared" si="931"/>
        <v>?</v>
      </c>
      <c r="R122" s="360">
        <f t="shared" si="932"/>
        <v>0</v>
      </c>
      <c r="S122" s="361">
        <f t="shared" si="933"/>
        <v>0</v>
      </c>
      <c r="T122" s="362">
        <f t="shared" si="934"/>
        <v>0</v>
      </c>
      <c r="U122" s="53" t="str" cm="1">
        <f t="array" ref="U122">IFERROR(IF(I122&lt;&gt;"Serviço",IF(AND(mlookup(tbl_DIFAL_data,UFdestino,tbl_DIFAL_UF,O122,tbl_DIFAL_NCM)&lt;&gt;"",C122="Consumo"),"Sim",""),""),"?")</f>
        <v>?</v>
      </c>
      <c r="V122" s="363" t="str">
        <f>IFERROR(IF(I122&lt;&gt;"Serviço",IF(AND(D122="Não",mlookup(tbl_ST_data,UFdestino,tbl_ST_UF,O122,tbl_ST_NCM)&lt;&gt;"",C122="Revenda",CD122="Não"),"Sim",""),""),"?")</f>
        <v>?</v>
      </c>
      <c r="W122" s="364">
        <f t="shared" si="935"/>
        <v>0</v>
      </c>
      <c r="X122" s="365">
        <f>IF(V122="Sim",mlookup(tbl_ST_data,UFdestino,tbl_ST_UF,O122,tbl_ST_NCM),0)</f>
        <v>0</v>
      </c>
      <c r="Z122" s="355">
        <f t="shared" si="936"/>
        <v>0</v>
      </c>
      <c r="AA122" s="355">
        <f t="shared" si="1023"/>
        <v>0</v>
      </c>
      <c r="AC122" s="366">
        <f t="shared" si="1011"/>
        <v>1.31243473968765E-2</v>
      </c>
      <c r="AD122" s="366">
        <f t="shared" si="939"/>
        <v>0.15</v>
      </c>
      <c r="AF122" s="355">
        <f t="shared" si="940"/>
        <v>0</v>
      </c>
      <c r="AG122" s="355">
        <f t="shared" si="941"/>
        <v>0</v>
      </c>
      <c r="AI122" s="355">
        <f t="shared" si="942"/>
        <v>0</v>
      </c>
      <c r="AK122" s="366">
        <f t="shared" si="1012"/>
        <v>0</v>
      </c>
      <c r="AL122" s="355">
        <f t="shared" si="1024"/>
        <v>0</v>
      </c>
      <c r="AM122" s="355">
        <f t="shared" si="1025"/>
        <v>0</v>
      </c>
      <c r="AO122" s="355" t="b">
        <f t="shared" si="946"/>
        <v>1</v>
      </c>
      <c r="AQ122" s="367">
        <f t="shared" si="947"/>
        <v>0</v>
      </c>
      <c r="AR122" s="367">
        <f t="shared" si="1026"/>
        <v>0</v>
      </c>
      <c r="AT122" s="367">
        <f t="shared" si="949"/>
        <v>0</v>
      </c>
      <c r="AU122" s="367">
        <f t="shared" si="950"/>
        <v>0</v>
      </c>
      <c r="AW122" s="367">
        <f t="shared" si="951"/>
        <v>0</v>
      </c>
      <c r="AX122" s="367">
        <f t="shared" si="952"/>
        <v>0</v>
      </c>
      <c r="AY122" s="367">
        <f t="shared" si="953"/>
        <v>0</v>
      </c>
      <c r="AZ122" s="367">
        <f t="shared" si="954"/>
        <v>0</v>
      </c>
      <c r="BB122" s="355">
        <f t="shared" si="955"/>
        <v>0</v>
      </c>
      <c r="BC122" s="355">
        <f t="shared" si="956"/>
        <v>0</v>
      </c>
      <c r="BD122" s="355">
        <f t="shared" si="957"/>
        <v>0</v>
      </c>
      <c r="BE122" s="355">
        <f t="shared" si="958"/>
        <v>0</v>
      </c>
      <c r="BF122" s="355">
        <f t="shared" si="959"/>
        <v>0</v>
      </c>
      <c r="BH122" s="368">
        <f t="shared" si="960"/>
        <v>0</v>
      </c>
      <c r="BJ122" s="369">
        <f t="shared" si="961"/>
        <v>-0.12</v>
      </c>
      <c r="BK122" s="355">
        <f t="shared" si="962"/>
        <v>0</v>
      </c>
      <c r="BL122" s="355">
        <f t="shared" si="963"/>
        <v>0</v>
      </c>
      <c r="BN122" s="366">
        <f t="shared" si="964"/>
        <v>0</v>
      </c>
      <c r="BO122" s="355">
        <f t="shared" si="965"/>
        <v>0</v>
      </c>
      <c r="BP122" s="355">
        <f t="shared" si="966"/>
        <v>0</v>
      </c>
      <c r="BQ122" s="355">
        <f t="shared" si="967"/>
        <v>0</v>
      </c>
      <c r="BS122" s="367">
        <f t="shared" si="968"/>
        <v>0</v>
      </c>
      <c r="BT122" s="355">
        <f t="shared" si="969"/>
        <v>0</v>
      </c>
      <c r="BU122" s="355" t="b">
        <f t="shared" si="1027"/>
        <v>1</v>
      </c>
      <c r="BW122" s="355" t="str">
        <f t="shared" si="971"/>
        <v/>
      </c>
      <c r="BX122" s="355">
        <f t="shared" si="972"/>
        <v>0</v>
      </c>
      <c r="BY122" s="356">
        <f t="shared" si="1013"/>
        <v>0</v>
      </c>
      <c r="BZ122" s="355">
        <f t="shared" si="974"/>
        <v>0</v>
      </c>
      <c r="CB122" s="102" t="str">
        <f t="shared" si="975"/>
        <v xml:space="preserve">  Relé auxiliar</v>
      </c>
      <c r="CD122" s="355" t="str">
        <f t="shared" si="976"/>
        <v>Não</v>
      </c>
      <c r="CE122" s="368">
        <f>ifzero(mlookup(tbl_ICMSinterest_data,UFdestino,tbl_ICMSinterest_ufdest,UForigem,tbl_ICMSinterest_uforig))</f>
        <v>0.12</v>
      </c>
      <c r="CF122" s="368">
        <f>IF(N122&gt;0,IF(I122&lt;&gt;"Serviço",ifzero(mlookup(tbl_ICMSinterno_data,UForigem,tbl_ICMSinterno_UF,O122,tbl_ICMSinterno_NCM),mlookup(tbl_ICMSinterest_data,UForigem,tbl_ICMSinterest_ufdest,UForigem,tbl_ICMSinterest_uforig)),""),0)</f>
        <v>0</v>
      </c>
      <c r="CG122" s="368">
        <f>IF(N122&gt;0,IF(I122&lt;&gt;"Serviço",ifzero(mlookup(tbl_ICMSinterno_data,UFdestino,tbl_ICMSinterno_UF,O122,tbl_ICMSinterno_NCM),mlookup(tbl_ICMSinterest_data,UFdestino,tbl_ICMSinterest_ufdest,UFdestino,tbl_ICMSinterest_uforig)),""),0)</f>
        <v>0</v>
      </c>
      <c r="CI122" s="355">
        <f t="shared" si="977"/>
        <v>0</v>
      </c>
      <c r="CJ122" s="355">
        <f t="shared" si="978"/>
        <v>0</v>
      </c>
      <c r="CK122" s="355">
        <f t="shared" si="979"/>
        <v>0</v>
      </c>
      <c r="CL122" s="355">
        <f t="shared" si="980"/>
        <v>0</v>
      </c>
      <c r="CN122" s="370">
        <f t="shared" si="981"/>
        <v>0</v>
      </c>
      <c r="CO122" s="355">
        <f t="shared" si="982"/>
        <v>0</v>
      </c>
      <c r="CQ122" s="355" t="b">
        <f t="shared" si="983"/>
        <v>0</v>
      </c>
      <c r="CR122" s="355" t="b">
        <f t="shared" si="984"/>
        <v>1</v>
      </c>
      <c r="CS122" s="355" t="b">
        <f t="shared" si="985"/>
        <v>0</v>
      </c>
      <c r="CU122" s="2">
        <f t="shared" si="986"/>
        <v>0</v>
      </c>
      <c r="CV122" s="102">
        <f t="shared" si="987"/>
        <v>0</v>
      </c>
      <c r="CW122" s="102">
        <f t="shared" si="1014"/>
        <v>0</v>
      </c>
      <c r="CX122" s="102">
        <f t="shared" si="989"/>
        <v>0</v>
      </c>
      <c r="CY122" s="290">
        <f t="shared" si="990"/>
        <v>0</v>
      </c>
      <c r="CZ122" s="102">
        <f t="shared" si="1016"/>
        <v>0</v>
      </c>
      <c r="DA122" s="290">
        <f t="shared" si="992"/>
        <v>0</v>
      </c>
      <c r="DB122" s="102">
        <f t="shared" si="1017"/>
        <v>0</v>
      </c>
      <c r="DC122" s="290">
        <f t="shared" si="994"/>
        <v>0</v>
      </c>
      <c r="DD122" s="102">
        <f t="shared" si="1015"/>
        <v>0</v>
      </c>
      <c r="DE122" s="592">
        <f>IF(D122="Sim",HLOOKUP($DH$5,Parametrização!$G$2:$H$4,2,FALSE),0)</f>
        <v>0</v>
      </c>
      <c r="DF122" s="102">
        <f t="shared" si="1018"/>
        <v>0</v>
      </c>
      <c r="DG122" s="592">
        <f>IF(D122="Sim",HLOOKUP($DH$5,Parametrização!$G$2:$H$4,3,FALSE),0)</f>
        <v>0</v>
      </c>
      <c r="DH122" s="102">
        <f t="shared" si="1019"/>
        <v>0</v>
      </c>
      <c r="DI122" s="102">
        <f t="shared" si="1020"/>
        <v>0</v>
      </c>
      <c r="DK122" s="3" t="str">
        <f t="shared" si="999"/>
        <v>NA</v>
      </c>
      <c r="DL122" s="2" t="str">
        <f t="shared" si="1000"/>
        <v>NA</v>
      </c>
      <c r="DM122" s="3" t="str">
        <f t="shared" si="1001"/>
        <v>NA</v>
      </c>
      <c r="DN122" s="9" t="str">
        <f t="shared" si="1002"/>
        <v>NA</v>
      </c>
      <c r="DO122" s="637" t="str">
        <f t="shared" si="1003"/>
        <v>NA</v>
      </c>
      <c r="DP122" s="637"/>
      <c r="DQ122" s="3" t="str">
        <f t="shared" si="1004"/>
        <v>NA</v>
      </c>
      <c r="DR122" s="2" t="str">
        <f t="shared" si="1005"/>
        <v>NA</v>
      </c>
      <c r="DS122" s="3" t="str">
        <f t="shared" si="1006"/>
        <v>NA</v>
      </c>
      <c r="DT122" s="9" t="str">
        <f t="shared" si="1021"/>
        <v>NA</v>
      </c>
      <c r="DU122" s="637" t="str">
        <f t="shared" si="1022"/>
        <v>NA</v>
      </c>
      <c r="DV122" s="637"/>
      <c r="DW122" s="682"/>
      <c r="DX122" s="682"/>
      <c r="DY122" s="682"/>
      <c r="DZ122" s="637"/>
      <c r="EA122" s="643"/>
    </row>
    <row r="123" spans="1:131" s="355" customFormat="1" ht="20.100000000000001" customHeight="1" outlineLevel="1" x14ac:dyDescent="0.25">
      <c r="A123" s="356"/>
      <c r="B123" s="355" t="s">
        <v>268</v>
      </c>
      <c r="C123" s="355" t="str">
        <f t="shared" si="1009"/>
        <v>Consumo</v>
      </c>
      <c r="D123" s="355" t="s">
        <v>53</v>
      </c>
      <c r="E123" s="18" t="s">
        <v>38</v>
      </c>
      <c r="F123" s="355" t="s">
        <v>53</v>
      </c>
      <c r="G123" s="357" t="str">
        <f t="shared" si="1010"/>
        <v>Geral</v>
      </c>
      <c r="H123" s="255" t="s">
        <v>377</v>
      </c>
      <c r="I123" s="356" t="str">
        <f t="shared" si="927"/>
        <v>Sistema</v>
      </c>
      <c r="K123" s="318" t="s">
        <v>2876</v>
      </c>
      <c r="L123" s="749" t="str">
        <f>IF(Padrões!JF64&lt;&gt;"",Padrões!JF64,"")</f>
        <v>Arteche BJ-8</v>
      </c>
      <c r="M123" s="358" t="str">
        <f t="shared" si="928"/>
        <v>Relé biestável, 8 contatos reversíveis, com base (JN-DE), 125VCC. Fabricante: Arteche.</v>
      </c>
      <c r="N123" s="359">
        <f>Padrões!JI64</f>
        <v>0</v>
      </c>
      <c r="O123" s="381" t="str">
        <f t="shared" si="929"/>
        <v>?</v>
      </c>
      <c r="P123" s="360">
        <f t="shared" si="930"/>
        <v>0.12</v>
      </c>
      <c r="Q123" s="360" t="str">
        <f t="shared" si="931"/>
        <v>?</v>
      </c>
      <c r="R123" s="360">
        <f t="shared" si="932"/>
        <v>0</v>
      </c>
      <c r="S123" s="361">
        <f t="shared" si="933"/>
        <v>0</v>
      </c>
      <c r="T123" s="362">
        <f t="shared" si="934"/>
        <v>0</v>
      </c>
      <c r="U123" s="53" t="str" cm="1">
        <f t="array" ref="U123">IFERROR(IF(I123&lt;&gt;"Serviço",IF(AND(mlookup(tbl_DIFAL_data,UFdestino,tbl_DIFAL_UF,O123,tbl_DIFAL_NCM)&lt;&gt;"",C123="Consumo"),"Sim",""),""),"?")</f>
        <v>?</v>
      </c>
      <c r="V123" s="363" t="str">
        <f>IFERROR(IF(I123&lt;&gt;"Serviço",IF(AND(D123="Não",mlookup(tbl_ST_data,UFdestino,tbl_ST_UF,O123,tbl_ST_NCM)&lt;&gt;"",C123="Revenda",CD123="Não"),"Sim",""),""),"?")</f>
        <v>?</v>
      </c>
      <c r="W123" s="364">
        <f t="shared" si="935"/>
        <v>0</v>
      </c>
      <c r="X123" s="365">
        <f>IF(V123="Sim",mlookup(tbl_ST_data,UFdestino,tbl_ST_UF,O123,tbl_ST_NCM),0)</f>
        <v>0</v>
      </c>
      <c r="Z123" s="355">
        <f t="shared" si="936"/>
        <v>0</v>
      </c>
      <c r="AA123" s="355">
        <f t="shared" si="1023"/>
        <v>0</v>
      </c>
      <c r="AC123" s="366">
        <f t="shared" si="1011"/>
        <v>1.31243473968765E-2</v>
      </c>
      <c r="AD123" s="366">
        <f t="shared" si="939"/>
        <v>0.15</v>
      </c>
      <c r="AF123" s="355">
        <f t="shared" si="940"/>
        <v>0</v>
      </c>
      <c r="AG123" s="355">
        <f t="shared" si="941"/>
        <v>0</v>
      </c>
      <c r="AI123" s="355">
        <f t="shared" si="942"/>
        <v>0</v>
      </c>
      <c r="AK123" s="366">
        <f t="shared" si="1012"/>
        <v>0</v>
      </c>
      <c r="AL123" s="355">
        <f t="shared" si="1024"/>
        <v>0</v>
      </c>
      <c r="AM123" s="355">
        <f t="shared" si="1025"/>
        <v>0</v>
      </c>
      <c r="AO123" s="355" t="b">
        <f t="shared" si="946"/>
        <v>1</v>
      </c>
      <c r="AQ123" s="367">
        <f t="shared" si="947"/>
        <v>0</v>
      </c>
      <c r="AR123" s="367">
        <f t="shared" si="1026"/>
        <v>0</v>
      </c>
      <c r="AT123" s="367">
        <f t="shared" si="949"/>
        <v>0</v>
      </c>
      <c r="AU123" s="367">
        <f t="shared" si="950"/>
        <v>0</v>
      </c>
      <c r="AW123" s="367">
        <f t="shared" si="951"/>
        <v>0</v>
      </c>
      <c r="AX123" s="367">
        <f t="shared" si="952"/>
        <v>0</v>
      </c>
      <c r="AY123" s="367">
        <f t="shared" si="953"/>
        <v>0</v>
      </c>
      <c r="AZ123" s="367">
        <f t="shared" si="954"/>
        <v>0</v>
      </c>
      <c r="BB123" s="355">
        <f t="shared" si="955"/>
        <v>0</v>
      </c>
      <c r="BC123" s="355">
        <f t="shared" si="956"/>
        <v>0</v>
      </c>
      <c r="BD123" s="355">
        <f t="shared" si="957"/>
        <v>0</v>
      </c>
      <c r="BE123" s="355">
        <f t="shared" si="958"/>
        <v>0</v>
      </c>
      <c r="BF123" s="355">
        <f t="shared" si="959"/>
        <v>0</v>
      </c>
      <c r="BH123" s="368">
        <f t="shared" si="960"/>
        <v>0</v>
      </c>
      <c r="BJ123" s="369">
        <f t="shared" si="961"/>
        <v>-0.12</v>
      </c>
      <c r="BK123" s="355">
        <f t="shared" si="962"/>
        <v>0</v>
      </c>
      <c r="BL123" s="355">
        <f t="shared" si="963"/>
        <v>0</v>
      </c>
      <c r="BN123" s="366">
        <f t="shared" si="964"/>
        <v>0</v>
      </c>
      <c r="BO123" s="355">
        <f t="shared" si="965"/>
        <v>0</v>
      </c>
      <c r="BP123" s="355">
        <f t="shared" si="966"/>
        <v>0</v>
      </c>
      <c r="BQ123" s="355">
        <f t="shared" si="967"/>
        <v>0</v>
      </c>
      <c r="BS123" s="367">
        <f t="shared" si="968"/>
        <v>0</v>
      </c>
      <c r="BT123" s="355">
        <f t="shared" si="969"/>
        <v>0</v>
      </c>
      <c r="BU123" s="355" t="b">
        <f t="shared" si="1027"/>
        <v>1</v>
      </c>
      <c r="BW123" s="355" t="str">
        <f t="shared" si="971"/>
        <v/>
      </c>
      <c r="BX123" s="355">
        <f t="shared" si="972"/>
        <v>0</v>
      </c>
      <c r="BY123" s="356">
        <f t="shared" si="1013"/>
        <v>0</v>
      </c>
      <c r="BZ123" s="355">
        <f t="shared" si="974"/>
        <v>0</v>
      </c>
      <c r="CB123" s="102" t="str">
        <f t="shared" si="975"/>
        <v xml:space="preserve">  Relé auxiliar</v>
      </c>
      <c r="CD123" s="355" t="str">
        <f t="shared" si="976"/>
        <v>Não</v>
      </c>
      <c r="CE123" s="368">
        <f>ifzero(mlookup(tbl_ICMSinterest_data,UFdestino,tbl_ICMSinterest_ufdest,UForigem,tbl_ICMSinterest_uforig))</f>
        <v>0.12</v>
      </c>
      <c r="CF123" s="368">
        <f>IF(N123&gt;0,IF(I123&lt;&gt;"Serviço",ifzero(mlookup(tbl_ICMSinterno_data,UForigem,tbl_ICMSinterno_UF,O123,tbl_ICMSinterno_NCM),mlookup(tbl_ICMSinterest_data,UForigem,tbl_ICMSinterest_ufdest,UForigem,tbl_ICMSinterest_uforig)),""),0)</f>
        <v>0</v>
      </c>
      <c r="CG123" s="368">
        <f>IF(N123&gt;0,IF(I123&lt;&gt;"Serviço",ifzero(mlookup(tbl_ICMSinterno_data,UFdestino,tbl_ICMSinterno_UF,O123,tbl_ICMSinterno_NCM),mlookup(tbl_ICMSinterest_data,UFdestino,tbl_ICMSinterest_ufdest,UFdestino,tbl_ICMSinterest_uforig)),""),0)</f>
        <v>0</v>
      </c>
      <c r="CI123" s="355">
        <f t="shared" si="977"/>
        <v>0</v>
      </c>
      <c r="CJ123" s="355">
        <f t="shared" si="978"/>
        <v>0</v>
      </c>
      <c r="CK123" s="355">
        <f t="shared" si="979"/>
        <v>0</v>
      </c>
      <c r="CL123" s="355">
        <f t="shared" si="980"/>
        <v>0</v>
      </c>
      <c r="CN123" s="370">
        <f t="shared" si="981"/>
        <v>0</v>
      </c>
      <c r="CO123" s="355">
        <f t="shared" si="982"/>
        <v>0</v>
      </c>
      <c r="CQ123" s="355" t="b">
        <f t="shared" si="983"/>
        <v>0</v>
      </c>
      <c r="CR123" s="355" t="b">
        <f t="shared" si="984"/>
        <v>1</v>
      </c>
      <c r="CS123" s="355" t="b">
        <f t="shared" si="985"/>
        <v>0</v>
      </c>
      <c r="CU123" s="2">
        <f t="shared" si="986"/>
        <v>0</v>
      </c>
      <c r="CV123" s="102">
        <f t="shared" si="987"/>
        <v>0</v>
      </c>
      <c r="CW123" s="102">
        <f t="shared" si="1014"/>
        <v>0</v>
      </c>
      <c r="CX123" s="102">
        <f t="shared" si="989"/>
        <v>0</v>
      </c>
      <c r="CY123" s="290">
        <f t="shared" si="990"/>
        <v>0</v>
      </c>
      <c r="CZ123" s="102">
        <f t="shared" si="1016"/>
        <v>0</v>
      </c>
      <c r="DA123" s="290">
        <f t="shared" si="992"/>
        <v>0</v>
      </c>
      <c r="DB123" s="102">
        <f t="shared" si="1017"/>
        <v>0</v>
      </c>
      <c r="DC123" s="290">
        <f t="shared" si="994"/>
        <v>0</v>
      </c>
      <c r="DD123" s="102">
        <f t="shared" si="1015"/>
        <v>0</v>
      </c>
      <c r="DE123" s="592">
        <f>IF(D123="Sim",HLOOKUP($DH$5,Parametrização!$G$2:$H$4,2,FALSE),0)</f>
        <v>0</v>
      </c>
      <c r="DF123" s="102">
        <f t="shared" si="1018"/>
        <v>0</v>
      </c>
      <c r="DG123" s="592">
        <f>IF(D123="Sim",HLOOKUP($DH$5,Parametrização!$G$2:$H$4,3,FALSE),0)</f>
        <v>0</v>
      </c>
      <c r="DH123" s="102">
        <f t="shared" si="1019"/>
        <v>0</v>
      </c>
      <c r="DI123" s="102">
        <f t="shared" si="1020"/>
        <v>0</v>
      </c>
      <c r="DK123" s="3" t="str">
        <f t="shared" si="999"/>
        <v>NA</v>
      </c>
      <c r="DL123" s="2" t="str">
        <f t="shared" si="1000"/>
        <v>NA</v>
      </c>
      <c r="DM123" s="3" t="str">
        <f t="shared" si="1001"/>
        <v>NA</v>
      </c>
      <c r="DN123" s="9" t="str">
        <f t="shared" si="1002"/>
        <v>NA</v>
      </c>
      <c r="DO123" s="637" t="str">
        <f t="shared" si="1003"/>
        <v>NA</v>
      </c>
      <c r="DP123" s="637"/>
      <c r="DQ123" s="3" t="str">
        <f t="shared" si="1004"/>
        <v>NA</v>
      </c>
      <c r="DR123" s="2" t="str">
        <f t="shared" si="1005"/>
        <v>NA</v>
      </c>
      <c r="DS123" s="3" t="str">
        <f t="shared" si="1006"/>
        <v>NA</v>
      </c>
      <c r="DT123" s="9" t="str">
        <f t="shared" si="1021"/>
        <v>NA</v>
      </c>
      <c r="DU123" s="637" t="str">
        <f t="shared" si="1022"/>
        <v>NA</v>
      </c>
      <c r="DV123" s="637"/>
      <c r="DW123" s="682"/>
      <c r="DX123" s="682"/>
      <c r="DY123" s="682"/>
      <c r="DZ123" s="637"/>
      <c r="EA123" s="643"/>
    </row>
    <row r="124" spans="1:131" s="355" customFormat="1" ht="20.100000000000001" customHeight="1" outlineLevel="1" x14ac:dyDescent="0.25">
      <c r="A124" s="356"/>
      <c r="B124" s="355" t="s">
        <v>268</v>
      </c>
      <c r="C124" s="355" t="str">
        <f t="shared" si="1009"/>
        <v>Consumo</v>
      </c>
      <c r="D124" s="355" t="s">
        <v>53</v>
      </c>
      <c r="E124" s="18" t="s">
        <v>38</v>
      </c>
      <c r="F124" s="355" t="s">
        <v>53</v>
      </c>
      <c r="G124" s="357" t="str">
        <f t="shared" si="1010"/>
        <v>Geral</v>
      </c>
      <c r="H124" s="255" t="s">
        <v>377</v>
      </c>
      <c r="I124" s="356" t="str">
        <f t="shared" si="927"/>
        <v>Sistema</v>
      </c>
      <c r="K124" s="318" t="s">
        <v>2877</v>
      </c>
      <c r="L124" s="749" t="str">
        <f>IF(Padrões!JF65&lt;&gt;"",Padrões!JF65,"")</f>
        <v>Arteche RJ-8XR</v>
      </c>
      <c r="M124" s="358" t="str">
        <f t="shared" si="928"/>
        <v>Relé auxiliar extra-rápido (&lt; 6.5 ms), 8 contatos reversíveis, com base (JN-DE), 125VCC. Fabricante: Arteche.</v>
      </c>
      <c r="N124" s="359">
        <f>Padrões!JI65</f>
        <v>0</v>
      </c>
      <c r="O124" s="381" t="str">
        <f t="shared" si="929"/>
        <v>?</v>
      </c>
      <c r="P124" s="360">
        <f t="shared" si="930"/>
        <v>0.12</v>
      </c>
      <c r="Q124" s="360" t="str">
        <f t="shared" si="931"/>
        <v>?</v>
      </c>
      <c r="R124" s="360">
        <f t="shared" si="932"/>
        <v>0</v>
      </c>
      <c r="S124" s="361">
        <f t="shared" si="933"/>
        <v>0</v>
      </c>
      <c r="T124" s="362">
        <f t="shared" si="934"/>
        <v>0</v>
      </c>
      <c r="U124" s="53" t="str" cm="1">
        <f t="array" ref="U124">IFERROR(IF(I124&lt;&gt;"Serviço",IF(AND(mlookup(tbl_DIFAL_data,UFdestino,tbl_DIFAL_UF,O124,tbl_DIFAL_NCM)&lt;&gt;"",C124="Consumo"),"Sim",""),""),"?")</f>
        <v>?</v>
      </c>
      <c r="V124" s="363" t="str">
        <f>IFERROR(IF(I124&lt;&gt;"Serviço",IF(AND(D124="Não",mlookup(tbl_ST_data,UFdestino,tbl_ST_UF,O124,tbl_ST_NCM)&lt;&gt;"",C124="Revenda",CD124="Não"),"Sim",""),""),"?")</f>
        <v>?</v>
      </c>
      <c r="W124" s="364">
        <f t="shared" si="935"/>
        <v>0</v>
      </c>
      <c r="X124" s="365">
        <f>IF(V124="Sim",mlookup(tbl_ST_data,UFdestino,tbl_ST_UF,O124,tbl_ST_NCM),0)</f>
        <v>0</v>
      </c>
      <c r="Z124" s="355">
        <f t="shared" si="936"/>
        <v>0</v>
      </c>
      <c r="AA124" s="355">
        <f t="shared" si="1023"/>
        <v>0</v>
      </c>
      <c r="AC124" s="366">
        <f t="shared" si="1011"/>
        <v>1.31243473968765E-2</v>
      </c>
      <c r="AD124" s="366">
        <f t="shared" si="939"/>
        <v>0.15</v>
      </c>
      <c r="AF124" s="355">
        <f t="shared" si="940"/>
        <v>0</v>
      </c>
      <c r="AG124" s="355">
        <f t="shared" si="941"/>
        <v>0</v>
      </c>
      <c r="AI124" s="355">
        <f t="shared" si="942"/>
        <v>0</v>
      </c>
      <c r="AK124" s="366">
        <f t="shared" si="1012"/>
        <v>0</v>
      </c>
      <c r="AL124" s="355">
        <f t="shared" si="1024"/>
        <v>0</v>
      </c>
      <c r="AM124" s="355">
        <f t="shared" si="1025"/>
        <v>0</v>
      </c>
      <c r="AO124" s="355" t="b">
        <f t="shared" si="946"/>
        <v>1</v>
      </c>
      <c r="AQ124" s="367">
        <f t="shared" si="947"/>
        <v>0</v>
      </c>
      <c r="AR124" s="367">
        <f t="shared" si="1026"/>
        <v>0</v>
      </c>
      <c r="AT124" s="367">
        <f t="shared" si="949"/>
        <v>0</v>
      </c>
      <c r="AU124" s="367">
        <f t="shared" si="950"/>
        <v>0</v>
      </c>
      <c r="AW124" s="367">
        <f t="shared" si="951"/>
        <v>0</v>
      </c>
      <c r="AX124" s="367">
        <f t="shared" si="952"/>
        <v>0</v>
      </c>
      <c r="AY124" s="367">
        <f t="shared" si="953"/>
        <v>0</v>
      </c>
      <c r="AZ124" s="367">
        <f t="shared" si="954"/>
        <v>0</v>
      </c>
      <c r="BB124" s="355">
        <f t="shared" si="955"/>
        <v>0</v>
      </c>
      <c r="BC124" s="355">
        <f t="shared" si="956"/>
        <v>0</v>
      </c>
      <c r="BD124" s="355">
        <f t="shared" si="957"/>
        <v>0</v>
      </c>
      <c r="BE124" s="355">
        <f t="shared" si="958"/>
        <v>0</v>
      </c>
      <c r="BF124" s="355">
        <f t="shared" si="959"/>
        <v>0</v>
      </c>
      <c r="BH124" s="368">
        <f t="shared" si="960"/>
        <v>0</v>
      </c>
      <c r="BJ124" s="369">
        <f t="shared" si="961"/>
        <v>-0.12</v>
      </c>
      <c r="BK124" s="355">
        <f t="shared" si="962"/>
        <v>0</v>
      </c>
      <c r="BL124" s="355">
        <f t="shared" si="963"/>
        <v>0</v>
      </c>
      <c r="BN124" s="366">
        <f t="shared" si="964"/>
        <v>0</v>
      </c>
      <c r="BO124" s="355">
        <f t="shared" si="965"/>
        <v>0</v>
      </c>
      <c r="BP124" s="355">
        <f t="shared" si="966"/>
        <v>0</v>
      </c>
      <c r="BQ124" s="355">
        <f t="shared" si="967"/>
        <v>0</v>
      </c>
      <c r="BS124" s="367">
        <f t="shared" si="968"/>
        <v>0</v>
      </c>
      <c r="BT124" s="355">
        <f t="shared" si="969"/>
        <v>0</v>
      </c>
      <c r="BU124" s="355" t="b">
        <f t="shared" si="1027"/>
        <v>1</v>
      </c>
      <c r="BW124" s="355" t="str">
        <f t="shared" si="971"/>
        <v/>
      </c>
      <c r="BX124" s="355">
        <f t="shared" si="972"/>
        <v>0</v>
      </c>
      <c r="BY124" s="356">
        <f t="shared" si="1013"/>
        <v>0</v>
      </c>
      <c r="BZ124" s="355">
        <f t="shared" si="974"/>
        <v>0</v>
      </c>
      <c r="CB124" s="102" t="str">
        <f t="shared" si="975"/>
        <v xml:space="preserve">  Relé auxiliar</v>
      </c>
      <c r="CD124" s="355" t="str">
        <f t="shared" si="976"/>
        <v>Não</v>
      </c>
      <c r="CE124" s="368">
        <f>ifzero(mlookup(tbl_ICMSinterest_data,UFdestino,tbl_ICMSinterest_ufdest,UForigem,tbl_ICMSinterest_uforig))</f>
        <v>0.12</v>
      </c>
      <c r="CF124" s="368">
        <f>IF(N124&gt;0,IF(I124&lt;&gt;"Serviço",ifzero(mlookup(tbl_ICMSinterno_data,UForigem,tbl_ICMSinterno_UF,O124,tbl_ICMSinterno_NCM),mlookup(tbl_ICMSinterest_data,UForigem,tbl_ICMSinterest_ufdest,UForigem,tbl_ICMSinterest_uforig)),""),0)</f>
        <v>0</v>
      </c>
      <c r="CG124" s="368">
        <f>IF(N124&gt;0,IF(I124&lt;&gt;"Serviço",ifzero(mlookup(tbl_ICMSinterno_data,UFdestino,tbl_ICMSinterno_UF,O124,tbl_ICMSinterno_NCM),mlookup(tbl_ICMSinterest_data,UFdestino,tbl_ICMSinterest_ufdest,UFdestino,tbl_ICMSinterest_uforig)),""),0)</f>
        <v>0</v>
      </c>
      <c r="CI124" s="355">
        <f t="shared" si="977"/>
        <v>0</v>
      </c>
      <c r="CJ124" s="355">
        <f t="shared" si="978"/>
        <v>0</v>
      </c>
      <c r="CK124" s="355">
        <f t="shared" si="979"/>
        <v>0</v>
      </c>
      <c r="CL124" s="355">
        <f t="shared" si="980"/>
        <v>0</v>
      </c>
      <c r="CN124" s="370">
        <f t="shared" si="981"/>
        <v>0</v>
      </c>
      <c r="CO124" s="355">
        <f t="shared" si="982"/>
        <v>0</v>
      </c>
      <c r="CQ124" s="355" t="b">
        <f t="shared" si="983"/>
        <v>0</v>
      </c>
      <c r="CR124" s="355" t="b">
        <f t="shared" si="984"/>
        <v>1</v>
      </c>
      <c r="CS124" s="355" t="b">
        <f t="shared" si="985"/>
        <v>0</v>
      </c>
      <c r="CU124" s="2">
        <f t="shared" si="986"/>
        <v>0</v>
      </c>
      <c r="CV124" s="102">
        <f t="shared" si="987"/>
        <v>0</v>
      </c>
      <c r="CW124" s="102">
        <f t="shared" si="1014"/>
        <v>0</v>
      </c>
      <c r="CX124" s="102">
        <f t="shared" si="989"/>
        <v>0</v>
      </c>
      <c r="CY124" s="290">
        <f t="shared" si="990"/>
        <v>0</v>
      </c>
      <c r="CZ124" s="102">
        <f t="shared" si="1016"/>
        <v>0</v>
      </c>
      <c r="DA124" s="290">
        <f t="shared" si="992"/>
        <v>0</v>
      </c>
      <c r="DB124" s="102">
        <f t="shared" si="1017"/>
        <v>0</v>
      </c>
      <c r="DC124" s="290">
        <f t="shared" si="994"/>
        <v>0</v>
      </c>
      <c r="DD124" s="102">
        <f t="shared" si="1015"/>
        <v>0</v>
      </c>
      <c r="DE124" s="592">
        <f>IF(D124="Sim",HLOOKUP($DH$5,Parametrização!$G$2:$H$4,2,FALSE),0)</f>
        <v>0</v>
      </c>
      <c r="DF124" s="102">
        <f t="shared" si="1018"/>
        <v>0</v>
      </c>
      <c r="DG124" s="592">
        <f>IF(D124="Sim",HLOOKUP($DH$5,Parametrização!$G$2:$H$4,3,FALSE),0)</f>
        <v>0</v>
      </c>
      <c r="DH124" s="102">
        <f t="shared" si="1019"/>
        <v>0</v>
      </c>
      <c r="DI124" s="102">
        <f t="shared" si="1020"/>
        <v>0</v>
      </c>
      <c r="DK124" s="3" t="str">
        <f t="shared" si="999"/>
        <v>NA</v>
      </c>
      <c r="DL124" s="2" t="str">
        <f t="shared" si="1000"/>
        <v>NA</v>
      </c>
      <c r="DM124" s="3" t="str">
        <f t="shared" si="1001"/>
        <v>NA</v>
      </c>
      <c r="DN124" s="9" t="str">
        <f t="shared" si="1002"/>
        <v>NA</v>
      </c>
      <c r="DO124" s="637" t="str">
        <f t="shared" si="1003"/>
        <v>NA</v>
      </c>
      <c r="DP124" s="637"/>
      <c r="DQ124" s="3" t="str">
        <f t="shared" si="1004"/>
        <v>NA</v>
      </c>
      <c r="DR124" s="2" t="str">
        <f t="shared" si="1005"/>
        <v>NA</v>
      </c>
      <c r="DS124" s="3" t="str">
        <f t="shared" si="1006"/>
        <v>NA</v>
      </c>
      <c r="DT124" s="9" t="str">
        <f t="shared" si="1021"/>
        <v>NA</v>
      </c>
      <c r="DU124" s="637" t="str">
        <f t="shared" si="1022"/>
        <v>NA</v>
      </c>
      <c r="DV124" s="637"/>
      <c r="DW124" s="682"/>
      <c r="DX124" s="682"/>
      <c r="DY124" s="682"/>
      <c r="DZ124" s="637"/>
      <c r="EA124" s="643"/>
    </row>
    <row r="125" spans="1:131" s="355" customFormat="1" ht="20.100000000000001" customHeight="1" outlineLevel="1" x14ac:dyDescent="0.25">
      <c r="A125" s="356"/>
      <c r="B125" s="355" t="s">
        <v>268</v>
      </c>
      <c r="C125" s="355" t="str">
        <f t="shared" si="1009"/>
        <v>Consumo</v>
      </c>
      <c r="D125" s="355" t="s">
        <v>53</v>
      </c>
      <c r="E125" s="18" t="s">
        <v>38</v>
      </c>
      <c r="F125" s="355" t="s">
        <v>53</v>
      </c>
      <c r="G125" s="357" t="str">
        <f t="shared" si="1010"/>
        <v>Geral</v>
      </c>
      <c r="H125" s="255" t="s">
        <v>377</v>
      </c>
      <c r="I125" s="356" t="str">
        <f t="shared" si="927"/>
        <v>Sistema</v>
      </c>
      <c r="K125" s="318" t="s">
        <v>2878</v>
      </c>
      <c r="L125" s="749" t="str">
        <f>IF(Padrões!JF66&lt;&gt;"",Padrões!JF66,"")</f>
        <v>Arteche RF-4R</v>
      </c>
      <c r="M125" s="358" t="str">
        <f t="shared" si="928"/>
        <v>Relé auxiliar rápido (&lt; 8 ms), 4 contatos reversíveis, com base (FN-DE), 125VCC. Fabricante: Arteche.</v>
      </c>
      <c r="N125" s="359">
        <f>Padrões!JI66</f>
        <v>0</v>
      </c>
      <c r="O125" s="381" t="str">
        <f t="shared" si="929"/>
        <v>?</v>
      </c>
      <c r="P125" s="360">
        <f t="shared" si="930"/>
        <v>0.12</v>
      </c>
      <c r="Q125" s="360" t="str">
        <f t="shared" si="931"/>
        <v>?</v>
      </c>
      <c r="R125" s="360">
        <f t="shared" si="932"/>
        <v>0</v>
      </c>
      <c r="S125" s="361">
        <f t="shared" si="933"/>
        <v>0</v>
      </c>
      <c r="T125" s="362">
        <f t="shared" si="934"/>
        <v>0</v>
      </c>
      <c r="U125" s="53" t="str" cm="1">
        <f t="array" ref="U125">IFERROR(IF(I125&lt;&gt;"Serviço",IF(AND(mlookup(tbl_DIFAL_data,UFdestino,tbl_DIFAL_UF,O125,tbl_DIFAL_NCM)&lt;&gt;"",C125="Consumo"),"Sim",""),""),"?")</f>
        <v>?</v>
      </c>
      <c r="V125" s="363" t="str">
        <f>IFERROR(IF(I125&lt;&gt;"Serviço",IF(AND(D125="Não",mlookup(tbl_ST_data,UFdestino,tbl_ST_UF,O125,tbl_ST_NCM)&lt;&gt;"",C125="Revenda",CD125="Não"),"Sim",""),""),"?")</f>
        <v>?</v>
      </c>
      <c r="W125" s="364">
        <f t="shared" si="935"/>
        <v>0</v>
      </c>
      <c r="X125" s="365">
        <f>IF(V125="Sim",mlookup(tbl_ST_data,UFdestino,tbl_ST_UF,O125,tbl_ST_NCM),0)</f>
        <v>0</v>
      </c>
      <c r="Z125" s="355">
        <f t="shared" si="936"/>
        <v>0</v>
      </c>
      <c r="AA125" s="355">
        <f t="shared" si="1023"/>
        <v>0</v>
      </c>
      <c r="AC125" s="366">
        <f t="shared" si="1011"/>
        <v>1.31243473968765E-2</v>
      </c>
      <c r="AD125" s="366">
        <f t="shared" si="939"/>
        <v>0.15</v>
      </c>
      <c r="AF125" s="355">
        <f t="shared" si="940"/>
        <v>0</v>
      </c>
      <c r="AG125" s="355">
        <f t="shared" si="941"/>
        <v>0</v>
      </c>
      <c r="AI125" s="355">
        <f t="shared" si="942"/>
        <v>0</v>
      </c>
      <c r="AK125" s="366">
        <f t="shared" si="1012"/>
        <v>0</v>
      </c>
      <c r="AL125" s="355">
        <f t="shared" si="1024"/>
        <v>0</v>
      </c>
      <c r="AM125" s="355">
        <f t="shared" si="1025"/>
        <v>0</v>
      </c>
      <c r="AO125" s="355" t="b">
        <f t="shared" si="946"/>
        <v>1</v>
      </c>
      <c r="AQ125" s="367">
        <f t="shared" si="947"/>
        <v>0</v>
      </c>
      <c r="AR125" s="367">
        <f t="shared" si="1026"/>
        <v>0</v>
      </c>
      <c r="AT125" s="367">
        <f t="shared" si="949"/>
        <v>0</v>
      </c>
      <c r="AU125" s="367">
        <f t="shared" si="950"/>
        <v>0</v>
      </c>
      <c r="AW125" s="367">
        <f t="shared" si="951"/>
        <v>0</v>
      </c>
      <c r="AX125" s="367">
        <f t="shared" si="952"/>
        <v>0</v>
      </c>
      <c r="AY125" s="367">
        <f t="shared" si="953"/>
        <v>0</v>
      </c>
      <c r="AZ125" s="367">
        <f t="shared" si="954"/>
        <v>0</v>
      </c>
      <c r="BB125" s="355">
        <f t="shared" si="955"/>
        <v>0</v>
      </c>
      <c r="BC125" s="355">
        <f t="shared" si="956"/>
        <v>0</v>
      </c>
      <c r="BD125" s="355">
        <f t="shared" si="957"/>
        <v>0</v>
      </c>
      <c r="BE125" s="355">
        <f t="shared" si="958"/>
        <v>0</v>
      </c>
      <c r="BF125" s="355">
        <f t="shared" si="959"/>
        <v>0</v>
      </c>
      <c r="BH125" s="368">
        <f t="shared" si="960"/>
        <v>0</v>
      </c>
      <c r="BJ125" s="369">
        <f t="shared" si="961"/>
        <v>-0.12</v>
      </c>
      <c r="BK125" s="355">
        <f t="shared" si="962"/>
        <v>0</v>
      </c>
      <c r="BL125" s="355">
        <f t="shared" si="963"/>
        <v>0</v>
      </c>
      <c r="BN125" s="366">
        <f t="shared" si="964"/>
        <v>0</v>
      </c>
      <c r="BO125" s="355">
        <f t="shared" si="965"/>
        <v>0</v>
      </c>
      <c r="BP125" s="355">
        <f t="shared" si="966"/>
        <v>0</v>
      </c>
      <c r="BQ125" s="355">
        <f t="shared" si="967"/>
        <v>0</v>
      </c>
      <c r="BS125" s="367">
        <f t="shared" si="968"/>
        <v>0</v>
      </c>
      <c r="BT125" s="355">
        <f t="shared" si="969"/>
        <v>0</v>
      </c>
      <c r="BU125" s="355" t="b">
        <f t="shared" si="1027"/>
        <v>1</v>
      </c>
      <c r="BW125" s="355" t="str">
        <f t="shared" si="971"/>
        <v/>
      </c>
      <c r="BX125" s="355">
        <f t="shared" si="972"/>
        <v>0</v>
      </c>
      <c r="BY125" s="356">
        <f t="shared" si="1013"/>
        <v>0</v>
      </c>
      <c r="BZ125" s="355">
        <f t="shared" si="974"/>
        <v>0</v>
      </c>
      <c r="CB125" s="102" t="str">
        <f t="shared" si="975"/>
        <v xml:space="preserve">  Relé auxiliar</v>
      </c>
      <c r="CD125" s="355" t="str">
        <f t="shared" si="976"/>
        <v>Não</v>
      </c>
      <c r="CE125" s="368">
        <f>ifzero(mlookup(tbl_ICMSinterest_data,UFdestino,tbl_ICMSinterest_ufdest,UForigem,tbl_ICMSinterest_uforig))</f>
        <v>0.12</v>
      </c>
      <c r="CF125" s="368">
        <f>IF(N125&gt;0,IF(I125&lt;&gt;"Serviço",ifzero(mlookup(tbl_ICMSinterno_data,UForigem,tbl_ICMSinterno_UF,O125,tbl_ICMSinterno_NCM),mlookup(tbl_ICMSinterest_data,UForigem,tbl_ICMSinterest_ufdest,UForigem,tbl_ICMSinterest_uforig)),""),0)</f>
        <v>0</v>
      </c>
      <c r="CG125" s="368">
        <f>IF(N125&gt;0,IF(I125&lt;&gt;"Serviço",ifzero(mlookup(tbl_ICMSinterno_data,UFdestino,tbl_ICMSinterno_UF,O125,tbl_ICMSinterno_NCM),mlookup(tbl_ICMSinterest_data,UFdestino,tbl_ICMSinterest_ufdest,UFdestino,tbl_ICMSinterest_uforig)),""),0)</f>
        <v>0</v>
      </c>
      <c r="CI125" s="355">
        <f t="shared" si="977"/>
        <v>0</v>
      </c>
      <c r="CJ125" s="355">
        <f t="shared" si="978"/>
        <v>0</v>
      </c>
      <c r="CK125" s="355">
        <f t="shared" si="979"/>
        <v>0</v>
      </c>
      <c r="CL125" s="355">
        <f t="shared" si="980"/>
        <v>0</v>
      </c>
      <c r="CN125" s="370">
        <f t="shared" si="981"/>
        <v>0</v>
      </c>
      <c r="CO125" s="355">
        <f t="shared" si="982"/>
        <v>0</v>
      </c>
      <c r="CQ125" s="355" t="b">
        <f t="shared" si="983"/>
        <v>0</v>
      </c>
      <c r="CR125" s="355" t="b">
        <f t="shared" si="984"/>
        <v>1</v>
      </c>
      <c r="CS125" s="355" t="b">
        <f t="shared" si="985"/>
        <v>0</v>
      </c>
      <c r="CU125" s="2">
        <f t="shared" si="986"/>
        <v>0</v>
      </c>
      <c r="CV125" s="102">
        <f t="shared" si="987"/>
        <v>0</v>
      </c>
      <c r="CW125" s="102">
        <f t="shared" si="1014"/>
        <v>0</v>
      </c>
      <c r="CX125" s="102">
        <f t="shared" si="989"/>
        <v>0</v>
      </c>
      <c r="CY125" s="290">
        <f t="shared" si="990"/>
        <v>0</v>
      </c>
      <c r="CZ125" s="102">
        <f t="shared" si="1016"/>
        <v>0</v>
      </c>
      <c r="DA125" s="290">
        <f t="shared" si="992"/>
        <v>0</v>
      </c>
      <c r="DB125" s="102">
        <f t="shared" si="1017"/>
        <v>0</v>
      </c>
      <c r="DC125" s="290">
        <f t="shared" si="994"/>
        <v>0</v>
      </c>
      <c r="DD125" s="102">
        <f t="shared" si="1015"/>
        <v>0</v>
      </c>
      <c r="DE125" s="592">
        <f>IF(D125="Sim",HLOOKUP($DH$5,Parametrização!$G$2:$H$4,2,FALSE),0)</f>
        <v>0</v>
      </c>
      <c r="DF125" s="102">
        <f t="shared" si="1018"/>
        <v>0</v>
      </c>
      <c r="DG125" s="592">
        <f>IF(D125="Sim",HLOOKUP($DH$5,Parametrização!$G$2:$H$4,3,FALSE),0)</f>
        <v>0</v>
      </c>
      <c r="DH125" s="102">
        <f t="shared" si="1019"/>
        <v>0</v>
      </c>
      <c r="DI125" s="102">
        <f t="shared" si="1020"/>
        <v>0</v>
      </c>
      <c r="DK125" s="3" t="str">
        <f t="shared" si="999"/>
        <v>NA</v>
      </c>
      <c r="DL125" s="2" t="str">
        <f t="shared" si="1000"/>
        <v>NA</v>
      </c>
      <c r="DM125" s="3" t="str">
        <f t="shared" si="1001"/>
        <v>NA</v>
      </c>
      <c r="DN125" s="9" t="str">
        <f t="shared" si="1002"/>
        <v>NA</v>
      </c>
      <c r="DO125" s="637" t="str">
        <f t="shared" si="1003"/>
        <v>NA</v>
      </c>
      <c r="DP125" s="637"/>
      <c r="DQ125" s="3" t="str">
        <f t="shared" si="1004"/>
        <v>NA</v>
      </c>
      <c r="DR125" s="2" t="str">
        <f t="shared" si="1005"/>
        <v>NA</v>
      </c>
      <c r="DS125" s="3" t="str">
        <f t="shared" si="1006"/>
        <v>NA</v>
      </c>
      <c r="DT125" s="9" t="str">
        <f t="shared" si="1021"/>
        <v>NA</v>
      </c>
      <c r="DU125" s="637" t="str">
        <f t="shared" si="1022"/>
        <v>NA</v>
      </c>
      <c r="DV125" s="637"/>
      <c r="DW125" s="682"/>
      <c r="DX125" s="682"/>
      <c r="DY125" s="682"/>
      <c r="DZ125" s="637"/>
      <c r="EA125" s="643"/>
    </row>
    <row r="126" spans="1:131" s="355" customFormat="1" ht="20.100000000000001" customHeight="1" outlineLevel="1" x14ac:dyDescent="0.25">
      <c r="A126" s="356"/>
      <c r="B126" s="355" t="s">
        <v>268</v>
      </c>
      <c r="C126" s="355" t="str">
        <f t="shared" si="1009"/>
        <v>Consumo</v>
      </c>
      <c r="D126" s="355" t="s">
        <v>53</v>
      </c>
      <c r="E126" s="18" t="s">
        <v>38</v>
      </c>
      <c r="F126" s="355" t="s">
        <v>53</v>
      </c>
      <c r="G126" s="357" t="str">
        <f t="shared" si="1010"/>
        <v>Geral</v>
      </c>
      <c r="H126" s="255" t="s">
        <v>377</v>
      </c>
      <c r="I126" s="356" t="str">
        <f t="shared" si="927"/>
        <v>Sistema</v>
      </c>
      <c r="K126" s="318" t="s">
        <v>2879</v>
      </c>
      <c r="L126" s="749" t="str">
        <f>IF(Padrões!JF67&lt;&gt;"",Padrões!JF67,"")</f>
        <v/>
      </c>
      <c r="M126" s="358" t="str">
        <f t="shared" si="928"/>
        <v>?</v>
      </c>
      <c r="N126" s="359">
        <f>Padrões!JI67</f>
        <v>0</v>
      </c>
      <c r="O126" s="381" t="str">
        <f t="shared" si="929"/>
        <v>?</v>
      </c>
      <c r="P126" s="360">
        <f t="shared" si="930"/>
        <v>0.12</v>
      </c>
      <c r="Q126" s="360" t="str">
        <f t="shared" si="931"/>
        <v>?</v>
      </c>
      <c r="R126" s="360">
        <f t="shared" si="932"/>
        <v>0</v>
      </c>
      <c r="S126" s="361">
        <f t="shared" si="933"/>
        <v>0</v>
      </c>
      <c r="T126" s="362">
        <f t="shared" si="934"/>
        <v>0</v>
      </c>
      <c r="U126" s="53" t="str" cm="1">
        <f t="array" ref="U126">IFERROR(IF(I126&lt;&gt;"Serviço",IF(AND(mlookup(tbl_DIFAL_data,UFdestino,tbl_DIFAL_UF,O126,tbl_DIFAL_NCM)&lt;&gt;"",C126="Consumo"),"Sim",""),""),"?")</f>
        <v>?</v>
      </c>
      <c r="V126" s="363" t="str">
        <f>IFERROR(IF(I126&lt;&gt;"Serviço",IF(AND(D126="Não",mlookup(tbl_ST_data,UFdestino,tbl_ST_UF,O126,tbl_ST_NCM)&lt;&gt;"",C126="Revenda",CD126="Não"),"Sim",""),""),"?")</f>
        <v>?</v>
      </c>
      <c r="W126" s="364">
        <f t="shared" si="935"/>
        <v>0</v>
      </c>
      <c r="X126" s="365">
        <f>IF(V126="Sim",mlookup(tbl_ST_data,UFdestino,tbl_ST_UF,O126,tbl_ST_NCM),0)</f>
        <v>0</v>
      </c>
      <c r="Z126" s="355">
        <f t="shared" si="936"/>
        <v>0</v>
      </c>
      <c r="AA126" s="355">
        <f t="shared" si="1023"/>
        <v>0</v>
      </c>
      <c r="AC126" s="366">
        <f t="shared" si="1011"/>
        <v>1.31243473968765E-2</v>
      </c>
      <c r="AD126" s="366">
        <f t="shared" si="939"/>
        <v>0.15</v>
      </c>
      <c r="AF126" s="355">
        <f t="shared" si="940"/>
        <v>0</v>
      </c>
      <c r="AG126" s="355">
        <f t="shared" si="941"/>
        <v>0</v>
      </c>
      <c r="AI126" s="355">
        <f t="shared" si="942"/>
        <v>0</v>
      </c>
      <c r="AK126" s="366">
        <f t="shared" si="1012"/>
        <v>0</v>
      </c>
      <c r="AL126" s="355">
        <f t="shared" si="1024"/>
        <v>0</v>
      </c>
      <c r="AM126" s="355">
        <f t="shared" si="1025"/>
        <v>0</v>
      </c>
      <c r="AO126" s="355" t="b">
        <f t="shared" si="946"/>
        <v>1</v>
      </c>
      <c r="AQ126" s="367">
        <f t="shared" si="947"/>
        <v>0</v>
      </c>
      <c r="AR126" s="367">
        <f t="shared" si="1026"/>
        <v>0</v>
      </c>
      <c r="AT126" s="367">
        <f t="shared" si="949"/>
        <v>0</v>
      </c>
      <c r="AU126" s="367">
        <f t="shared" si="950"/>
        <v>0</v>
      </c>
      <c r="AW126" s="367">
        <f t="shared" si="951"/>
        <v>0</v>
      </c>
      <c r="AX126" s="367">
        <f t="shared" si="952"/>
        <v>0</v>
      </c>
      <c r="AY126" s="367">
        <f t="shared" si="953"/>
        <v>0</v>
      </c>
      <c r="AZ126" s="367">
        <f t="shared" si="954"/>
        <v>0</v>
      </c>
      <c r="BB126" s="355">
        <f t="shared" si="955"/>
        <v>0</v>
      </c>
      <c r="BC126" s="355">
        <f t="shared" si="956"/>
        <v>0</v>
      </c>
      <c r="BD126" s="355">
        <f t="shared" si="957"/>
        <v>0</v>
      </c>
      <c r="BE126" s="355">
        <f t="shared" si="958"/>
        <v>0</v>
      </c>
      <c r="BF126" s="355">
        <f t="shared" si="959"/>
        <v>0</v>
      </c>
      <c r="BH126" s="368">
        <f t="shared" si="960"/>
        <v>0</v>
      </c>
      <c r="BJ126" s="369">
        <f t="shared" si="961"/>
        <v>-0.12</v>
      </c>
      <c r="BK126" s="355">
        <f t="shared" si="962"/>
        <v>0</v>
      </c>
      <c r="BL126" s="355">
        <f t="shared" si="963"/>
        <v>0</v>
      </c>
      <c r="BN126" s="366">
        <f t="shared" si="964"/>
        <v>0</v>
      </c>
      <c r="BO126" s="355">
        <f t="shared" si="965"/>
        <v>0</v>
      </c>
      <c r="BP126" s="355">
        <f t="shared" si="966"/>
        <v>0</v>
      </c>
      <c r="BQ126" s="355">
        <f t="shared" si="967"/>
        <v>0</v>
      </c>
      <c r="BS126" s="367">
        <f t="shared" si="968"/>
        <v>0</v>
      </c>
      <c r="BT126" s="355">
        <f t="shared" si="969"/>
        <v>0</v>
      </c>
      <c r="BU126" s="355" t="b">
        <f t="shared" si="1027"/>
        <v>1</v>
      </c>
      <c r="BW126" s="355" t="str">
        <f t="shared" si="971"/>
        <v/>
      </c>
      <c r="BX126" s="355">
        <f t="shared" si="972"/>
        <v>0</v>
      </c>
      <c r="BY126" s="356">
        <f t="shared" si="1013"/>
        <v>0</v>
      </c>
      <c r="BZ126" s="355">
        <f t="shared" si="974"/>
        <v>0</v>
      </c>
      <c r="CB126" s="102" t="str">
        <f t="shared" si="975"/>
        <v>?</v>
      </c>
      <c r="CD126" s="355" t="str">
        <f t="shared" si="976"/>
        <v>Não</v>
      </c>
      <c r="CE126" s="368">
        <f>ifzero(mlookup(tbl_ICMSinterest_data,UFdestino,tbl_ICMSinterest_ufdest,UForigem,tbl_ICMSinterest_uforig))</f>
        <v>0.12</v>
      </c>
      <c r="CF126" s="368">
        <f>IF(N126&gt;0,IF(I126&lt;&gt;"Serviço",ifzero(mlookup(tbl_ICMSinterno_data,UForigem,tbl_ICMSinterno_UF,O126,tbl_ICMSinterno_NCM),mlookup(tbl_ICMSinterest_data,UForigem,tbl_ICMSinterest_ufdest,UForigem,tbl_ICMSinterest_uforig)),""),0)</f>
        <v>0</v>
      </c>
      <c r="CG126" s="368">
        <f>IF(N126&gt;0,IF(I126&lt;&gt;"Serviço",ifzero(mlookup(tbl_ICMSinterno_data,UFdestino,tbl_ICMSinterno_UF,O126,tbl_ICMSinterno_NCM),mlookup(tbl_ICMSinterest_data,UFdestino,tbl_ICMSinterest_ufdest,UFdestino,tbl_ICMSinterest_uforig)),""),0)</f>
        <v>0</v>
      </c>
      <c r="CI126" s="355">
        <f t="shared" si="977"/>
        <v>0</v>
      </c>
      <c r="CJ126" s="355">
        <f t="shared" si="978"/>
        <v>0</v>
      </c>
      <c r="CK126" s="355">
        <f t="shared" si="979"/>
        <v>0</v>
      </c>
      <c r="CL126" s="355">
        <f t="shared" si="980"/>
        <v>0</v>
      </c>
      <c r="CN126" s="370">
        <f t="shared" si="981"/>
        <v>1540</v>
      </c>
      <c r="CO126" s="355">
        <f t="shared" si="982"/>
        <v>0</v>
      </c>
      <c r="CQ126" s="355" t="b">
        <f t="shared" si="983"/>
        <v>0</v>
      </c>
      <c r="CR126" s="355" t="b">
        <f t="shared" si="984"/>
        <v>1</v>
      </c>
      <c r="CS126" s="355" t="b">
        <f t="shared" si="985"/>
        <v>0</v>
      </c>
      <c r="CU126" s="2">
        <f t="shared" si="986"/>
        <v>0</v>
      </c>
      <c r="CV126" s="102">
        <f t="shared" si="987"/>
        <v>0</v>
      </c>
      <c r="CW126" s="102">
        <f t="shared" si="1014"/>
        <v>0</v>
      </c>
      <c r="CX126" s="102">
        <f t="shared" si="989"/>
        <v>0</v>
      </c>
      <c r="CY126" s="290">
        <f t="shared" si="990"/>
        <v>0</v>
      </c>
      <c r="CZ126" s="102">
        <f t="shared" si="1016"/>
        <v>0</v>
      </c>
      <c r="DA126" s="290">
        <f t="shared" si="992"/>
        <v>0</v>
      </c>
      <c r="DB126" s="102">
        <f t="shared" si="1017"/>
        <v>0</v>
      </c>
      <c r="DC126" s="290">
        <f t="shared" si="994"/>
        <v>0</v>
      </c>
      <c r="DD126" s="102">
        <f t="shared" si="1015"/>
        <v>0</v>
      </c>
      <c r="DE126" s="592">
        <f>IF(D126="Sim",HLOOKUP($DH$5,Parametrização!$G$2:$H$4,2,FALSE),0)</f>
        <v>0</v>
      </c>
      <c r="DF126" s="102">
        <f t="shared" si="1018"/>
        <v>0</v>
      </c>
      <c r="DG126" s="592">
        <f>IF(D126="Sim",HLOOKUP($DH$5,Parametrização!$G$2:$H$4,3,FALSE),0)</f>
        <v>0</v>
      </c>
      <c r="DH126" s="102">
        <f t="shared" si="1019"/>
        <v>0</v>
      </c>
      <c r="DI126" s="102">
        <f t="shared" si="1020"/>
        <v>0</v>
      </c>
      <c r="DK126" s="3" t="str">
        <f t="shared" si="999"/>
        <v>NA</v>
      </c>
      <c r="DL126" s="2" t="str">
        <f t="shared" si="1000"/>
        <v>NA</v>
      </c>
      <c r="DM126" s="3" t="str">
        <f t="shared" si="1001"/>
        <v>NA</v>
      </c>
      <c r="DN126" s="9" t="str">
        <f t="shared" si="1002"/>
        <v>NA</v>
      </c>
      <c r="DO126" s="637" t="str">
        <f t="shared" si="1003"/>
        <v>NA</v>
      </c>
      <c r="DP126" s="637"/>
      <c r="DQ126" s="3" t="str">
        <f t="shared" si="1004"/>
        <v>NA</v>
      </c>
      <c r="DR126" s="2" t="str">
        <f t="shared" si="1005"/>
        <v>NA</v>
      </c>
      <c r="DS126" s="3" t="str">
        <f t="shared" si="1006"/>
        <v>NA</v>
      </c>
      <c r="DT126" s="9" t="str">
        <f t="shared" si="1021"/>
        <v>NA</v>
      </c>
      <c r="DU126" s="637" t="str">
        <f t="shared" si="1022"/>
        <v>NA</v>
      </c>
      <c r="DV126" s="637"/>
      <c r="DW126" s="682"/>
      <c r="DX126" s="682"/>
      <c r="DY126" s="682"/>
      <c r="DZ126" s="637"/>
      <c r="EA126" s="643"/>
    </row>
    <row r="127" spans="1:131" s="355" customFormat="1" ht="20.100000000000001" customHeight="1" outlineLevel="1" x14ac:dyDescent="0.25">
      <c r="A127" s="356"/>
      <c r="B127" s="355" t="s">
        <v>268</v>
      </c>
      <c r="C127" s="355" t="str">
        <f t="shared" si="1009"/>
        <v>Consumo</v>
      </c>
      <c r="D127" s="355" t="s">
        <v>53</v>
      </c>
      <c r="E127" s="18" t="s">
        <v>38</v>
      </c>
      <c r="F127" s="355" t="s">
        <v>53</v>
      </c>
      <c r="G127" s="357" t="str">
        <f t="shared" si="1010"/>
        <v>Geral</v>
      </c>
      <c r="H127" s="255" t="s">
        <v>377</v>
      </c>
      <c r="I127" s="356" t="str">
        <f t="shared" ref="I127:I190" si="1028">std_tiponcm</f>
        <v>Sistema</v>
      </c>
      <c r="K127" s="318" t="s">
        <v>2880</v>
      </c>
      <c r="L127" s="749" t="str">
        <f>IF(Padrões!JF68&lt;&gt;"",Padrões!JF68,"")</f>
        <v/>
      </c>
      <c r="M127" s="358" t="str">
        <f t="shared" ref="M127:M190" si="1029">IFERROR(IFERROR(VLOOKUP(L127,tbl_materiais,COLUMN(head_mat_descricao)-COLUMN(head_mat_item)+1,FALSE),VLOOKUP(L127,tbl_servicos,COLUMN(head_serv_descricao)-COLUMN(head_serv_item)+1,FALSE)),"?")</f>
        <v>?</v>
      </c>
      <c r="N127" s="359">
        <f>Padrões!JI68</f>
        <v>0</v>
      </c>
      <c r="O127" s="381" t="str">
        <f t="shared" ref="O127:O190" si="1030">IF(CQ127,std_ncm,IF(I127="Serviço","NA",IF(I127="Material",IFERROR(VLOOKUP(L127,tbl_materiais,COLUMN(head_mat_NCM)-COLUMN(head_mat_item)+1,FALSE),"?"),IFERROR(VLOOKUP(I127,tbl_TipoLinha,2,FALSE),"?"))))</f>
        <v>?</v>
      </c>
      <c r="P127" s="360">
        <f t="shared" ref="P127:P190" si="1031">IF(AND(D127="Não",I127&lt;&gt;"Serviço",CD127="Não"),IFERROR(IF(flag_interestadual,CE127,IF(CF127,CF127,CE127)),"?"),0)</f>
        <v>0.12</v>
      </c>
      <c r="Q127" s="360" t="str">
        <f t="shared" ref="Q127:Q190" si="1032">IF(AND(D127="Não",I127&lt;&gt;"Serviço"),IF(I127="Material",IFERROR(VLOOKUP(L127,tbl_materiais,COLUMN(head_mat_IPI)-COLUMN(head_mat_item)+1,FALSE),"?"),IFERROR(VLOOKUP(O127,tbl_NCM_info,COLUMN(head_porNCM_IPI)-COLUMN(head_porNCM_NCM)+1,FALSE),"?")),0)</f>
        <v>?</v>
      </c>
      <c r="R127" s="360">
        <f t="shared" ref="R127:R190" si="1033">IF(AND(D127="Não",I127="Serviço"),IFERROR(VLOOKUP(CB127,tbl_ISS,5,FALSE),"?"),0)</f>
        <v>0</v>
      </c>
      <c r="S127" s="361">
        <f t="shared" ref="S127:S190" si="1034">IF(D127="Não",IF(reidi="Sim",0,IF(B127="Real",pis_naocum,pis_cum)),0)</f>
        <v>0</v>
      </c>
      <c r="T127" s="362">
        <f t="shared" ref="T127:T190" si="1035">IF(D127="Não",IF(reidi="Sim",0,IF(B127="Real",cofins_naocum,cofins_cum)),0)</f>
        <v>0</v>
      </c>
      <c r="U127" s="53" t="str" cm="1">
        <f t="array" ref="U127">IFERROR(IF(I127&lt;&gt;"Serviço",IF(AND(mlookup(tbl_DIFAL_data,UFdestino,tbl_DIFAL_UF,O127,tbl_DIFAL_NCM)&lt;&gt;"",C127="Consumo"),"Sim",""),""),"?")</f>
        <v>?</v>
      </c>
      <c r="V127" s="363" t="str">
        <f>IFERROR(IF(I127&lt;&gt;"Serviço",IF(AND(D127="Não",mlookup(tbl_ST_data,UFdestino,tbl_ST_UF,O127,tbl_ST_NCM)&lt;&gt;"",C127="Revenda",CD127="Não"),"Sim",""),""),"?")</f>
        <v>?</v>
      </c>
      <c r="W127" s="364">
        <f t="shared" ref="W127:W190" si="1036">IF(OR(U127="Sim",V127="Sim"),CG127,0)</f>
        <v>0</v>
      </c>
      <c r="X127" s="365">
        <f>IF(V127="Sim",mlookup(tbl_ST_data,UFdestino,tbl_ST_UF,O127,tbl_ST_NCM),0)</f>
        <v>0</v>
      </c>
      <c r="Z127" s="355">
        <f t="shared" ref="Z127:Z190" si="1037">IF(AND(N127&gt;0,CQ127=FALSE),IFERROR(VLOOKUP(L127,tbl_servicos,COLUMN(head_serv_CL)-COLUMN(head_serv_item)+1,FALSE),IF(D127="Sim",0,IF(B127="Real",VLOOKUP(L127,tbl_materiais,COLUMN(head_mat_CLreal)-COLUMN(head_mat_item)+1,FALSE),VLOOKUP(L127,tbl_materiais,COLUMN(head_mat_CLpresumido)-COLUMN(head_mat_item)+1,FALSE)))),0)</f>
        <v>0</v>
      </c>
      <c r="AA127" s="355">
        <f t="shared" si="1023"/>
        <v>0</v>
      </c>
      <c r="AC127" s="366">
        <f t="shared" si="1011"/>
        <v>1.31243473968765E-2</v>
      </c>
      <c r="AD127" s="366">
        <f t="shared" ref="AD127:AD190" si="1038">IF(F127="Sim",0,VLOOKUP(E127,tbl_mb,2,FALSE))</f>
        <v>0.15</v>
      </c>
      <c r="AF127" s="355">
        <f t="shared" ref="AF127:AF190" si="1039">AI127*AC127</f>
        <v>0</v>
      </c>
      <c r="AG127" s="355">
        <f t="shared" ref="AG127:AG190" si="1040">AI127*AD127</f>
        <v>0</v>
      </c>
      <c r="AI127" s="355">
        <f t="shared" ref="AI127:AI190" si="1041">AA127/(1-AC127-AD127)</f>
        <v>0</v>
      </c>
      <c r="AK127" s="366">
        <f t="shared" si="1012"/>
        <v>0</v>
      </c>
      <c r="AL127" s="355">
        <f t="shared" si="1024"/>
        <v>0</v>
      </c>
      <c r="AM127" s="355">
        <f t="shared" si="1025"/>
        <v>0</v>
      </c>
      <c r="AO127" s="355" t="b">
        <f t="shared" ref="AO127:AO190" si="1042">IF(ABS(SUM(AA127,AF127:AG127,AL127)-AM127)&lt;0.01,TRUE,FALSE)</f>
        <v>1</v>
      </c>
      <c r="AQ127" s="367">
        <f t="shared" ref="AQ127:AQ190" si="1043">IFERROR(AR127/N127,0)</f>
        <v>0</v>
      </c>
      <c r="AR127" s="367">
        <f t="shared" si="1026"/>
        <v>0</v>
      </c>
      <c r="AT127" s="367">
        <f t="shared" ref="AT127:AT190" si="1044">IFERROR(AU127/N127,0)</f>
        <v>0</v>
      </c>
      <c r="AU127" s="367">
        <f t="shared" ref="AU127:AU190" si="1045">IF(AND(N127&gt;0,CQ127=FALSE),IF(C127="Consumo",AR127*(1+Q127)/(1-P127*(1+Q127)-R127-S127-T127),AR127*(1+Q127)/(1-P127-R127-S127-T127)),0)</f>
        <v>0</v>
      </c>
      <c r="AW127" s="367">
        <f t="shared" ref="AW127:AW190" si="1046">IF(AU127&gt;0,AU127/(1+Q127),0)</f>
        <v>0</v>
      </c>
      <c r="AX127" s="367">
        <f t="shared" ref="AX127:AX190" si="1047">IF(AU127&gt;0,IF(C127="Consumo",AW127-AU127*P127,AW127*(1-P127)),0)</f>
        <v>0</v>
      </c>
      <c r="AY127" s="367">
        <f t="shared" ref="AY127:AY190" si="1048">AX127-AW127*R127</f>
        <v>0</v>
      </c>
      <c r="AZ127" s="367">
        <f t="shared" ref="AZ127:AZ190" si="1049">AY127-AW127*(S127+T127)</f>
        <v>0</v>
      </c>
      <c r="BB127" s="355">
        <f t="shared" ref="BB127:BB190" si="1050">IF(AW127&gt;0,AW127*Q127,0)</f>
        <v>0</v>
      </c>
      <c r="BC127" s="355">
        <f t="shared" ref="BC127:BC190" si="1051">IF(AW127&gt;0,IF(C127="Consumo",AU127*P127,AW127*P127),0)</f>
        <v>0</v>
      </c>
      <c r="BD127" s="355">
        <f t="shared" ref="BD127:BD190" si="1052">AW127*R127</f>
        <v>0</v>
      </c>
      <c r="BE127" s="355">
        <f t="shared" ref="BE127:BE190" si="1053">AW127*S127</f>
        <v>0</v>
      </c>
      <c r="BF127" s="355">
        <f t="shared" ref="BF127:BF190" si="1054">AW127*T127</f>
        <v>0</v>
      </c>
      <c r="BH127" s="368">
        <f t="shared" ref="BH127:BH190" si="1055">W127</f>
        <v>0</v>
      </c>
      <c r="BJ127" s="369">
        <f t="shared" ref="BJ127:BJ190" si="1056">IF(AND(U127&lt;&gt;"",C127="Consumo"),BH127-P127,0)</f>
        <v>-0.12</v>
      </c>
      <c r="BK127" s="355">
        <f t="shared" ref="BK127:BK190" si="1057">BJ127*AU127</f>
        <v>0</v>
      </c>
      <c r="BL127" s="355">
        <f t="shared" ref="BL127:BL190" si="1058">AU127+BK127</f>
        <v>0</v>
      </c>
      <c r="BN127" s="366">
        <f t="shared" ref="BN127:BN190" si="1059">X127</f>
        <v>0</v>
      </c>
      <c r="BO127" s="355">
        <f t="shared" ref="BO127:BO190" si="1060">AU127*(1+BN127)</f>
        <v>0</v>
      </c>
      <c r="BP127" s="355">
        <f t="shared" ref="BP127:BP190" si="1061">IF(AND(V127&lt;&gt;"",C127="Revenda"),BO127*BH127-BC127,0)</f>
        <v>0</v>
      </c>
      <c r="BQ127" s="355">
        <f t="shared" ref="BQ127:BQ190" si="1062">AU127+BP127</f>
        <v>0</v>
      </c>
      <c r="BS127" s="367">
        <f t="shared" ref="BS127:BS190" si="1063">AU127-SUM(BB127:BF127)</f>
        <v>0</v>
      </c>
      <c r="BT127" s="355">
        <f t="shared" ref="BT127:BT190" si="1064">AR127+SUM(BB127:BF127)</f>
        <v>0</v>
      </c>
      <c r="BU127" s="355" t="b">
        <f t="shared" si="1027"/>
        <v>1</v>
      </c>
      <c r="BW127" s="355" t="str">
        <f t="shared" ref="BW127:BW190" si="1065">IF(AND(N127&gt;0,CQ127=FALSE),IF(D127="Sim","Fat. Direto",VLOOKUP(CB127,tbl_IRPJaux,2,FALSE)),"")</f>
        <v/>
      </c>
      <c r="BX127" s="355">
        <f t="shared" ref="BX127:BX190" si="1066">IF(AND(BW127&lt;&gt;"NA",D127="Não"),MAX(BL127,BQ127),0)</f>
        <v>0</v>
      </c>
      <c r="BY127" s="356">
        <f t="shared" si="1013"/>
        <v>0</v>
      </c>
      <c r="BZ127" s="355">
        <f t="shared" ref="BZ127:BZ190" si="1067">IF(BX127&gt;0,AA127*BY127+AG127*recuperavel_MB_ir_real+AF127*recuperavel_coberturas_ir_real+SUM(BB127:BF127,BK127,BP127),0)</f>
        <v>0</v>
      </c>
      <c r="CB127" s="102" t="str">
        <f t="shared" ref="CB127:CB190" si="1068">IFERROR(VLOOKUP(L127,tbl_materiais,COLUMN(head_mat_WBS)-COLUMN(head_mat_item)+1,FALSE),IFERROR(VLOOKUP(L127,tbl_servicos,COLUMN(head_serv_WBS)-COLUMN(head_serv_item)+1,FALSE),"?"))</f>
        <v>?</v>
      </c>
      <c r="CD127" s="355" t="str">
        <f t="shared" ref="CD127:CD190" si="1069">IFERROR(VLOOKUP(L127,tbl_materiais,COLUMN(head_mat_st)-COLUMN(head_mat_item)+1,FALSE),"Não")</f>
        <v>Não</v>
      </c>
      <c r="CE127" s="368">
        <f>ifzero(mlookup(tbl_ICMSinterest_data,UFdestino,tbl_ICMSinterest_ufdest,UForigem,tbl_ICMSinterest_uforig))</f>
        <v>0.12</v>
      </c>
      <c r="CF127" s="368">
        <f>IF(N127&gt;0,IF(I127&lt;&gt;"Serviço",ifzero(mlookup(tbl_ICMSinterno_data,UForigem,tbl_ICMSinterno_UF,O127,tbl_ICMSinterno_NCM),mlookup(tbl_ICMSinterest_data,UForigem,tbl_ICMSinterest_ufdest,UForigem,tbl_ICMSinterest_uforig)),""),0)</f>
        <v>0</v>
      </c>
      <c r="CG127" s="368">
        <f>IF(N127&gt;0,IF(I127&lt;&gt;"Serviço",ifzero(mlookup(tbl_ICMSinterno_data,UFdestino,tbl_ICMSinterno_UF,O127,tbl_ICMSinterno_NCM),mlookup(tbl_ICMSinterest_data,UFdestino,tbl_ICMSinterest_ufdest,UFdestino,tbl_ICMSinterest_uforig)),""),0)</f>
        <v>0</v>
      </c>
      <c r="CI127" s="355">
        <f t="shared" ref="CI127:CI190" si="1070">IFERROR(IF(AND(I127&lt;&gt;"Serviço",D127="Não"),N127*VLOOKUP(L127,tbl_materiais,COLUMN(head_mat_credito_ICMS)-COLUMN(head_mat_item)+1,FALSE),0),0)</f>
        <v>0</v>
      </c>
      <c r="CJ127" s="355">
        <f t="shared" ref="CJ127:CJ190" si="1071">IFERROR(IF(AND(I127&lt;&gt;"Serviço",D127="Não"),N127*VLOOKUP(L127,tbl_materiais,COLUMN(head_mat_credito_IPI)-COLUMN(head_mat_item)+1,FALSE),0),0)</f>
        <v>0</v>
      </c>
      <c r="CK127" s="355">
        <f t="shared" ref="CK127:CK190" si="1072">IFERROR(IF(AND(I127&lt;&gt;"Serviço",D127="Não",B127="Real"),N127*VLOOKUP(L127,tbl_materiais,COLUMN(head_mat_credito_PIS)-COLUMN(head_mat_item)+1,FALSE),0),0)</f>
        <v>0</v>
      </c>
      <c r="CL127" s="355">
        <f t="shared" ref="CL127:CL190" si="1073">IFERROR(IF(AND(I127&lt;&gt;"Serviço",D127="Não",B127="Real"),N127*VLOOKUP(L127,tbl_materiais,COLUMN(head_mat_credito_COFINS)-COLUMN(head_mat_item)+1,FALSE),0),0)</f>
        <v>0</v>
      </c>
      <c r="CN127" s="370">
        <f t="shared" ref="CN127:CN190" si="1074">IFERROR(SUMIF(serv_col_item,"="&amp;L127,serv_col_totalhh),0)</f>
        <v>1540</v>
      </c>
      <c r="CO127" s="355">
        <f t="shared" ref="CO127:CO190" si="1075">IFERROR(SUMIF(serv_col_item,"="&amp;L127,serv_col_gdv),0)</f>
        <v>0</v>
      </c>
      <c r="CQ127" s="355" t="b">
        <f t="shared" ref="CQ127:CQ190" si="1076">IF(N127&gt;0,IF(ISERROR(HLOOKUP(L127,std_tbl4,1,FALSE)),FALSE,TRUE),FALSE)</f>
        <v>0</v>
      </c>
      <c r="CR127" s="355" t="b">
        <f t="shared" ref="CR127:CR190" si="1077">IF(AND(CQ127,I127&lt;&gt;std_tiponcm),FALSE,TRUE)</f>
        <v>1</v>
      </c>
      <c r="CS127" s="355" t="b">
        <f t="shared" ref="CS127:CS190" si="1078">IF(AND(CQ127,D127="Sim"),TRUE,FALSE)</f>
        <v>0</v>
      </c>
      <c r="CU127" s="2">
        <f t="shared" ref="CU127:CU190" si="1079">IF(D127="Sim",VLOOKUP(L127,tbl_materiais,COLUMN(head_mat_fatdir)-COLUMN(head_mat_item)+1,FALSE),0)</f>
        <v>0</v>
      </c>
      <c r="CV127" s="102">
        <f t="shared" ref="CV127:CV190" si="1080">CU127*N127</f>
        <v>0</v>
      </c>
      <c r="CW127" s="102">
        <f t="shared" si="1014"/>
        <v>0</v>
      </c>
      <c r="CX127" s="102">
        <f t="shared" ref="CX127:CX190" si="1081">CV127/(1-AK127)</f>
        <v>0</v>
      </c>
      <c r="CY127" s="290">
        <f t="shared" ref="CY127:CY190" si="1082">IF(D127="Sim",VLOOKUP(L127,tbl_materiais,COLUMN(head_mat_ICMS_input)-COLUMN(head_mat_item)+1,FALSE),0)</f>
        <v>0</v>
      </c>
      <c r="CZ127" s="102">
        <f t="shared" si="1016"/>
        <v>0</v>
      </c>
      <c r="DA127" s="290">
        <f t="shared" ref="DA127:DA190" si="1083">IF(D127="Sim",VLOOKUP(L127,tbl_materiais,COLUMN(head_mat_ISS_input)-COLUMN(head_mat_item)+1,FALSE),0)</f>
        <v>0</v>
      </c>
      <c r="DB127" s="102">
        <f t="shared" si="1017"/>
        <v>0</v>
      </c>
      <c r="DC127" s="290">
        <f t="shared" ref="DC127:DC190" si="1084">IF(D127="Sim",VLOOKUP(L127,tbl_materiais,COLUMN(head_mat_IPI_input)-COLUMN(head_mat_item)+1,FALSE),0)</f>
        <v>0</v>
      </c>
      <c r="DD127" s="102">
        <f t="shared" si="1015"/>
        <v>0</v>
      </c>
      <c r="DE127" s="592">
        <f>IF(D127="Sim",HLOOKUP($DH$5,Parametrização!$G$2:$H$4,2,FALSE),0)</f>
        <v>0</v>
      </c>
      <c r="DF127" s="102">
        <f t="shared" si="1018"/>
        <v>0</v>
      </c>
      <c r="DG127" s="592">
        <f>IF(D127="Sim",HLOOKUP($DH$5,Parametrização!$G$2:$H$4,3,FALSE),0)</f>
        <v>0</v>
      </c>
      <c r="DH127" s="102">
        <f t="shared" si="1019"/>
        <v>0</v>
      </c>
      <c r="DI127" s="102">
        <f t="shared" si="1020"/>
        <v>0</v>
      </c>
      <c r="DK127" s="3" t="str">
        <f t="shared" ref="DK127:DK190" si="1085">IF(AND(I127&lt;&gt;"Serviço",Z127&gt;0),P127,"NA")</f>
        <v>NA</v>
      </c>
      <c r="DL127" s="2" t="str">
        <f t="shared" ref="DL127:DL190" si="1086">IF(AND(I127="Serviço",Z127&gt;0),R127,"NA")</f>
        <v>NA</v>
      </c>
      <c r="DM127" s="3" t="str">
        <f t="shared" ref="DM127:DM190" si="1087">IF(AND(I127&lt;&gt;"Serviço",Z127&gt;0),Q127,"NA")</f>
        <v>NA</v>
      </c>
      <c r="DN127" s="9" t="str">
        <f t="shared" ref="DN127:DN190" si="1088">IF(Z127&gt;0,S127,"NA")</f>
        <v>NA</v>
      </c>
      <c r="DO127" s="637" t="str">
        <f t="shared" ref="DO127:DO190" si="1089">IF(Z127&gt;0,T127,"NA")</f>
        <v>NA</v>
      </c>
      <c r="DP127" s="637"/>
      <c r="DQ127" s="3" t="str">
        <f t="shared" ref="DQ127:DQ190" si="1090">IF(AND(I127&lt;&gt;"Serviço",CU127&gt;0),CY127,"NA")</f>
        <v>NA</v>
      </c>
      <c r="DR127" s="2" t="str">
        <f t="shared" ref="DR127:DR190" si="1091">IF(AND(I127="Serviço",CU127&gt;0),DA127,"NA")</f>
        <v>NA</v>
      </c>
      <c r="DS127" s="3" t="str">
        <f t="shared" ref="DS127:DS190" si="1092">IF(AND(I127&lt;&gt;"Serviço",CU127&gt;0),DC127,"NA")</f>
        <v>NA</v>
      </c>
      <c r="DT127" s="9" t="str">
        <f t="shared" si="1021"/>
        <v>NA</v>
      </c>
      <c r="DU127" s="637" t="str">
        <f t="shared" si="1022"/>
        <v>NA</v>
      </c>
      <c r="DV127" s="637"/>
      <c r="DW127" s="682"/>
      <c r="DX127" s="682"/>
      <c r="DY127" s="682"/>
      <c r="DZ127" s="637"/>
      <c r="EA127" s="643"/>
    </row>
    <row r="128" spans="1:131" s="355" customFormat="1" ht="20.100000000000001" customHeight="1" outlineLevel="1" x14ac:dyDescent="0.25">
      <c r="A128" s="356"/>
      <c r="B128" s="355" t="s">
        <v>268</v>
      </c>
      <c r="C128" s="355" t="str">
        <f t="shared" si="1009"/>
        <v>Consumo</v>
      </c>
      <c r="D128" s="355" t="s">
        <v>53</v>
      </c>
      <c r="E128" s="18" t="s">
        <v>38</v>
      </c>
      <c r="F128" s="355" t="s">
        <v>53</v>
      </c>
      <c r="G128" s="357" t="str">
        <f t="shared" si="1010"/>
        <v>Geral</v>
      </c>
      <c r="H128" s="255" t="s">
        <v>377</v>
      </c>
      <c r="I128" s="356" t="str">
        <f t="shared" si="1028"/>
        <v>Sistema</v>
      </c>
      <c r="K128" s="318" t="s">
        <v>2881</v>
      </c>
      <c r="L128" s="749" t="str">
        <f>IF(Padrões!JF69&lt;&gt;"",Padrões!JF69,"")</f>
        <v/>
      </c>
      <c r="M128" s="358" t="str">
        <f t="shared" si="1029"/>
        <v>?</v>
      </c>
      <c r="N128" s="359">
        <f>Padrões!JI69</f>
        <v>0</v>
      </c>
      <c r="O128" s="381" t="str">
        <f t="shared" si="1030"/>
        <v>?</v>
      </c>
      <c r="P128" s="360">
        <f t="shared" si="1031"/>
        <v>0.12</v>
      </c>
      <c r="Q128" s="360" t="str">
        <f t="shared" si="1032"/>
        <v>?</v>
      </c>
      <c r="R128" s="360">
        <f t="shared" si="1033"/>
        <v>0</v>
      </c>
      <c r="S128" s="361">
        <f t="shared" si="1034"/>
        <v>0</v>
      </c>
      <c r="T128" s="362">
        <f t="shared" si="1035"/>
        <v>0</v>
      </c>
      <c r="U128" s="53" t="str" cm="1">
        <f t="array" ref="U128">IFERROR(IF(I128&lt;&gt;"Serviço",IF(AND(mlookup(tbl_DIFAL_data,UFdestino,tbl_DIFAL_UF,O128,tbl_DIFAL_NCM)&lt;&gt;"",C128="Consumo"),"Sim",""),""),"?")</f>
        <v>?</v>
      </c>
      <c r="V128" s="363" t="str">
        <f>IFERROR(IF(I128&lt;&gt;"Serviço",IF(AND(D128="Não",mlookup(tbl_ST_data,UFdestino,tbl_ST_UF,O128,tbl_ST_NCM)&lt;&gt;"",C128="Revenda",CD128="Não"),"Sim",""),""),"?")</f>
        <v>?</v>
      </c>
      <c r="W128" s="364">
        <f t="shared" si="1036"/>
        <v>0</v>
      </c>
      <c r="X128" s="365">
        <f>IF(V128="Sim",mlookup(tbl_ST_data,UFdestino,tbl_ST_UF,O128,tbl_ST_NCM),0)</f>
        <v>0</v>
      </c>
      <c r="Z128" s="355">
        <f t="shared" si="1037"/>
        <v>0</v>
      </c>
      <c r="AA128" s="355">
        <f t="shared" si="1023"/>
        <v>0</v>
      </c>
      <c r="AC128" s="366">
        <f t="shared" si="1011"/>
        <v>1.31243473968765E-2</v>
      </c>
      <c r="AD128" s="366">
        <f t="shared" si="1038"/>
        <v>0.15</v>
      </c>
      <c r="AF128" s="355">
        <f t="shared" si="1039"/>
        <v>0</v>
      </c>
      <c r="AG128" s="355">
        <f t="shared" si="1040"/>
        <v>0</v>
      </c>
      <c r="AI128" s="355">
        <f t="shared" si="1041"/>
        <v>0</v>
      </c>
      <c r="AK128" s="366">
        <f t="shared" si="1012"/>
        <v>0</v>
      </c>
      <c r="AL128" s="355">
        <f t="shared" si="1024"/>
        <v>0</v>
      </c>
      <c r="AM128" s="355">
        <f t="shared" si="1025"/>
        <v>0</v>
      </c>
      <c r="AO128" s="355" t="b">
        <f t="shared" si="1042"/>
        <v>1</v>
      </c>
      <c r="AQ128" s="367">
        <f t="shared" si="1043"/>
        <v>0</v>
      </c>
      <c r="AR128" s="367">
        <f t="shared" si="1026"/>
        <v>0</v>
      </c>
      <c r="AT128" s="367">
        <f t="shared" si="1044"/>
        <v>0</v>
      </c>
      <c r="AU128" s="367">
        <f t="shared" si="1045"/>
        <v>0</v>
      </c>
      <c r="AW128" s="367">
        <f t="shared" si="1046"/>
        <v>0</v>
      </c>
      <c r="AX128" s="367">
        <f t="shared" si="1047"/>
        <v>0</v>
      </c>
      <c r="AY128" s="367">
        <f t="shared" si="1048"/>
        <v>0</v>
      </c>
      <c r="AZ128" s="367">
        <f t="shared" si="1049"/>
        <v>0</v>
      </c>
      <c r="BB128" s="355">
        <f t="shared" si="1050"/>
        <v>0</v>
      </c>
      <c r="BC128" s="355">
        <f t="shared" si="1051"/>
        <v>0</v>
      </c>
      <c r="BD128" s="355">
        <f t="shared" si="1052"/>
        <v>0</v>
      </c>
      <c r="BE128" s="355">
        <f t="shared" si="1053"/>
        <v>0</v>
      </c>
      <c r="BF128" s="355">
        <f t="shared" si="1054"/>
        <v>0</v>
      </c>
      <c r="BH128" s="368">
        <f t="shared" si="1055"/>
        <v>0</v>
      </c>
      <c r="BJ128" s="369">
        <f t="shared" si="1056"/>
        <v>-0.12</v>
      </c>
      <c r="BK128" s="355">
        <f t="shared" si="1057"/>
        <v>0</v>
      </c>
      <c r="BL128" s="355">
        <f t="shared" si="1058"/>
        <v>0</v>
      </c>
      <c r="BN128" s="366">
        <f t="shared" si="1059"/>
        <v>0</v>
      </c>
      <c r="BO128" s="355">
        <f t="shared" si="1060"/>
        <v>0</v>
      </c>
      <c r="BP128" s="355">
        <f t="shared" si="1061"/>
        <v>0</v>
      </c>
      <c r="BQ128" s="355">
        <f t="shared" si="1062"/>
        <v>0</v>
      </c>
      <c r="BS128" s="367">
        <f t="shared" si="1063"/>
        <v>0</v>
      </c>
      <c r="BT128" s="355">
        <f t="shared" si="1064"/>
        <v>0</v>
      </c>
      <c r="BU128" s="355" t="b">
        <f t="shared" si="1027"/>
        <v>1</v>
      </c>
      <c r="BW128" s="355" t="str">
        <f t="shared" si="1065"/>
        <v/>
      </c>
      <c r="BX128" s="355">
        <f t="shared" si="1066"/>
        <v>0</v>
      </c>
      <c r="BY128" s="356">
        <f t="shared" si="1013"/>
        <v>0</v>
      </c>
      <c r="BZ128" s="355">
        <f t="shared" si="1067"/>
        <v>0</v>
      </c>
      <c r="CB128" s="102" t="str">
        <f t="shared" si="1068"/>
        <v>?</v>
      </c>
      <c r="CD128" s="355" t="str">
        <f t="shared" si="1069"/>
        <v>Não</v>
      </c>
      <c r="CE128" s="368">
        <f>ifzero(mlookup(tbl_ICMSinterest_data,UFdestino,tbl_ICMSinterest_ufdest,UForigem,tbl_ICMSinterest_uforig))</f>
        <v>0.12</v>
      </c>
      <c r="CF128" s="368">
        <f>IF(N128&gt;0,IF(I128&lt;&gt;"Serviço",ifzero(mlookup(tbl_ICMSinterno_data,UForigem,tbl_ICMSinterno_UF,O128,tbl_ICMSinterno_NCM),mlookup(tbl_ICMSinterest_data,UForigem,tbl_ICMSinterest_ufdest,UForigem,tbl_ICMSinterest_uforig)),""),0)</f>
        <v>0</v>
      </c>
      <c r="CG128" s="368">
        <f>IF(N128&gt;0,IF(I128&lt;&gt;"Serviço",ifzero(mlookup(tbl_ICMSinterno_data,UFdestino,tbl_ICMSinterno_UF,O128,tbl_ICMSinterno_NCM),mlookup(tbl_ICMSinterest_data,UFdestino,tbl_ICMSinterest_ufdest,UFdestino,tbl_ICMSinterest_uforig)),""),0)</f>
        <v>0</v>
      </c>
      <c r="CI128" s="355">
        <f t="shared" si="1070"/>
        <v>0</v>
      </c>
      <c r="CJ128" s="355">
        <f t="shared" si="1071"/>
        <v>0</v>
      </c>
      <c r="CK128" s="355">
        <f t="shared" si="1072"/>
        <v>0</v>
      </c>
      <c r="CL128" s="355">
        <f t="shared" si="1073"/>
        <v>0</v>
      </c>
      <c r="CN128" s="370">
        <f t="shared" si="1074"/>
        <v>1540</v>
      </c>
      <c r="CO128" s="355">
        <f t="shared" si="1075"/>
        <v>0</v>
      </c>
      <c r="CQ128" s="355" t="b">
        <f t="shared" si="1076"/>
        <v>0</v>
      </c>
      <c r="CR128" s="355" t="b">
        <f t="shared" si="1077"/>
        <v>1</v>
      </c>
      <c r="CS128" s="355" t="b">
        <f t="shared" si="1078"/>
        <v>0</v>
      </c>
      <c r="CU128" s="2">
        <f t="shared" si="1079"/>
        <v>0</v>
      </c>
      <c r="CV128" s="102">
        <f t="shared" si="1080"/>
        <v>0</v>
      </c>
      <c r="CW128" s="102">
        <f t="shared" si="1014"/>
        <v>0</v>
      </c>
      <c r="CX128" s="102">
        <f t="shared" si="1081"/>
        <v>0</v>
      </c>
      <c r="CY128" s="290">
        <f t="shared" si="1082"/>
        <v>0</v>
      </c>
      <c r="CZ128" s="102">
        <f t="shared" si="1016"/>
        <v>0</v>
      </c>
      <c r="DA128" s="290">
        <f t="shared" si="1083"/>
        <v>0</v>
      </c>
      <c r="DB128" s="102">
        <f t="shared" si="1017"/>
        <v>0</v>
      </c>
      <c r="DC128" s="290">
        <f t="shared" si="1084"/>
        <v>0</v>
      </c>
      <c r="DD128" s="102">
        <f t="shared" si="1015"/>
        <v>0</v>
      </c>
      <c r="DE128" s="592">
        <f>IF(D128="Sim",HLOOKUP($DH$5,Parametrização!$G$2:$H$4,2,FALSE),0)</f>
        <v>0</v>
      </c>
      <c r="DF128" s="102">
        <f t="shared" si="1018"/>
        <v>0</v>
      </c>
      <c r="DG128" s="592">
        <f>IF(D128="Sim",HLOOKUP($DH$5,Parametrização!$G$2:$H$4,3,FALSE),0)</f>
        <v>0</v>
      </c>
      <c r="DH128" s="102">
        <f t="shared" si="1019"/>
        <v>0</v>
      </c>
      <c r="DI128" s="102">
        <f t="shared" si="1020"/>
        <v>0</v>
      </c>
      <c r="DK128" s="3" t="str">
        <f t="shared" si="1085"/>
        <v>NA</v>
      </c>
      <c r="DL128" s="2" t="str">
        <f t="shared" si="1086"/>
        <v>NA</v>
      </c>
      <c r="DM128" s="3" t="str">
        <f t="shared" si="1087"/>
        <v>NA</v>
      </c>
      <c r="DN128" s="9" t="str">
        <f t="shared" si="1088"/>
        <v>NA</v>
      </c>
      <c r="DO128" s="637" t="str">
        <f t="shared" si="1089"/>
        <v>NA</v>
      </c>
      <c r="DP128" s="637"/>
      <c r="DQ128" s="3" t="str">
        <f t="shared" si="1090"/>
        <v>NA</v>
      </c>
      <c r="DR128" s="2" t="str">
        <f t="shared" si="1091"/>
        <v>NA</v>
      </c>
      <c r="DS128" s="3" t="str">
        <f t="shared" si="1092"/>
        <v>NA</v>
      </c>
      <c r="DT128" s="9" t="str">
        <f t="shared" si="1021"/>
        <v>NA</v>
      </c>
      <c r="DU128" s="637" t="str">
        <f t="shared" si="1022"/>
        <v>NA</v>
      </c>
      <c r="DV128" s="637"/>
      <c r="DW128" s="682"/>
      <c r="DX128" s="682"/>
      <c r="DY128" s="682"/>
      <c r="DZ128" s="637"/>
      <c r="EA128" s="643"/>
    </row>
    <row r="129" spans="1:131" s="355" customFormat="1" ht="20.100000000000001" customHeight="1" outlineLevel="1" x14ac:dyDescent="0.25">
      <c r="A129" s="356"/>
      <c r="B129" s="355" t="s">
        <v>268</v>
      </c>
      <c r="C129" s="355" t="str">
        <f t="shared" ref="C129:C192" si="1093">$C$63</f>
        <v>Consumo</v>
      </c>
      <c r="D129" s="355" t="s">
        <v>53</v>
      </c>
      <c r="E129" s="18" t="s">
        <v>38</v>
      </c>
      <c r="F129" s="355" t="s">
        <v>53</v>
      </c>
      <c r="G129" s="357" t="str">
        <f t="shared" ref="G129:G192" si="1094">$G$63</f>
        <v>Geral</v>
      </c>
      <c r="H129" s="255" t="s">
        <v>377</v>
      </c>
      <c r="I129" s="356" t="str">
        <f t="shared" si="1028"/>
        <v>Sistema</v>
      </c>
      <c r="K129" s="318" t="s">
        <v>2882</v>
      </c>
      <c r="L129" s="749" t="str">
        <f>IF(Padrões!JF70&lt;&gt;"",Padrões!JF70,"")</f>
        <v/>
      </c>
      <c r="M129" s="358" t="str">
        <f t="shared" si="1029"/>
        <v>?</v>
      </c>
      <c r="N129" s="359">
        <f>Padrões!JI70</f>
        <v>0</v>
      </c>
      <c r="O129" s="381" t="str">
        <f t="shared" si="1030"/>
        <v>?</v>
      </c>
      <c r="P129" s="360">
        <f t="shared" si="1031"/>
        <v>0.12</v>
      </c>
      <c r="Q129" s="360" t="str">
        <f t="shared" si="1032"/>
        <v>?</v>
      </c>
      <c r="R129" s="360">
        <f t="shared" si="1033"/>
        <v>0</v>
      </c>
      <c r="S129" s="361">
        <f t="shared" si="1034"/>
        <v>0</v>
      </c>
      <c r="T129" s="362">
        <f t="shared" si="1035"/>
        <v>0</v>
      </c>
      <c r="U129" s="53" t="str" cm="1">
        <f t="array" ref="U129">IFERROR(IF(I129&lt;&gt;"Serviço",IF(AND(mlookup(tbl_DIFAL_data,UFdestino,tbl_DIFAL_UF,O129,tbl_DIFAL_NCM)&lt;&gt;"",C129="Consumo"),"Sim",""),""),"?")</f>
        <v>?</v>
      </c>
      <c r="V129" s="363" t="str">
        <f>IFERROR(IF(I129&lt;&gt;"Serviço",IF(AND(D129="Não",mlookup(tbl_ST_data,UFdestino,tbl_ST_UF,O129,tbl_ST_NCM)&lt;&gt;"",C129="Revenda",CD129="Não"),"Sim",""),""),"?")</f>
        <v>?</v>
      </c>
      <c r="W129" s="364">
        <f t="shared" si="1036"/>
        <v>0</v>
      </c>
      <c r="X129" s="365">
        <f>IF(V129="Sim",mlookup(tbl_ST_data,UFdestino,tbl_ST_UF,O129,tbl_ST_NCM),0)</f>
        <v>0</v>
      </c>
      <c r="Z129" s="355">
        <f t="shared" si="1037"/>
        <v>0</v>
      </c>
      <c r="AA129" s="355">
        <f t="shared" si="1023"/>
        <v>0</v>
      </c>
      <c r="AC129" s="366">
        <f t="shared" si="1011"/>
        <v>1.31243473968765E-2</v>
      </c>
      <c r="AD129" s="366">
        <f t="shared" si="1038"/>
        <v>0.15</v>
      </c>
      <c r="AF129" s="355">
        <f t="shared" si="1039"/>
        <v>0</v>
      </c>
      <c r="AG129" s="355">
        <f t="shared" si="1040"/>
        <v>0</v>
      </c>
      <c r="AI129" s="355">
        <f t="shared" si="1041"/>
        <v>0</v>
      </c>
      <c r="AK129" s="366">
        <f t="shared" si="1012"/>
        <v>0</v>
      </c>
      <c r="AL129" s="355">
        <f t="shared" si="1024"/>
        <v>0</v>
      </c>
      <c r="AM129" s="355">
        <f t="shared" si="1025"/>
        <v>0</v>
      </c>
      <c r="AO129" s="355" t="b">
        <f t="shared" si="1042"/>
        <v>1</v>
      </c>
      <c r="AQ129" s="367">
        <f t="shared" si="1043"/>
        <v>0</v>
      </c>
      <c r="AR129" s="367">
        <f t="shared" si="1026"/>
        <v>0</v>
      </c>
      <c r="AT129" s="367">
        <f t="shared" si="1044"/>
        <v>0</v>
      </c>
      <c r="AU129" s="367">
        <f t="shared" si="1045"/>
        <v>0</v>
      </c>
      <c r="AW129" s="367">
        <f t="shared" si="1046"/>
        <v>0</v>
      </c>
      <c r="AX129" s="367">
        <f t="shared" si="1047"/>
        <v>0</v>
      </c>
      <c r="AY129" s="367">
        <f t="shared" si="1048"/>
        <v>0</v>
      </c>
      <c r="AZ129" s="367">
        <f t="shared" si="1049"/>
        <v>0</v>
      </c>
      <c r="BB129" s="355">
        <f t="shared" si="1050"/>
        <v>0</v>
      </c>
      <c r="BC129" s="355">
        <f t="shared" si="1051"/>
        <v>0</v>
      </c>
      <c r="BD129" s="355">
        <f t="shared" si="1052"/>
        <v>0</v>
      </c>
      <c r="BE129" s="355">
        <f t="shared" si="1053"/>
        <v>0</v>
      </c>
      <c r="BF129" s="355">
        <f t="shared" si="1054"/>
        <v>0</v>
      </c>
      <c r="BH129" s="368">
        <f t="shared" si="1055"/>
        <v>0</v>
      </c>
      <c r="BJ129" s="369">
        <f t="shared" si="1056"/>
        <v>-0.12</v>
      </c>
      <c r="BK129" s="355">
        <f t="shared" si="1057"/>
        <v>0</v>
      </c>
      <c r="BL129" s="355">
        <f t="shared" si="1058"/>
        <v>0</v>
      </c>
      <c r="BN129" s="366">
        <f t="shared" si="1059"/>
        <v>0</v>
      </c>
      <c r="BO129" s="355">
        <f t="shared" si="1060"/>
        <v>0</v>
      </c>
      <c r="BP129" s="355">
        <f t="shared" si="1061"/>
        <v>0</v>
      </c>
      <c r="BQ129" s="355">
        <f t="shared" si="1062"/>
        <v>0</v>
      </c>
      <c r="BS129" s="367">
        <f t="shared" si="1063"/>
        <v>0</v>
      </c>
      <c r="BT129" s="355">
        <f t="shared" si="1064"/>
        <v>0</v>
      </c>
      <c r="BU129" s="355" t="b">
        <f t="shared" si="1027"/>
        <v>1</v>
      </c>
      <c r="BW129" s="355" t="str">
        <f t="shared" si="1065"/>
        <v/>
      </c>
      <c r="BX129" s="355">
        <f t="shared" si="1066"/>
        <v>0</v>
      </c>
      <c r="BY129" s="356">
        <f t="shared" si="1013"/>
        <v>0</v>
      </c>
      <c r="BZ129" s="355">
        <f t="shared" si="1067"/>
        <v>0</v>
      </c>
      <c r="CB129" s="102" t="str">
        <f t="shared" si="1068"/>
        <v>?</v>
      </c>
      <c r="CD129" s="355" t="str">
        <f t="shared" si="1069"/>
        <v>Não</v>
      </c>
      <c r="CE129" s="368">
        <f>ifzero(mlookup(tbl_ICMSinterest_data,UFdestino,tbl_ICMSinterest_ufdest,UForigem,tbl_ICMSinterest_uforig))</f>
        <v>0.12</v>
      </c>
      <c r="CF129" s="368">
        <f>IF(N129&gt;0,IF(I129&lt;&gt;"Serviço",ifzero(mlookup(tbl_ICMSinterno_data,UForigem,tbl_ICMSinterno_UF,O129,tbl_ICMSinterno_NCM),mlookup(tbl_ICMSinterest_data,UForigem,tbl_ICMSinterest_ufdest,UForigem,tbl_ICMSinterest_uforig)),""),0)</f>
        <v>0</v>
      </c>
      <c r="CG129" s="368">
        <f>IF(N129&gt;0,IF(I129&lt;&gt;"Serviço",ifzero(mlookup(tbl_ICMSinterno_data,UFdestino,tbl_ICMSinterno_UF,O129,tbl_ICMSinterno_NCM),mlookup(tbl_ICMSinterest_data,UFdestino,tbl_ICMSinterest_ufdest,UFdestino,tbl_ICMSinterest_uforig)),""),0)</f>
        <v>0</v>
      </c>
      <c r="CI129" s="355">
        <f t="shared" si="1070"/>
        <v>0</v>
      </c>
      <c r="CJ129" s="355">
        <f t="shared" si="1071"/>
        <v>0</v>
      </c>
      <c r="CK129" s="355">
        <f t="shared" si="1072"/>
        <v>0</v>
      </c>
      <c r="CL129" s="355">
        <f t="shared" si="1073"/>
        <v>0</v>
      </c>
      <c r="CN129" s="370">
        <f t="shared" si="1074"/>
        <v>1540</v>
      </c>
      <c r="CO129" s="355">
        <f t="shared" si="1075"/>
        <v>0</v>
      </c>
      <c r="CQ129" s="355" t="b">
        <f t="shared" si="1076"/>
        <v>0</v>
      </c>
      <c r="CR129" s="355" t="b">
        <f t="shared" si="1077"/>
        <v>1</v>
      </c>
      <c r="CS129" s="355" t="b">
        <f t="shared" si="1078"/>
        <v>0</v>
      </c>
      <c r="CU129" s="2">
        <f t="shared" si="1079"/>
        <v>0</v>
      </c>
      <c r="CV129" s="102">
        <f t="shared" si="1080"/>
        <v>0</v>
      </c>
      <c r="CW129" s="102">
        <f t="shared" si="1014"/>
        <v>0</v>
      </c>
      <c r="CX129" s="102">
        <f t="shared" si="1081"/>
        <v>0</v>
      </c>
      <c r="CY129" s="290">
        <f t="shared" si="1082"/>
        <v>0</v>
      </c>
      <c r="CZ129" s="102">
        <f t="shared" si="1016"/>
        <v>0</v>
      </c>
      <c r="DA129" s="290">
        <f t="shared" si="1083"/>
        <v>0</v>
      </c>
      <c r="DB129" s="102">
        <f t="shared" si="1017"/>
        <v>0</v>
      </c>
      <c r="DC129" s="290">
        <f t="shared" si="1084"/>
        <v>0</v>
      </c>
      <c r="DD129" s="102">
        <f t="shared" si="1015"/>
        <v>0</v>
      </c>
      <c r="DE129" s="592">
        <f>IF(D129="Sim",HLOOKUP($DH$5,Parametrização!$G$2:$H$4,2,FALSE),0)</f>
        <v>0</v>
      </c>
      <c r="DF129" s="102">
        <f t="shared" si="1018"/>
        <v>0</v>
      </c>
      <c r="DG129" s="592">
        <f>IF(D129="Sim",HLOOKUP($DH$5,Parametrização!$G$2:$H$4,3,FALSE),0)</f>
        <v>0</v>
      </c>
      <c r="DH129" s="102">
        <f t="shared" si="1019"/>
        <v>0</v>
      </c>
      <c r="DI129" s="102">
        <f t="shared" si="1020"/>
        <v>0</v>
      </c>
      <c r="DK129" s="3" t="str">
        <f t="shared" si="1085"/>
        <v>NA</v>
      </c>
      <c r="DL129" s="2" t="str">
        <f t="shared" si="1086"/>
        <v>NA</v>
      </c>
      <c r="DM129" s="3" t="str">
        <f t="shared" si="1087"/>
        <v>NA</v>
      </c>
      <c r="DN129" s="9" t="str">
        <f t="shared" si="1088"/>
        <v>NA</v>
      </c>
      <c r="DO129" s="637" t="str">
        <f t="shared" si="1089"/>
        <v>NA</v>
      </c>
      <c r="DP129" s="637"/>
      <c r="DQ129" s="3" t="str">
        <f t="shared" si="1090"/>
        <v>NA</v>
      </c>
      <c r="DR129" s="2" t="str">
        <f t="shared" si="1091"/>
        <v>NA</v>
      </c>
      <c r="DS129" s="3" t="str">
        <f t="shared" si="1092"/>
        <v>NA</v>
      </c>
      <c r="DT129" s="9" t="str">
        <f t="shared" si="1021"/>
        <v>NA</v>
      </c>
      <c r="DU129" s="637" t="str">
        <f t="shared" si="1022"/>
        <v>NA</v>
      </c>
      <c r="DV129" s="637"/>
      <c r="DW129" s="682"/>
      <c r="DX129" s="682"/>
      <c r="DY129" s="682"/>
      <c r="DZ129" s="637"/>
      <c r="EA129" s="643"/>
    </row>
    <row r="130" spans="1:131" s="355" customFormat="1" ht="20.100000000000001" customHeight="1" outlineLevel="1" x14ac:dyDescent="0.25">
      <c r="A130" s="356"/>
      <c r="B130" s="355" t="s">
        <v>268</v>
      </c>
      <c r="C130" s="355" t="str">
        <f t="shared" si="1093"/>
        <v>Consumo</v>
      </c>
      <c r="D130" s="355" t="s">
        <v>53</v>
      </c>
      <c r="E130" s="18" t="s">
        <v>38</v>
      </c>
      <c r="F130" s="355" t="s">
        <v>53</v>
      </c>
      <c r="G130" s="357" t="str">
        <f t="shared" si="1094"/>
        <v>Geral</v>
      </c>
      <c r="H130" s="255" t="s">
        <v>377</v>
      </c>
      <c r="I130" s="356" t="str">
        <f t="shared" si="1028"/>
        <v>Sistema</v>
      </c>
      <c r="K130" s="318" t="s">
        <v>2883</v>
      </c>
      <c r="L130" s="749" t="str">
        <f>IF(Padrões!JF71&lt;&gt;"",Padrões!JF71,"")</f>
        <v/>
      </c>
      <c r="M130" s="358" t="str">
        <f t="shared" si="1029"/>
        <v>?</v>
      </c>
      <c r="N130" s="359">
        <f>Padrões!JI71</f>
        <v>0</v>
      </c>
      <c r="O130" s="381" t="str">
        <f t="shared" si="1030"/>
        <v>?</v>
      </c>
      <c r="P130" s="360">
        <f t="shared" si="1031"/>
        <v>0.12</v>
      </c>
      <c r="Q130" s="360" t="str">
        <f t="shared" si="1032"/>
        <v>?</v>
      </c>
      <c r="R130" s="360">
        <f t="shared" si="1033"/>
        <v>0</v>
      </c>
      <c r="S130" s="361">
        <f t="shared" si="1034"/>
        <v>0</v>
      </c>
      <c r="T130" s="362">
        <f t="shared" si="1035"/>
        <v>0</v>
      </c>
      <c r="U130" s="53" t="str" cm="1">
        <f t="array" ref="U130">IFERROR(IF(I130&lt;&gt;"Serviço",IF(AND(mlookup(tbl_DIFAL_data,UFdestino,tbl_DIFAL_UF,O130,tbl_DIFAL_NCM)&lt;&gt;"",C130="Consumo"),"Sim",""),""),"?")</f>
        <v>?</v>
      </c>
      <c r="V130" s="363" t="str">
        <f>IFERROR(IF(I130&lt;&gt;"Serviço",IF(AND(D130="Não",mlookup(tbl_ST_data,UFdestino,tbl_ST_UF,O130,tbl_ST_NCM)&lt;&gt;"",C130="Revenda",CD130="Não"),"Sim",""),""),"?")</f>
        <v>?</v>
      </c>
      <c r="W130" s="364">
        <f t="shared" si="1036"/>
        <v>0</v>
      </c>
      <c r="X130" s="365">
        <f>IF(V130="Sim",mlookup(tbl_ST_data,UFdestino,tbl_ST_UF,O130,tbl_ST_NCM),0)</f>
        <v>0</v>
      </c>
      <c r="Z130" s="355">
        <f t="shared" si="1037"/>
        <v>0</v>
      </c>
      <c r="AA130" s="355">
        <f t="shared" si="1023"/>
        <v>0</v>
      </c>
      <c r="AC130" s="366">
        <f t="shared" si="1011"/>
        <v>1.31243473968765E-2</v>
      </c>
      <c r="AD130" s="366">
        <f t="shared" si="1038"/>
        <v>0.15</v>
      </c>
      <c r="AF130" s="355">
        <f t="shared" si="1039"/>
        <v>0</v>
      </c>
      <c r="AG130" s="355">
        <f t="shared" si="1040"/>
        <v>0</v>
      </c>
      <c r="AI130" s="355">
        <f t="shared" si="1041"/>
        <v>0</v>
      </c>
      <c r="AK130" s="366">
        <f t="shared" si="1012"/>
        <v>0</v>
      </c>
      <c r="AL130" s="355">
        <f t="shared" si="1024"/>
        <v>0</v>
      </c>
      <c r="AM130" s="355">
        <f t="shared" si="1025"/>
        <v>0</v>
      </c>
      <c r="AO130" s="355" t="b">
        <f t="shared" si="1042"/>
        <v>1</v>
      </c>
      <c r="AQ130" s="367">
        <f t="shared" si="1043"/>
        <v>0</v>
      </c>
      <c r="AR130" s="367">
        <f t="shared" si="1026"/>
        <v>0</v>
      </c>
      <c r="AT130" s="367">
        <f t="shared" si="1044"/>
        <v>0</v>
      </c>
      <c r="AU130" s="367">
        <f t="shared" si="1045"/>
        <v>0</v>
      </c>
      <c r="AW130" s="367">
        <f t="shared" si="1046"/>
        <v>0</v>
      </c>
      <c r="AX130" s="367">
        <f t="shared" si="1047"/>
        <v>0</v>
      </c>
      <c r="AY130" s="367">
        <f t="shared" si="1048"/>
        <v>0</v>
      </c>
      <c r="AZ130" s="367">
        <f t="shared" si="1049"/>
        <v>0</v>
      </c>
      <c r="BB130" s="355">
        <f t="shared" si="1050"/>
        <v>0</v>
      </c>
      <c r="BC130" s="355">
        <f t="shared" si="1051"/>
        <v>0</v>
      </c>
      <c r="BD130" s="355">
        <f t="shared" si="1052"/>
        <v>0</v>
      </c>
      <c r="BE130" s="355">
        <f t="shared" si="1053"/>
        <v>0</v>
      </c>
      <c r="BF130" s="355">
        <f t="shared" si="1054"/>
        <v>0</v>
      </c>
      <c r="BH130" s="368">
        <f t="shared" si="1055"/>
        <v>0</v>
      </c>
      <c r="BJ130" s="369">
        <f t="shared" si="1056"/>
        <v>-0.12</v>
      </c>
      <c r="BK130" s="355">
        <f t="shared" si="1057"/>
        <v>0</v>
      </c>
      <c r="BL130" s="355">
        <f t="shared" si="1058"/>
        <v>0</v>
      </c>
      <c r="BN130" s="366">
        <f t="shared" si="1059"/>
        <v>0</v>
      </c>
      <c r="BO130" s="355">
        <f t="shared" si="1060"/>
        <v>0</v>
      </c>
      <c r="BP130" s="355">
        <f t="shared" si="1061"/>
        <v>0</v>
      </c>
      <c r="BQ130" s="355">
        <f t="shared" si="1062"/>
        <v>0</v>
      </c>
      <c r="BS130" s="367">
        <f t="shared" si="1063"/>
        <v>0</v>
      </c>
      <c r="BT130" s="355">
        <f t="shared" si="1064"/>
        <v>0</v>
      </c>
      <c r="BU130" s="355" t="b">
        <f t="shared" si="1027"/>
        <v>1</v>
      </c>
      <c r="BW130" s="355" t="str">
        <f t="shared" si="1065"/>
        <v/>
      </c>
      <c r="BX130" s="355">
        <f t="shared" si="1066"/>
        <v>0</v>
      </c>
      <c r="BY130" s="356">
        <f t="shared" si="1013"/>
        <v>0</v>
      </c>
      <c r="BZ130" s="355">
        <f t="shared" si="1067"/>
        <v>0</v>
      </c>
      <c r="CB130" s="102" t="str">
        <f t="shared" si="1068"/>
        <v>?</v>
      </c>
      <c r="CD130" s="355" t="str">
        <f t="shared" si="1069"/>
        <v>Não</v>
      </c>
      <c r="CE130" s="368">
        <f>ifzero(mlookup(tbl_ICMSinterest_data,UFdestino,tbl_ICMSinterest_ufdest,UForigem,tbl_ICMSinterest_uforig))</f>
        <v>0.12</v>
      </c>
      <c r="CF130" s="368">
        <f>IF(N130&gt;0,IF(I130&lt;&gt;"Serviço",ifzero(mlookup(tbl_ICMSinterno_data,UForigem,tbl_ICMSinterno_UF,O130,tbl_ICMSinterno_NCM),mlookup(tbl_ICMSinterest_data,UForigem,tbl_ICMSinterest_ufdest,UForigem,tbl_ICMSinterest_uforig)),""),0)</f>
        <v>0</v>
      </c>
      <c r="CG130" s="368">
        <f>IF(N130&gt;0,IF(I130&lt;&gt;"Serviço",ifzero(mlookup(tbl_ICMSinterno_data,UFdestino,tbl_ICMSinterno_UF,O130,tbl_ICMSinterno_NCM),mlookup(tbl_ICMSinterest_data,UFdestino,tbl_ICMSinterest_ufdest,UFdestino,tbl_ICMSinterest_uforig)),""),0)</f>
        <v>0</v>
      </c>
      <c r="CI130" s="355">
        <f t="shared" si="1070"/>
        <v>0</v>
      </c>
      <c r="CJ130" s="355">
        <f t="shared" si="1071"/>
        <v>0</v>
      </c>
      <c r="CK130" s="355">
        <f t="shared" si="1072"/>
        <v>0</v>
      </c>
      <c r="CL130" s="355">
        <f t="shared" si="1073"/>
        <v>0</v>
      </c>
      <c r="CN130" s="370">
        <f t="shared" si="1074"/>
        <v>1540</v>
      </c>
      <c r="CO130" s="355">
        <f t="shared" si="1075"/>
        <v>0</v>
      </c>
      <c r="CQ130" s="355" t="b">
        <f t="shared" si="1076"/>
        <v>0</v>
      </c>
      <c r="CR130" s="355" t="b">
        <f t="shared" si="1077"/>
        <v>1</v>
      </c>
      <c r="CS130" s="355" t="b">
        <f t="shared" si="1078"/>
        <v>0</v>
      </c>
      <c r="CU130" s="2">
        <f t="shared" si="1079"/>
        <v>0</v>
      </c>
      <c r="CV130" s="102">
        <f t="shared" si="1080"/>
        <v>0</v>
      </c>
      <c r="CW130" s="102">
        <f t="shared" si="1014"/>
        <v>0</v>
      </c>
      <c r="CX130" s="102">
        <f t="shared" si="1081"/>
        <v>0</v>
      </c>
      <c r="CY130" s="290">
        <f t="shared" si="1082"/>
        <v>0</v>
      </c>
      <c r="CZ130" s="102">
        <f t="shared" si="1016"/>
        <v>0</v>
      </c>
      <c r="DA130" s="290">
        <f t="shared" si="1083"/>
        <v>0</v>
      </c>
      <c r="DB130" s="102">
        <f t="shared" si="1017"/>
        <v>0</v>
      </c>
      <c r="DC130" s="290">
        <f t="shared" si="1084"/>
        <v>0</v>
      </c>
      <c r="DD130" s="102">
        <f t="shared" si="1015"/>
        <v>0</v>
      </c>
      <c r="DE130" s="592">
        <f>IF(D130="Sim",HLOOKUP($DH$5,Parametrização!$G$2:$H$4,2,FALSE),0)</f>
        <v>0</v>
      </c>
      <c r="DF130" s="102">
        <f t="shared" si="1018"/>
        <v>0</v>
      </c>
      <c r="DG130" s="592">
        <f>IF(D130="Sim",HLOOKUP($DH$5,Parametrização!$G$2:$H$4,3,FALSE),0)</f>
        <v>0</v>
      </c>
      <c r="DH130" s="102">
        <f t="shared" si="1019"/>
        <v>0</v>
      </c>
      <c r="DI130" s="102">
        <f t="shared" si="1020"/>
        <v>0</v>
      </c>
      <c r="DK130" s="3" t="str">
        <f t="shared" si="1085"/>
        <v>NA</v>
      </c>
      <c r="DL130" s="2" t="str">
        <f t="shared" si="1086"/>
        <v>NA</v>
      </c>
      <c r="DM130" s="3" t="str">
        <f t="shared" si="1087"/>
        <v>NA</v>
      </c>
      <c r="DN130" s="9" t="str">
        <f t="shared" si="1088"/>
        <v>NA</v>
      </c>
      <c r="DO130" s="637" t="str">
        <f t="shared" si="1089"/>
        <v>NA</v>
      </c>
      <c r="DP130" s="637"/>
      <c r="DQ130" s="3" t="str">
        <f t="shared" si="1090"/>
        <v>NA</v>
      </c>
      <c r="DR130" s="2" t="str">
        <f t="shared" si="1091"/>
        <v>NA</v>
      </c>
      <c r="DS130" s="3" t="str">
        <f t="shared" si="1092"/>
        <v>NA</v>
      </c>
      <c r="DT130" s="9" t="str">
        <f t="shared" si="1021"/>
        <v>NA</v>
      </c>
      <c r="DU130" s="637" t="str">
        <f t="shared" si="1022"/>
        <v>NA</v>
      </c>
      <c r="DV130" s="637"/>
      <c r="DW130" s="682"/>
      <c r="DX130" s="682"/>
      <c r="DY130" s="682"/>
      <c r="DZ130" s="637"/>
      <c r="EA130" s="643"/>
    </row>
    <row r="131" spans="1:131" s="355" customFormat="1" ht="20.100000000000001" customHeight="1" outlineLevel="1" x14ac:dyDescent="0.25">
      <c r="A131" s="356"/>
      <c r="B131" s="355" t="s">
        <v>268</v>
      </c>
      <c r="C131" s="355" t="str">
        <f t="shared" si="1093"/>
        <v>Consumo</v>
      </c>
      <c r="D131" s="355" t="s">
        <v>53</v>
      </c>
      <c r="E131" s="18" t="s">
        <v>38</v>
      </c>
      <c r="F131" s="355" t="s">
        <v>53</v>
      </c>
      <c r="G131" s="357" t="str">
        <f t="shared" si="1094"/>
        <v>Geral</v>
      </c>
      <c r="H131" s="255" t="s">
        <v>377</v>
      </c>
      <c r="I131" s="356" t="str">
        <f t="shared" si="1028"/>
        <v>Sistema</v>
      </c>
      <c r="K131" s="318" t="s">
        <v>2884</v>
      </c>
      <c r="L131" s="749" t="str">
        <f>IF(Padrões!JF72&lt;&gt;"",Padrões!JF72,"")</f>
        <v/>
      </c>
      <c r="M131" s="358" t="str">
        <f t="shared" si="1029"/>
        <v>?</v>
      </c>
      <c r="N131" s="359">
        <f>Padrões!JI72</f>
        <v>0</v>
      </c>
      <c r="O131" s="381" t="str">
        <f t="shared" si="1030"/>
        <v>?</v>
      </c>
      <c r="P131" s="360">
        <f t="shared" si="1031"/>
        <v>0.12</v>
      </c>
      <c r="Q131" s="360" t="str">
        <f t="shared" si="1032"/>
        <v>?</v>
      </c>
      <c r="R131" s="360">
        <f t="shared" si="1033"/>
        <v>0</v>
      </c>
      <c r="S131" s="361">
        <f t="shared" si="1034"/>
        <v>0</v>
      </c>
      <c r="T131" s="362">
        <f t="shared" si="1035"/>
        <v>0</v>
      </c>
      <c r="U131" s="53" t="str" cm="1">
        <f t="array" ref="U131">IFERROR(IF(I131&lt;&gt;"Serviço",IF(AND(mlookup(tbl_DIFAL_data,UFdestino,tbl_DIFAL_UF,O131,tbl_DIFAL_NCM)&lt;&gt;"",C131="Consumo"),"Sim",""),""),"?")</f>
        <v>?</v>
      </c>
      <c r="V131" s="363" t="str">
        <f>IFERROR(IF(I131&lt;&gt;"Serviço",IF(AND(D131="Não",mlookup(tbl_ST_data,UFdestino,tbl_ST_UF,O131,tbl_ST_NCM)&lt;&gt;"",C131="Revenda",CD131="Não"),"Sim",""),""),"?")</f>
        <v>?</v>
      </c>
      <c r="W131" s="364">
        <f t="shared" si="1036"/>
        <v>0</v>
      </c>
      <c r="X131" s="365">
        <f>IF(V131="Sim",mlookup(tbl_ST_data,UFdestino,tbl_ST_UF,O131,tbl_ST_NCM),0)</f>
        <v>0</v>
      </c>
      <c r="Z131" s="355">
        <f t="shared" si="1037"/>
        <v>0</v>
      </c>
      <c r="AA131" s="355">
        <f t="shared" si="1023"/>
        <v>0</v>
      </c>
      <c r="AC131" s="366">
        <f t="shared" si="1011"/>
        <v>1.31243473968765E-2</v>
      </c>
      <c r="AD131" s="366">
        <f t="shared" si="1038"/>
        <v>0.15</v>
      </c>
      <c r="AF131" s="355">
        <f t="shared" si="1039"/>
        <v>0</v>
      </c>
      <c r="AG131" s="355">
        <f t="shared" si="1040"/>
        <v>0</v>
      </c>
      <c r="AI131" s="355">
        <f t="shared" si="1041"/>
        <v>0</v>
      </c>
      <c r="AK131" s="366">
        <f t="shared" si="1012"/>
        <v>0</v>
      </c>
      <c r="AL131" s="355">
        <f t="shared" si="1024"/>
        <v>0</v>
      </c>
      <c r="AM131" s="355">
        <f t="shared" si="1025"/>
        <v>0</v>
      </c>
      <c r="AO131" s="355" t="b">
        <f t="shared" si="1042"/>
        <v>1</v>
      </c>
      <c r="AQ131" s="367">
        <f t="shared" si="1043"/>
        <v>0</v>
      </c>
      <c r="AR131" s="367">
        <f t="shared" si="1026"/>
        <v>0</v>
      </c>
      <c r="AT131" s="367">
        <f t="shared" si="1044"/>
        <v>0</v>
      </c>
      <c r="AU131" s="367">
        <f t="shared" si="1045"/>
        <v>0</v>
      </c>
      <c r="AW131" s="367">
        <f t="shared" si="1046"/>
        <v>0</v>
      </c>
      <c r="AX131" s="367">
        <f t="shared" si="1047"/>
        <v>0</v>
      </c>
      <c r="AY131" s="367">
        <f t="shared" si="1048"/>
        <v>0</v>
      </c>
      <c r="AZ131" s="367">
        <f t="shared" si="1049"/>
        <v>0</v>
      </c>
      <c r="BB131" s="355">
        <f t="shared" si="1050"/>
        <v>0</v>
      </c>
      <c r="BC131" s="355">
        <f t="shared" si="1051"/>
        <v>0</v>
      </c>
      <c r="BD131" s="355">
        <f t="shared" si="1052"/>
        <v>0</v>
      </c>
      <c r="BE131" s="355">
        <f t="shared" si="1053"/>
        <v>0</v>
      </c>
      <c r="BF131" s="355">
        <f t="shared" si="1054"/>
        <v>0</v>
      </c>
      <c r="BH131" s="368">
        <f t="shared" si="1055"/>
        <v>0</v>
      </c>
      <c r="BJ131" s="369">
        <f t="shared" si="1056"/>
        <v>-0.12</v>
      </c>
      <c r="BK131" s="355">
        <f t="shared" si="1057"/>
        <v>0</v>
      </c>
      <c r="BL131" s="355">
        <f t="shared" si="1058"/>
        <v>0</v>
      </c>
      <c r="BN131" s="366">
        <f t="shared" si="1059"/>
        <v>0</v>
      </c>
      <c r="BO131" s="355">
        <f t="shared" si="1060"/>
        <v>0</v>
      </c>
      <c r="BP131" s="355">
        <f t="shared" si="1061"/>
        <v>0</v>
      </c>
      <c r="BQ131" s="355">
        <f t="shared" si="1062"/>
        <v>0</v>
      </c>
      <c r="BS131" s="367">
        <f t="shared" si="1063"/>
        <v>0</v>
      </c>
      <c r="BT131" s="355">
        <f t="shared" si="1064"/>
        <v>0</v>
      </c>
      <c r="BU131" s="355" t="b">
        <f t="shared" si="1027"/>
        <v>1</v>
      </c>
      <c r="BW131" s="355" t="str">
        <f t="shared" si="1065"/>
        <v/>
      </c>
      <c r="BX131" s="355">
        <f t="shared" si="1066"/>
        <v>0</v>
      </c>
      <c r="BY131" s="356">
        <f t="shared" si="1013"/>
        <v>0</v>
      </c>
      <c r="BZ131" s="355">
        <f t="shared" si="1067"/>
        <v>0</v>
      </c>
      <c r="CB131" s="102" t="str">
        <f t="shared" si="1068"/>
        <v>?</v>
      </c>
      <c r="CD131" s="355" t="str">
        <f t="shared" si="1069"/>
        <v>Não</v>
      </c>
      <c r="CE131" s="368">
        <f>ifzero(mlookup(tbl_ICMSinterest_data,UFdestino,tbl_ICMSinterest_ufdest,UForigem,tbl_ICMSinterest_uforig))</f>
        <v>0.12</v>
      </c>
      <c r="CF131" s="368">
        <f>IF(N131&gt;0,IF(I131&lt;&gt;"Serviço",ifzero(mlookup(tbl_ICMSinterno_data,UForigem,tbl_ICMSinterno_UF,O131,tbl_ICMSinterno_NCM),mlookup(tbl_ICMSinterest_data,UForigem,tbl_ICMSinterest_ufdest,UForigem,tbl_ICMSinterest_uforig)),""),0)</f>
        <v>0</v>
      </c>
      <c r="CG131" s="368">
        <f>IF(N131&gt;0,IF(I131&lt;&gt;"Serviço",ifzero(mlookup(tbl_ICMSinterno_data,UFdestino,tbl_ICMSinterno_UF,O131,tbl_ICMSinterno_NCM),mlookup(tbl_ICMSinterest_data,UFdestino,tbl_ICMSinterest_ufdest,UFdestino,tbl_ICMSinterest_uforig)),""),0)</f>
        <v>0</v>
      </c>
      <c r="CI131" s="355">
        <f t="shared" si="1070"/>
        <v>0</v>
      </c>
      <c r="CJ131" s="355">
        <f t="shared" si="1071"/>
        <v>0</v>
      </c>
      <c r="CK131" s="355">
        <f t="shared" si="1072"/>
        <v>0</v>
      </c>
      <c r="CL131" s="355">
        <f t="shared" si="1073"/>
        <v>0</v>
      </c>
      <c r="CN131" s="370">
        <f t="shared" si="1074"/>
        <v>1540</v>
      </c>
      <c r="CO131" s="355">
        <f t="shared" si="1075"/>
        <v>0</v>
      </c>
      <c r="CQ131" s="355" t="b">
        <f t="shared" si="1076"/>
        <v>0</v>
      </c>
      <c r="CR131" s="355" t="b">
        <f t="shared" si="1077"/>
        <v>1</v>
      </c>
      <c r="CS131" s="355" t="b">
        <f t="shared" si="1078"/>
        <v>0</v>
      </c>
      <c r="CU131" s="2">
        <f t="shared" si="1079"/>
        <v>0</v>
      </c>
      <c r="CV131" s="102">
        <f t="shared" si="1080"/>
        <v>0</v>
      </c>
      <c r="CW131" s="102">
        <f t="shared" si="1014"/>
        <v>0</v>
      </c>
      <c r="CX131" s="102">
        <f t="shared" si="1081"/>
        <v>0</v>
      </c>
      <c r="CY131" s="290">
        <f t="shared" si="1082"/>
        <v>0</v>
      </c>
      <c r="CZ131" s="102">
        <f t="shared" si="1016"/>
        <v>0</v>
      </c>
      <c r="DA131" s="290">
        <f t="shared" si="1083"/>
        <v>0</v>
      </c>
      <c r="DB131" s="102">
        <f t="shared" si="1017"/>
        <v>0</v>
      </c>
      <c r="DC131" s="290">
        <f t="shared" si="1084"/>
        <v>0</v>
      </c>
      <c r="DD131" s="102">
        <f t="shared" si="1015"/>
        <v>0</v>
      </c>
      <c r="DE131" s="592">
        <f>IF(D131="Sim",HLOOKUP($DH$5,Parametrização!$G$2:$H$4,2,FALSE),0)</f>
        <v>0</v>
      </c>
      <c r="DF131" s="102">
        <f t="shared" si="1018"/>
        <v>0</v>
      </c>
      <c r="DG131" s="592">
        <f>IF(D131="Sim",HLOOKUP($DH$5,Parametrização!$G$2:$H$4,3,FALSE),0)</f>
        <v>0</v>
      </c>
      <c r="DH131" s="102">
        <f t="shared" si="1019"/>
        <v>0</v>
      </c>
      <c r="DI131" s="102">
        <f t="shared" si="1020"/>
        <v>0</v>
      </c>
      <c r="DK131" s="3" t="str">
        <f t="shared" si="1085"/>
        <v>NA</v>
      </c>
      <c r="DL131" s="2" t="str">
        <f t="shared" si="1086"/>
        <v>NA</v>
      </c>
      <c r="DM131" s="3" t="str">
        <f t="shared" si="1087"/>
        <v>NA</v>
      </c>
      <c r="DN131" s="9" t="str">
        <f t="shared" si="1088"/>
        <v>NA</v>
      </c>
      <c r="DO131" s="637" t="str">
        <f t="shared" si="1089"/>
        <v>NA</v>
      </c>
      <c r="DP131" s="637"/>
      <c r="DQ131" s="3" t="str">
        <f t="shared" si="1090"/>
        <v>NA</v>
      </c>
      <c r="DR131" s="2" t="str">
        <f t="shared" si="1091"/>
        <v>NA</v>
      </c>
      <c r="DS131" s="3" t="str">
        <f t="shared" si="1092"/>
        <v>NA</v>
      </c>
      <c r="DT131" s="9" t="str">
        <f t="shared" si="1021"/>
        <v>NA</v>
      </c>
      <c r="DU131" s="637" t="str">
        <f t="shared" si="1022"/>
        <v>NA</v>
      </c>
      <c r="DV131" s="637"/>
      <c r="DW131" s="682"/>
      <c r="DX131" s="682"/>
      <c r="DY131" s="682"/>
      <c r="DZ131" s="637"/>
      <c r="EA131" s="643"/>
    </row>
    <row r="132" spans="1:131" s="355" customFormat="1" ht="20.100000000000001" customHeight="1" outlineLevel="1" x14ac:dyDescent="0.25">
      <c r="A132" s="356"/>
      <c r="B132" s="355" t="s">
        <v>268</v>
      </c>
      <c r="C132" s="355" t="str">
        <f t="shared" si="1093"/>
        <v>Consumo</v>
      </c>
      <c r="D132" s="355" t="s">
        <v>53</v>
      </c>
      <c r="E132" s="18" t="s">
        <v>38</v>
      </c>
      <c r="F132" s="355" t="s">
        <v>53</v>
      </c>
      <c r="G132" s="357" t="str">
        <f t="shared" si="1094"/>
        <v>Geral</v>
      </c>
      <c r="H132" s="255" t="s">
        <v>377</v>
      </c>
      <c r="I132" s="356" t="str">
        <f t="shared" si="1028"/>
        <v>Sistema</v>
      </c>
      <c r="K132" s="318" t="s">
        <v>2885</v>
      </c>
      <c r="L132" s="749" t="str">
        <f>IF(Padrões!JF73&lt;&gt;"",Padrões!JF73,"")</f>
        <v/>
      </c>
      <c r="M132" s="358" t="str">
        <f t="shared" si="1029"/>
        <v>?</v>
      </c>
      <c r="N132" s="359">
        <f>Padrões!JI73</f>
        <v>0</v>
      </c>
      <c r="O132" s="381" t="str">
        <f t="shared" si="1030"/>
        <v>?</v>
      </c>
      <c r="P132" s="360">
        <f t="shared" si="1031"/>
        <v>0.12</v>
      </c>
      <c r="Q132" s="360" t="str">
        <f t="shared" si="1032"/>
        <v>?</v>
      </c>
      <c r="R132" s="360">
        <f t="shared" si="1033"/>
        <v>0</v>
      </c>
      <c r="S132" s="361">
        <f t="shared" si="1034"/>
        <v>0</v>
      </c>
      <c r="T132" s="362">
        <f t="shared" si="1035"/>
        <v>0</v>
      </c>
      <c r="U132" s="53" t="str" cm="1">
        <f t="array" ref="U132">IFERROR(IF(I132&lt;&gt;"Serviço",IF(AND(mlookup(tbl_DIFAL_data,UFdestino,tbl_DIFAL_UF,O132,tbl_DIFAL_NCM)&lt;&gt;"",C132="Consumo"),"Sim",""),""),"?")</f>
        <v>?</v>
      </c>
      <c r="V132" s="363" t="str">
        <f>IFERROR(IF(I132&lt;&gt;"Serviço",IF(AND(D132="Não",mlookup(tbl_ST_data,UFdestino,tbl_ST_UF,O132,tbl_ST_NCM)&lt;&gt;"",C132="Revenda",CD132="Não"),"Sim",""),""),"?")</f>
        <v>?</v>
      </c>
      <c r="W132" s="364">
        <f t="shared" si="1036"/>
        <v>0</v>
      </c>
      <c r="X132" s="365">
        <f>IF(V132="Sim",mlookup(tbl_ST_data,UFdestino,tbl_ST_UF,O132,tbl_ST_NCM),0)</f>
        <v>0</v>
      </c>
      <c r="Z132" s="355">
        <f t="shared" si="1037"/>
        <v>0</v>
      </c>
      <c r="AA132" s="355">
        <f t="shared" si="1023"/>
        <v>0</v>
      </c>
      <c r="AC132" s="366">
        <f t="shared" ref="AC132:AC195" si="1095">cobertura_pc</f>
        <v>1.31243473968765E-2</v>
      </c>
      <c r="AD132" s="366">
        <f t="shared" si="1038"/>
        <v>0.15</v>
      </c>
      <c r="AF132" s="355">
        <f t="shared" si="1039"/>
        <v>0</v>
      </c>
      <c r="AG132" s="355">
        <f t="shared" si="1040"/>
        <v>0</v>
      </c>
      <c r="AI132" s="355">
        <f t="shared" si="1041"/>
        <v>0</v>
      </c>
      <c r="AK132" s="366">
        <f t="shared" ref="AK132:AK195" si="1096">mn_pc</f>
        <v>0</v>
      </c>
      <c r="AL132" s="355">
        <f t="shared" si="1024"/>
        <v>0</v>
      </c>
      <c r="AM132" s="355">
        <f t="shared" si="1025"/>
        <v>0</v>
      </c>
      <c r="AO132" s="355" t="b">
        <f t="shared" si="1042"/>
        <v>1</v>
      </c>
      <c r="AQ132" s="367">
        <f t="shared" si="1043"/>
        <v>0</v>
      </c>
      <c r="AR132" s="367">
        <f t="shared" si="1026"/>
        <v>0</v>
      </c>
      <c r="AT132" s="367">
        <f t="shared" si="1044"/>
        <v>0</v>
      </c>
      <c r="AU132" s="367">
        <f t="shared" si="1045"/>
        <v>0</v>
      </c>
      <c r="AW132" s="367">
        <f t="shared" si="1046"/>
        <v>0</v>
      </c>
      <c r="AX132" s="367">
        <f t="shared" si="1047"/>
        <v>0</v>
      </c>
      <c r="AY132" s="367">
        <f t="shared" si="1048"/>
        <v>0</v>
      </c>
      <c r="AZ132" s="367">
        <f t="shared" si="1049"/>
        <v>0</v>
      </c>
      <c r="BB132" s="355">
        <f t="shared" si="1050"/>
        <v>0</v>
      </c>
      <c r="BC132" s="355">
        <f t="shared" si="1051"/>
        <v>0</v>
      </c>
      <c r="BD132" s="355">
        <f t="shared" si="1052"/>
        <v>0</v>
      </c>
      <c r="BE132" s="355">
        <f t="shared" si="1053"/>
        <v>0</v>
      </c>
      <c r="BF132" s="355">
        <f t="shared" si="1054"/>
        <v>0</v>
      </c>
      <c r="BH132" s="368">
        <f t="shared" si="1055"/>
        <v>0</v>
      </c>
      <c r="BJ132" s="369">
        <f t="shared" si="1056"/>
        <v>-0.12</v>
      </c>
      <c r="BK132" s="355">
        <f t="shared" si="1057"/>
        <v>0</v>
      </c>
      <c r="BL132" s="355">
        <f t="shared" si="1058"/>
        <v>0</v>
      </c>
      <c r="BN132" s="366">
        <f t="shared" si="1059"/>
        <v>0</v>
      </c>
      <c r="BO132" s="355">
        <f t="shared" si="1060"/>
        <v>0</v>
      </c>
      <c r="BP132" s="355">
        <f t="shared" si="1061"/>
        <v>0</v>
      </c>
      <c r="BQ132" s="355">
        <f t="shared" si="1062"/>
        <v>0</v>
      </c>
      <c r="BS132" s="367">
        <f t="shared" si="1063"/>
        <v>0</v>
      </c>
      <c r="BT132" s="355">
        <f t="shared" si="1064"/>
        <v>0</v>
      </c>
      <c r="BU132" s="355" t="b">
        <f t="shared" si="1027"/>
        <v>1</v>
      </c>
      <c r="BW132" s="355" t="str">
        <f t="shared" si="1065"/>
        <v/>
      </c>
      <c r="BX132" s="355">
        <f t="shared" si="1066"/>
        <v>0</v>
      </c>
      <c r="BY132" s="356">
        <f t="shared" si="1013"/>
        <v>0</v>
      </c>
      <c r="BZ132" s="355">
        <f t="shared" si="1067"/>
        <v>0</v>
      </c>
      <c r="CB132" s="102" t="str">
        <f t="shared" si="1068"/>
        <v>?</v>
      </c>
      <c r="CD132" s="355" t="str">
        <f t="shared" si="1069"/>
        <v>Não</v>
      </c>
      <c r="CE132" s="368">
        <f>ifzero(mlookup(tbl_ICMSinterest_data,UFdestino,tbl_ICMSinterest_ufdest,UForigem,tbl_ICMSinterest_uforig))</f>
        <v>0.12</v>
      </c>
      <c r="CF132" s="368">
        <f>IF(N132&gt;0,IF(I132&lt;&gt;"Serviço",ifzero(mlookup(tbl_ICMSinterno_data,UForigem,tbl_ICMSinterno_UF,O132,tbl_ICMSinterno_NCM),mlookup(tbl_ICMSinterest_data,UForigem,tbl_ICMSinterest_ufdest,UForigem,tbl_ICMSinterest_uforig)),""),0)</f>
        <v>0</v>
      </c>
      <c r="CG132" s="368">
        <f>IF(N132&gt;0,IF(I132&lt;&gt;"Serviço",ifzero(mlookup(tbl_ICMSinterno_data,UFdestino,tbl_ICMSinterno_UF,O132,tbl_ICMSinterno_NCM),mlookup(tbl_ICMSinterest_data,UFdestino,tbl_ICMSinterest_ufdest,UFdestino,tbl_ICMSinterest_uforig)),""),0)</f>
        <v>0</v>
      </c>
      <c r="CI132" s="355">
        <f t="shared" si="1070"/>
        <v>0</v>
      </c>
      <c r="CJ132" s="355">
        <f t="shared" si="1071"/>
        <v>0</v>
      </c>
      <c r="CK132" s="355">
        <f t="shared" si="1072"/>
        <v>0</v>
      </c>
      <c r="CL132" s="355">
        <f t="shared" si="1073"/>
        <v>0</v>
      </c>
      <c r="CN132" s="370">
        <f t="shared" si="1074"/>
        <v>1540</v>
      </c>
      <c r="CO132" s="355">
        <f t="shared" si="1075"/>
        <v>0</v>
      </c>
      <c r="CQ132" s="355" t="b">
        <f t="shared" si="1076"/>
        <v>0</v>
      </c>
      <c r="CR132" s="355" t="b">
        <f t="shared" si="1077"/>
        <v>1</v>
      </c>
      <c r="CS132" s="355" t="b">
        <f t="shared" si="1078"/>
        <v>0</v>
      </c>
      <c r="CU132" s="2">
        <f t="shared" si="1079"/>
        <v>0</v>
      </c>
      <c r="CV132" s="102">
        <f t="shared" si="1080"/>
        <v>0</v>
      </c>
      <c r="CW132" s="102">
        <f t="shared" si="1014"/>
        <v>0</v>
      </c>
      <c r="CX132" s="102">
        <f t="shared" si="1081"/>
        <v>0</v>
      </c>
      <c r="CY132" s="290">
        <f t="shared" si="1082"/>
        <v>0</v>
      </c>
      <c r="CZ132" s="102">
        <f t="shared" si="1016"/>
        <v>0</v>
      </c>
      <c r="DA132" s="290">
        <f t="shared" si="1083"/>
        <v>0</v>
      </c>
      <c r="DB132" s="102">
        <f t="shared" si="1017"/>
        <v>0</v>
      </c>
      <c r="DC132" s="290">
        <f t="shared" si="1084"/>
        <v>0</v>
      </c>
      <c r="DD132" s="102">
        <f t="shared" si="1015"/>
        <v>0</v>
      </c>
      <c r="DE132" s="592">
        <f>IF(D132="Sim",HLOOKUP($DH$5,Parametrização!$G$2:$H$4,2,FALSE),0)</f>
        <v>0</v>
      </c>
      <c r="DF132" s="102">
        <f t="shared" si="1018"/>
        <v>0</v>
      </c>
      <c r="DG132" s="592">
        <f>IF(D132="Sim",HLOOKUP($DH$5,Parametrização!$G$2:$H$4,3,FALSE),0)</f>
        <v>0</v>
      </c>
      <c r="DH132" s="102">
        <f t="shared" si="1019"/>
        <v>0</v>
      </c>
      <c r="DI132" s="102">
        <f t="shared" si="1020"/>
        <v>0</v>
      </c>
      <c r="DK132" s="3" t="str">
        <f t="shared" si="1085"/>
        <v>NA</v>
      </c>
      <c r="DL132" s="2" t="str">
        <f t="shared" si="1086"/>
        <v>NA</v>
      </c>
      <c r="DM132" s="3" t="str">
        <f t="shared" si="1087"/>
        <v>NA</v>
      </c>
      <c r="DN132" s="9" t="str">
        <f t="shared" si="1088"/>
        <v>NA</v>
      </c>
      <c r="DO132" s="637" t="str">
        <f t="shared" si="1089"/>
        <v>NA</v>
      </c>
      <c r="DP132" s="637"/>
      <c r="DQ132" s="3" t="str">
        <f t="shared" si="1090"/>
        <v>NA</v>
      </c>
      <c r="DR132" s="2" t="str">
        <f t="shared" si="1091"/>
        <v>NA</v>
      </c>
      <c r="DS132" s="3" t="str">
        <f t="shared" si="1092"/>
        <v>NA</v>
      </c>
      <c r="DT132" s="9" t="str">
        <f t="shared" si="1021"/>
        <v>NA</v>
      </c>
      <c r="DU132" s="637" t="str">
        <f t="shared" si="1022"/>
        <v>NA</v>
      </c>
      <c r="DV132" s="637"/>
      <c r="DW132" s="682"/>
      <c r="DX132" s="682"/>
      <c r="DY132" s="682"/>
      <c r="DZ132" s="637"/>
      <c r="EA132" s="643"/>
    </row>
    <row r="133" spans="1:131" s="355" customFormat="1" ht="20.100000000000001" customHeight="1" outlineLevel="1" x14ac:dyDescent="0.25">
      <c r="A133" s="356"/>
      <c r="B133" s="355" t="s">
        <v>268</v>
      </c>
      <c r="C133" s="355" t="str">
        <f t="shared" si="1093"/>
        <v>Consumo</v>
      </c>
      <c r="D133" s="355" t="s">
        <v>53</v>
      </c>
      <c r="E133" s="18" t="s">
        <v>38</v>
      </c>
      <c r="F133" s="355" t="s">
        <v>53</v>
      </c>
      <c r="G133" s="357" t="str">
        <f t="shared" si="1094"/>
        <v>Geral</v>
      </c>
      <c r="H133" s="255" t="s">
        <v>377</v>
      </c>
      <c r="I133" s="356" t="str">
        <f t="shared" si="1028"/>
        <v>Sistema</v>
      </c>
      <c r="K133" s="318" t="s">
        <v>2886</v>
      </c>
      <c r="L133" s="749" t="str">
        <f>IF(Padrões!JF74&lt;&gt;"",Padrões!JF74,"")</f>
        <v/>
      </c>
      <c r="M133" s="358" t="str">
        <f t="shared" si="1029"/>
        <v>?</v>
      </c>
      <c r="N133" s="359">
        <f>Padrões!JI74</f>
        <v>0</v>
      </c>
      <c r="O133" s="381" t="str">
        <f t="shared" si="1030"/>
        <v>?</v>
      </c>
      <c r="P133" s="360">
        <f t="shared" si="1031"/>
        <v>0.12</v>
      </c>
      <c r="Q133" s="360" t="str">
        <f t="shared" si="1032"/>
        <v>?</v>
      </c>
      <c r="R133" s="360">
        <f t="shared" si="1033"/>
        <v>0</v>
      </c>
      <c r="S133" s="361">
        <f t="shared" si="1034"/>
        <v>0</v>
      </c>
      <c r="T133" s="362">
        <f t="shared" si="1035"/>
        <v>0</v>
      </c>
      <c r="U133" s="53" t="str" cm="1">
        <f t="array" ref="U133">IFERROR(IF(I133&lt;&gt;"Serviço",IF(AND(mlookup(tbl_DIFAL_data,UFdestino,tbl_DIFAL_UF,O133,tbl_DIFAL_NCM)&lt;&gt;"",C133="Consumo"),"Sim",""),""),"?")</f>
        <v>?</v>
      </c>
      <c r="V133" s="363" t="str">
        <f>IFERROR(IF(I133&lt;&gt;"Serviço",IF(AND(D133="Não",mlookup(tbl_ST_data,UFdestino,tbl_ST_UF,O133,tbl_ST_NCM)&lt;&gt;"",C133="Revenda",CD133="Não"),"Sim",""),""),"?")</f>
        <v>?</v>
      </c>
      <c r="W133" s="364">
        <f t="shared" si="1036"/>
        <v>0</v>
      </c>
      <c r="X133" s="365">
        <f>IF(V133="Sim",mlookup(tbl_ST_data,UFdestino,tbl_ST_UF,O133,tbl_ST_NCM),0)</f>
        <v>0</v>
      </c>
      <c r="Z133" s="355">
        <f t="shared" si="1037"/>
        <v>0</v>
      </c>
      <c r="AA133" s="355">
        <f t="shared" si="1023"/>
        <v>0</v>
      </c>
      <c r="AC133" s="366">
        <f t="shared" si="1095"/>
        <v>1.31243473968765E-2</v>
      </c>
      <c r="AD133" s="366">
        <f t="shared" si="1038"/>
        <v>0.15</v>
      </c>
      <c r="AF133" s="355">
        <f t="shared" si="1039"/>
        <v>0</v>
      </c>
      <c r="AG133" s="355">
        <f t="shared" si="1040"/>
        <v>0</v>
      </c>
      <c r="AI133" s="355">
        <f t="shared" si="1041"/>
        <v>0</v>
      </c>
      <c r="AK133" s="366">
        <f t="shared" si="1096"/>
        <v>0</v>
      </c>
      <c r="AL133" s="355">
        <f t="shared" si="1024"/>
        <v>0</v>
      </c>
      <c r="AM133" s="355">
        <f t="shared" si="1025"/>
        <v>0</v>
      </c>
      <c r="AO133" s="355" t="b">
        <f t="shared" si="1042"/>
        <v>1</v>
      </c>
      <c r="AQ133" s="367">
        <f t="shared" si="1043"/>
        <v>0</v>
      </c>
      <c r="AR133" s="367">
        <f t="shared" si="1026"/>
        <v>0</v>
      </c>
      <c r="AT133" s="367">
        <f t="shared" si="1044"/>
        <v>0</v>
      </c>
      <c r="AU133" s="367">
        <f t="shared" si="1045"/>
        <v>0</v>
      </c>
      <c r="AW133" s="367">
        <f t="shared" si="1046"/>
        <v>0</v>
      </c>
      <c r="AX133" s="367">
        <f t="shared" si="1047"/>
        <v>0</v>
      </c>
      <c r="AY133" s="367">
        <f t="shared" si="1048"/>
        <v>0</v>
      </c>
      <c r="AZ133" s="367">
        <f t="shared" si="1049"/>
        <v>0</v>
      </c>
      <c r="BB133" s="355">
        <f t="shared" si="1050"/>
        <v>0</v>
      </c>
      <c r="BC133" s="355">
        <f t="shared" si="1051"/>
        <v>0</v>
      </c>
      <c r="BD133" s="355">
        <f t="shared" si="1052"/>
        <v>0</v>
      </c>
      <c r="BE133" s="355">
        <f t="shared" si="1053"/>
        <v>0</v>
      </c>
      <c r="BF133" s="355">
        <f t="shared" si="1054"/>
        <v>0</v>
      </c>
      <c r="BH133" s="368">
        <f t="shared" si="1055"/>
        <v>0</v>
      </c>
      <c r="BJ133" s="369">
        <f t="shared" si="1056"/>
        <v>-0.12</v>
      </c>
      <c r="BK133" s="355">
        <f t="shared" si="1057"/>
        <v>0</v>
      </c>
      <c r="BL133" s="355">
        <f t="shared" si="1058"/>
        <v>0</v>
      </c>
      <c r="BN133" s="366">
        <f t="shared" si="1059"/>
        <v>0</v>
      </c>
      <c r="BO133" s="355">
        <f t="shared" si="1060"/>
        <v>0</v>
      </c>
      <c r="BP133" s="355">
        <f t="shared" si="1061"/>
        <v>0</v>
      </c>
      <c r="BQ133" s="355">
        <f t="shared" si="1062"/>
        <v>0</v>
      </c>
      <c r="BS133" s="367">
        <f t="shared" si="1063"/>
        <v>0</v>
      </c>
      <c r="BT133" s="355">
        <f t="shared" si="1064"/>
        <v>0</v>
      </c>
      <c r="BU133" s="355" t="b">
        <f t="shared" si="1027"/>
        <v>1</v>
      </c>
      <c r="BW133" s="355" t="str">
        <f t="shared" si="1065"/>
        <v/>
      </c>
      <c r="BX133" s="355">
        <f t="shared" si="1066"/>
        <v>0</v>
      </c>
      <c r="BY133" s="356">
        <f t="shared" si="1013"/>
        <v>0</v>
      </c>
      <c r="BZ133" s="355">
        <f t="shared" si="1067"/>
        <v>0</v>
      </c>
      <c r="CB133" s="102" t="str">
        <f t="shared" si="1068"/>
        <v>?</v>
      </c>
      <c r="CD133" s="355" t="str">
        <f t="shared" si="1069"/>
        <v>Não</v>
      </c>
      <c r="CE133" s="368">
        <f>ifzero(mlookup(tbl_ICMSinterest_data,UFdestino,tbl_ICMSinterest_ufdest,UForigem,tbl_ICMSinterest_uforig))</f>
        <v>0.12</v>
      </c>
      <c r="CF133" s="368">
        <f>IF(N133&gt;0,IF(I133&lt;&gt;"Serviço",ifzero(mlookup(tbl_ICMSinterno_data,UForigem,tbl_ICMSinterno_UF,O133,tbl_ICMSinterno_NCM),mlookup(tbl_ICMSinterest_data,UForigem,tbl_ICMSinterest_ufdest,UForigem,tbl_ICMSinterest_uforig)),""),0)</f>
        <v>0</v>
      </c>
      <c r="CG133" s="368">
        <f>IF(N133&gt;0,IF(I133&lt;&gt;"Serviço",ifzero(mlookup(tbl_ICMSinterno_data,UFdestino,tbl_ICMSinterno_UF,O133,tbl_ICMSinterno_NCM),mlookup(tbl_ICMSinterest_data,UFdestino,tbl_ICMSinterest_ufdest,UFdestino,tbl_ICMSinterest_uforig)),""),0)</f>
        <v>0</v>
      </c>
      <c r="CI133" s="355">
        <f t="shared" si="1070"/>
        <v>0</v>
      </c>
      <c r="CJ133" s="355">
        <f t="shared" si="1071"/>
        <v>0</v>
      </c>
      <c r="CK133" s="355">
        <f t="shared" si="1072"/>
        <v>0</v>
      </c>
      <c r="CL133" s="355">
        <f t="shared" si="1073"/>
        <v>0</v>
      </c>
      <c r="CN133" s="370">
        <f t="shared" si="1074"/>
        <v>1540</v>
      </c>
      <c r="CO133" s="355">
        <f t="shared" si="1075"/>
        <v>0</v>
      </c>
      <c r="CQ133" s="355" t="b">
        <f t="shared" si="1076"/>
        <v>0</v>
      </c>
      <c r="CR133" s="355" t="b">
        <f t="shared" si="1077"/>
        <v>1</v>
      </c>
      <c r="CS133" s="355" t="b">
        <f t="shared" si="1078"/>
        <v>0</v>
      </c>
      <c r="CU133" s="2">
        <f t="shared" si="1079"/>
        <v>0</v>
      </c>
      <c r="CV133" s="102">
        <f t="shared" si="1080"/>
        <v>0</v>
      </c>
      <c r="CW133" s="102">
        <f t="shared" si="1014"/>
        <v>0</v>
      </c>
      <c r="CX133" s="102">
        <f t="shared" si="1081"/>
        <v>0</v>
      </c>
      <c r="CY133" s="290">
        <f t="shared" si="1082"/>
        <v>0</v>
      </c>
      <c r="CZ133" s="102">
        <f t="shared" si="1016"/>
        <v>0</v>
      </c>
      <c r="DA133" s="290">
        <f t="shared" si="1083"/>
        <v>0</v>
      </c>
      <c r="DB133" s="102">
        <f t="shared" si="1017"/>
        <v>0</v>
      </c>
      <c r="DC133" s="290">
        <f t="shared" si="1084"/>
        <v>0</v>
      </c>
      <c r="DD133" s="102">
        <f t="shared" si="1015"/>
        <v>0</v>
      </c>
      <c r="DE133" s="592">
        <f>IF(D133="Sim",HLOOKUP($DH$5,Parametrização!$G$2:$H$4,2,FALSE),0)</f>
        <v>0</v>
      </c>
      <c r="DF133" s="102">
        <f t="shared" si="1018"/>
        <v>0</v>
      </c>
      <c r="DG133" s="592">
        <f>IF(D133="Sim",HLOOKUP($DH$5,Parametrização!$G$2:$H$4,3,FALSE),0)</f>
        <v>0</v>
      </c>
      <c r="DH133" s="102">
        <f t="shared" si="1019"/>
        <v>0</v>
      </c>
      <c r="DI133" s="102">
        <f t="shared" si="1020"/>
        <v>0</v>
      </c>
      <c r="DK133" s="3" t="str">
        <f t="shared" si="1085"/>
        <v>NA</v>
      </c>
      <c r="DL133" s="2" t="str">
        <f t="shared" si="1086"/>
        <v>NA</v>
      </c>
      <c r="DM133" s="3" t="str">
        <f t="shared" si="1087"/>
        <v>NA</v>
      </c>
      <c r="DN133" s="9" t="str">
        <f t="shared" si="1088"/>
        <v>NA</v>
      </c>
      <c r="DO133" s="637" t="str">
        <f t="shared" si="1089"/>
        <v>NA</v>
      </c>
      <c r="DP133" s="637"/>
      <c r="DQ133" s="3" t="str">
        <f t="shared" si="1090"/>
        <v>NA</v>
      </c>
      <c r="DR133" s="2" t="str">
        <f t="shared" si="1091"/>
        <v>NA</v>
      </c>
      <c r="DS133" s="3" t="str">
        <f t="shared" si="1092"/>
        <v>NA</v>
      </c>
      <c r="DT133" s="9" t="str">
        <f t="shared" si="1021"/>
        <v>NA</v>
      </c>
      <c r="DU133" s="637" t="str">
        <f t="shared" si="1022"/>
        <v>NA</v>
      </c>
      <c r="DV133" s="637"/>
      <c r="DW133" s="682"/>
      <c r="DX133" s="682"/>
      <c r="DY133" s="682"/>
      <c r="DZ133" s="637"/>
      <c r="EA133" s="643"/>
    </row>
    <row r="134" spans="1:131" s="355" customFormat="1" ht="20.100000000000001" customHeight="1" outlineLevel="1" x14ac:dyDescent="0.25">
      <c r="A134" s="356"/>
      <c r="B134" s="355" t="s">
        <v>268</v>
      </c>
      <c r="C134" s="355" t="str">
        <f t="shared" si="1093"/>
        <v>Consumo</v>
      </c>
      <c r="D134" s="355" t="s">
        <v>53</v>
      </c>
      <c r="E134" s="18" t="s">
        <v>38</v>
      </c>
      <c r="F134" s="355" t="s">
        <v>53</v>
      </c>
      <c r="G134" s="357" t="str">
        <f t="shared" si="1094"/>
        <v>Geral</v>
      </c>
      <c r="H134" s="255" t="s">
        <v>377</v>
      </c>
      <c r="I134" s="356" t="str">
        <f t="shared" si="1028"/>
        <v>Sistema</v>
      </c>
      <c r="K134" s="318" t="s">
        <v>2887</v>
      </c>
      <c r="L134" s="749" t="str">
        <f>IF(Padrões!JF75&lt;&gt;"",Padrões!JF75,"")</f>
        <v/>
      </c>
      <c r="M134" s="358" t="str">
        <f t="shared" si="1029"/>
        <v>?</v>
      </c>
      <c r="N134" s="359">
        <f>Padrões!JI75</f>
        <v>0</v>
      </c>
      <c r="O134" s="381" t="str">
        <f t="shared" si="1030"/>
        <v>?</v>
      </c>
      <c r="P134" s="360">
        <f t="shared" si="1031"/>
        <v>0.12</v>
      </c>
      <c r="Q134" s="360" t="str">
        <f t="shared" si="1032"/>
        <v>?</v>
      </c>
      <c r="R134" s="360">
        <f t="shared" si="1033"/>
        <v>0</v>
      </c>
      <c r="S134" s="361">
        <f t="shared" si="1034"/>
        <v>0</v>
      </c>
      <c r="T134" s="362">
        <f t="shared" si="1035"/>
        <v>0</v>
      </c>
      <c r="U134" s="53" t="str" cm="1">
        <f t="array" ref="U134">IFERROR(IF(I134&lt;&gt;"Serviço",IF(AND(mlookup(tbl_DIFAL_data,UFdestino,tbl_DIFAL_UF,O134,tbl_DIFAL_NCM)&lt;&gt;"",C134="Consumo"),"Sim",""),""),"?")</f>
        <v>?</v>
      </c>
      <c r="V134" s="363" t="str">
        <f>IFERROR(IF(I134&lt;&gt;"Serviço",IF(AND(D134="Não",mlookup(tbl_ST_data,UFdestino,tbl_ST_UF,O134,tbl_ST_NCM)&lt;&gt;"",C134="Revenda",CD134="Não"),"Sim",""),""),"?")</f>
        <v>?</v>
      </c>
      <c r="W134" s="364">
        <f t="shared" si="1036"/>
        <v>0</v>
      </c>
      <c r="X134" s="365">
        <f>IF(V134="Sim",mlookup(tbl_ST_data,UFdestino,tbl_ST_UF,O134,tbl_ST_NCM),0)</f>
        <v>0</v>
      </c>
      <c r="Z134" s="355">
        <f t="shared" si="1037"/>
        <v>0</v>
      </c>
      <c r="AA134" s="355">
        <f t="shared" si="1023"/>
        <v>0</v>
      </c>
      <c r="AC134" s="366">
        <f t="shared" si="1095"/>
        <v>1.31243473968765E-2</v>
      </c>
      <c r="AD134" s="366">
        <f t="shared" si="1038"/>
        <v>0.15</v>
      </c>
      <c r="AF134" s="355">
        <f t="shared" si="1039"/>
        <v>0</v>
      </c>
      <c r="AG134" s="355">
        <f t="shared" si="1040"/>
        <v>0</v>
      </c>
      <c r="AI134" s="355">
        <f t="shared" si="1041"/>
        <v>0</v>
      </c>
      <c r="AK134" s="366">
        <f t="shared" si="1096"/>
        <v>0</v>
      </c>
      <c r="AL134" s="355">
        <f t="shared" si="1024"/>
        <v>0</v>
      </c>
      <c r="AM134" s="355">
        <f t="shared" si="1025"/>
        <v>0</v>
      </c>
      <c r="AO134" s="355" t="b">
        <f t="shared" si="1042"/>
        <v>1</v>
      </c>
      <c r="AQ134" s="367">
        <f t="shared" si="1043"/>
        <v>0</v>
      </c>
      <c r="AR134" s="367">
        <f t="shared" si="1026"/>
        <v>0</v>
      </c>
      <c r="AT134" s="367">
        <f t="shared" si="1044"/>
        <v>0</v>
      </c>
      <c r="AU134" s="367">
        <f t="shared" si="1045"/>
        <v>0</v>
      </c>
      <c r="AW134" s="367">
        <f t="shared" si="1046"/>
        <v>0</v>
      </c>
      <c r="AX134" s="367">
        <f t="shared" si="1047"/>
        <v>0</v>
      </c>
      <c r="AY134" s="367">
        <f t="shared" si="1048"/>
        <v>0</v>
      </c>
      <c r="AZ134" s="367">
        <f t="shared" si="1049"/>
        <v>0</v>
      </c>
      <c r="BB134" s="355">
        <f t="shared" si="1050"/>
        <v>0</v>
      </c>
      <c r="BC134" s="355">
        <f t="shared" si="1051"/>
        <v>0</v>
      </c>
      <c r="BD134" s="355">
        <f t="shared" si="1052"/>
        <v>0</v>
      </c>
      <c r="BE134" s="355">
        <f t="shared" si="1053"/>
        <v>0</v>
      </c>
      <c r="BF134" s="355">
        <f t="shared" si="1054"/>
        <v>0</v>
      </c>
      <c r="BH134" s="368">
        <f t="shared" si="1055"/>
        <v>0</v>
      </c>
      <c r="BJ134" s="369">
        <f t="shared" si="1056"/>
        <v>-0.12</v>
      </c>
      <c r="BK134" s="355">
        <f t="shared" si="1057"/>
        <v>0</v>
      </c>
      <c r="BL134" s="355">
        <f t="shared" si="1058"/>
        <v>0</v>
      </c>
      <c r="BN134" s="366">
        <f t="shared" si="1059"/>
        <v>0</v>
      </c>
      <c r="BO134" s="355">
        <f t="shared" si="1060"/>
        <v>0</v>
      </c>
      <c r="BP134" s="355">
        <f t="shared" si="1061"/>
        <v>0</v>
      </c>
      <c r="BQ134" s="355">
        <f t="shared" si="1062"/>
        <v>0</v>
      </c>
      <c r="BS134" s="367">
        <f t="shared" si="1063"/>
        <v>0</v>
      </c>
      <c r="BT134" s="355">
        <f t="shared" si="1064"/>
        <v>0</v>
      </c>
      <c r="BU134" s="355" t="b">
        <f t="shared" si="1027"/>
        <v>1</v>
      </c>
      <c r="BW134" s="355" t="str">
        <f t="shared" si="1065"/>
        <v/>
      </c>
      <c r="BX134" s="355">
        <f t="shared" si="1066"/>
        <v>0</v>
      </c>
      <c r="BY134" s="356">
        <f t="shared" ref="BY134:BY197" si="1097">IF(BX134&gt;0,VLOOKUP(CB134,tbl_IRPJaux,3,FALSE),0)</f>
        <v>0</v>
      </c>
      <c r="BZ134" s="355">
        <f t="shared" si="1067"/>
        <v>0</v>
      </c>
      <c r="CB134" s="102" t="str">
        <f t="shared" si="1068"/>
        <v>?</v>
      </c>
      <c r="CD134" s="355" t="str">
        <f t="shared" si="1069"/>
        <v>Não</v>
      </c>
      <c r="CE134" s="368">
        <f>ifzero(mlookup(tbl_ICMSinterest_data,UFdestino,tbl_ICMSinterest_ufdest,UForigem,tbl_ICMSinterest_uforig))</f>
        <v>0.12</v>
      </c>
      <c r="CF134" s="368">
        <f>IF(N134&gt;0,IF(I134&lt;&gt;"Serviço",ifzero(mlookup(tbl_ICMSinterno_data,UForigem,tbl_ICMSinterno_UF,O134,tbl_ICMSinterno_NCM),mlookup(tbl_ICMSinterest_data,UForigem,tbl_ICMSinterest_ufdest,UForigem,tbl_ICMSinterest_uforig)),""),0)</f>
        <v>0</v>
      </c>
      <c r="CG134" s="368">
        <f>IF(N134&gt;0,IF(I134&lt;&gt;"Serviço",ifzero(mlookup(tbl_ICMSinterno_data,UFdestino,tbl_ICMSinterno_UF,O134,tbl_ICMSinterno_NCM),mlookup(tbl_ICMSinterest_data,UFdestino,tbl_ICMSinterest_ufdest,UFdestino,tbl_ICMSinterest_uforig)),""),0)</f>
        <v>0</v>
      </c>
      <c r="CI134" s="355">
        <f t="shared" si="1070"/>
        <v>0</v>
      </c>
      <c r="CJ134" s="355">
        <f t="shared" si="1071"/>
        <v>0</v>
      </c>
      <c r="CK134" s="355">
        <f t="shared" si="1072"/>
        <v>0</v>
      </c>
      <c r="CL134" s="355">
        <f t="shared" si="1073"/>
        <v>0</v>
      </c>
      <c r="CN134" s="370">
        <f t="shared" si="1074"/>
        <v>1540</v>
      </c>
      <c r="CO134" s="355">
        <f t="shared" si="1075"/>
        <v>0</v>
      </c>
      <c r="CQ134" s="355" t="b">
        <f t="shared" si="1076"/>
        <v>0</v>
      </c>
      <c r="CR134" s="355" t="b">
        <f t="shared" si="1077"/>
        <v>1</v>
      </c>
      <c r="CS134" s="355" t="b">
        <f t="shared" si="1078"/>
        <v>0</v>
      </c>
      <c r="CU134" s="2">
        <f t="shared" si="1079"/>
        <v>0</v>
      </c>
      <c r="CV134" s="102">
        <f t="shared" si="1080"/>
        <v>0</v>
      </c>
      <c r="CW134" s="102">
        <f t="shared" si="1014"/>
        <v>0</v>
      </c>
      <c r="CX134" s="102">
        <f t="shared" si="1081"/>
        <v>0</v>
      </c>
      <c r="CY134" s="290">
        <f t="shared" si="1082"/>
        <v>0</v>
      </c>
      <c r="CZ134" s="102">
        <f t="shared" si="1016"/>
        <v>0</v>
      </c>
      <c r="DA134" s="290">
        <f t="shared" si="1083"/>
        <v>0</v>
      </c>
      <c r="DB134" s="102">
        <f t="shared" si="1017"/>
        <v>0</v>
      </c>
      <c r="DC134" s="290">
        <f t="shared" si="1084"/>
        <v>0</v>
      </c>
      <c r="DD134" s="102">
        <f t="shared" si="1015"/>
        <v>0</v>
      </c>
      <c r="DE134" s="592">
        <f>IF(D134="Sim",HLOOKUP($DH$5,Parametrização!$G$2:$H$4,2,FALSE),0)</f>
        <v>0</v>
      </c>
      <c r="DF134" s="102">
        <f t="shared" si="1018"/>
        <v>0</v>
      </c>
      <c r="DG134" s="592">
        <f>IF(D134="Sim",HLOOKUP($DH$5,Parametrização!$G$2:$H$4,3,FALSE),0)</f>
        <v>0</v>
      </c>
      <c r="DH134" s="102">
        <f t="shared" si="1019"/>
        <v>0</v>
      </c>
      <c r="DI134" s="102">
        <f t="shared" si="1020"/>
        <v>0</v>
      </c>
      <c r="DK134" s="3" t="str">
        <f t="shared" si="1085"/>
        <v>NA</v>
      </c>
      <c r="DL134" s="2" t="str">
        <f t="shared" si="1086"/>
        <v>NA</v>
      </c>
      <c r="DM134" s="3" t="str">
        <f t="shared" si="1087"/>
        <v>NA</v>
      </c>
      <c r="DN134" s="9" t="str">
        <f t="shared" si="1088"/>
        <v>NA</v>
      </c>
      <c r="DO134" s="637" t="str">
        <f t="shared" si="1089"/>
        <v>NA</v>
      </c>
      <c r="DP134" s="637"/>
      <c r="DQ134" s="3" t="str">
        <f t="shared" si="1090"/>
        <v>NA</v>
      </c>
      <c r="DR134" s="2" t="str">
        <f t="shared" si="1091"/>
        <v>NA</v>
      </c>
      <c r="DS134" s="3" t="str">
        <f t="shared" si="1092"/>
        <v>NA</v>
      </c>
      <c r="DT134" s="9" t="str">
        <f t="shared" si="1021"/>
        <v>NA</v>
      </c>
      <c r="DU134" s="637" t="str">
        <f t="shared" si="1022"/>
        <v>NA</v>
      </c>
      <c r="DV134" s="637"/>
      <c r="DW134" s="682"/>
      <c r="DX134" s="682"/>
      <c r="DY134" s="682"/>
      <c r="DZ134" s="637"/>
      <c r="EA134" s="643"/>
    </row>
    <row r="135" spans="1:131" s="355" customFormat="1" ht="20.100000000000001" customHeight="1" outlineLevel="1" x14ac:dyDescent="0.25">
      <c r="A135" s="356"/>
      <c r="B135" s="355" t="s">
        <v>268</v>
      </c>
      <c r="C135" s="355" t="str">
        <f t="shared" si="1093"/>
        <v>Consumo</v>
      </c>
      <c r="D135" s="355" t="s">
        <v>53</v>
      </c>
      <c r="E135" s="18" t="s">
        <v>38</v>
      </c>
      <c r="F135" s="355" t="s">
        <v>53</v>
      </c>
      <c r="G135" s="357" t="str">
        <f t="shared" si="1094"/>
        <v>Geral</v>
      </c>
      <c r="H135" s="255" t="s">
        <v>377</v>
      </c>
      <c r="I135" s="356" t="str">
        <f t="shared" si="1028"/>
        <v>Sistema</v>
      </c>
      <c r="K135" s="318" t="s">
        <v>2888</v>
      </c>
      <c r="L135" s="749" t="str">
        <f>IF(Padrões!JF76&lt;&gt;"",Padrões!JF76,"")</f>
        <v/>
      </c>
      <c r="M135" s="358" t="str">
        <f t="shared" si="1029"/>
        <v>?</v>
      </c>
      <c r="N135" s="359">
        <f>Padrões!JI76</f>
        <v>0</v>
      </c>
      <c r="O135" s="381" t="str">
        <f t="shared" si="1030"/>
        <v>?</v>
      </c>
      <c r="P135" s="360">
        <f t="shared" si="1031"/>
        <v>0.12</v>
      </c>
      <c r="Q135" s="360" t="str">
        <f t="shared" si="1032"/>
        <v>?</v>
      </c>
      <c r="R135" s="360">
        <f t="shared" si="1033"/>
        <v>0</v>
      </c>
      <c r="S135" s="361">
        <f t="shared" si="1034"/>
        <v>0</v>
      </c>
      <c r="T135" s="362">
        <f t="shared" si="1035"/>
        <v>0</v>
      </c>
      <c r="U135" s="53" t="str" cm="1">
        <f t="array" ref="U135">IFERROR(IF(I135&lt;&gt;"Serviço",IF(AND(mlookup(tbl_DIFAL_data,UFdestino,tbl_DIFAL_UF,O135,tbl_DIFAL_NCM)&lt;&gt;"",C135="Consumo"),"Sim",""),""),"?")</f>
        <v>?</v>
      </c>
      <c r="V135" s="363" t="str">
        <f>IFERROR(IF(I135&lt;&gt;"Serviço",IF(AND(D135="Não",mlookup(tbl_ST_data,UFdestino,tbl_ST_UF,O135,tbl_ST_NCM)&lt;&gt;"",C135="Revenda",CD135="Não"),"Sim",""),""),"?")</f>
        <v>?</v>
      </c>
      <c r="W135" s="364">
        <f t="shared" si="1036"/>
        <v>0</v>
      </c>
      <c r="X135" s="365">
        <f>IF(V135="Sim",mlookup(tbl_ST_data,UFdestino,tbl_ST_UF,O135,tbl_ST_NCM),0)</f>
        <v>0</v>
      </c>
      <c r="Z135" s="355">
        <f t="shared" si="1037"/>
        <v>0</v>
      </c>
      <c r="AA135" s="355">
        <f t="shared" si="1023"/>
        <v>0</v>
      </c>
      <c r="AC135" s="366">
        <f t="shared" si="1095"/>
        <v>1.31243473968765E-2</v>
      </c>
      <c r="AD135" s="366">
        <f t="shared" si="1038"/>
        <v>0.15</v>
      </c>
      <c r="AF135" s="355">
        <f t="shared" si="1039"/>
        <v>0</v>
      </c>
      <c r="AG135" s="355">
        <f t="shared" si="1040"/>
        <v>0</v>
      </c>
      <c r="AI135" s="355">
        <f t="shared" si="1041"/>
        <v>0</v>
      </c>
      <c r="AK135" s="366">
        <f t="shared" si="1096"/>
        <v>0</v>
      </c>
      <c r="AL135" s="355">
        <f t="shared" si="1024"/>
        <v>0</v>
      </c>
      <c r="AM135" s="355">
        <f t="shared" si="1025"/>
        <v>0</v>
      </c>
      <c r="AO135" s="355" t="b">
        <f t="shared" si="1042"/>
        <v>1</v>
      </c>
      <c r="AQ135" s="367">
        <f t="shared" si="1043"/>
        <v>0</v>
      </c>
      <c r="AR135" s="367">
        <f t="shared" si="1026"/>
        <v>0</v>
      </c>
      <c r="AT135" s="367">
        <f t="shared" si="1044"/>
        <v>0</v>
      </c>
      <c r="AU135" s="367">
        <f t="shared" si="1045"/>
        <v>0</v>
      </c>
      <c r="AW135" s="367">
        <f t="shared" si="1046"/>
        <v>0</v>
      </c>
      <c r="AX135" s="367">
        <f t="shared" si="1047"/>
        <v>0</v>
      </c>
      <c r="AY135" s="367">
        <f t="shared" si="1048"/>
        <v>0</v>
      </c>
      <c r="AZ135" s="367">
        <f t="shared" si="1049"/>
        <v>0</v>
      </c>
      <c r="BB135" s="355">
        <f t="shared" si="1050"/>
        <v>0</v>
      </c>
      <c r="BC135" s="355">
        <f t="shared" si="1051"/>
        <v>0</v>
      </c>
      <c r="BD135" s="355">
        <f t="shared" si="1052"/>
        <v>0</v>
      </c>
      <c r="BE135" s="355">
        <f t="shared" si="1053"/>
        <v>0</v>
      </c>
      <c r="BF135" s="355">
        <f t="shared" si="1054"/>
        <v>0</v>
      </c>
      <c r="BH135" s="368">
        <f t="shared" si="1055"/>
        <v>0</v>
      </c>
      <c r="BJ135" s="369">
        <f t="shared" si="1056"/>
        <v>-0.12</v>
      </c>
      <c r="BK135" s="355">
        <f t="shared" si="1057"/>
        <v>0</v>
      </c>
      <c r="BL135" s="355">
        <f t="shared" si="1058"/>
        <v>0</v>
      </c>
      <c r="BN135" s="366">
        <f t="shared" si="1059"/>
        <v>0</v>
      </c>
      <c r="BO135" s="355">
        <f t="shared" si="1060"/>
        <v>0</v>
      </c>
      <c r="BP135" s="355">
        <f t="shared" si="1061"/>
        <v>0</v>
      </c>
      <c r="BQ135" s="355">
        <f t="shared" si="1062"/>
        <v>0</v>
      </c>
      <c r="BS135" s="367">
        <f t="shared" si="1063"/>
        <v>0</v>
      </c>
      <c r="BT135" s="355">
        <f t="shared" si="1064"/>
        <v>0</v>
      </c>
      <c r="BU135" s="355" t="b">
        <f t="shared" si="1027"/>
        <v>1</v>
      </c>
      <c r="BW135" s="355" t="str">
        <f t="shared" si="1065"/>
        <v/>
      </c>
      <c r="BX135" s="355">
        <f t="shared" si="1066"/>
        <v>0</v>
      </c>
      <c r="BY135" s="356">
        <f t="shared" si="1097"/>
        <v>0</v>
      </c>
      <c r="BZ135" s="355">
        <f t="shared" si="1067"/>
        <v>0</v>
      </c>
      <c r="CB135" s="102" t="str">
        <f t="shared" si="1068"/>
        <v>?</v>
      </c>
      <c r="CD135" s="355" t="str">
        <f t="shared" si="1069"/>
        <v>Não</v>
      </c>
      <c r="CE135" s="368">
        <f>ifzero(mlookup(tbl_ICMSinterest_data,UFdestino,tbl_ICMSinterest_ufdest,UForigem,tbl_ICMSinterest_uforig))</f>
        <v>0.12</v>
      </c>
      <c r="CF135" s="368">
        <f>IF(N135&gt;0,IF(I135&lt;&gt;"Serviço",ifzero(mlookup(tbl_ICMSinterno_data,UForigem,tbl_ICMSinterno_UF,O135,tbl_ICMSinterno_NCM),mlookup(tbl_ICMSinterest_data,UForigem,tbl_ICMSinterest_ufdest,UForigem,tbl_ICMSinterest_uforig)),""),0)</f>
        <v>0</v>
      </c>
      <c r="CG135" s="368">
        <f>IF(N135&gt;0,IF(I135&lt;&gt;"Serviço",ifzero(mlookup(tbl_ICMSinterno_data,UFdestino,tbl_ICMSinterno_UF,O135,tbl_ICMSinterno_NCM),mlookup(tbl_ICMSinterest_data,UFdestino,tbl_ICMSinterest_ufdest,UFdestino,tbl_ICMSinterest_uforig)),""),0)</f>
        <v>0</v>
      </c>
      <c r="CI135" s="355">
        <f t="shared" si="1070"/>
        <v>0</v>
      </c>
      <c r="CJ135" s="355">
        <f t="shared" si="1071"/>
        <v>0</v>
      </c>
      <c r="CK135" s="355">
        <f t="shared" si="1072"/>
        <v>0</v>
      </c>
      <c r="CL135" s="355">
        <f t="shared" si="1073"/>
        <v>0</v>
      </c>
      <c r="CN135" s="370">
        <f t="shared" si="1074"/>
        <v>1540</v>
      </c>
      <c r="CO135" s="355">
        <f t="shared" si="1075"/>
        <v>0</v>
      </c>
      <c r="CQ135" s="355" t="b">
        <f t="shared" si="1076"/>
        <v>0</v>
      </c>
      <c r="CR135" s="355" t="b">
        <f t="shared" si="1077"/>
        <v>1</v>
      </c>
      <c r="CS135" s="355" t="b">
        <f t="shared" si="1078"/>
        <v>0</v>
      </c>
      <c r="CU135" s="2">
        <f t="shared" si="1079"/>
        <v>0</v>
      </c>
      <c r="CV135" s="102">
        <f t="shared" si="1080"/>
        <v>0</v>
      </c>
      <c r="CW135" s="102">
        <f t="shared" si="1014"/>
        <v>0</v>
      </c>
      <c r="CX135" s="102">
        <f t="shared" si="1081"/>
        <v>0</v>
      </c>
      <c r="CY135" s="290">
        <f t="shared" si="1082"/>
        <v>0</v>
      </c>
      <c r="CZ135" s="102">
        <f t="shared" si="1016"/>
        <v>0</v>
      </c>
      <c r="DA135" s="290">
        <f t="shared" si="1083"/>
        <v>0</v>
      </c>
      <c r="DB135" s="102">
        <f t="shared" si="1017"/>
        <v>0</v>
      </c>
      <c r="DC135" s="290">
        <f t="shared" si="1084"/>
        <v>0</v>
      </c>
      <c r="DD135" s="102">
        <f t="shared" si="1015"/>
        <v>0</v>
      </c>
      <c r="DE135" s="592">
        <f>IF(D135="Sim",HLOOKUP($DH$5,Parametrização!$G$2:$H$4,2,FALSE),0)</f>
        <v>0</v>
      </c>
      <c r="DF135" s="102">
        <f t="shared" si="1018"/>
        <v>0</v>
      </c>
      <c r="DG135" s="592">
        <f>IF(D135="Sim",HLOOKUP($DH$5,Parametrização!$G$2:$H$4,3,FALSE),0)</f>
        <v>0</v>
      </c>
      <c r="DH135" s="102">
        <f t="shared" si="1019"/>
        <v>0</v>
      </c>
      <c r="DI135" s="102">
        <f t="shared" si="1020"/>
        <v>0</v>
      </c>
      <c r="DK135" s="3" t="str">
        <f t="shared" si="1085"/>
        <v>NA</v>
      </c>
      <c r="DL135" s="2" t="str">
        <f t="shared" si="1086"/>
        <v>NA</v>
      </c>
      <c r="DM135" s="3" t="str">
        <f t="shared" si="1087"/>
        <v>NA</v>
      </c>
      <c r="DN135" s="9" t="str">
        <f t="shared" si="1088"/>
        <v>NA</v>
      </c>
      <c r="DO135" s="637" t="str">
        <f t="shared" si="1089"/>
        <v>NA</v>
      </c>
      <c r="DP135" s="637"/>
      <c r="DQ135" s="3" t="str">
        <f t="shared" si="1090"/>
        <v>NA</v>
      </c>
      <c r="DR135" s="2" t="str">
        <f t="shared" si="1091"/>
        <v>NA</v>
      </c>
      <c r="DS135" s="3" t="str">
        <f t="shared" si="1092"/>
        <v>NA</v>
      </c>
      <c r="DT135" s="9" t="str">
        <f t="shared" si="1021"/>
        <v>NA</v>
      </c>
      <c r="DU135" s="637" t="str">
        <f t="shared" si="1022"/>
        <v>NA</v>
      </c>
      <c r="DV135" s="637"/>
      <c r="DW135" s="682"/>
      <c r="DX135" s="682"/>
      <c r="DY135" s="682"/>
      <c r="DZ135" s="637"/>
      <c r="EA135" s="643"/>
    </row>
    <row r="136" spans="1:131" s="355" customFormat="1" ht="20.100000000000001" customHeight="1" outlineLevel="1" x14ac:dyDescent="0.25">
      <c r="A136" s="356"/>
      <c r="B136" s="355" t="s">
        <v>268</v>
      </c>
      <c r="C136" s="355" t="str">
        <f t="shared" si="1093"/>
        <v>Consumo</v>
      </c>
      <c r="D136" s="355" t="s">
        <v>53</v>
      </c>
      <c r="E136" s="18" t="s">
        <v>38</v>
      </c>
      <c r="F136" s="355" t="s">
        <v>53</v>
      </c>
      <c r="G136" s="357" t="str">
        <f t="shared" si="1094"/>
        <v>Geral</v>
      </c>
      <c r="H136" s="255" t="s">
        <v>377</v>
      </c>
      <c r="I136" s="356" t="str">
        <f t="shared" si="1028"/>
        <v>Sistema</v>
      </c>
      <c r="K136" s="318" t="s">
        <v>2889</v>
      </c>
      <c r="L136" s="749" t="str">
        <f>IF(Padrões!JF77&lt;&gt;"",Padrões!JF77,"")</f>
        <v/>
      </c>
      <c r="M136" s="358" t="str">
        <f t="shared" si="1029"/>
        <v>?</v>
      </c>
      <c r="N136" s="359">
        <f>Padrões!JI77</f>
        <v>0</v>
      </c>
      <c r="O136" s="381" t="str">
        <f t="shared" si="1030"/>
        <v>?</v>
      </c>
      <c r="P136" s="360">
        <f t="shared" si="1031"/>
        <v>0.12</v>
      </c>
      <c r="Q136" s="360" t="str">
        <f t="shared" si="1032"/>
        <v>?</v>
      </c>
      <c r="R136" s="360">
        <f t="shared" si="1033"/>
        <v>0</v>
      </c>
      <c r="S136" s="361">
        <f t="shared" si="1034"/>
        <v>0</v>
      </c>
      <c r="T136" s="362">
        <f t="shared" si="1035"/>
        <v>0</v>
      </c>
      <c r="U136" s="53" t="str" cm="1">
        <f t="array" ref="U136">IFERROR(IF(I136&lt;&gt;"Serviço",IF(AND(mlookup(tbl_DIFAL_data,UFdestino,tbl_DIFAL_UF,O136,tbl_DIFAL_NCM)&lt;&gt;"",C136="Consumo"),"Sim",""),""),"?")</f>
        <v>?</v>
      </c>
      <c r="V136" s="363" t="str">
        <f>IFERROR(IF(I136&lt;&gt;"Serviço",IF(AND(D136="Não",mlookup(tbl_ST_data,UFdestino,tbl_ST_UF,O136,tbl_ST_NCM)&lt;&gt;"",C136="Revenda",CD136="Não"),"Sim",""),""),"?")</f>
        <v>?</v>
      </c>
      <c r="W136" s="364">
        <f t="shared" si="1036"/>
        <v>0</v>
      </c>
      <c r="X136" s="365">
        <f>IF(V136="Sim",mlookup(tbl_ST_data,UFdestino,tbl_ST_UF,O136,tbl_ST_NCM),0)</f>
        <v>0</v>
      </c>
      <c r="Z136" s="355">
        <f t="shared" si="1037"/>
        <v>0</v>
      </c>
      <c r="AA136" s="355">
        <f t="shared" si="1023"/>
        <v>0</v>
      </c>
      <c r="AC136" s="366">
        <f t="shared" si="1095"/>
        <v>1.31243473968765E-2</v>
      </c>
      <c r="AD136" s="366">
        <f t="shared" si="1038"/>
        <v>0.15</v>
      </c>
      <c r="AF136" s="355">
        <f t="shared" si="1039"/>
        <v>0</v>
      </c>
      <c r="AG136" s="355">
        <f t="shared" si="1040"/>
        <v>0</v>
      </c>
      <c r="AI136" s="355">
        <f t="shared" si="1041"/>
        <v>0</v>
      </c>
      <c r="AK136" s="366">
        <f t="shared" si="1096"/>
        <v>0</v>
      </c>
      <c r="AL136" s="355">
        <f t="shared" si="1024"/>
        <v>0</v>
      </c>
      <c r="AM136" s="355">
        <f t="shared" si="1025"/>
        <v>0</v>
      </c>
      <c r="AO136" s="355" t="b">
        <f t="shared" si="1042"/>
        <v>1</v>
      </c>
      <c r="AQ136" s="367">
        <f t="shared" si="1043"/>
        <v>0</v>
      </c>
      <c r="AR136" s="367">
        <f t="shared" si="1026"/>
        <v>0</v>
      </c>
      <c r="AT136" s="367">
        <f t="shared" si="1044"/>
        <v>0</v>
      </c>
      <c r="AU136" s="367">
        <f t="shared" si="1045"/>
        <v>0</v>
      </c>
      <c r="AW136" s="367">
        <f t="shared" si="1046"/>
        <v>0</v>
      </c>
      <c r="AX136" s="367">
        <f t="shared" si="1047"/>
        <v>0</v>
      </c>
      <c r="AY136" s="367">
        <f t="shared" si="1048"/>
        <v>0</v>
      </c>
      <c r="AZ136" s="367">
        <f t="shared" si="1049"/>
        <v>0</v>
      </c>
      <c r="BB136" s="355">
        <f t="shared" si="1050"/>
        <v>0</v>
      </c>
      <c r="BC136" s="355">
        <f t="shared" si="1051"/>
        <v>0</v>
      </c>
      <c r="BD136" s="355">
        <f t="shared" si="1052"/>
        <v>0</v>
      </c>
      <c r="BE136" s="355">
        <f t="shared" si="1053"/>
        <v>0</v>
      </c>
      <c r="BF136" s="355">
        <f t="shared" si="1054"/>
        <v>0</v>
      </c>
      <c r="BH136" s="368">
        <f t="shared" si="1055"/>
        <v>0</v>
      </c>
      <c r="BJ136" s="369">
        <f t="shared" si="1056"/>
        <v>-0.12</v>
      </c>
      <c r="BK136" s="355">
        <f t="shared" si="1057"/>
        <v>0</v>
      </c>
      <c r="BL136" s="355">
        <f t="shared" si="1058"/>
        <v>0</v>
      </c>
      <c r="BN136" s="366">
        <f t="shared" si="1059"/>
        <v>0</v>
      </c>
      <c r="BO136" s="355">
        <f t="shared" si="1060"/>
        <v>0</v>
      </c>
      <c r="BP136" s="355">
        <f t="shared" si="1061"/>
        <v>0</v>
      </c>
      <c r="BQ136" s="355">
        <f t="shared" si="1062"/>
        <v>0</v>
      </c>
      <c r="BS136" s="367">
        <f t="shared" si="1063"/>
        <v>0</v>
      </c>
      <c r="BT136" s="355">
        <f t="shared" si="1064"/>
        <v>0</v>
      </c>
      <c r="BU136" s="355" t="b">
        <f t="shared" si="1027"/>
        <v>1</v>
      </c>
      <c r="BW136" s="355" t="str">
        <f t="shared" si="1065"/>
        <v/>
      </c>
      <c r="BX136" s="355">
        <f t="shared" si="1066"/>
        <v>0</v>
      </c>
      <c r="BY136" s="356">
        <f t="shared" si="1097"/>
        <v>0</v>
      </c>
      <c r="BZ136" s="355">
        <f t="shared" si="1067"/>
        <v>0</v>
      </c>
      <c r="CB136" s="102" t="str">
        <f t="shared" si="1068"/>
        <v>?</v>
      </c>
      <c r="CD136" s="355" t="str">
        <f t="shared" si="1069"/>
        <v>Não</v>
      </c>
      <c r="CE136" s="368">
        <f>ifzero(mlookup(tbl_ICMSinterest_data,UFdestino,tbl_ICMSinterest_ufdest,UForigem,tbl_ICMSinterest_uforig))</f>
        <v>0.12</v>
      </c>
      <c r="CF136" s="368">
        <f>IF(N136&gt;0,IF(I136&lt;&gt;"Serviço",ifzero(mlookup(tbl_ICMSinterno_data,UForigem,tbl_ICMSinterno_UF,O136,tbl_ICMSinterno_NCM),mlookup(tbl_ICMSinterest_data,UForigem,tbl_ICMSinterest_ufdest,UForigem,tbl_ICMSinterest_uforig)),""),0)</f>
        <v>0</v>
      </c>
      <c r="CG136" s="368">
        <f>IF(N136&gt;0,IF(I136&lt;&gt;"Serviço",ifzero(mlookup(tbl_ICMSinterno_data,UFdestino,tbl_ICMSinterno_UF,O136,tbl_ICMSinterno_NCM),mlookup(tbl_ICMSinterest_data,UFdestino,tbl_ICMSinterest_ufdest,UFdestino,tbl_ICMSinterest_uforig)),""),0)</f>
        <v>0</v>
      </c>
      <c r="CI136" s="355">
        <f t="shared" si="1070"/>
        <v>0</v>
      </c>
      <c r="CJ136" s="355">
        <f t="shared" si="1071"/>
        <v>0</v>
      </c>
      <c r="CK136" s="355">
        <f t="shared" si="1072"/>
        <v>0</v>
      </c>
      <c r="CL136" s="355">
        <f t="shared" si="1073"/>
        <v>0</v>
      </c>
      <c r="CN136" s="370">
        <f t="shared" si="1074"/>
        <v>1540</v>
      </c>
      <c r="CO136" s="355">
        <f t="shared" si="1075"/>
        <v>0</v>
      </c>
      <c r="CQ136" s="355" t="b">
        <f t="shared" si="1076"/>
        <v>0</v>
      </c>
      <c r="CR136" s="355" t="b">
        <f t="shared" si="1077"/>
        <v>1</v>
      </c>
      <c r="CS136" s="355" t="b">
        <f t="shared" si="1078"/>
        <v>0</v>
      </c>
      <c r="CU136" s="2">
        <f t="shared" si="1079"/>
        <v>0</v>
      </c>
      <c r="CV136" s="102">
        <f t="shared" si="1080"/>
        <v>0</v>
      </c>
      <c r="CW136" s="102">
        <f t="shared" si="1014"/>
        <v>0</v>
      </c>
      <c r="CX136" s="102">
        <f t="shared" si="1081"/>
        <v>0</v>
      </c>
      <c r="CY136" s="290">
        <f t="shared" si="1082"/>
        <v>0</v>
      </c>
      <c r="CZ136" s="102">
        <f t="shared" si="1016"/>
        <v>0</v>
      </c>
      <c r="DA136" s="290">
        <f t="shared" si="1083"/>
        <v>0</v>
      </c>
      <c r="DB136" s="102">
        <f t="shared" si="1017"/>
        <v>0</v>
      </c>
      <c r="DC136" s="290">
        <f t="shared" si="1084"/>
        <v>0</v>
      </c>
      <c r="DD136" s="102">
        <f t="shared" si="1015"/>
        <v>0</v>
      </c>
      <c r="DE136" s="592">
        <f>IF(D136="Sim",HLOOKUP($DH$5,Parametrização!$G$2:$H$4,2,FALSE),0)</f>
        <v>0</v>
      </c>
      <c r="DF136" s="102">
        <f t="shared" si="1018"/>
        <v>0</v>
      </c>
      <c r="DG136" s="592">
        <f>IF(D136="Sim",HLOOKUP($DH$5,Parametrização!$G$2:$H$4,3,FALSE),0)</f>
        <v>0</v>
      </c>
      <c r="DH136" s="102">
        <f t="shared" si="1019"/>
        <v>0</v>
      </c>
      <c r="DI136" s="102">
        <f t="shared" si="1020"/>
        <v>0</v>
      </c>
      <c r="DK136" s="3" t="str">
        <f t="shared" si="1085"/>
        <v>NA</v>
      </c>
      <c r="DL136" s="2" t="str">
        <f t="shared" si="1086"/>
        <v>NA</v>
      </c>
      <c r="DM136" s="3" t="str">
        <f t="shared" si="1087"/>
        <v>NA</v>
      </c>
      <c r="DN136" s="9" t="str">
        <f t="shared" si="1088"/>
        <v>NA</v>
      </c>
      <c r="DO136" s="637" t="str">
        <f t="shared" si="1089"/>
        <v>NA</v>
      </c>
      <c r="DP136" s="637"/>
      <c r="DQ136" s="3" t="str">
        <f t="shared" si="1090"/>
        <v>NA</v>
      </c>
      <c r="DR136" s="2" t="str">
        <f t="shared" si="1091"/>
        <v>NA</v>
      </c>
      <c r="DS136" s="3" t="str">
        <f t="shared" si="1092"/>
        <v>NA</v>
      </c>
      <c r="DT136" s="9" t="str">
        <f t="shared" si="1021"/>
        <v>NA</v>
      </c>
      <c r="DU136" s="637" t="str">
        <f t="shared" si="1022"/>
        <v>NA</v>
      </c>
      <c r="DV136" s="637"/>
      <c r="DW136" s="682"/>
      <c r="DX136" s="682"/>
      <c r="DY136" s="682"/>
      <c r="DZ136" s="637"/>
      <c r="EA136" s="643"/>
    </row>
    <row r="137" spans="1:131" s="355" customFormat="1" ht="20.100000000000001" customHeight="1" outlineLevel="1" x14ac:dyDescent="0.25">
      <c r="A137" s="356"/>
      <c r="B137" s="355" t="s">
        <v>268</v>
      </c>
      <c r="C137" s="355" t="str">
        <f t="shared" si="1093"/>
        <v>Consumo</v>
      </c>
      <c r="D137" s="355" t="s">
        <v>53</v>
      </c>
      <c r="E137" s="18" t="s">
        <v>38</v>
      </c>
      <c r="F137" s="355" t="s">
        <v>53</v>
      </c>
      <c r="G137" s="357" t="str">
        <f t="shared" si="1094"/>
        <v>Geral</v>
      </c>
      <c r="H137" s="255" t="s">
        <v>377</v>
      </c>
      <c r="I137" s="356" t="str">
        <f t="shared" si="1028"/>
        <v>Sistema</v>
      </c>
      <c r="K137" s="318" t="s">
        <v>2890</v>
      </c>
      <c r="L137" s="749" t="str">
        <f>IF(Padrões!JF78&lt;&gt;"",Padrões!JF78,"")</f>
        <v/>
      </c>
      <c r="M137" s="358" t="str">
        <f t="shared" si="1029"/>
        <v>?</v>
      </c>
      <c r="N137" s="359">
        <f>Padrões!JI78</f>
        <v>0</v>
      </c>
      <c r="O137" s="381" t="str">
        <f t="shared" si="1030"/>
        <v>?</v>
      </c>
      <c r="P137" s="360">
        <f t="shared" si="1031"/>
        <v>0.12</v>
      </c>
      <c r="Q137" s="360" t="str">
        <f t="shared" si="1032"/>
        <v>?</v>
      </c>
      <c r="R137" s="360">
        <f t="shared" si="1033"/>
        <v>0</v>
      </c>
      <c r="S137" s="361">
        <f t="shared" si="1034"/>
        <v>0</v>
      </c>
      <c r="T137" s="362">
        <f t="shared" si="1035"/>
        <v>0</v>
      </c>
      <c r="U137" s="53" t="str" cm="1">
        <f t="array" ref="U137">IFERROR(IF(I137&lt;&gt;"Serviço",IF(AND(mlookup(tbl_DIFAL_data,UFdestino,tbl_DIFAL_UF,O137,tbl_DIFAL_NCM)&lt;&gt;"",C137="Consumo"),"Sim",""),""),"?")</f>
        <v>?</v>
      </c>
      <c r="V137" s="363" t="str">
        <f>IFERROR(IF(I137&lt;&gt;"Serviço",IF(AND(D137="Não",mlookup(tbl_ST_data,UFdestino,tbl_ST_UF,O137,tbl_ST_NCM)&lt;&gt;"",C137="Revenda",CD137="Não"),"Sim",""),""),"?")</f>
        <v>?</v>
      </c>
      <c r="W137" s="364">
        <f t="shared" si="1036"/>
        <v>0</v>
      </c>
      <c r="X137" s="365">
        <f>IF(V137="Sim",mlookup(tbl_ST_data,UFdestino,tbl_ST_UF,O137,tbl_ST_NCM),0)</f>
        <v>0</v>
      </c>
      <c r="Z137" s="355">
        <f t="shared" si="1037"/>
        <v>0</v>
      </c>
      <c r="AA137" s="355">
        <f t="shared" si="1023"/>
        <v>0</v>
      </c>
      <c r="AC137" s="366">
        <f t="shared" si="1095"/>
        <v>1.31243473968765E-2</v>
      </c>
      <c r="AD137" s="366">
        <f t="shared" si="1038"/>
        <v>0.15</v>
      </c>
      <c r="AF137" s="355">
        <f t="shared" si="1039"/>
        <v>0</v>
      </c>
      <c r="AG137" s="355">
        <f t="shared" si="1040"/>
        <v>0</v>
      </c>
      <c r="AI137" s="355">
        <f t="shared" si="1041"/>
        <v>0</v>
      </c>
      <c r="AK137" s="366">
        <f t="shared" si="1096"/>
        <v>0</v>
      </c>
      <c r="AL137" s="355">
        <f t="shared" si="1024"/>
        <v>0</v>
      </c>
      <c r="AM137" s="355">
        <f t="shared" si="1025"/>
        <v>0</v>
      </c>
      <c r="AO137" s="355" t="b">
        <f t="shared" si="1042"/>
        <v>1</v>
      </c>
      <c r="AQ137" s="367">
        <f t="shared" si="1043"/>
        <v>0</v>
      </c>
      <c r="AR137" s="367">
        <f t="shared" si="1026"/>
        <v>0</v>
      </c>
      <c r="AT137" s="367">
        <f t="shared" si="1044"/>
        <v>0</v>
      </c>
      <c r="AU137" s="367">
        <f t="shared" si="1045"/>
        <v>0</v>
      </c>
      <c r="AW137" s="367">
        <f t="shared" si="1046"/>
        <v>0</v>
      </c>
      <c r="AX137" s="367">
        <f t="shared" si="1047"/>
        <v>0</v>
      </c>
      <c r="AY137" s="367">
        <f t="shared" si="1048"/>
        <v>0</v>
      </c>
      <c r="AZ137" s="367">
        <f t="shared" si="1049"/>
        <v>0</v>
      </c>
      <c r="BB137" s="355">
        <f t="shared" si="1050"/>
        <v>0</v>
      </c>
      <c r="BC137" s="355">
        <f t="shared" si="1051"/>
        <v>0</v>
      </c>
      <c r="BD137" s="355">
        <f t="shared" si="1052"/>
        <v>0</v>
      </c>
      <c r="BE137" s="355">
        <f t="shared" si="1053"/>
        <v>0</v>
      </c>
      <c r="BF137" s="355">
        <f t="shared" si="1054"/>
        <v>0</v>
      </c>
      <c r="BH137" s="368">
        <f t="shared" si="1055"/>
        <v>0</v>
      </c>
      <c r="BJ137" s="369">
        <f t="shared" si="1056"/>
        <v>-0.12</v>
      </c>
      <c r="BK137" s="355">
        <f t="shared" si="1057"/>
        <v>0</v>
      </c>
      <c r="BL137" s="355">
        <f t="shared" si="1058"/>
        <v>0</v>
      </c>
      <c r="BN137" s="366">
        <f t="shared" si="1059"/>
        <v>0</v>
      </c>
      <c r="BO137" s="355">
        <f t="shared" si="1060"/>
        <v>0</v>
      </c>
      <c r="BP137" s="355">
        <f t="shared" si="1061"/>
        <v>0</v>
      </c>
      <c r="BQ137" s="355">
        <f t="shared" si="1062"/>
        <v>0</v>
      </c>
      <c r="BS137" s="367">
        <f t="shared" si="1063"/>
        <v>0</v>
      </c>
      <c r="BT137" s="355">
        <f t="shared" si="1064"/>
        <v>0</v>
      </c>
      <c r="BU137" s="355" t="b">
        <f t="shared" si="1027"/>
        <v>1</v>
      </c>
      <c r="BW137" s="355" t="str">
        <f t="shared" si="1065"/>
        <v/>
      </c>
      <c r="BX137" s="355">
        <f t="shared" si="1066"/>
        <v>0</v>
      </c>
      <c r="BY137" s="356">
        <f t="shared" si="1097"/>
        <v>0</v>
      </c>
      <c r="BZ137" s="355">
        <f t="shared" si="1067"/>
        <v>0</v>
      </c>
      <c r="CB137" s="102" t="str">
        <f t="shared" si="1068"/>
        <v>?</v>
      </c>
      <c r="CD137" s="355" t="str">
        <f t="shared" si="1069"/>
        <v>Não</v>
      </c>
      <c r="CE137" s="368">
        <f>ifzero(mlookup(tbl_ICMSinterest_data,UFdestino,tbl_ICMSinterest_ufdest,UForigem,tbl_ICMSinterest_uforig))</f>
        <v>0.12</v>
      </c>
      <c r="CF137" s="368">
        <f>IF(N137&gt;0,IF(I137&lt;&gt;"Serviço",ifzero(mlookup(tbl_ICMSinterno_data,UForigem,tbl_ICMSinterno_UF,O137,tbl_ICMSinterno_NCM),mlookup(tbl_ICMSinterest_data,UForigem,tbl_ICMSinterest_ufdest,UForigem,tbl_ICMSinterest_uforig)),""),0)</f>
        <v>0</v>
      </c>
      <c r="CG137" s="368">
        <f>IF(N137&gt;0,IF(I137&lt;&gt;"Serviço",ifzero(mlookup(tbl_ICMSinterno_data,UFdestino,tbl_ICMSinterno_UF,O137,tbl_ICMSinterno_NCM),mlookup(tbl_ICMSinterest_data,UFdestino,tbl_ICMSinterest_ufdest,UFdestino,tbl_ICMSinterest_uforig)),""),0)</f>
        <v>0</v>
      </c>
      <c r="CI137" s="355">
        <f t="shared" si="1070"/>
        <v>0</v>
      </c>
      <c r="CJ137" s="355">
        <f t="shared" si="1071"/>
        <v>0</v>
      </c>
      <c r="CK137" s="355">
        <f t="shared" si="1072"/>
        <v>0</v>
      </c>
      <c r="CL137" s="355">
        <f t="shared" si="1073"/>
        <v>0</v>
      </c>
      <c r="CN137" s="370">
        <f t="shared" si="1074"/>
        <v>1540</v>
      </c>
      <c r="CO137" s="355">
        <f t="shared" si="1075"/>
        <v>0</v>
      </c>
      <c r="CQ137" s="355" t="b">
        <f t="shared" si="1076"/>
        <v>0</v>
      </c>
      <c r="CR137" s="355" t="b">
        <f t="shared" si="1077"/>
        <v>1</v>
      </c>
      <c r="CS137" s="355" t="b">
        <f t="shared" si="1078"/>
        <v>0</v>
      </c>
      <c r="CU137" s="2">
        <f t="shared" si="1079"/>
        <v>0</v>
      </c>
      <c r="CV137" s="102">
        <f t="shared" si="1080"/>
        <v>0</v>
      </c>
      <c r="CW137" s="102">
        <f t="shared" si="1014"/>
        <v>0</v>
      </c>
      <c r="CX137" s="102">
        <f t="shared" si="1081"/>
        <v>0</v>
      </c>
      <c r="CY137" s="290">
        <f t="shared" si="1082"/>
        <v>0</v>
      </c>
      <c r="CZ137" s="102">
        <f t="shared" si="1016"/>
        <v>0</v>
      </c>
      <c r="DA137" s="290">
        <f t="shared" si="1083"/>
        <v>0</v>
      </c>
      <c r="DB137" s="102">
        <f t="shared" si="1017"/>
        <v>0</v>
      </c>
      <c r="DC137" s="290">
        <f t="shared" si="1084"/>
        <v>0</v>
      </c>
      <c r="DD137" s="102">
        <f t="shared" si="1015"/>
        <v>0</v>
      </c>
      <c r="DE137" s="592">
        <f>IF(D137="Sim",HLOOKUP($DH$5,Parametrização!$G$2:$H$4,2,FALSE),0)</f>
        <v>0</v>
      </c>
      <c r="DF137" s="102">
        <f t="shared" si="1018"/>
        <v>0</v>
      </c>
      <c r="DG137" s="592">
        <f>IF(D137="Sim",HLOOKUP($DH$5,Parametrização!$G$2:$H$4,3,FALSE),0)</f>
        <v>0</v>
      </c>
      <c r="DH137" s="102">
        <f t="shared" si="1019"/>
        <v>0</v>
      </c>
      <c r="DI137" s="102">
        <f t="shared" si="1020"/>
        <v>0</v>
      </c>
      <c r="DK137" s="3" t="str">
        <f t="shared" si="1085"/>
        <v>NA</v>
      </c>
      <c r="DL137" s="2" t="str">
        <f t="shared" si="1086"/>
        <v>NA</v>
      </c>
      <c r="DM137" s="3" t="str">
        <f t="shared" si="1087"/>
        <v>NA</v>
      </c>
      <c r="DN137" s="9" t="str">
        <f t="shared" si="1088"/>
        <v>NA</v>
      </c>
      <c r="DO137" s="637" t="str">
        <f t="shared" si="1089"/>
        <v>NA</v>
      </c>
      <c r="DP137" s="637"/>
      <c r="DQ137" s="3" t="str">
        <f t="shared" si="1090"/>
        <v>NA</v>
      </c>
      <c r="DR137" s="2" t="str">
        <f t="shared" si="1091"/>
        <v>NA</v>
      </c>
      <c r="DS137" s="3" t="str">
        <f t="shared" si="1092"/>
        <v>NA</v>
      </c>
      <c r="DT137" s="9" t="str">
        <f t="shared" si="1021"/>
        <v>NA</v>
      </c>
      <c r="DU137" s="637" t="str">
        <f t="shared" si="1022"/>
        <v>NA</v>
      </c>
      <c r="DV137" s="637"/>
      <c r="DW137" s="682"/>
      <c r="DX137" s="682"/>
      <c r="DY137" s="682"/>
      <c r="DZ137" s="637"/>
      <c r="EA137" s="643"/>
    </row>
    <row r="138" spans="1:131" s="355" customFormat="1" ht="20.100000000000001" customHeight="1" outlineLevel="1" x14ac:dyDescent="0.25">
      <c r="A138" s="356"/>
      <c r="B138" s="355" t="s">
        <v>268</v>
      </c>
      <c r="C138" s="355" t="str">
        <f t="shared" si="1093"/>
        <v>Consumo</v>
      </c>
      <c r="D138" s="355" t="s">
        <v>53</v>
      </c>
      <c r="E138" s="18" t="s">
        <v>38</v>
      </c>
      <c r="F138" s="355" t="s">
        <v>53</v>
      </c>
      <c r="G138" s="357" t="str">
        <f t="shared" si="1094"/>
        <v>Geral</v>
      </c>
      <c r="H138" s="255" t="s">
        <v>377</v>
      </c>
      <c r="I138" s="356" t="str">
        <f t="shared" si="1028"/>
        <v>Sistema</v>
      </c>
      <c r="K138" s="318" t="s">
        <v>2891</v>
      </c>
      <c r="L138" s="749" t="str">
        <f>IF(Padrões!JF79&lt;&gt;"",Padrões!JF79,"")</f>
        <v/>
      </c>
      <c r="M138" s="358" t="str">
        <f t="shared" si="1029"/>
        <v>?</v>
      </c>
      <c r="N138" s="359">
        <f>Padrões!JI79</f>
        <v>0</v>
      </c>
      <c r="O138" s="381" t="str">
        <f t="shared" si="1030"/>
        <v>?</v>
      </c>
      <c r="P138" s="360">
        <f t="shared" si="1031"/>
        <v>0.12</v>
      </c>
      <c r="Q138" s="360" t="str">
        <f t="shared" si="1032"/>
        <v>?</v>
      </c>
      <c r="R138" s="360">
        <f t="shared" si="1033"/>
        <v>0</v>
      </c>
      <c r="S138" s="361">
        <f t="shared" si="1034"/>
        <v>0</v>
      </c>
      <c r="T138" s="362">
        <f t="shared" si="1035"/>
        <v>0</v>
      </c>
      <c r="U138" s="53" t="str" cm="1">
        <f t="array" ref="U138">IFERROR(IF(I138&lt;&gt;"Serviço",IF(AND(mlookup(tbl_DIFAL_data,UFdestino,tbl_DIFAL_UF,O138,tbl_DIFAL_NCM)&lt;&gt;"",C138="Consumo"),"Sim",""),""),"?")</f>
        <v>?</v>
      </c>
      <c r="V138" s="363" t="str">
        <f>IFERROR(IF(I138&lt;&gt;"Serviço",IF(AND(D138="Não",mlookup(tbl_ST_data,UFdestino,tbl_ST_UF,O138,tbl_ST_NCM)&lt;&gt;"",C138="Revenda",CD138="Não"),"Sim",""),""),"?")</f>
        <v>?</v>
      </c>
      <c r="W138" s="364">
        <f t="shared" si="1036"/>
        <v>0</v>
      </c>
      <c r="X138" s="365">
        <f>IF(V138="Sim",mlookup(tbl_ST_data,UFdestino,tbl_ST_UF,O138,tbl_ST_NCM),0)</f>
        <v>0</v>
      </c>
      <c r="Z138" s="355">
        <f t="shared" si="1037"/>
        <v>0</v>
      </c>
      <c r="AA138" s="355">
        <f t="shared" si="1023"/>
        <v>0</v>
      </c>
      <c r="AC138" s="366">
        <f t="shared" si="1095"/>
        <v>1.31243473968765E-2</v>
      </c>
      <c r="AD138" s="366">
        <f t="shared" si="1038"/>
        <v>0.15</v>
      </c>
      <c r="AF138" s="355">
        <f t="shared" si="1039"/>
        <v>0</v>
      </c>
      <c r="AG138" s="355">
        <f t="shared" si="1040"/>
        <v>0</v>
      </c>
      <c r="AI138" s="355">
        <f t="shared" si="1041"/>
        <v>0</v>
      </c>
      <c r="AK138" s="366">
        <f t="shared" si="1096"/>
        <v>0</v>
      </c>
      <c r="AL138" s="355">
        <f t="shared" si="1024"/>
        <v>0</v>
      </c>
      <c r="AM138" s="355">
        <f t="shared" si="1025"/>
        <v>0</v>
      </c>
      <c r="AO138" s="355" t="b">
        <f t="shared" si="1042"/>
        <v>1</v>
      </c>
      <c r="AQ138" s="367">
        <f t="shared" si="1043"/>
        <v>0</v>
      </c>
      <c r="AR138" s="367">
        <f t="shared" si="1026"/>
        <v>0</v>
      </c>
      <c r="AT138" s="367">
        <f t="shared" si="1044"/>
        <v>0</v>
      </c>
      <c r="AU138" s="367">
        <f t="shared" si="1045"/>
        <v>0</v>
      </c>
      <c r="AW138" s="367">
        <f t="shared" si="1046"/>
        <v>0</v>
      </c>
      <c r="AX138" s="367">
        <f t="shared" si="1047"/>
        <v>0</v>
      </c>
      <c r="AY138" s="367">
        <f t="shared" si="1048"/>
        <v>0</v>
      </c>
      <c r="AZ138" s="367">
        <f t="shared" si="1049"/>
        <v>0</v>
      </c>
      <c r="BB138" s="355">
        <f t="shared" si="1050"/>
        <v>0</v>
      </c>
      <c r="BC138" s="355">
        <f t="shared" si="1051"/>
        <v>0</v>
      </c>
      <c r="BD138" s="355">
        <f t="shared" si="1052"/>
        <v>0</v>
      </c>
      <c r="BE138" s="355">
        <f t="shared" si="1053"/>
        <v>0</v>
      </c>
      <c r="BF138" s="355">
        <f t="shared" si="1054"/>
        <v>0</v>
      </c>
      <c r="BH138" s="368">
        <f t="shared" si="1055"/>
        <v>0</v>
      </c>
      <c r="BJ138" s="369">
        <f t="shared" si="1056"/>
        <v>-0.12</v>
      </c>
      <c r="BK138" s="355">
        <f t="shared" si="1057"/>
        <v>0</v>
      </c>
      <c r="BL138" s="355">
        <f t="shared" si="1058"/>
        <v>0</v>
      </c>
      <c r="BN138" s="366">
        <f t="shared" si="1059"/>
        <v>0</v>
      </c>
      <c r="BO138" s="355">
        <f t="shared" si="1060"/>
        <v>0</v>
      </c>
      <c r="BP138" s="355">
        <f t="shared" si="1061"/>
        <v>0</v>
      </c>
      <c r="BQ138" s="355">
        <f t="shared" si="1062"/>
        <v>0</v>
      </c>
      <c r="BS138" s="367">
        <f t="shared" si="1063"/>
        <v>0</v>
      </c>
      <c r="BT138" s="355">
        <f t="shared" si="1064"/>
        <v>0</v>
      </c>
      <c r="BU138" s="355" t="b">
        <f t="shared" si="1027"/>
        <v>1</v>
      </c>
      <c r="BW138" s="355" t="str">
        <f t="shared" si="1065"/>
        <v/>
      </c>
      <c r="BX138" s="355">
        <f t="shared" si="1066"/>
        <v>0</v>
      </c>
      <c r="BY138" s="356">
        <f t="shared" si="1097"/>
        <v>0</v>
      </c>
      <c r="BZ138" s="355">
        <f t="shared" si="1067"/>
        <v>0</v>
      </c>
      <c r="CB138" s="102" t="str">
        <f t="shared" si="1068"/>
        <v>?</v>
      </c>
      <c r="CD138" s="355" t="str">
        <f t="shared" si="1069"/>
        <v>Não</v>
      </c>
      <c r="CE138" s="368">
        <f>ifzero(mlookup(tbl_ICMSinterest_data,UFdestino,tbl_ICMSinterest_ufdest,UForigem,tbl_ICMSinterest_uforig))</f>
        <v>0.12</v>
      </c>
      <c r="CF138" s="368">
        <f>IF(N138&gt;0,IF(I138&lt;&gt;"Serviço",ifzero(mlookup(tbl_ICMSinterno_data,UForigem,tbl_ICMSinterno_UF,O138,tbl_ICMSinterno_NCM),mlookup(tbl_ICMSinterest_data,UForigem,tbl_ICMSinterest_ufdest,UForigem,tbl_ICMSinterest_uforig)),""),0)</f>
        <v>0</v>
      </c>
      <c r="CG138" s="368">
        <f>IF(N138&gt;0,IF(I138&lt;&gt;"Serviço",ifzero(mlookup(tbl_ICMSinterno_data,UFdestino,tbl_ICMSinterno_UF,O138,tbl_ICMSinterno_NCM),mlookup(tbl_ICMSinterest_data,UFdestino,tbl_ICMSinterest_ufdest,UFdestino,tbl_ICMSinterest_uforig)),""),0)</f>
        <v>0</v>
      </c>
      <c r="CI138" s="355">
        <f t="shared" si="1070"/>
        <v>0</v>
      </c>
      <c r="CJ138" s="355">
        <f t="shared" si="1071"/>
        <v>0</v>
      </c>
      <c r="CK138" s="355">
        <f t="shared" si="1072"/>
        <v>0</v>
      </c>
      <c r="CL138" s="355">
        <f t="shared" si="1073"/>
        <v>0</v>
      </c>
      <c r="CN138" s="370">
        <f t="shared" si="1074"/>
        <v>1540</v>
      </c>
      <c r="CO138" s="355">
        <f t="shared" si="1075"/>
        <v>0</v>
      </c>
      <c r="CQ138" s="355" t="b">
        <f t="shared" si="1076"/>
        <v>0</v>
      </c>
      <c r="CR138" s="355" t="b">
        <f t="shared" si="1077"/>
        <v>1</v>
      </c>
      <c r="CS138" s="355" t="b">
        <f t="shared" si="1078"/>
        <v>0</v>
      </c>
      <c r="CU138" s="2">
        <f t="shared" si="1079"/>
        <v>0</v>
      </c>
      <c r="CV138" s="102">
        <f t="shared" si="1080"/>
        <v>0</v>
      </c>
      <c r="CW138" s="102">
        <f t="shared" si="1014"/>
        <v>0</v>
      </c>
      <c r="CX138" s="102">
        <f t="shared" si="1081"/>
        <v>0</v>
      </c>
      <c r="CY138" s="290">
        <f t="shared" si="1082"/>
        <v>0</v>
      </c>
      <c r="CZ138" s="102">
        <f t="shared" si="1016"/>
        <v>0</v>
      </c>
      <c r="DA138" s="290">
        <f t="shared" si="1083"/>
        <v>0</v>
      </c>
      <c r="DB138" s="102">
        <f t="shared" si="1017"/>
        <v>0</v>
      </c>
      <c r="DC138" s="290">
        <f t="shared" si="1084"/>
        <v>0</v>
      </c>
      <c r="DD138" s="102">
        <f t="shared" si="1015"/>
        <v>0</v>
      </c>
      <c r="DE138" s="592">
        <f>IF(D138="Sim",HLOOKUP($DH$5,Parametrização!$G$2:$H$4,2,FALSE),0)</f>
        <v>0</v>
      </c>
      <c r="DF138" s="102">
        <f t="shared" si="1018"/>
        <v>0</v>
      </c>
      <c r="DG138" s="592">
        <f>IF(D138="Sim",HLOOKUP($DH$5,Parametrização!$G$2:$H$4,3,FALSE),0)</f>
        <v>0</v>
      </c>
      <c r="DH138" s="102">
        <f t="shared" si="1019"/>
        <v>0</v>
      </c>
      <c r="DI138" s="102">
        <f t="shared" si="1020"/>
        <v>0</v>
      </c>
      <c r="DK138" s="3" t="str">
        <f t="shared" si="1085"/>
        <v>NA</v>
      </c>
      <c r="DL138" s="2" t="str">
        <f t="shared" si="1086"/>
        <v>NA</v>
      </c>
      <c r="DM138" s="3" t="str">
        <f t="shared" si="1087"/>
        <v>NA</v>
      </c>
      <c r="DN138" s="9" t="str">
        <f t="shared" si="1088"/>
        <v>NA</v>
      </c>
      <c r="DO138" s="637" t="str">
        <f t="shared" si="1089"/>
        <v>NA</v>
      </c>
      <c r="DP138" s="637"/>
      <c r="DQ138" s="3" t="str">
        <f t="shared" si="1090"/>
        <v>NA</v>
      </c>
      <c r="DR138" s="2" t="str">
        <f t="shared" si="1091"/>
        <v>NA</v>
      </c>
      <c r="DS138" s="3" t="str">
        <f t="shared" si="1092"/>
        <v>NA</v>
      </c>
      <c r="DT138" s="9" t="str">
        <f t="shared" si="1021"/>
        <v>NA</v>
      </c>
      <c r="DU138" s="637" t="str">
        <f t="shared" si="1022"/>
        <v>NA</v>
      </c>
      <c r="DV138" s="637"/>
      <c r="DW138" s="682"/>
      <c r="DX138" s="682"/>
      <c r="DY138" s="682"/>
      <c r="DZ138" s="637"/>
      <c r="EA138" s="643"/>
    </row>
    <row r="139" spans="1:131" s="355" customFormat="1" ht="20.100000000000001" customHeight="1" outlineLevel="1" x14ac:dyDescent="0.25">
      <c r="A139" s="356"/>
      <c r="B139" s="355" t="s">
        <v>268</v>
      </c>
      <c r="C139" s="355" t="str">
        <f t="shared" si="1093"/>
        <v>Consumo</v>
      </c>
      <c r="D139" s="355" t="s">
        <v>53</v>
      </c>
      <c r="E139" s="18" t="s">
        <v>38</v>
      </c>
      <c r="F139" s="355" t="s">
        <v>53</v>
      </c>
      <c r="G139" s="357" t="str">
        <f t="shared" si="1094"/>
        <v>Geral</v>
      </c>
      <c r="H139" s="255" t="s">
        <v>377</v>
      </c>
      <c r="I139" s="356" t="str">
        <f t="shared" si="1028"/>
        <v>Sistema</v>
      </c>
      <c r="K139" s="318" t="s">
        <v>2892</v>
      </c>
      <c r="L139" s="749" t="str">
        <f>IF(Padrões!JF80&lt;&gt;"",Padrões!JF80,"")</f>
        <v/>
      </c>
      <c r="M139" s="358" t="str">
        <f t="shared" si="1029"/>
        <v>?</v>
      </c>
      <c r="N139" s="359">
        <f>Padrões!JI80</f>
        <v>0</v>
      </c>
      <c r="O139" s="381" t="str">
        <f t="shared" si="1030"/>
        <v>?</v>
      </c>
      <c r="P139" s="360">
        <f t="shared" si="1031"/>
        <v>0.12</v>
      </c>
      <c r="Q139" s="360" t="str">
        <f t="shared" si="1032"/>
        <v>?</v>
      </c>
      <c r="R139" s="360">
        <f t="shared" si="1033"/>
        <v>0</v>
      </c>
      <c r="S139" s="361">
        <f t="shared" si="1034"/>
        <v>0</v>
      </c>
      <c r="T139" s="362">
        <f t="shared" si="1035"/>
        <v>0</v>
      </c>
      <c r="U139" s="53" t="str" cm="1">
        <f t="array" ref="U139">IFERROR(IF(I139&lt;&gt;"Serviço",IF(AND(mlookup(tbl_DIFAL_data,UFdestino,tbl_DIFAL_UF,O139,tbl_DIFAL_NCM)&lt;&gt;"",C139="Consumo"),"Sim",""),""),"?")</f>
        <v>?</v>
      </c>
      <c r="V139" s="363" t="str">
        <f>IFERROR(IF(I139&lt;&gt;"Serviço",IF(AND(D139="Não",mlookup(tbl_ST_data,UFdestino,tbl_ST_UF,O139,tbl_ST_NCM)&lt;&gt;"",C139="Revenda",CD139="Não"),"Sim",""),""),"?")</f>
        <v>?</v>
      </c>
      <c r="W139" s="364">
        <f t="shared" si="1036"/>
        <v>0</v>
      </c>
      <c r="X139" s="365">
        <f>IF(V139="Sim",mlookup(tbl_ST_data,UFdestino,tbl_ST_UF,O139,tbl_ST_NCM),0)</f>
        <v>0</v>
      </c>
      <c r="Z139" s="355">
        <f t="shared" si="1037"/>
        <v>0</v>
      </c>
      <c r="AA139" s="355">
        <f t="shared" si="1023"/>
        <v>0</v>
      </c>
      <c r="AC139" s="366">
        <f t="shared" si="1095"/>
        <v>1.31243473968765E-2</v>
      </c>
      <c r="AD139" s="366">
        <f t="shared" si="1038"/>
        <v>0.15</v>
      </c>
      <c r="AF139" s="355">
        <f t="shared" si="1039"/>
        <v>0</v>
      </c>
      <c r="AG139" s="355">
        <f t="shared" si="1040"/>
        <v>0</v>
      </c>
      <c r="AI139" s="355">
        <f t="shared" si="1041"/>
        <v>0</v>
      </c>
      <c r="AK139" s="366">
        <f t="shared" si="1096"/>
        <v>0</v>
      </c>
      <c r="AL139" s="355">
        <f t="shared" si="1024"/>
        <v>0</v>
      </c>
      <c r="AM139" s="355">
        <f t="shared" si="1025"/>
        <v>0</v>
      </c>
      <c r="AO139" s="355" t="b">
        <f t="shared" si="1042"/>
        <v>1</v>
      </c>
      <c r="AQ139" s="367">
        <f t="shared" si="1043"/>
        <v>0</v>
      </c>
      <c r="AR139" s="367">
        <f t="shared" si="1026"/>
        <v>0</v>
      </c>
      <c r="AT139" s="367">
        <f t="shared" si="1044"/>
        <v>0</v>
      </c>
      <c r="AU139" s="367">
        <f t="shared" si="1045"/>
        <v>0</v>
      </c>
      <c r="AW139" s="367">
        <f t="shared" si="1046"/>
        <v>0</v>
      </c>
      <c r="AX139" s="367">
        <f t="shared" si="1047"/>
        <v>0</v>
      </c>
      <c r="AY139" s="367">
        <f t="shared" si="1048"/>
        <v>0</v>
      </c>
      <c r="AZ139" s="367">
        <f t="shared" si="1049"/>
        <v>0</v>
      </c>
      <c r="BB139" s="355">
        <f t="shared" si="1050"/>
        <v>0</v>
      </c>
      <c r="BC139" s="355">
        <f t="shared" si="1051"/>
        <v>0</v>
      </c>
      <c r="BD139" s="355">
        <f t="shared" si="1052"/>
        <v>0</v>
      </c>
      <c r="BE139" s="355">
        <f t="shared" si="1053"/>
        <v>0</v>
      </c>
      <c r="BF139" s="355">
        <f t="shared" si="1054"/>
        <v>0</v>
      </c>
      <c r="BH139" s="368">
        <f t="shared" si="1055"/>
        <v>0</v>
      </c>
      <c r="BJ139" s="369">
        <f t="shared" si="1056"/>
        <v>-0.12</v>
      </c>
      <c r="BK139" s="355">
        <f t="shared" si="1057"/>
        <v>0</v>
      </c>
      <c r="BL139" s="355">
        <f t="shared" si="1058"/>
        <v>0</v>
      </c>
      <c r="BN139" s="366">
        <f t="shared" si="1059"/>
        <v>0</v>
      </c>
      <c r="BO139" s="355">
        <f t="shared" si="1060"/>
        <v>0</v>
      </c>
      <c r="BP139" s="355">
        <f t="shared" si="1061"/>
        <v>0</v>
      </c>
      <c r="BQ139" s="355">
        <f t="shared" si="1062"/>
        <v>0</v>
      </c>
      <c r="BS139" s="367">
        <f t="shared" si="1063"/>
        <v>0</v>
      </c>
      <c r="BT139" s="355">
        <f t="shared" si="1064"/>
        <v>0</v>
      </c>
      <c r="BU139" s="355" t="b">
        <f t="shared" si="1027"/>
        <v>1</v>
      </c>
      <c r="BW139" s="355" t="str">
        <f t="shared" si="1065"/>
        <v/>
      </c>
      <c r="BX139" s="355">
        <f t="shared" si="1066"/>
        <v>0</v>
      </c>
      <c r="BY139" s="356">
        <f t="shared" si="1097"/>
        <v>0</v>
      </c>
      <c r="BZ139" s="355">
        <f t="shared" si="1067"/>
        <v>0</v>
      </c>
      <c r="CB139" s="102" t="str">
        <f t="shared" si="1068"/>
        <v>?</v>
      </c>
      <c r="CD139" s="355" t="str">
        <f t="shared" si="1069"/>
        <v>Não</v>
      </c>
      <c r="CE139" s="368">
        <f>ifzero(mlookup(tbl_ICMSinterest_data,UFdestino,tbl_ICMSinterest_ufdest,UForigem,tbl_ICMSinterest_uforig))</f>
        <v>0.12</v>
      </c>
      <c r="CF139" s="368">
        <f>IF(N139&gt;0,IF(I139&lt;&gt;"Serviço",ifzero(mlookup(tbl_ICMSinterno_data,UForigem,tbl_ICMSinterno_UF,O139,tbl_ICMSinterno_NCM),mlookup(tbl_ICMSinterest_data,UForigem,tbl_ICMSinterest_ufdest,UForigem,tbl_ICMSinterest_uforig)),""),0)</f>
        <v>0</v>
      </c>
      <c r="CG139" s="368">
        <f>IF(N139&gt;0,IF(I139&lt;&gt;"Serviço",ifzero(mlookup(tbl_ICMSinterno_data,UFdestino,tbl_ICMSinterno_UF,O139,tbl_ICMSinterno_NCM),mlookup(tbl_ICMSinterest_data,UFdestino,tbl_ICMSinterest_ufdest,UFdestino,tbl_ICMSinterest_uforig)),""),0)</f>
        <v>0</v>
      </c>
      <c r="CI139" s="355">
        <f t="shared" si="1070"/>
        <v>0</v>
      </c>
      <c r="CJ139" s="355">
        <f t="shared" si="1071"/>
        <v>0</v>
      </c>
      <c r="CK139" s="355">
        <f t="shared" si="1072"/>
        <v>0</v>
      </c>
      <c r="CL139" s="355">
        <f t="shared" si="1073"/>
        <v>0</v>
      </c>
      <c r="CN139" s="370">
        <f t="shared" si="1074"/>
        <v>1540</v>
      </c>
      <c r="CO139" s="355">
        <f t="shared" si="1075"/>
        <v>0</v>
      </c>
      <c r="CQ139" s="355" t="b">
        <f t="shared" si="1076"/>
        <v>0</v>
      </c>
      <c r="CR139" s="355" t="b">
        <f t="shared" si="1077"/>
        <v>1</v>
      </c>
      <c r="CS139" s="355" t="b">
        <f t="shared" si="1078"/>
        <v>0</v>
      </c>
      <c r="CU139" s="2">
        <f t="shared" si="1079"/>
        <v>0</v>
      </c>
      <c r="CV139" s="102">
        <f t="shared" si="1080"/>
        <v>0</v>
      </c>
      <c r="CW139" s="102">
        <f t="shared" si="1014"/>
        <v>0</v>
      </c>
      <c r="CX139" s="102">
        <f t="shared" si="1081"/>
        <v>0</v>
      </c>
      <c r="CY139" s="290">
        <f t="shared" si="1082"/>
        <v>0</v>
      </c>
      <c r="CZ139" s="102">
        <f t="shared" si="1016"/>
        <v>0</v>
      </c>
      <c r="DA139" s="290">
        <f t="shared" si="1083"/>
        <v>0</v>
      </c>
      <c r="DB139" s="102">
        <f t="shared" si="1017"/>
        <v>0</v>
      </c>
      <c r="DC139" s="290">
        <f t="shared" si="1084"/>
        <v>0</v>
      </c>
      <c r="DD139" s="102">
        <f t="shared" si="1015"/>
        <v>0</v>
      </c>
      <c r="DE139" s="592">
        <f>IF(D139="Sim",HLOOKUP($DH$5,Parametrização!$G$2:$H$4,2,FALSE),0)</f>
        <v>0</v>
      </c>
      <c r="DF139" s="102">
        <f t="shared" si="1018"/>
        <v>0</v>
      </c>
      <c r="DG139" s="592">
        <f>IF(D139="Sim",HLOOKUP($DH$5,Parametrização!$G$2:$H$4,3,FALSE),0)</f>
        <v>0</v>
      </c>
      <c r="DH139" s="102">
        <f t="shared" si="1019"/>
        <v>0</v>
      </c>
      <c r="DI139" s="102">
        <f t="shared" si="1020"/>
        <v>0</v>
      </c>
      <c r="DK139" s="3" t="str">
        <f t="shared" si="1085"/>
        <v>NA</v>
      </c>
      <c r="DL139" s="2" t="str">
        <f t="shared" si="1086"/>
        <v>NA</v>
      </c>
      <c r="DM139" s="3" t="str">
        <f t="shared" si="1087"/>
        <v>NA</v>
      </c>
      <c r="DN139" s="9" t="str">
        <f t="shared" si="1088"/>
        <v>NA</v>
      </c>
      <c r="DO139" s="637" t="str">
        <f t="shared" si="1089"/>
        <v>NA</v>
      </c>
      <c r="DP139" s="637"/>
      <c r="DQ139" s="3" t="str">
        <f t="shared" si="1090"/>
        <v>NA</v>
      </c>
      <c r="DR139" s="2" t="str">
        <f t="shared" si="1091"/>
        <v>NA</v>
      </c>
      <c r="DS139" s="3" t="str">
        <f t="shared" si="1092"/>
        <v>NA</v>
      </c>
      <c r="DT139" s="9" t="str">
        <f t="shared" si="1021"/>
        <v>NA</v>
      </c>
      <c r="DU139" s="637" t="str">
        <f t="shared" si="1022"/>
        <v>NA</v>
      </c>
      <c r="DV139" s="637"/>
      <c r="DW139" s="682"/>
      <c r="DX139" s="682"/>
      <c r="DY139" s="682"/>
      <c r="DZ139" s="637"/>
      <c r="EA139" s="643"/>
    </row>
    <row r="140" spans="1:131" s="355" customFormat="1" ht="20.100000000000001" customHeight="1" outlineLevel="1" x14ac:dyDescent="0.25">
      <c r="A140" s="356"/>
      <c r="B140" s="355" t="s">
        <v>268</v>
      </c>
      <c r="C140" s="355" t="str">
        <f t="shared" si="1093"/>
        <v>Consumo</v>
      </c>
      <c r="D140" s="355" t="s">
        <v>53</v>
      </c>
      <c r="E140" s="18" t="s">
        <v>38</v>
      </c>
      <c r="F140" s="355" t="s">
        <v>53</v>
      </c>
      <c r="G140" s="357" t="str">
        <f t="shared" si="1094"/>
        <v>Geral</v>
      </c>
      <c r="H140" s="255" t="s">
        <v>377</v>
      </c>
      <c r="I140" s="356" t="str">
        <f t="shared" si="1028"/>
        <v>Sistema</v>
      </c>
      <c r="K140" s="318" t="s">
        <v>2893</v>
      </c>
      <c r="L140" s="749" t="str">
        <f>IF(Padrões!JF81&lt;&gt;"",Padrões!JF81,"")</f>
        <v/>
      </c>
      <c r="M140" s="358" t="str">
        <f t="shared" si="1029"/>
        <v>?</v>
      </c>
      <c r="N140" s="359">
        <f>Padrões!JI81</f>
        <v>0</v>
      </c>
      <c r="O140" s="381" t="str">
        <f t="shared" si="1030"/>
        <v>?</v>
      </c>
      <c r="P140" s="360">
        <f t="shared" si="1031"/>
        <v>0.12</v>
      </c>
      <c r="Q140" s="360" t="str">
        <f t="shared" si="1032"/>
        <v>?</v>
      </c>
      <c r="R140" s="360">
        <f t="shared" si="1033"/>
        <v>0</v>
      </c>
      <c r="S140" s="361">
        <f t="shared" si="1034"/>
        <v>0</v>
      </c>
      <c r="T140" s="362">
        <f t="shared" si="1035"/>
        <v>0</v>
      </c>
      <c r="U140" s="53" t="str" cm="1">
        <f t="array" ref="U140">IFERROR(IF(I140&lt;&gt;"Serviço",IF(AND(mlookup(tbl_DIFAL_data,UFdestino,tbl_DIFAL_UF,O140,tbl_DIFAL_NCM)&lt;&gt;"",C140="Consumo"),"Sim",""),""),"?")</f>
        <v>?</v>
      </c>
      <c r="V140" s="363" t="str">
        <f>IFERROR(IF(I140&lt;&gt;"Serviço",IF(AND(D140="Não",mlookup(tbl_ST_data,UFdestino,tbl_ST_UF,O140,tbl_ST_NCM)&lt;&gt;"",C140="Revenda",CD140="Não"),"Sim",""),""),"?")</f>
        <v>?</v>
      </c>
      <c r="W140" s="364">
        <f t="shared" si="1036"/>
        <v>0</v>
      </c>
      <c r="X140" s="365">
        <f>IF(V140="Sim",mlookup(tbl_ST_data,UFdestino,tbl_ST_UF,O140,tbl_ST_NCM),0)</f>
        <v>0</v>
      </c>
      <c r="Z140" s="355">
        <f t="shared" si="1037"/>
        <v>0</v>
      </c>
      <c r="AA140" s="355">
        <f t="shared" si="1023"/>
        <v>0</v>
      </c>
      <c r="AC140" s="366">
        <f t="shared" si="1095"/>
        <v>1.31243473968765E-2</v>
      </c>
      <c r="AD140" s="366">
        <f t="shared" si="1038"/>
        <v>0.15</v>
      </c>
      <c r="AF140" s="355">
        <f t="shared" si="1039"/>
        <v>0</v>
      </c>
      <c r="AG140" s="355">
        <f t="shared" si="1040"/>
        <v>0</v>
      </c>
      <c r="AI140" s="355">
        <f t="shared" si="1041"/>
        <v>0</v>
      </c>
      <c r="AK140" s="366">
        <f t="shared" si="1096"/>
        <v>0</v>
      </c>
      <c r="AL140" s="355">
        <f t="shared" si="1024"/>
        <v>0</v>
      </c>
      <c r="AM140" s="355">
        <f t="shared" si="1025"/>
        <v>0</v>
      </c>
      <c r="AO140" s="355" t="b">
        <f t="shared" si="1042"/>
        <v>1</v>
      </c>
      <c r="AQ140" s="367">
        <f t="shared" si="1043"/>
        <v>0</v>
      </c>
      <c r="AR140" s="367">
        <f t="shared" si="1026"/>
        <v>0</v>
      </c>
      <c r="AT140" s="367">
        <f t="shared" si="1044"/>
        <v>0</v>
      </c>
      <c r="AU140" s="367">
        <f t="shared" si="1045"/>
        <v>0</v>
      </c>
      <c r="AW140" s="367">
        <f t="shared" si="1046"/>
        <v>0</v>
      </c>
      <c r="AX140" s="367">
        <f t="shared" si="1047"/>
        <v>0</v>
      </c>
      <c r="AY140" s="367">
        <f t="shared" si="1048"/>
        <v>0</v>
      </c>
      <c r="AZ140" s="367">
        <f t="shared" si="1049"/>
        <v>0</v>
      </c>
      <c r="BB140" s="355">
        <f t="shared" si="1050"/>
        <v>0</v>
      </c>
      <c r="BC140" s="355">
        <f t="shared" si="1051"/>
        <v>0</v>
      </c>
      <c r="BD140" s="355">
        <f t="shared" si="1052"/>
        <v>0</v>
      </c>
      <c r="BE140" s="355">
        <f t="shared" si="1053"/>
        <v>0</v>
      </c>
      <c r="BF140" s="355">
        <f t="shared" si="1054"/>
        <v>0</v>
      </c>
      <c r="BH140" s="368">
        <f t="shared" si="1055"/>
        <v>0</v>
      </c>
      <c r="BJ140" s="369">
        <f t="shared" si="1056"/>
        <v>-0.12</v>
      </c>
      <c r="BK140" s="355">
        <f t="shared" si="1057"/>
        <v>0</v>
      </c>
      <c r="BL140" s="355">
        <f t="shared" si="1058"/>
        <v>0</v>
      </c>
      <c r="BN140" s="366">
        <f t="shared" si="1059"/>
        <v>0</v>
      </c>
      <c r="BO140" s="355">
        <f t="shared" si="1060"/>
        <v>0</v>
      </c>
      <c r="BP140" s="355">
        <f t="shared" si="1061"/>
        <v>0</v>
      </c>
      <c r="BQ140" s="355">
        <f t="shared" si="1062"/>
        <v>0</v>
      </c>
      <c r="BS140" s="367">
        <f t="shared" si="1063"/>
        <v>0</v>
      </c>
      <c r="BT140" s="355">
        <f t="shared" si="1064"/>
        <v>0</v>
      </c>
      <c r="BU140" s="355" t="b">
        <f t="shared" si="1027"/>
        <v>1</v>
      </c>
      <c r="BW140" s="355" t="str">
        <f t="shared" si="1065"/>
        <v/>
      </c>
      <c r="BX140" s="355">
        <f t="shared" si="1066"/>
        <v>0</v>
      </c>
      <c r="BY140" s="356">
        <f t="shared" si="1097"/>
        <v>0</v>
      </c>
      <c r="BZ140" s="355">
        <f t="shared" si="1067"/>
        <v>0</v>
      </c>
      <c r="CB140" s="102" t="str">
        <f t="shared" si="1068"/>
        <v>?</v>
      </c>
      <c r="CD140" s="355" t="str">
        <f t="shared" si="1069"/>
        <v>Não</v>
      </c>
      <c r="CE140" s="368">
        <f>ifzero(mlookup(tbl_ICMSinterest_data,UFdestino,tbl_ICMSinterest_ufdest,UForigem,tbl_ICMSinterest_uforig))</f>
        <v>0.12</v>
      </c>
      <c r="CF140" s="368">
        <f>IF(N140&gt;0,IF(I140&lt;&gt;"Serviço",ifzero(mlookup(tbl_ICMSinterno_data,UForigem,tbl_ICMSinterno_UF,O140,tbl_ICMSinterno_NCM),mlookup(tbl_ICMSinterest_data,UForigem,tbl_ICMSinterest_ufdest,UForigem,tbl_ICMSinterest_uforig)),""),0)</f>
        <v>0</v>
      </c>
      <c r="CG140" s="368">
        <f>IF(N140&gt;0,IF(I140&lt;&gt;"Serviço",ifzero(mlookup(tbl_ICMSinterno_data,UFdestino,tbl_ICMSinterno_UF,O140,tbl_ICMSinterno_NCM),mlookup(tbl_ICMSinterest_data,UFdestino,tbl_ICMSinterest_ufdest,UFdestino,tbl_ICMSinterest_uforig)),""),0)</f>
        <v>0</v>
      </c>
      <c r="CI140" s="355">
        <f t="shared" si="1070"/>
        <v>0</v>
      </c>
      <c r="CJ140" s="355">
        <f t="shared" si="1071"/>
        <v>0</v>
      </c>
      <c r="CK140" s="355">
        <f t="shared" si="1072"/>
        <v>0</v>
      </c>
      <c r="CL140" s="355">
        <f t="shared" si="1073"/>
        <v>0</v>
      </c>
      <c r="CN140" s="370">
        <f t="shared" si="1074"/>
        <v>1540</v>
      </c>
      <c r="CO140" s="355">
        <f t="shared" si="1075"/>
        <v>0</v>
      </c>
      <c r="CQ140" s="355" t="b">
        <f t="shared" si="1076"/>
        <v>0</v>
      </c>
      <c r="CR140" s="355" t="b">
        <f t="shared" si="1077"/>
        <v>1</v>
      </c>
      <c r="CS140" s="355" t="b">
        <f t="shared" si="1078"/>
        <v>0</v>
      </c>
      <c r="CU140" s="2">
        <f t="shared" si="1079"/>
        <v>0</v>
      </c>
      <c r="CV140" s="102">
        <f t="shared" si="1080"/>
        <v>0</v>
      </c>
      <c r="CW140" s="102">
        <f t="shared" si="1014"/>
        <v>0</v>
      </c>
      <c r="CX140" s="102">
        <f t="shared" si="1081"/>
        <v>0</v>
      </c>
      <c r="CY140" s="290">
        <f t="shared" si="1082"/>
        <v>0</v>
      </c>
      <c r="CZ140" s="102">
        <f t="shared" si="1016"/>
        <v>0</v>
      </c>
      <c r="DA140" s="290">
        <f t="shared" si="1083"/>
        <v>0</v>
      </c>
      <c r="DB140" s="102">
        <f t="shared" si="1017"/>
        <v>0</v>
      </c>
      <c r="DC140" s="290">
        <f t="shared" si="1084"/>
        <v>0</v>
      </c>
      <c r="DD140" s="102">
        <f t="shared" si="1015"/>
        <v>0</v>
      </c>
      <c r="DE140" s="592">
        <f>IF(D140="Sim",HLOOKUP($DH$5,Parametrização!$G$2:$H$4,2,FALSE),0)</f>
        <v>0</v>
      </c>
      <c r="DF140" s="102">
        <f t="shared" si="1018"/>
        <v>0</v>
      </c>
      <c r="DG140" s="592">
        <f>IF(D140="Sim",HLOOKUP($DH$5,Parametrização!$G$2:$H$4,3,FALSE),0)</f>
        <v>0</v>
      </c>
      <c r="DH140" s="102">
        <f t="shared" si="1019"/>
        <v>0</v>
      </c>
      <c r="DI140" s="102">
        <f t="shared" si="1020"/>
        <v>0</v>
      </c>
      <c r="DK140" s="3" t="str">
        <f t="shared" si="1085"/>
        <v>NA</v>
      </c>
      <c r="DL140" s="2" t="str">
        <f t="shared" si="1086"/>
        <v>NA</v>
      </c>
      <c r="DM140" s="3" t="str">
        <f t="shared" si="1087"/>
        <v>NA</v>
      </c>
      <c r="DN140" s="9" t="str">
        <f t="shared" si="1088"/>
        <v>NA</v>
      </c>
      <c r="DO140" s="637" t="str">
        <f t="shared" si="1089"/>
        <v>NA</v>
      </c>
      <c r="DP140" s="637"/>
      <c r="DQ140" s="3" t="str">
        <f t="shared" si="1090"/>
        <v>NA</v>
      </c>
      <c r="DR140" s="2" t="str">
        <f t="shared" si="1091"/>
        <v>NA</v>
      </c>
      <c r="DS140" s="3" t="str">
        <f t="shared" si="1092"/>
        <v>NA</v>
      </c>
      <c r="DT140" s="9" t="str">
        <f t="shared" si="1021"/>
        <v>NA</v>
      </c>
      <c r="DU140" s="637" t="str">
        <f t="shared" si="1022"/>
        <v>NA</v>
      </c>
      <c r="DV140" s="637"/>
      <c r="DW140" s="682"/>
      <c r="DX140" s="682"/>
      <c r="DY140" s="682"/>
      <c r="DZ140" s="637"/>
      <c r="EA140" s="643"/>
    </row>
    <row r="141" spans="1:131" s="355" customFormat="1" ht="20.100000000000001" customHeight="1" outlineLevel="1" x14ac:dyDescent="0.25">
      <c r="A141" s="356"/>
      <c r="B141" s="355" t="s">
        <v>268</v>
      </c>
      <c r="C141" s="355" t="str">
        <f t="shared" si="1093"/>
        <v>Consumo</v>
      </c>
      <c r="D141" s="355" t="s">
        <v>53</v>
      </c>
      <c r="E141" s="18" t="s">
        <v>38</v>
      </c>
      <c r="F141" s="355" t="s">
        <v>53</v>
      </c>
      <c r="G141" s="357" t="str">
        <f t="shared" si="1094"/>
        <v>Geral</v>
      </c>
      <c r="H141" s="255" t="s">
        <v>377</v>
      </c>
      <c r="I141" s="356" t="str">
        <f t="shared" si="1028"/>
        <v>Sistema</v>
      </c>
      <c r="K141" s="318" t="s">
        <v>2894</v>
      </c>
      <c r="L141" s="749" t="str">
        <f>IF(Padrões!JF82&lt;&gt;"",Padrões!JF82,"")</f>
        <v/>
      </c>
      <c r="M141" s="358" t="str">
        <f t="shared" si="1029"/>
        <v>?</v>
      </c>
      <c r="N141" s="359">
        <f>Padrões!JI82</f>
        <v>0</v>
      </c>
      <c r="O141" s="381" t="str">
        <f t="shared" si="1030"/>
        <v>?</v>
      </c>
      <c r="P141" s="360">
        <f t="shared" si="1031"/>
        <v>0.12</v>
      </c>
      <c r="Q141" s="360" t="str">
        <f t="shared" si="1032"/>
        <v>?</v>
      </c>
      <c r="R141" s="360">
        <f t="shared" si="1033"/>
        <v>0</v>
      </c>
      <c r="S141" s="361">
        <f t="shared" si="1034"/>
        <v>0</v>
      </c>
      <c r="T141" s="362">
        <f t="shared" si="1035"/>
        <v>0</v>
      </c>
      <c r="U141" s="53" t="str" cm="1">
        <f t="array" ref="U141">IFERROR(IF(I141&lt;&gt;"Serviço",IF(AND(mlookup(tbl_DIFAL_data,UFdestino,tbl_DIFAL_UF,O141,tbl_DIFAL_NCM)&lt;&gt;"",C141="Consumo"),"Sim",""),""),"?")</f>
        <v>?</v>
      </c>
      <c r="V141" s="363" t="str">
        <f>IFERROR(IF(I141&lt;&gt;"Serviço",IF(AND(D141="Não",mlookup(tbl_ST_data,UFdestino,tbl_ST_UF,O141,tbl_ST_NCM)&lt;&gt;"",C141="Revenda",CD141="Não"),"Sim",""),""),"?")</f>
        <v>?</v>
      </c>
      <c r="W141" s="364">
        <f t="shared" si="1036"/>
        <v>0</v>
      </c>
      <c r="X141" s="365">
        <f>IF(V141="Sim",mlookup(tbl_ST_data,UFdestino,tbl_ST_UF,O141,tbl_ST_NCM),0)</f>
        <v>0</v>
      </c>
      <c r="Z141" s="355">
        <f t="shared" si="1037"/>
        <v>0</v>
      </c>
      <c r="AA141" s="355">
        <f t="shared" si="1023"/>
        <v>0</v>
      </c>
      <c r="AC141" s="366">
        <f t="shared" si="1095"/>
        <v>1.31243473968765E-2</v>
      </c>
      <c r="AD141" s="366">
        <f t="shared" si="1038"/>
        <v>0.15</v>
      </c>
      <c r="AF141" s="355">
        <f t="shared" si="1039"/>
        <v>0</v>
      </c>
      <c r="AG141" s="355">
        <f t="shared" si="1040"/>
        <v>0</v>
      </c>
      <c r="AI141" s="355">
        <f t="shared" si="1041"/>
        <v>0</v>
      </c>
      <c r="AK141" s="366">
        <f t="shared" si="1096"/>
        <v>0</v>
      </c>
      <c r="AL141" s="355">
        <f t="shared" si="1024"/>
        <v>0</v>
      </c>
      <c r="AM141" s="355">
        <f t="shared" si="1025"/>
        <v>0</v>
      </c>
      <c r="AO141" s="355" t="b">
        <f t="shared" si="1042"/>
        <v>1</v>
      </c>
      <c r="AQ141" s="367">
        <f t="shared" si="1043"/>
        <v>0</v>
      </c>
      <c r="AR141" s="367">
        <f t="shared" si="1026"/>
        <v>0</v>
      </c>
      <c r="AT141" s="367">
        <f t="shared" si="1044"/>
        <v>0</v>
      </c>
      <c r="AU141" s="367">
        <f t="shared" si="1045"/>
        <v>0</v>
      </c>
      <c r="AW141" s="367">
        <f t="shared" si="1046"/>
        <v>0</v>
      </c>
      <c r="AX141" s="367">
        <f t="shared" si="1047"/>
        <v>0</v>
      </c>
      <c r="AY141" s="367">
        <f t="shared" si="1048"/>
        <v>0</v>
      </c>
      <c r="AZ141" s="367">
        <f t="shared" si="1049"/>
        <v>0</v>
      </c>
      <c r="BB141" s="355">
        <f t="shared" si="1050"/>
        <v>0</v>
      </c>
      <c r="BC141" s="355">
        <f t="shared" si="1051"/>
        <v>0</v>
      </c>
      <c r="BD141" s="355">
        <f t="shared" si="1052"/>
        <v>0</v>
      </c>
      <c r="BE141" s="355">
        <f t="shared" si="1053"/>
        <v>0</v>
      </c>
      <c r="BF141" s="355">
        <f t="shared" si="1054"/>
        <v>0</v>
      </c>
      <c r="BH141" s="368">
        <f t="shared" si="1055"/>
        <v>0</v>
      </c>
      <c r="BJ141" s="369">
        <f t="shared" si="1056"/>
        <v>-0.12</v>
      </c>
      <c r="BK141" s="355">
        <f t="shared" si="1057"/>
        <v>0</v>
      </c>
      <c r="BL141" s="355">
        <f t="shared" si="1058"/>
        <v>0</v>
      </c>
      <c r="BN141" s="366">
        <f t="shared" si="1059"/>
        <v>0</v>
      </c>
      <c r="BO141" s="355">
        <f t="shared" si="1060"/>
        <v>0</v>
      </c>
      <c r="BP141" s="355">
        <f t="shared" si="1061"/>
        <v>0</v>
      </c>
      <c r="BQ141" s="355">
        <f t="shared" si="1062"/>
        <v>0</v>
      </c>
      <c r="BS141" s="367">
        <f t="shared" si="1063"/>
        <v>0</v>
      </c>
      <c r="BT141" s="355">
        <f t="shared" si="1064"/>
        <v>0</v>
      </c>
      <c r="BU141" s="355" t="b">
        <f t="shared" si="1027"/>
        <v>1</v>
      </c>
      <c r="BW141" s="355" t="str">
        <f t="shared" si="1065"/>
        <v/>
      </c>
      <c r="BX141" s="355">
        <f t="shared" si="1066"/>
        <v>0</v>
      </c>
      <c r="BY141" s="356">
        <f t="shared" si="1097"/>
        <v>0</v>
      </c>
      <c r="BZ141" s="355">
        <f t="shared" si="1067"/>
        <v>0</v>
      </c>
      <c r="CB141" s="102" t="str">
        <f t="shared" si="1068"/>
        <v>?</v>
      </c>
      <c r="CD141" s="355" t="str">
        <f t="shared" si="1069"/>
        <v>Não</v>
      </c>
      <c r="CE141" s="368">
        <f>ifzero(mlookup(tbl_ICMSinterest_data,UFdestino,tbl_ICMSinterest_ufdest,UForigem,tbl_ICMSinterest_uforig))</f>
        <v>0.12</v>
      </c>
      <c r="CF141" s="368">
        <f>IF(N141&gt;0,IF(I141&lt;&gt;"Serviço",ifzero(mlookup(tbl_ICMSinterno_data,UForigem,tbl_ICMSinterno_UF,O141,tbl_ICMSinterno_NCM),mlookup(tbl_ICMSinterest_data,UForigem,tbl_ICMSinterest_ufdest,UForigem,tbl_ICMSinterest_uforig)),""),0)</f>
        <v>0</v>
      </c>
      <c r="CG141" s="368">
        <f>IF(N141&gt;0,IF(I141&lt;&gt;"Serviço",ifzero(mlookup(tbl_ICMSinterno_data,UFdestino,tbl_ICMSinterno_UF,O141,tbl_ICMSinterno_NCM),mlookup(tbl_ICMSinterest_data,UFdestino,tbl_ICMSinterest_ufdest,UFdestino,tbl_ICMSinterest_uforig)),""),0)</f>
        <v>0</v>
      </c>
      <c r="CI141" s="355">
        <f t="shared" si="1070"/>
        <v>0</v>
      </c>
      <c r="CJ141" s="355">
        <f t="shared" si="1071"/>
        <v>0</v>
      </c>
      <c r="CK141" s="355">
        <f t="shared" si="1072"/>
        <v>0</v>
      </c>
      <c r="CL141" s="355">
        <f t="shared" si="1073"/>
        <v>0</v>
      </c>
      <c r="CN141" s="370">
        <f t="shared" si="1074"/>
        <v>1540</v>
      </c>
      <c r="CO141" s="355">
        <f t="shared" si="1075"/>
        <v>0</v>
      </c>
      <c r="CQ141" s="355" t="b">
        <f t="shared" si="1076"/>
        <v>0</v>
      </c>
      <c r="CR141" s="355" t="b">
        <f t="shared" si="1077"/>
        <v>1</v>
      </c>
      <c r="CS141" s="355" t="b">
        <f t="shared" si="1078"/>
        <v>0</v>
      </c>
      <c r="CU141" s="2">
        <f t="shared" si="1079"/>
        <v>0</v>
      </c>
      <c r="CV141" s="102">
        <f t="shared" si="1080"/>
        <v>0</v>
      </c>
      <c r="CW141" s="102">
        <f t="shared" si="1014"/>
        <v>0</v>
      </c>
      <c r="CX141" s="102">
        <f t="shared" si="1081"/>
        <v>0</v>
      </c>
      <c r="CY141" s="290">
        <f t="shared" si="1082"/>
        <v>0</v>
      </c>
      <c r="CZ141" s="102">
        <f t="shared" si="1016"/>
        <v>0</v>
      </c>
      <c r="DA141" s="290">
        <f t="shared" si="1083"/>
        <v>0</v>
      </c>
      <c r="DB141" s="102">
        <f t="shared" si="1017"/>
        <v>0</v>
      </c>
      <c r="DC141" s="290">
        <f t="shared" si="1084"/>
        <v>0</v>
      </c>
      <c r="DD141" s="102">
        <f t="shared" si="1015"/>
        <v>0</v>
      </c>
      <c r="DE141" s="592">
        <f>IF(D141="Sim",HLOOKUP($DH$5,Parametrização!$G$2:$H$4,2,FALSE),0)</f>
        <v>0</v>
      </c>
      <c r="DF141" s="102">
        <f t="shared" si="1018"/>
        <v>0</v>
      </c>
      <c r="DG141" s="592">
        <f>IF(D141="Sim",HLOOKUP($DH$5,Parametrização!$G$2:$H$4,3,FALSE),0)</f>
        <v>0</v>
      </c>
      <c r="DH141" s="102">
        <f t="shared" si="1019"/>
        <v>0</v>
      </c>
      <c r="DI141" s="102">
        <f t="shared" si="1020"/>
        <v>0</v>
      </c>
      <c r="DK141" s="3" t="str">
        <f t="shared" si="1085"/>
        <v>NA</v>
      </c>
      <c r="DL141" s="2" t="str">
        <f t="shared" si="1086"/>
        <v>NA</v>
      </c>
      <c r="DM141" s="3" t="str">
        <f t="shared" si="1087"/>
        <v>NA</v>
      </c>
      <c r="DN141" s="9" t="str">
        <f t="shared" si="1088"/>
        <v>NA</v>
      </c>
      <c r="DO141" s="637" t="str">
        <f t="shared" si="1089"/>
        <v>NA</v>
      </c>
      <c r="DP141" s="637"/>
      <c r="DQ141" s="3" t="str">
        <f t="shared" si="1090"/>
        <v>NA</v>
      </c>
      <c r="DR141" s="2" t="str">
        <f t="shared" si="1091"/>
        <v>NA</v>
      </c>
      <c r="DS141" s="3" t="str">
        <f t="shared" si="1092"/>
        <v>NA</v>
      </c>
      <c r="DT141" s="9" t="str">
        <f t="shared" si="1021"/>
        <v>NA</v>
      </c>
      <c r="DU141" s="637" t="str">
        <f t="shared" si="1022"/>
        <v>NA</v>
      </c>
      <c r="DV141" s="637"/>
      <c r="DW141" s="682"/>
      <c r="DX141" s="682"/>
      <c r="DY141" s="682"/>
      <c r="DZ141" s="637"/>
      <c r="EA141" s="643"/>
    </row>
    <row r="142" spans="1:131" s="355" customFormat="1" ht="20.100000000000001" customHeight="1" outlineLevel="1" x14ac:dyDescent="0.25">
      <c r="A142" s="356"/>
      <c r="B142" s="355" t="s">
        <v>268</v>
      </c>
      <c r="C142" s="355" t="str">
        <f t="shared" si="1093"/>
        <v>Consumo</v>
      </c>
      <c r="D142" s="355" t="s">
        <v>53</v>
      </c>
      <c r="E142" s="18" t="s">
        <v>38</v>
      </c>
      <c r="F142" s="355" t="s">
        <v>53</v>
      </c>
      <c r="G142" s="357" t="str">
        <f t="shared" si="1094"/>
        <v>Geral</v>
      </c>
      <c r="H142" s="255" t="s">
        <v>377</v>
      </c>
      <c r="I142" s="356" t="str">
        <f t="shared" si="1028"/>
        <v>Sistema</v>
      </c>
      <c r="K142" s="318" t="s">
        <v>2895</v>
      </c>
      <c r="L142" s="749" t="str">
        <f>IF(Padrões!JF83&lt;&gt;"",Padrões!JF83,"")</f>
        <v/>
      </c>
      <c r="M142" s="358" t="str">
        <f t="shared" si="1029"/>
        <v>?</v>
      </c>
      <c r="N142" s="359">
        <f>Padrões!JI83</f>
        <v>0</v>
      </c>
      <c r="O142" s="381" t="str">
        <f t="shared" si="1030"/>
        <v>?</v>
      </c>
      <c r="P142" s="360">
        <f t="shared" si="1031"/>
        <v>0.12</v>
      </c>
      <c r="Q142" s="360" t="str">
        <f t="shared" si="1032"/>
        <v>?</v>
      </c>
      <c r="R142" s="360">
        <f t="shared" si="1033"/>
        <v>0</v>
      </c>
      <c r="S142" s="361">
        <f t="shared" si="1034"/>
        <v>0</v>
      </c>
      <c r="T142" s="362">
        <f t="shared" si="1035"/>
        <v>0</v>
      </c>
      <c r="U142" s="53" t="str" cm="1">
        <f t="array" ref="U142">IFERROR(IF(I142&lt;&gt;"Serviço",IF(AND(mlookup(tbl_DIFAL_data,UFdestino,tbl_DIFAL_UF,O142,tbl_DIFAL_NCM)&lt;&gt;"",C142="Consumo"),"Sim",""),""),"?")</f>
        <v>?</v>
      </c>
      <c r="V142" s="363" t="str">
        <f>IFERROR(IF(I142&lt;&gt;"Serviço",IF(AND(D142="Não",mlookup(tbl_ST_data,UFdestino,tbl_ST_UF,O142,tbl_ST_NCM)&lt;&gt;"",C142="Revenda",CD142="Não"),"Sim",""),""),"?")</f>
        <v>?</v>
      </c>
      <c r="W142" s="364">
        <f t="shared" si="1036"/>
        <v>0</v>
      </c>
      <c r="X142" s="365">
        <f>IF(V142="Sim",mlookup(tbl_ST_data,UFdestino,tbl_ST_UF,O142,tbl_ST_NCM),0)</f>
        <v>0</v>
      </c>
      <c r="Z142" s="355">
        <f t="shared" si="1037"/>
        <v>0</v>
      </c>
      <c r="AA142" s="355">
        <f t="shared" si="1023"/>
        <v>0</v>
      </c>
      <c r="AC142" s="366">
        <f t="shared" si="1095"/>
        <v>1.31243473968765E-2</v>
      </c>
      <c r="AD142" s="366">
        <f t="shared" si="1038"/>
        <v>0.15</v>
      </c>
      <c r="AF142" s="355">
        <f t="shared" si="1039"/>
        <v>0</v>
      </c>
      <c r="AG142" s="355">
        <f t="shared" si="1040"/>
        <v>0</v>
      </c>
      <c r="AI142" s="355">
        <f t="shared" si="1041"/>
        <v>0</v>
      </c>
      <c r="AK142" s="366">
        <f t="shared" si="1096"/>
        <v>0</v>
      </c>
      <c r="AL142" s="355">
        <f t="shared" si="1024"/>
        <v>0</v>
      </c>
      <c r="AM142" s="355">
        <f t="shared" si="1025"/>
        <v>0</v>
      </c>
      <c r="AO142" s="355" t="b">
        <f t="shared" si="1042"/>
        <v>1</v>
      </c>
      <c r="AQ142" s="367">
        <f t="shared" si="1043"/>
        <v>0</v>
      </c>
      <c r="AR142" s="367">
        <f t="shared" si="1026"/>
        <v>0</v>
      </c>
      <c r="AT142" s="367">
        <f t="shared" si="1044"/>
        <v>0</v>
      </c>
      <c r="AU142" s="367">
        <f t="shared" si="1045"/>
        <v>0</v>
      </c>
      <c r="AW142" s="367">
        <f t="shared" si="1046"/>
        <v>0</v>
      </c>
      <c r="AX142" s="367">
        <f t="shared" si="1047"/>
        <v>0</v>
      </c>
      <c r="AY142" s="367">
        <f t="shared" si="1048"/>
        <v>0</v>
      </c>
      <c r="AZ142" s="367">
        <f t="shared" si="1049"/>
        <v>0</v>
      </c>
      <c r="BB142" s="355">
        <f t="shared" si="1050"/>
        <v>0</v>
      </c>
      <c r="BC142" s="355">
        <f t="shared" si="1051"/>
        <v>0</v>
      </c>
      <c r="BD142" s="355">
        <f t="shared" si="1052"/>
        <v>0</v>
      </c>
      <c r="BE142" s="355">
        <f t="shared" si="1053"/>
        <v>0</v>
      </c>
      <c r="BF142" s="355">
        <f t="shared" si="1054"/>
        <v>0</v>
      </c>
      <c r="BH142" s="368">
        <f t="shared" si="1055"/>
        <v>0</v>
      </c>
      <c r="BJ142" s="369">
        <f t="shared" si="1056"/>
        <v>-0.12</v>
      </c>
      <c r="BK142" s="355">
        <f t="shared" si="1057"/>
        <v>0</v>
      </c>
      <c r="BL142" s="355">
        <f t="shared" si="1058"/>
        <v>0</v>
      </c>
      <c r="BN142" s="366">
        <f t="shared" si="1059"/>
        <v>0</v>
      </c>
      <c r="BO142" s="355">
        <f t="shared" si="1060"/>
        <v>0</v>
      </c>
      <c r="BP142" s="355">
        <f t="shared" si="1061"/>
        <v>0</v>
      </c>
      <c r="BQ142" s="355">
        <f t="shared" si="1062"/>
        <v>0</v>
      </c>
      <c r="BS142" s="367">
        <f t="shared" si="1063"/>
        <v>0</v>
      </c>
      <c r="BT142" s="355">
        <f t="shared" si="1064"/>
        <v>0</v>
      </c>
      <c r="BU142" s="355" t="b">
        <f t="shared" si="1027"/>
        <v>1</v>
      </c>
      <c r="BW142" s="355" t="str">
        <f t="shared" si="1065"/>
        <v/>
      </c>
      <c r="BX142" s="355">
        <f t="shared" si="1066"/>
        <v>0</v>
      </c>
      <c r="BY142" s="356">
        <f t="shared" si="1097"/>
        <v>0</v>
      </c>
      <c r="BZ142" s="355">
        <f t="shared" si="1067"/>
        <v>0</v>
      </c>
      <c r="CB142" s="102" t="str">
        <f t="shared" si="1068"/>
        <v>?</v>
      </c>
      <c r="CD142" s="355" t="str">
        <f t="shared" si="1069"/>
        <v>Não</v>
      </c>
      <c r="CE142" s="368">
        <f>ifzero(mlookup(tbl_ICMSinterest_data,UFdestino,tbl_ICMSinterest_ufdest,UForigem,tbl_ICMSinterest_uforig))</f>
        <v>0.12</v>
      </c>
      <c r="CF142" s="368">
        <f>IF(N142&gt;0,IF(I142&lt;&gt;"Serviço",ifzero(mlookup(tbl_ICMSinterno_data,UForigem,tbl_ICMSinterno_UF,O142,tbl_ICMSinterno_NCM),mlookup(tbl_ICMSinterest_data,UForigem,tbl_ICMSinterest_ufdest,UForigem,tbl_ICMSinterest_uforig)),""),0)</f>
        <v>0</v>
      </c>
      <c r="CG142" s="368">
        <f>IF(N142&gt;0,IF(I142&lt;&gt;"Serviço",ifzero(mlookup(tbl_ICMSinterno_data,UFdestino,tbl_ICMSinterno_UF,O142,tbl_ICMSinterno_NCM),mlookup(tbl_ICMSinterest_data,UFdestino,tbl_ICMSinterest_ufdest,UFdestino,tbl_ICMSinterest_uforig)),""),0)</f>
        <v>0</v>
      </c>
      <c r="CI142" s="355">
        <f t="shared" si="1070"/>
        <v>0</v>
      </c>
      <c r="CJ142" s="355">
        <f t="shared" si="1071"/>
        <v>0</v>
      </c>
      <c r="CK142" s="355">
        <f t="shared" si="1072"/>
        <v>0</v>
      </c>
      <c r="CL142" s="355">
        <f t="shared" si="1073"/>
        <v>0</v>
      </c>
      <c r="CN142" s="370">
        <f t="shared" si="1074"/>
        <v>1540</v>
      </c>
      <c r="CO142" s="355">
        <f t="shared" si="1075"/>
        <v>0</v>
      </c>
      <c r="CQ142" s="355" t="b">
        <f t="shared" si="1076"/>
        <v>0</v>
      </c>
      <c r="CR142" s="355" t="b">
        <f t="shared" si="1077"/>
        <v>1</v>
      </c>
      <c r="CS142" s="355" t="b">
        <f t="shared" si="1078"/>
        <v>0</v>
      </c>
      <c r="CU142" s="2">
        <f t="shared" si="1079"/>
        <v>0</v>
      </c>
      <c r="CV142" s="102">
        <f t="shared" si="1080"/>
        <v>0</v>
      </c>
      <c r="CW142" s="102">
        <f t="shared" si="1014"/>
        <v>0</v>
      </c>
      <c r="CX142" s="102">
        <f t="shared" si="1081"/>
        <v>0</v>
      </c>
      <c r="CY142" s="290">
        <f t="shared" si="1082"/>
        <v>0</v>
      </c>
      <c r="CZ142" s="102">
        <f t="shared" si="1016"/>
        <v>0</v>
      </c>
      <c r="DA142" s="290">
        <f t="shared" si="1083"/>
        <v>0</v>
      </c>
      <c r="DB142" s="102">
        <f t="shared" si="1017"/>
        <v>0</v>
      </c>
      <c r="DC142" s="290">
        <f t="shared" si="1084"/>
        <v>0</v>
      </c>
      <c r="DD142" s="102">
        <f t="shared" si="1015"/>
        <v>0</v>
      </c>
      <c r="DE142" s="592">
        <f>IF(D142="Sim",HLOOKUP($DH$5,Parametrização!$G$2:$H$4,2,FALSE),0)</f>
        <v>0</v>
      </c>
      <c r="DF142" s="102">
        <f t="shared" si="1018"/>
        <v>0</v>
      </c>
      <c r="DG142" s="592">
        <f>IF(D142="Sim",HLOOKUP($DH$5,Parametrização!$G$2:$H$4,3,FALSE),0)</f>
        <v>0</v>
      </c>
      <c r="DH142" s="102">
        <f t="shared" si="1019"/>
        <v>0</v>
      </c>
      <c r="DI142" s="102">
        <f t="shared" si="1020"/>
        <v>0</v>
      </c>
      <c r="DK142" s="3" t="str">
        <f t="shared" si="1085"/>
        <v>NA</v>
      </c>
      <c r="DL142" s="2" t="str">
        <f t="shared" si="1086"/>
        <v>NA</v>
      </c>
      <c r="DM142" s="3" t="str">
        <f t="shared" si="1087"/>
        <v>NA</v>
      </c>
      <c r="DN142" s="9" t="str">
        <f t="shared" si="1088"/>
        <v>NA</v>
      </c>
      <c r="DO142" s="637" t="str">
        <f t="shared" si="1089"/>
        <v>NA</v>
      </c>
      <c r="DP142" s="637"/>
      <c r="DQ142" s="3" t="str">
        <f t="shared" si="1090"/>
        <v>NA</v>
      </c>
      <c r="DR142" s="2" t="str">
        <f t="shared" si="1091"/>
        <v>NA</v>
      </c>
      <c r="DS142" s="3" t="str">
        <f t="shared" si="1092"/>
        <v>NA</v>
      </c>
      <c r="DT142" s="9" t="str">
        <f t="shared" si="1021"/>
        <v>NA</v>
      </c>
      <c r="DU142" s="637" t="str">
        <f t="shared" si="1022"/>
        <v>NA</v>
      </c>
      <c r="DV142" s="637"/>
      <c r="DW142" s="682"/>
      <c r="DX142" s="682"/>
      <c r="DY142" s="682"/>
      <c r="DZ142" s="637"/>
      <c r="EA142" s="643"/>
    </row>
    <row r="143" spans="1:131" s="355" customFormat="1" ht="20.100000000000001" customHeight="1" outlineLevel="1" x14ac:dyDescent="0.25">
      <c r="A143" s="356"/>
      <c r="B143" s="355" t="s">
        <v>268</v>
      </c>
      <c r="C143" s="355" t="str">
        <f t="shared" si="1093"/>
        <v>Consumo</v>
      </c>
      <c r="D143" s="355" t="s">
        <v>53</v>
      </c>
      <c r="E143" s="18" t="s">
        <v>38</v>
      </c>
      <c r="F143" s="355" t="s">
        <v>53</v>
      </c>
      <c r="G143" s="357" t="str">
        <f t="shared" si="1094"/>
        <v>Geral</v>
      </c>
      <c r="H143" s="255" t="s">
        <v>377</v>
      </c>
      <c r="I143" s="356" t="str">
        <f t="shared" si="1028"/>
        <v>Sistema</v>
      </c>
      <c r="K143" s="318" t="s">
        <v>2896</v>
      </c>
      <c r="L143" s="749" t="str">
        <f>IF(Padrões!JF84&lt;&gt;"",Padrões!JF84,"")</f>
        <v/>
      </c>
      <c r="M143" s="358" t="str">
        <f t="shared" si="1029"/>
        <v>?</v>
      </c>
      <c r="N143" s="359">
        <f>Padrões!JI84</f>
        <v>0</v>
      </c>
      <c r="O143" s="381" t="str">
        <f t="shared" si="1030"/>
        <v>?</v>
      </c>
      <c r="P143" s="360">
        <f t="shared" si="1031"/>
        <v>0.12</v>
      </c>
      <c r="Q143" s="360" t="str">
        <f t="shared" si="1032"/>
        <v>?</v>
      </c>
      <c r="R143" s="360">
        <f t="shared" si="1033"/>
        <v>0</v>
      </c>
      <c r="S143" s="361">
        <f t="shared" si="1034"/>
        <v>0</v>
      </c>
      <c r="T143" s="362">
        <f t="shared" si="1035"/>
        <v>0</v>
      </c>
      <c r="U143" s="53" t="str" cm="1">
        <f t="array" ref="U143">IFERROR(IF(I143&lt;&gt;"Serviço",IF(AND(mlookup(tbl_DIFAL_data,UFdestino,tbl_DIFAL_UF,O143,tbl_DIFAL_NCM)&lt;&gt;"",C143="Consumo"),"Sim",""),""),"?")</f>
        <v>?</v>
      </c>
      <c r="V143" s="363" t="str">
        <f>IFERROR(IF(I143&lt;&gt;"Serviço",IF(AND(D143="Não",mlookup(tbl_ST_data,UFdestino,tbl_ST_UF,O143,tbl_ST_NCM)&lt;&gt;"",C143="Revenda",CD143="Não"),"Sim",""),""),"?")</f>
        <v>?</v>
      </c>
      <c r="W143" s="364">
        <f t="shared" si="1036"/>
        <v>0</v>
      </c>
      <c r="X143" s="365">
        <f>IF(V143="Sim",mlookup(tbl_ST_data,UFdestino,tbl_ST_UF,O143,tbl_ST_NCM),0)</f>
        <v>0</v>
      </c>
      <c r="Z143" s="355">
        <f t="shared" si="1037"/>
        <v>0</v>
      </c>
      <c r="AA143" s="355">
        <f t="shared" si="1023"/>
        <v>0</v>
      </c>
      <c r="AC143" s="366">
        <f t="shared" si="1095"/>
        <v>1.31243473968765E-2</v>
      </c>
      <c r="AD143" s="366">
        <f t="shared" si="1038"/>
        <v>0.15</v>
      </c>
      <c r="AF143" s="355">
        <f t="shared" si="1039"/>
        <v>0</v>
      </c>
      <c r="AG143" s="355">
        <f t="shared" si="1040"/>
        <v>0</v>
      </c>
      <c r="AI143" s="355">
        <f t="shared" si="1041"/>
        <v>0</v>
      </c>
      <c r="AK143" s="366">
        <f t="shared" si="1096"/>
        <v>0</v>
      </c>
      <c r="AL143" s="355">
        <f t="shared" si="1024"/>
        <v>0</v>
      </c>
      <c r="AM143" s="355">
        <f t="shared" si="1025"/>
        <v>0</v>
      </c>
      <c r="AO143" s="355" t="b">
        <f t="shared" si="1042"/>
        <v>1</v>
      </c>
      <c r="AQ143" s="367">
        <f t="shared" si="1043"/>
        <v>0</v>
      </c>
      <c r="AR143" s="367">
        <f t="shared" si="1026"/>
        <v>0</v>
      </c>
      <c r="AT143" s="367">
        <f t="shared" si="1044"/>
        <v>0</v>
      </c>
      <c r="AU143" s="367">
        <f t="shared" si="1045"/>
        <v>0</v>
      </c>
      <c r="AW143" s="367">
        <f t="shared" si="1046"/>
        <v>0</v>
      </c>
      <c r="AX143" s="367">
        <f t="shared" si="1047"/>
        <v>0</v>
      </c>
      <c r="AY143" s="367">
        <f t="shared" si="1048"/>
        <v>0</v>
      </c>
      <c r="AZ143" s="367">
        <f t="shared" si="1049"/>
        <v>0</v>
      </c>
      <c r="BB143" s="355">
        <f t="shared" si="1050"/>
        <v>0</v>
      </c>
      <c r="BC143" s="355">
        <f t="shared" si="1051"/>
        <v>0</v>
      </c>
      <c r="BD143" s="355">
        <f t="shared" si="1052"/>
        <v>0</v>
      </c>
      <c r="BE143" s="355">
        <f t="shared" si="1053"/>
        <v>0</v>
      </c>
      <c r="BF143" s="355">
        <f t="shared" si="1054"/>
        <v>0</v>
      </c>
      <c r="BH143" s="368">
        <f t="shared" si="1055"/>
        <v>0</v>
      </c>
      <c r="BJ143" s="369">
        <f t="shared" si="1056"/>
        <v>-0.12</v>
      </c>
      <c r="BK143" s="355">
        <f t="shared" si="1057"/>
        <v>0</v>
      </c>
      <c r="BL143" s="355">
        <f t="shared" si="1058"/>
        <v>0</v>
      </c>
      <c r="BN143" s="366">
        <f t="shared" si="1059"/>
        <v>0</v>
      </c>
      <c r="BO143" s="355">
        <f t="shared" si="1060"/>
        <v>0</v>
      </c>
      <c r="BP143" s="355">
        <f t="shared" si="1061"/>
        <v>0</v>
      </c>
      <c r="BQ143" s="355">
        <f t="shared" si="1062"/>
        <v>0</v>
      </c>
      <c r="BS143" s="367">
        <f t="shared" si="1063"/>
        <v>0</v>
      </c>
      <c r="BT143" s="355">
        <f t="shared" si="1064"/>
        <v>0</v>
      </c>
      <c r="BU143" s="355" t="b">
        <f t="shared" si="1027"/>
        <v>1</v>
      </c>
      <c r="BW143" s="355" t="str">
        <f t="shared" si="1065"/>
        <v/>
      </c>
      <c r="BX143" s="355">
        <f t="shared" si="1066"/>
        <v>0</v>
      </c>
      <c r="BY143" s="356">
        <f t="shared" si="1097"/>
        <v>0</v>
      </c>
      <c r="BZ143" s="355">
        <f t="shared" si="1067"/>
        <v>0</v>
      </c>
      <c r="CB143" s="102" t="str">
        <f t="shared" si="1068"/>
        <v>?</v>
      </c>
      <c r="CD143" s="355" t="str">
        <f t="shared" si="1069"/>
        <v>Não</v>
      </c>
      <c r="CE143" s="368">
        <f>ifzero(mlookup(tbl_ICMSinterest_data,UFdestino,tbl_ICMSinterest_ufdest,UForigem,tbl_ICMSinterest_uforig))</f>
        <v>0.12</v>
      </c>
      <c r="CF143" s="368">
        <f>IF(N143&gt;0,IF(I143&lt;&gt;"Serviço",ifzero(mlookup(tbl_ICMSinterno_data,UForigem,tbl_ICMSinterno_UF,O143,tbl_ICMSinterno_NCM),mlookup(tbl_ICMSinterest_data,UForigem,tbl_ICMSinterest_ufdest,UForigem,tbl_ICMSinterest_uforig)),""),0)</f>
        <v>0</v>
      </c>
      <c r="CG143" s="368">
        <f>IF(N143&gt;0,IF(I143&lt;&gt;"Serviço",ifzero(mlookup(tbl_ICMSinterno_data,UFdestino,tbl_ICMSinterno_UF,O143,tbl_ICMSinterno_NCM),mlookup(tbl_ICMSinterest_data,UFdestino,tbl_ICMSinterest_ufdest,UFdestino,tbl_ICMSinterest_uforig)),""),0)</f>
        <v>0</v>
      </c>
      <c r="CI143" s="355">
        <f t="shared" si="1070"/>
        <v>0</v>
      </c>
      <c r="CJ143" s="355">
        <f t="shared" si="1071"/>
        <v>0</v>
      </c>
      <c r="CK143" s="355">
        <f t="shared" si="1072"/>
        <v>0</v>
      </c>
      <c r="CL143" s="355">
        <f t="shared" si="1073"/>
        <v>0</v>
      </c>
      <c r="CN143" s="370">
        <f t="shared" si="1074"/>
        <v>1540</v>
      </c>
      <c r="CO143" s="355">
        <f t="shared" si="1075"/>
        <v>0</v>
      </c>
      <c r="CQ143" s="355" t="b">
        <f t="shared" si="1076"/>
        <v>0</v>
      </c>
      <c r="CR143" s="355" t="b">
        <f t="shared" si="1077"/>
        <v>1</v>
      </c>
      <c r="CS143" s="355" t="b">
        <f t="shared" si="1078"/>
        <v>0</v>
      </c>
      <c r="CU143" s="2">
        <f t="shared" si="1079"/>
        <v>0</v>
      </c>
      <c r="CV143" s="102">
        <f t="shared" si="1080"/>
        <v>0</v>
      </c>
      <c r="CW143" s="102">
        <f t="shared" si="1014"/>
        <v>0</v>
      </c>
      <c r="CX143" s="102">
        <f t="shared" si="1081"/>
        <v>0</v>
      </c>
      <c r="CY143" s="290">
        <f t="shared" si="1082"/>
        <v>0</v>
      </c>
      <c r="CZ143" s="102">
        <f t="shared" si="1016"/>
        <v>0</v>
      </c>
      <c r="DA143" s="290">
        <f t="shared" si="1083"/>
        <v>0</v>
      </c>
      <c r="DB143" s="102">
        <f t="shared" si="1017"/>
        <v>0</v>
      </c>
      <c r="DC143" s="290">
        <f t="shared" si="1084"/>
        <v>0</v>
      </c>
      <c r="DD143" s="102">
        <f t="shared" si="1015"/>
        <v>0</v>
      </c>
      <c r="DE143" s="592">
        <f>IF(D143="Sim",HLOOKUP($DH$5,Parametrização!$G$2:$H$4,2,FALSE),0)</f>
        <v>0</v>
      </c>
      <c r="DF143" s="102">
        <f t="shared" si="1018"/>
        <v>0</v>
      </c>
      <c r="DG143" s="592">
        <f>IF(D143="Sim",HLOOKUP($DH$5,Parametrização!$G$2:$H$4,3,FALSE),0)</f>
        <v>0</v>
      </c>
      <c r="DH143" s="102">
        <f t="shared" si="1019"/>
        <v>0</v>
      </c>
      <c r="DI143" s="102">
        <f t="shared" si="1020"/>
        <v>0</v>
      </c>
      <c r="DK143" s="3" t="str">
        <f t="shared" si="1085"/>
        <v>NA</v>
      </c>
      <c r="DL143" s="2" t="str">
        <f t="shared" si="1086"/>
        <v>NA</v>
      </c>
      <c r="DM143" s="3" t="str">
        <f t="shared" si="1087"/>
        <v>NA</v>
      </c>
      <c r="DN143" s="9" t="str">
        <f t="shared" si="1088"/>
        <v>NA</v>
      </c>
      <c r="DO143" s="637" t="str">
        <f t="shared" si="1089"/>
        <v>NA</v>
      </c>
      <c r="DP143" s="637"/>
      <c r="DQ143" s="3" t="str">
        <f t="shared" si="1090"/>
        <v>NA</v>
      </c>
      <c r="DR143" s="2" t="str">
        <f t="shared" si="1091"/>
        <v>NA</v>
      </c>
      <c r="DS143" s="3" t="str">
        <f t="shared" si="1092"/>
        <v>NA</v>
      </c>
      <c r="DT143" s="9" t="str">
        <f t="shared" si="1021"/>
        <v>NA</v>
      </c>
      <c r="DU143" s="637" t="str">
        <f t="shared" si="1022"/>
        <v>NA</v>
      </c>
      <c r="DV143" s="637"/>
      <c r="DW143" s="682"/>
      <c r="DX143" s="682"/>
      <c r="DY143" s="682"/>
      <c r="DZ143" s="637"/>
      <c r="EA143" s="643"/>
    </row>
    <row r="144" spans="1:131" s="355" customFormat="1" ht="20.100000000000001" customHeight="1" outlineLevel="1" x14ac:dyDescent="0.25">
      <c r="A144" s="356"/>
      <c r="B144" s="355" t="s">
        <v>268</v>
      </c>
      <c r="C144" s="355" t="str">
        <f t="shared" si="1093"/>
        <v>Consumo</v>
      </c>
      <c r="D144" s="355" t="s">
        <v>53</v>
      </c>
      <c r="E144" s="18" t="s">
        <v>38</v>
      </c>
      <c r="F144" s="355" t="s">
        <v>53</v>
      </c>
      <c r="G144" s="357" t="str">
        <f t="shared" si="1094"/>
        <v>Geral</v>
      </c>
      <c r="H144" s="255" t="s">
        <v>377</v>
      </c>
      <c r="I144" s="356" t="str">
        <f t="shared" si="1028"/>
        <v>Sistema</v>
      </c>
      <c r="K144" s="318" t="s">
        <v>2897</v>
      </c>
      <c r="L144" s="749" t="str">
        <f>IF(Padrões!JF85&lt;&gt;"",Padrões!JF85,"")</f>
        <v/>
      </c>
      <c r="M144" s="358" t="str">
        <f t="shared" si="1029"/>
        <v>?</v>
      </c>
      <c r="N144" s="359">
        <f>Padrões!JI85</f>
        <v>0</v>
      </c>
      <c r="O144" s="381" t="str">
        <f t="shared" si="1030"/>
        <v>?</v>
      </c>
      <c r="P144" s="360">
        <f t="shared" si="1031"/>
        <v>0.12</v>
      </c>
      <c r="Q144" s="360" t="str">
        <f t="shared" si="1032"/>
        <v>?</v>
      </c>
      <c r="R144" s="360">
        <f t="shared" si="1033"/>
        <v>0</v>
      </c>
      <c r="S144" s="361">
        <f t="shared" si="1034"/>
        <v>0</v>
      </c>
      <c r="T144" s="362">
        <f t="shared" si="1035"/>
        <v>0</v>
      </c>
      <c r="U144" s="53" t="str" cm="1">
        <f t="array" ref="U144">IFERROR(IF(I144&lt;&gt;"Serviço",IF(AND(mlookup(tbl_DIFAL_data,UFdestino,tbl_DIFAL_UF,O144,tbl_DIFAL_NCM)&lt;&gt;"",C144="Consumo"),"Sim",""),""),"?")</f>
        <v>?</v>
      </c>
      <c r="V144" s="363" t="str">
        <f>IFERROR(IF(I144&lt;&gt;"Serviço",IF(AND(D144="Não",mlookup(tbl_ST_data,UFdestino,tbl_ST_UF,O144,tbl_ST_NCM)&lt;&gt;"",C144="Revenda",CD144="Não"),"Sim",""),""),"?")</f>
        <v>?</v>
      </c>
      <c r="W144" s="364">
        <f t="shared" si="1036"/>
        <v>0</v>
      </c>
      <c r="X144" s="365">
        <f>IF(V144="Sim",mlookup(tbl_ST_data,UFdestino,tbl_ST_UF,O144,tbl_ST_NCM),0)</f>
        <v>0</v>
      </c>
      <c r="Z144" s="355">
        <f t="shared" si="1037"/>
        <v>0</v>
      </c>
      <c r="AA144" s="355">
        <f t="shared" si="1023"/>
        <v>0</v>
      </c>
      <c r="AC144" s="366">
        <f t="shared" si="1095"/>
        <v>1.31243473968765E-2</v>
      </c>
      <c r="AD144" s="366">
        <f t="shared" si="1038"/>
        <v>0.15</v>
      </c>
      <c r="AF144" s="355">
        <f t="shared" si="1039"/>
        <v>0</v>
      </c>
      <c r="AG144" s="355">
        <f t="shared" si="1040"/>
        <v>0</v>
      </c>
      <c r="AI144" s="355">
        <f t="shared" si="1041"/>
        <v>0</v>
      </c>
      <c r="AK144" s="366">
        <f t="shared" si="1096"/>
        <v>0</v>
      </c>
      <c r="AL144" s="355">
        <f t="shared" si="1024"/>
        <v>0</v>
      </c>
      <c r="AM144" s="355">
        <f t="shared" si="1025"/>
        <v>0</v>
      </c>
      <c r="AO144" s="355" t="b">
        <f t="shared" si="1042"/>
        <v>1</v>
      </c>
      <c r="AQ144" s="367">
        <f t="shared" si="1043"/>
        <v>0</v>
      </c>
      <c r="AR144" s="367">
        <f t="shared" si="1026"/>
        <v>0</v>
      </c>
      <c r="AT144" s="367">
        <f t="shared" si="1044"/>
        <v>0</v>
      </c>
      <c r="AU144" s="367">
        <f t="shared" si="1045"/>
        <v>0</v>
      </c>
      <c r="AW144" s="367">
        <f t="shared" si="1046"/>
        <v>0</v>
      </c>
      <c r="AX144" s="367">
        <f t="shared" si="1047"/>
        <v>0</v>
      </c>
      <c r="AY144" s="367">
        <f t="shared" si="1048"/>
        <v>0</v>
      </c>
      <c r="AZ144" s="367">
        <f t="shared" si="1049"/>
        <v>0</v>
      </c>
      <c r="BB144" s="355">
        <f t="shared" si="1050"/>
        <v>0</v>
      </c>
      <c r="BC144" s="355">
        <f t="shared" si="1051"/>
        <v>0</v>
      </c>
      <c r="BD144" s="355">
        <f t="shared" si="1052"/>
        <v>0</v>
      </c>
      <c r="BE144" s="355">
        <f t="shared" si="1053"/>
        <v>0</v>
      </c>
      <c r="BF144" s="355">
        <f t="shared" si="1054"/>
        <v>0</v>
      </c>
      <c r="BH144" s="368">
        <f t="shared" si="1055"/>
        <v>0</v>
      </c>
      <c r="BJ144" s="369">
        <f t="shared" si="1056"/>
        <v>-0.12</v>
      </c>
      <c r="BK144" s="355">
        <f t="shared" si="1057"/>
        <v>0</v>
      </c>
      <c r="BL144" s="355">
        <f t="shared" si="1058"/>
        <v>0</v>
      </c>
      <c r="BN144" s="366">
        <f t="shared" si="1059"/>
        <v>0</v>
      </c>
      <c r="BO144" s="355">
        <f t="shared" si="1060"/>
        <v>0</v>
      </c>
      <c r="BP144" s="355">
        <f t="shared" si="1061"/>
        <v>0</v>
      </c>
      <c r="BQ144" s="355">
        <f t="shared" si="1062"/>
        <v>0</v>
      </c>
      <c r="BS144" s="367">
        <f t="shared" si="1063"/>
        <v>0</v>
      </c>
      <c r="BT144" s="355">
        <f t="shared" si="1064"/>
        <v>0</v>
      </c>
      <c r="BU144" s="355" t="b">
        <f t="shared" si="1027"/>
        <v>1</v>
      </c>
      <c r="BW144" s="355" t="str">
        <f t="shared" si="1065"/>
        <v/>
      </c>
      <c r="BX144" s="355">
        <f t="shared" si="1066"/>
        <v>0</v>
      </c>
      <c r="BY144" s="356">
        <f t="shared" si="1097"/>
        <v>0</v>
      </c>
      <c r="BZ144" s="355">
        <f t="shared" si="1067"/>
        <v>0</v>
      </c>
      <c r="CB144" s="102" t="str">
        <f t="shared" si="1068"/>
        <v>?</v>
      </c>
      <c r="CD144" s="355" t="str">
        <f t="shared" si="1069"/>
        <v>Não</v>
      </c>
      <c r="CE144" s="368">
        <f>ifzero(mlookup(tbl_ICMSinterest_data,UFdestino,tbl_ICMSinterest_ufdest,UForigem,tbl_ICMSinterest_uforig))</f>
        <v>0.12</v>
      </c>
      <c r="CF144" s="368">
        <f>IF(N144&gt;0,IF(I144&lt;&gt;"Serviço",ifzero(mlookup(tbl_ICMSinterno_data,UForigem,tbl_ICMSinterno_UF,O144,tbl_ICMSinterno_NCM),mlookup(tbl_ICMSinterest_data,UForigem,tbl_ICMSinterest_ufdest,UForigem,tbl_ICMSinterest_uforig)),""),0)</f>
        <v>0</v>
      </c>
      <c r="CG144" s="368">
        <f>IF(N144&gt;0,IF(I144&lt;&gt;"Serviço",ifzero(mlookup(tbl_ICMSinterno_data,UFdestino,tbl_ICMSinterno_UF,O144,tbl_ICMSinterno_NCM),mlookup(tbl_ICMSinterest_data,UFdestino,tbl_ICMSinterest_ufdest,UFdestino,tbl_ICMSinterest_uforig)),""),0)</f>
        <v>0</v>
      </c>
      <c r="CI144" s="355">
        <f t="shared" si="1070"/>
        <v>0</v>
      </c>
      <c r="CJ144" s="355">
        <f t="shared" si="1071"/>
        <v>0</v>
      </c>
      <c r="CK144" s="355">
        <f t="shared" si="1072"/>
        <v>0</v>
      </c>
      <c r="CL144" s="355">
        <f t="shared" si="1073"/>
        <v>0</v>
      </c>
      <c r="CN144" s="370">
        <f t="shared" si="1074"/>
        <v>1540</v>
      </c>
      <c r="CO144" s="355">
        <f t="shared" si="1075"/>
        <v>0</v>
      </c>
      <c r="CQ144" s="355" t="b">
        <f t="shared" si="1076"/>
        <v>0</v>
      </c>
      <c r="CR144" s="355" t="b">
        <f t="shared" si="1077"/>
        <v>1</v>
      </c>
      <c r="CS144" s="355" t="b">
        <f t="shared" si="1078"/>
        <v>0</v>
      </c>
      <c r="CU144" s="2">
        <f t="shared" si="1079"/>
        <v>0</v>
      </c>
      <c r="CV144" s="102">
        <f t="shared" si="1080"/>
        <v>0</v>
      </c>
      <c r="CW144" s="102">
        <f t="shared" si="1014"/>
        <v>0</v>
      </c>
      <c r="CX144" s="102">
        <f t="shared" si="1081"/>
        <v>0</v>
      </c>
      <c r="CY144" s="290">
        <f t="shared" si="1082"/>
        <v>0</v>
      </c>
      <c r="CZ144" s="102">
        <f t="shared" si="1016"/>
        <v>0</v>
      </c>
      <c r="DA144" s="290">
        <f t="shared" si="1083"/>
        <v>0</v>
      </c>
      <c r="DB144" s="102">
        <f t="shared" si="1017"/>
        <v>0</v>
      </c>
      <c r="DC144" s="290">
        <f t="shared" si="1084"/>
        <v>0</v>
      </c>
      <c r="DD144" s="102">
        <f t="shared" si="1015"/>
        <v>0</v>
      </c>
      <c r="DE144" s="592">
        <f>IF(D144="Sim",HLOOKUP($DH$5,Parametrização!$G$2:$H$4,2,FALSE),0)</f>
        <v>0</v>
      </c>
      <c r="DF144" s="102">
        <f t="shared" si="1018"/>
        <v>0</v>
      </c>
      <c r="DG144" s="592">
        <f>IF(D144="Sim",HLOOKUP($DH$5,Parametrização!$G$2:$H$4,3,FALSE),0)</f>
        <v>0</v>
      </c>
      <c r="DH144" s="102">
        <f t="shared" si="1019"/>
        <v>0</v>
      </c>
      <c r="DI144" s="102">
        <f t="shared" si="1020"/>
        <v>0</v>
      </c>
      <c r="DK144" s="3" t="str">
        <f t="shared" si="1085"/>
        <v>NA</v>
      </c>
      <c r="DL144" s="2" t="str">
        <f t="shared" si="1086"/>
        <v>NA</v>
      </c>
      <c r="DM144" s="3" t="str">
        <f t="shared" si="1087"/>
        <v>NA</v>
      </c>
      <c r="DN144" s="9" t="str">
        <f t="shared" si="1088"/>
        <v>NA</v>
      </c>
      <c r="DO144" s="637" t="str">
        <f t="shared" si="1089"/>
        <v>NA</v>
      </c>
      <c r="DP144" s="637"/>
      <c r="DQ144" s="3" t="str">
        <f t="shared" si="1090"/>
        <v>NA</v>
      </c>
      <c r="DR144" s="2" t="str">
        <f t="shared" si="1091"/>
        <v>NA</v>
      </c>
      <c r="DS144" s="3" t="str">
        <f t="shared" si="1092"/>
        <v>NA</v>
      </c>
      <c r="DT144" s="9" t="str">
        <f t="shared" si="1021"/>
        <v>NA</v>
      </c>
      <c r="DU144" s="637" t="str">
        <f t="shared" si="1022"/>
        <v>NA</v>
      </c>
      <c r="DV144" s="637"/>
      <c r="DW144" s="682"/>
      <c r="DX144" s="682"/>
      <c r="DY144" s="682"/>
      <c r="DZ144" s="637"/>
      <c r="EA144" s="643"/>
    </row>
    <row r="145" spans="1:131" s="355" customFormat="1" ht="20.100000000000001" customHeight="1" outlineLevel="1" x14ac:dyDescent="0.25">
      <c r="A145" s="356"/>
      <c r="B145" s="355" t="s">
        <v>268</v>
      </c>
      <c r="C145" s="355" t="str">
        <f t="shared" si="1093"/>
        <v>Consumo</v>
      </c>
      <c r="D145" s="355" t="s">
        <v>53</v>
      </c>
      <c r="E145" s="18" t="s">
        <v>38</v>
      </c>
      <c r="F145" s="355" t="s">
        <v>53</v>
      </c>
      <c r="G145" s="357" t="str">
        <f t="shared" si="1094"/>
        <v>Geral</v>
      </c>
      <c r="H145" s="255" t="s">
        <v>377</v>
      </c>
      <c r="I145" s="356" t="str">
        <f t="shared" si="1028"/>
        <v>Sistema</v>
      </c>
      <c r="K145" s="318" t="s">
        <v>2898</v>
      </c>
      <c r="L145" s="749" t="str">
        <f>IF(Padrões!JF86&lt;&gt;"",Padrões!JF86,"")</f>
        <v/>
      </c>
      <c r="M145" s="358" t="str">
        <f t="shared" si="1029"/>
        <v>?</v>
      </c>
      <c r="N145" s="359">
        <f>Padrões!JI86</f>
        <v>0</v>
      </c>
      <c r="O145" s="381" t="str">
        <f t="shared" si="1030"/>
        <v>?</v>
      </c>
      <c r="P145" s="360">
        <f t="shared" si="1031"/>
        <v>0.12</v>
      </c>
      <c r="Q145" s="360" t="str">
        <f t="shared" si="1032"/>
        <v>?</v>
      </c>
      <c r="R145" s="360">
        <f t="shared" si="1033"/>
        <v>0</v>
      </c>
      <c r="S145" s="361">
        <f t="shared" si="1034"/>
        <v>0</v>
      </c>
      <c r="T145" s="362">
        <f t="shared" si="1035"/>
        <v>0</v>
      </c>
      <c r="U145" s="53" t="str" cm="1">
        <f t="array" ref="U145">IFERROR(IF(I145&lt;&gt;"Serviço",IF(AND(mlookup(tbl_DIFAL_data,UFdestino,tbl_DIFAL_UF,O145,tbl_DIFAL_NCM)&lt;&gt;"",C145="Consumo"),"Sim",""),""),"?")</f>
        <v>?</v>
      </c>
      <c r="V145" s="363" t="str">
        <f>IFERROR(IF(I145&lt;&gt;"Serviço",IF(AND(D145="Não",mlookup(tbl_ST_data,UFdestino,tbl_ST_UF,O145,tbl_ST_NCM)&lt;&gt;"",C145="Revenda",CD145="Não"),"Sim",""),""),"?")</f>
        <v>?</v>
      </c>
      <c r="W145" s="364">
        <f t="shared" si="1036"/>
        <v>0</v>
      </c>
      <c r="X145" s="365">
        <f>IF(V145="Sim",mlookup(tbl_ST_data,UFdestino,tbl_ST_UF,O145,tbl_ST_NCM),0)</f>
        <v>0</v>
      </c>
      <c r="Z145" s="355">
        <f t="shared" si="1037"/>
        <v>0</v>
      </c>
      <c r="AA145" s="355">
        <f t="shared" si="1023"/>
        <v>0</v>
      </c>
      <c r="AC145" s="366">
        <f t="shared" si="1095"/>
        <v>1.31243473968765E-2</v>
      </c>
      <c r="AD145" s="366">
        <f t="shared" si="1038"/>
        <v>0.15</v>
      </c>
      <c r="AF145" s="355">
        <f t="shared" si="1039"/>
        <v>0</v>
      </c>
      <c r="AG145" s="355">
        <f t="shared" si="1040"/>
        <v>0</v>
      </c>
      <c r="AI145" s="355">
        <f t="shared" si="1041"/>
        <v>0</v>
      </c>
      <c r="AK145" s="366">
        <f t="shared" si="1096"/>
        <v>0</v>
      </c>
      <c r="AL145" s="355">
        <f t="shared" si="1024"/>
        <v>0</v>
      </c>
      <c r="AM145" s="355">
        <f t="shared" si="1025"/>
        <v>0</v>
      </c>
      <c r="AO145" s="355" t="b">
        <f t="shared" si="1042"/>
        <v>1</v>
      </c>
      <c r="AQ145" s="367">
        <f t="shared" si="1043"/>
        <v>0</v>
      </c>
      <c r="AR145" s="367">
        <f t="shared" si="1026"/>
        <v>0</v>
      </c>
      <c r="AT145" s="367">
        <f t="shared" si="1044"/>
        <v>0</v>
      </c>
      <c r="AU145" s="367">
        <f t="shared" si="1045"/>
        <v>0</v>
      </c>
      <c r="AW145" s="367">
        <f t="shared" si="1046"/>
        <v>0</v>
      </c>
      <c r="AX145" s="367">
        <f t="shared" si="1047"/>
        <v>0</v>
      </c>
      <c r="AY145" s="367">
        <f t="shared" si="1048"/>
        <v>0</v>
      </c>
      <c r="AZ145" s="367">
        <f t="shared" si="1049"/>
        <v>0</v>
      </c>
      <c r="BB145" s="355">
        <f t="shared" si="1050"/>
        <v>0</v>
      </c>
      <c r="BC145" s="355">
        <f t="shared" si="1051"/>
        <v>0</v>
      </c>
      <c r="BD145" s="355">
        <f t="shared" si="1052"/>
        <v>0</v>
      </c>
      <c r="BE145" s="355">
        <f t="shared" si="1053"/>
        <v>0</v>
      </c>
      <c r="BF145" s="355">
        <f t="shared" si="1054"/>
        <v>0</v>
      </c>
      <c r="BH145" s="368">
        <f t="shared" si="1055"/>
        <v>0</v>
      </c>
      <c r="BJ145" s="369">
        <f t="shared" si="1056"/>
        <v>-0.12</v>
      </c>
      <c r="BK145" s="355">
        <f t="shared" si="1057"/>
        <v>0</v>
      </c>
      <c r="BL145" s="355">
        <f t="shared" si="1058"/>
        <v>0</v>
      </c>
      <c r="BN145" s="366">
        <f t="shared" si="1059"/>
        <v>0</v>
      </c>
      <c r="BO145" s="355">
        <f t="shared" si="1060"/>
        <v>0</v>
      </c>
      <c r="BP145" s="355">
        <f t="shared" si="1061"/>
        <v>0</v>
      </c>
      <c r="BQ145" s="355">
        <f t="shared" si="1062"/>
        <v>0</v>
      </c>
      <c r="BS145" s="367">
        <f t="shared" si="1063"/>
        <v>0</v>
      </c>
      <c r="BT145" s="355">
        <f t="shared" si="1064"/>
        <v>0</v>
      </c>
      <c r="BU145" s="355" t="b">
        <f t="shared" si="1027"/>
        <v>1</v>
      </c>
      <c r="BW145" s="355" t="str">
        <f t="shared" si="1065"/>
        <v/>
      </c>
      <c r="BX145" s="355">
        <f t="shared" si="1066"/>
        <v>0</v>
      </c>
      <c r="BY145" s="356">
        <f t="shared" si="1097"/>
        <v>0</v>
      </c>
      <c r="BZ145" s="355">
        <f t="shared" si="1067"/>
        <v>0</v>
      </c>
      <c r="CB145" s="102" t="str">
        <f t="shared" si="1068"/>
        <v>?</v>
      </c>
      <c r="CD145" s="355" t="str">
        <f t="shared" si="1069"/>
        <v>Não</v>
      </c>
      <c r="CE145" s="368">
        <f>ifzero(mlookup(tbl_ICMSinterest_data,UFdestino,tbl_ICMSinterest_ufdest,UForigem,tbl_ICMSinterest_uforig))</f>
        <v>0.12</v>
      </c>
      <c r="CF145" s="368">
        <f>IF(N145&gt;0,IF(I145&lt;&gt;"Serviço",ifzero(mlookup(tbl_ICMSinterno_data,UForigem,tbl_ICMSinterno_UF,O145,tbl_ICMSinterno_NCM),mlookup(tbl_ICMSinterest_data,UForigem,tbl_ICMSinterest_ufdest,UForigem,tbl_ICMSinterest_uforig)),""),0)</f>
        <v>0</v>
      </c>
      <c r="CG145" s="368">
        <f>IF(N145&gt;0,IF(I145&lt;&gt;"Serviço",ifzero(mlookup(tbl_ICMSinterno_data,UFdestino,tbl_ICMSinterno_UF,O145,tbl_ICMSinterno_NCM),mlookup(tbl_ICMSinterest_data,UFdestino,tbl_ICMSinterest_ufdest,UFdestino,tbl_ICMSinterest_uforig)),""),0)</f>
        <v>0</v>
      </c>
      <c r="CI145" s="355">
        <f t="shared" si="1070"/>
        <v>0</v>
      </c>
      <c r="CJ145" s="355">
        <f t="shared" si="1071"/>
        <v>0</v>
      </c>
      <c r="CK145" s="355">
        <f t="shared" si="1072"/>
        <v>0</v>
      </c>
      <c r="CL145" s="355">
        <f t="shared" si="1073"/>
        <v>0</v>
      </c>
      <c r="CN145" s="370">
        <f t="shared" si="1074"/>
        <v>1540</v>
      </c>
      <c r="CO145" s="355">
        <f t="shared" si="1075"/>
        <v>0</v>
      </c>
      <c r="CQ145" s="355" t="b">
        <f t="shared" si="1076"/>
        <v>0</v>
      </c>
      <c r="CR145" s="355" t="b">
        <f t="shared" si="1077"/>
        <v>1</v>
      </c>
      <c r="CS145" s="355" t="b">
        <f t="shared" si="1078"/>
        <v>0</v>
      </c>
      <c r="CU145" s="2">
        <f t="shared" si="1079"/>
        <v>0</v>
      </c>
      <c r="CV145" s="102">
        <f t="shared" si="1080"/>
        <v>0</v>
      </c>
      <c r="CW145" s="102">
        <f t="shared" si="1014"/>
        <v>0</v>
      </c>
      <c r="CX145" s="102">
        <f t="shared" si="1081"/>
        <v>0</v>
      </c>
      <c r="CY145" s="290">
        <f t="shared" si="1082"/>
        <v>0</v>
      </c>
      <c r="CZ145" s="102">
        <f t="shared" si="1016"/>
        <v>0</v>
      </c>
      <c r="DA145" s="290">
        <f t="shared" si="1083"/>
        <v>0</v>
      </c>
      <c r="DB145" s="102">
        <f t="shared" si="1017"/>
        <v>0</v>
      </c>
      <c r="DC145" s="290">
        <f t="shared" si="1084"/>
        <v>0</v>
      </c>
      <c r="DD145" s="102">
        <f t="shared" si="1015"/>
        <v>0</v>
      </c>
      <c r="DE145" s="592">
        <f>IF(D145="Sim",HLOOKUP($DH$5,Parametrização!$G$2:$H$4,2,FALSE),0)</f>
        <v>0</v>
      </c>
      <c r="DF145" s="102">
        <f t="shared" si="1018"/>
        <v>0</v>
      </c>
      <c r="DG145" s="592">
        <f>IF(D145="Sim",HLOOKUP($DH$5,Parametrização!$G$2:$H$4,3,FALSE),0)</f>
        <v>0</v>
      </c>
      <c r="DH145" s="102">
        <f t="shared" si="1019"/>
        <v>0</v>
      </c>
      <c r="DI145" s="102">
        <f t="shared" si="1020"/>
        <v>0</v>
      </c>
      <c r="DK145" s="3" t="str">
        <f t="shared" si="1085"/>
        <v>NA</v>
      </c>
      <c r="DL145" s="2" t="str">
        <f t="shared" si="1086"/>
        <v>NA</v>
      </c>
      <c r="DM145" s="3" t="str">
        <f t="shared" si="1087"/>
        <v>NA</v>
      </c>
      <c r="DN145" s="9" t="str">
        <f t="shared" si="1088"/>
        <v>NA</v>
      </c>
      <c r="DO145" s="637" t="str">
        <f t="shared" si="1089"/>
        <v>NA</v>
      </c>
      <c r="DP145" s="637"/>
      <c r="DQ145" s="3" t="str">
        <f t="shared" si="1090"/>
        <v>NA</v>
      </c>
      <c r="DR145" s="2" t="str">
        <f t="shared" si="1091"/>
        <v>NA</v>
      </c>
      <c r="DS145" s="3" t="str">
        <f t="shared" si="1092"/>
        <v>NA</v>
      </c>
      <c r="DT145" s="9" t="str">
        <f t="shared" si="1021"/>
        <v>NA</v>
      </c>
      <c r="DU145" s="637" t="str">
        <f t="shared" si="1022"/>
        <v>NA</v>
      </c>
      <c r="DV145" s="637"/>
      <c r="DW145" s="682"/>
      <c r="DX145" s="682"/>
      <c r="DY145" s="682"/>
      <c r="DZ145" s="637"/>
      <c r="EA145" s="643"/>
    </row>
    <row r="146" spans="1:131" s="355" customFormat="1" ht="20.100000000000001" customHeight="1" outlineLevel="1" x14ac:dyDescent="0.25">
      <c r="A146" s="356"/>
      <c r="B146" s="355" t="s">
        <v>268</v>
      </c>
      <c r="C146" s="355" t="str">
        <f t="shared" si="1093"/>
        <v>Consumo</v>
      </c>
      <c r="D146" s="355" t="s">
        <v>53</v>
      </c>
      <c r="E146" s="18" t="s">
        <v>38</v>
      </c>
      <c r="F146" s="355" t="s">
        <v>53</v>
      </c>
      <c r="G146" s="357" t="str">
        <f t="shared" si="1094"/>
        <v>Geral</v>
      </c>
      <c r="H146" s="255" t="s">
        <v>377</v>
      </c>
      <c r="I146" s="356" t="str">
        <f t="shared" si="1028"/>
        <v>Sistema</v>
      </c>
      <c r="K146" s="318" t="s">
        <v>2899</v>
      </c>
      <c r="L146" s="749" t="str">
        <f>IF(Padrões!JF87&lt;&gt;"",Padrões!JF87,"")</f>
        <v/>
      </c>
      <c r="M146" s="358" t="str">
        <f t="shared" si="1029"/>
        <v>?</v>
      </c>
      <c r="N146" s="359">
        <f>Padrões!JI87</f>
        <v>0</v>
      </c>
      <c r="O146" s="381" t="str">
        <f t="shared" si="1030"/>
        <v>?</v>
      </c>
      <c r="P146" s="360">
        <f t="shared" si="1031"/>
        <v>0.12</v>
      </c>
      <c r="Q146" s="360" t="str">
        <f t="shared" si="1032"/>
        <v>?</v>
      </c>
      <c r="R146" s="360">
        <f t="shared" si="1033"/>
        <v>0</v>
      </c>
      <c r="S146" s="361">
        <f t="shared" si="1034"/>
        <v>0</v>
      </c>
      <c r="T146" s="362">
        <f t="shared" si="1035"/>
        <v>0</v>
      </c>
      <c r="U146" s="53" t="str" cm="1">
        <f t="array" ref="U146">IFERROR(IF(I146&lt;&gt;"Serviço",IF(AND(mlookup(tbl_DIFAL_data,UFdestino,tbl_DIFAL_UF,O146,tbl_DIFAL_NCM)&lt;&gt;"",C146="Consumo"),"Sim",""),""),"?")</f>
        <v>?</v>
      </c>
      <c r="V146" s="363" t="str">
        <f>IFERROR(IF(I146&lt;&gt;"Serviço",IF(AND(D146="Não",mlookup(tbl_ST_data,UFdestino,tbl_ST_UF,O146,tbl_ST_NCM)&lt;&gt;"",C146="Revenda",CD146="Não"),"Sim",""),""),"?")</f>
        <v>?</v>
      </c>
      <c r="W146" s="364">
        <f t="shared" si="1036"/>
        <v>0</v>
      </c>
      <c r="X146" s="365">
        <f>IF(V146="Sim",mlookup(tbl_ST_data,UFdestino,tbl_ST_UF,O146,tbl_ST_NCM),0)</f>
        <v>0</v>
      </c>
      <c r="Z146" s="355">
        <f t="shared" si="1037"/>
        <v>0</v>
      </c>
      <c r="AA146" s="355">
        <f t="shared" si="1023"/>
        <v>0</v>
      </c>
      <c r="AC146" s="366">
        <f t="shared" si="1095"/>
        <v>1.31243473968765E-2</v>
      </c>
      <c r="AD146" s="366">
        <f t="shared" si="1038"/>
        <v>0.15</v>
      </c>
      <c r="AF146" s="355">
        <f t="shared" si="1039"/>
        <v>0</v>
      </c>
      <c r="AG146" s="355">
        <f t="shared" si="1040"/>
        <v>0</v>
      </c>
      <c r="AI146" s="355">
        <f t="shared" si="1041"/>
        <v>0</v>
      </c>
      <c r="AK146" s="366">
        <f t="shared" si="1096"/>
        <v>0</v>
      </c>
      <c r="AL146" s="355">
        <f t="shared" si="1024"/>
        <v>0</v>
      </c>
      <c r="AM146" s="355">
        <f t="shared" si="1025"/>
        <v>0</v>
      </c>
      <c r="AO146" s="355" t="b">
        <f t="shared" si="1042"/>
        <v>1</v>
      </c>
      <c r="AQ146" s="367">
        <f t="shared" si="1043"/>
        <v>0</v>
      </c>
      <c r="AR146" s="367">
        <f t="shared" si="1026"/>
        <v>0</v>
      </c>
      <c r="AT146" s="367">
        <f t="shared" si="1044"/>
        <v>0</v>
      </c>
      <c r="AU146" s="367">
        <f t="shared" si="1045"/>
        <v>0</v>
      </c>
      <c r="AW146" s="367">
        <f t="shared" si="1046"/>
        <v>0</v>
      </c>
      <c r="AX146" s="367">
        <f t="shared" si="1047"/>
        <v>0</v>
      </c>
      <c r="AY146" s="367">
        <f t="shared" si="1048"/>
        <v>0</v>
      </c>
      <c r="AZ146" s="367">
        <f t="shared" si="1049"/>
        <v>0</v>
      </c>
      <c r="BB146" s="355">
        <f t="shared" si="1050"/>
        <v>0</v>
      </c>
      <c r="BC146" s="355">
        <f t="shared" si="1051"/>
        <v>0</v>
      </c>
      <c r="BD146" s="355">
        <f t="shared" si="1052"/>
        <v>0</v>
      </c>
      <c r="BE146" s="355">
        <f t="shared" si="1053"/>
        <v>0</v>
      </c>
      <c r="BF146" s="355">
        <f t="shared" si="1054"/>
        <v>0</v>
      </c>
      <c r="BH146" s="368">
        <f t="shared" si="1055"/>
        <v>0</v>
      </c>
      <c r="BJ146" s="369">
        <f t="shared" si="1056"/>
        <v>-0.12</v>
      </c>
      <c r="BK146" s="355">
        <f t="shared" si="1057"/>
        <v>0</v>
      </c>
      <c r="BL146" s="355">
        <f t="shared" si="1058"/>
        <v>0</v>
      </c>
      <c r="BN146" s="366">
        <f t="shared" si="1059"/>
        <v>0</v>
      </c>
      <c r="BO146" s="355">
        <f t="shared" si="1060"/>
        <v>0</v>
      </c>
      <c r="BP146" s="355">
        <f t="shared" si="1061"/>
        <v>0</v>
      </c>
      <c r="BQ146" s="355">
        <f t="shared" si="1062"/>
        <v>0</v>
      </c>
      <c r="BS146" s="367">
        <f t="shared" si="1063"/>
        <v>0</v>
      </c>
      <c r="BT146" s="355">
        <f t="shared" si="1064"/>
        <v>0</v>
      </c>
      <c r="BU146" s="355" t="b">
        <f t="shared" si="1027"/>
        <v>1</v>
      </c>
      <c r="BW146" s="355" t="str">
        <f t="shared" si="1065"/>
        <v/>
      </c>
      <c r="BX146" s="355">
        <f t="shared" si="1066"/>
        <v>0</v>
      </c>
      <c r="BY146" s="356">
        <f t="shared" si="1097"/>
        <v>0</v>
      </c>
      <c r="BZ146" s="355">
        <f t="shared" si="1067"/>
        <v>0</v>
      </c>
      <c r="CB146" s="102" t="str">
        <f t="shared" si="1068"/>
        <v>?</v>
      </c>
      <c r="CD146" s="355" t="str">
        <f t="shared" si="1069"/>
        <v>Não</v>
      </c>
      <c r="CE146" s="368">
        <f>ifzero(mlookup(tbl_ICMSinterest_data,UFdestino,tbl_ICMSinterest_ufdest,UForigem,tbl_ICMSinterest_uforig))</f>
        <v>0.12</v>
      </c>
      <c r="CF146" s="368">
        <f>IF(N146&gt;0,IF(I146&lt;&gt;"Serviço",ifzero(mlookup(tbl_ICMSinterno_data,UForigem,tbl_ICMSinterno_UF,O146,tbl_ICMSinterno_NCM),mlookup(tbl_ICMSinterest_data,UForigem,tbl_ICMSinterest_ufdest,UForigem,tbl_ICMSinterest_uforig)),""),0)</f>
        <v>0</v>
      </c>
      <c r="CG146" s="368">
        <f>IF(N146&gt;0,IF(I146&lt;&gt;"Serviço",ifzero(mlookup(tbl_ICMSinterno_data,UFdestino,tbl_ICMSinterno_UF,O146,tbl_ICMSinterno_NCM),mlookup(tbl_ICMSinterest_data,UFdestino,tbl_ICMSinterest_ufdest,UFdestino,tbl_ICMSinterest_uforig)),""),0)</f>
        <v>0</v>
      </c>
      <c r="CI146" s="355">
        <f t="shared" si="1070"/>
        <v>0</v>
      </c>
      <c r="CJ146" s="355">
        <f t="shared" si="1071"/>
        <v>0</v>
      </c>
      <c r="CK146" s="355">
        <f t="shared" si="1072"/>
        <v>0</v>
      </c>
      <c r="CL146" s="355">
        <f t="shared" si="1073"/>
        <v>0</v>
      </c>
      <c r="CN146" s="370">
        <f t="shared" si="1074"/>
        <v>1540</v>
      </c>
      <c r="CO146" s="355">
        <f t="shared" si="1075"/>
        <v>0</v>
      </c>
      <c r="CQ146" s="355" t="b">
        <f t="shared" si="1076"/>
        <v>0</v>
      </c>
      <c r="CR146" s="355" t="b">
        <f t="shared" si="1077"/>
        <v>1</v>
      </c>
      <c r="CS146" s="355" t="b">
        <f t="shared" si="1078"/>
        <v>0</v>
      </c>
      <c r="CU146" s="2">
        <f t="shared" si="1079"/>
        <v>0</v>
      </c>
      <c r="CV146" s="102">
        <f t="shared" si="1080"/>
        <v>0</v>
      </c>
      <c r="CW146" s="102">
        <f t="shared" si="1014"/>
        <v>0</v>
      </c>
      <c r="CX146" s="102">
        <f t="shared" si="1081"/>
        <v>0</v>
      </c>
      <c r="CY146" s="290">
        <f t="shared" si="1082"/>
        <v>0</v>
      </c>
      <c r="CZ146" s="102">
        <f t="shared" si="1016"/>
        <v>0</v>
      </c>
      <c r="DA146" s="290">
        <f t="shared" si="1083"/>
        <v>0</v>
      </c>
      <c r="DB146" s="102">
        <f t="shared" si="1017"/>
        <v>0</v>
      </c>
      <c r="DC146" s="290">
        <f t="shared" si="1084"/>
        <v>0</v>
      </c>
      <c r="DD146" s="102">
        <f t="shared" si="1015"/>
        <v>0</v>
      </c>
      <c r="DE146" s="592">
        <f>IF(D146="Sim",HLOOKUP($DH$5,Parametrização!$G$2:$H$4,2,FALSE),0)</f>
        <v>0</v>
      </c>
      <c r="DF146" s="102">
        <f t="shared" si="1018"/>
        <v>0</v>
      </c>
      <c r="DG146" s="592">
        <f>IF(D146="Sim",HLOOKUP($DH$5,Parametrização!$G$2:$H$4,3,FALSE),0)</f>
        <v>0</v>
      </c>
      <c r="DH146" s="102">
        <f t="shared" si="1019"/>
        <v>0</v>
      </c>
      <c r="DI146" s="102">
        <f t="shared" si="1020"/>
        <v>0</v>
      </c>
      <c r="DK146" s="3" t="str">
        <f t="shared" si="1085"/>
        <v>NA</v>
      </c>
      <c r="DL146" s="2" t="str">
        <f t="shared" si="1086"/>
        <v>NA</v>
      </c>
      <c r="DM146" s="3" t="str">
        <f t="shared" si="1087"/>
        <v>NA</v>
      </c>
      <c r="DN146" s="9" t="str">
        <f t="shared" si="1088"/>
        <v>NA</v>
      </c>
      <c r="DO146" s="637" t="str">
        <f t="shared" si="1089"/>
        <v>NA</v>
      </c>
      <c r="DP146" s="637"/>
      <c r="DQ146" s="3" t="str">
        <f t="shared" si="1090"/>
        <v>NA</v>
      </c>
      <c r="DR146" s="2" t="str">
        <f t="shared" si="1091"/>
        <v>NA</v>
      </c>
      <c r="DS146" s="3" t="str">
        <f t="shared" si="1092"/>
        <v>NA</v>
      </c>
      <c r="DT146" s="9" t="str">
        <f t="shared" si="1021"/>
        <v>NA</v>
      </c>
      <c r="DU146" s="637" t="str">
        <f t="shared" si="1022"/>
        <v>NA</v>
      </c>
      <c r="DV146" s="637"/>
      <c r="DW146" s="682"/>
      <c r="DX146" s="682"/>
      <c r="DY146" s="682"/>
      <c r="DZ146" s="637"/>
      <c r="EA146" s="643"/>
    </row>
    <row r="147" spans="1:131" s="355" customFormat="1" ht="20.100000000000001" customHeight="1" outlineLevel="1" x14ac:dyDescent="0.25">
      <c r="A147" s="356"/>
      <c r="B147" s="355" t="s">
        <v>268</v>
      </c>
      <c r="C147" s="355" t="str">
        <f t="shared" si="1093"/>
        <v>Consumo</v>
      </c>
      <c r="D147" s="355" t="s">
        <v>53</v>
      </c>
      <c r="E147" s="18" t="s">
        <v>38</v>
      </c>
      <c r="F147" s="355" t="s">
        <v>53</v>
      </c>
      <c r="G147" s="357" t="str">
        <f t="shared" si="1094"/>
        <v>Geral</v>
      </c>
      <c r="H147" s="255" t="s">
        <v>377</v>
      </c>
      <c r="I147" s="356" t="str">
        <f t="shared" si="1028"/>
        <v>Sistema</v>
      </c>
      <c r="K147" s="318" t="s">
        <v>2900</v>
      </c>
      <c r="L147" s="749" t="str">
        <f>IF(Padrões!JF88&lt;&gt;"",Padrões!JF88,"")</f>
        <v/>
      </c>
      <c r="M147" s="358" t="str">
        <f t="shared" si="1029"/>
        <v>?</v>
      </c>
      <c r="N147" s="359">
        <f>Padrões!JI88</f>
        <v>0</v>
      </c>
      <c r="O147" s="381" t="str">
        <f t="shared" si="1030"/>
        <v>?</v>
      </c>
      <c r="P147" s="360">
        <f t="shared" si="1031"/>
        <v>0.12</v>
      </c>
      <c r="Q147" s="360" t="str">
        <f t="shared" si="1032"/>
        <v>?</v>
      </c>
      <c r="R147" s="360">
        <f t="shared" si="1033"/>
        <v>0</v>
      </c>
      <c r="S147" s="361">
        <f t="shared" si="1034"/>
        <v>0</v>
      </c>
      <c r="T147" s="362">
        <f t="shared" si="1035"/>
        <v>0</v>
      </c>
      <c r="U147" s="53" t="str" cm="1">
        <f t="array" ref="U147">IFERROR(IF(I147&lt;&gt;"Serviço",IF(AND(mlookup(tbl_DIFAL_data,UFdestino,tbl_DIFAL_UF,O147,tbl_DIFAL_NCM)&lt;&gt;"",C147="Consumo"),"Sim",""),""),"?")</f>
        <v>?</v>
      </c>
      <c r="V147" s="363" t="str">
        <f>IFERROR(IF(I147&lt;&gt;"Serviço",IF(AND(D147="Não",mlookup(tbl_ST_data,UFdestino,tbl_ST_UF,O147,tbl_ST_NCM)&lt;&gt;"",C147="Revenda",CD147="Não"),"Sim",""),""),"?")</f>
        <v>?</v>
      </c>
      <c r="W147" s="364">
        <f t="shared" si="1036"/>
        <v>0</v>
      </c>
      <c r="X147" s="365">
        <f>IF(V147="Sim",mlookup(tbl_ST_data,UFdestino,tbl_ST_UF,O147,tbl_ST_NCM),0)</f>
        <v>0</v>
      </c>
      <c r="Z147" s="355">
        <f t="shared" si="1037"/>
        <v>0</v>
      </c>
      <c r="AA147" s="355">
        <f t="shared" si="1023"/>
        <v>0</v>
      </c>
      <c r="AC147" s="366">
        <f t="shared" si="1095"/>
        <v>1.31243473968765E-2</v>
      </c>
      <c r="AD147" s="366">
        <f t="shared" si="1038"/>
        <v>0.15</v>
      </c>
      <c r="AF147" s="355">
        <f t="shared" si="1039"/>
        <v>0</v>
      </c>
      <c r="AG147" s="355">
        <f t="shared" si="1040"/>
        <v>0</v>
      </c>
      <c r="AI147" s="355">
        <f t="shared" si="1041"/>
        <v>0</v>
      </c>
      <c r="AK147" s="366">
        <f t="shared" si="1096"/>
        <v>0</v>
      </c>
      <c r="AL147" s="355">
        <f t="shared" si="1024"/>
        <v>0</v>
      </c>
      <c r="AM147" s="355">
        <f t="shared" si="1025"/>
        <v>0</v>
      </c>
      <c r="AO147" s="355" t="b">
        <f t="shared" si="1042"/>
        <v>1</v>
      </c>
      <c r="AQ147" s="367">
        <f t="shared" si="1043"/>
        <v>0</v>
      </c>
      <c r="AR147" s="367">
        <f t="shared" si="1026"/>
        <v>0</v>
      </c>
      <c r="AT147" s="367">
        <f t="shared" si="1044"/>
        <v>0</v>
      </c>
      <c r="AU147" s="367">
        <f t="shared" si="1045"/>
        <v>0</v>
      </c>
      <c r="AW147" s="367">
        <f t="shared" si="1046"/>
        <v>0</v>
      </c>
      <c r="AX147" s="367">
        <f t="shared" si="1047"/>
        <v>0</v>
      </c>
      <c r="AY147" s="367">
        <f t="shared" si="1048"/>
        <v>0</v>
      </c>
      <c r="AZ147" s="367">
        <f t="shared" si="1049"/>
        <v>0</v>
      </c>
      <c r="BB147" s="355">
        <f t="shared" si="1050"/>
        <v>0</v>
      </c>
      <c r="BC147" s="355">
        <f t="shared" si="1051"/>
        <v>0</v>
      </c>
      <c r="BD147" s="355">
        <f t="shared" si="1052"/>
        <v>0</v>
      </c>
      <c r="BE147" s="355">
        <f t="shared" si="1053"/>
        <v>0</v>
      </c>
      <c r="BF147" s="355">
        <f t="shared" si="1054"/>
        <v>0</v>
      </c>
      <c r="BH147" s="368">
        <f t="shared" si="1055"/>
        <v>0</v>
      </c>
      <c r="BJ147" s="369">
        <f t="shared" si="1056"/>
        <v>-0.12</v>
      </c>
      <c r="BK147" s="355">
        <f t="shared" si="1057"/>
        <v>0</v>
      </c>
      <c r="BL147" s="355">
        <f t="shared" si="1058"/>
        <v>0</v>
      </c>
      <c r="BN147" s="366">
        <f t="shared" si="1059"/>
        <v>0</v>
      </c>
      <c r="BO147" s="355">
        <f t="shared" si="1060"/>
        <v>0</v>
      </c>
      <c r="BP147" s="355">
        <f t="shared" si="1061"/>
        <v>0</v>
      </c>
      <c r="BQ147" s="355">
        <f t="shared" si="1062"/>
        <v>0</v>
      </c>
      <c r="BS147" s="367">
        <f t="shared" si="1063"/>
        <v>0</v>
      </c>
      <c r="BT147" s="355">
        <f t="shared" si="1064"/>
        <v>0</v>
      </c>
      <c r="BU147" s="355" t="b">
        <f t="shared" si="1027"/>
        <v>1</v>
      </c>
      <c r="BW147" s="355" t="str">
        <f t="shared" si="1065"/>
        <v/>
      </c>
      <c r="BX147" s="355">
        <f t="shared" si="1066"/>
        <v>0</v>
      </c>
      <c r="BY147" s="356">
        <f t="shared" si="1097"/>
        <v>0</v>
      </c>
      <c r="BZ147" s="355">
        <f t="shared" si="1067"/>
        <v>0</v>
      </c>
      <c r="CB147" s="102" t="str">
        <f t="shared" si="1068"/>
        <v>?</v>
      </c>
      <c r="CD147" s="355" t="str">
        <f t="shared" si="1069"/>
        <v>Não</v>
      </c>
      <c r="CE147" s="368">
        <f>ifzero(mlookup(tbl_ICMSinterest_data,UFdestino,tbl_ICMSinterest_ufdest,UForigem,tbl_ICMSinterest_uforig))</f>
        <v>0.12</v>
      </c>
      <c r="CF147" s="368">
        <f>IF(N147&gt;0,IF(I147&lt;&gt;"Serviço",ifzero(mlookup(tbl_ICMSinterno_data,UForigem,tbl_ICMSinterno_UF,O147,tbl_ICMSinterno_NCM),mlookup(tbl_ICMSinterest_data,UForigem,tbl_ICMSinterest_ufdest,UForigem,tbl_ICMSinterest_uforig)),""),0)</f>
        <v>0</v>
      </c>
      <c r="CG147" s="368">
        <f>IF(N147&gt;0,IF(I147&lt;&gt;"Serviço",ifzero(mlookup(tbl_ICMSinterno_data,UFdestino,tbl_ICMSinterno_UF,O147,tbl_ICMSinterno_NCM),mlookup(tbl_ICMSinterest_data,UFdestino,tbl_ICMSinterest_ufdest,UFdestino,tbl_ICMSinterest_uforig)),""),0)</f>
        <v>0</v>
      </c>
      <c r="CI147" s="355">
        <f t="shared" si="1070"/>
        <v>0</v>
      </c>
      <c r="CJ147" s="355">
        <f t="shared" si="1071"/>
        <v>0</v>
      </c>
      <c r="CK147" s="355">
        <f t="shared" si="1072"/>
        <v>0</v>
      </c>
      <c r="CL147" s="355">
        <f t="shared" si="1073"/>
        <v>0</v>
      </c>
      <c r="CN147" s="370">
        <f t="shared" si="1074"/>
        <v>1540</v>
      </c>
      <c r="CO147" s="355">
        <f t="shared" si="1075"/>
        <v>0</v>
      </c>
      <c r="CQ147" s="355" t="b">
        <f t="shared" si="1076"/>
        <v>0</v>
      </c>
      <c r="CR147" s="355" t="b">
        <f t="shared" si="1077"/>
        <v>1</v>
      </c>
      <c r="CS147" s="355" t="b">
        <f t="shared" si="1078"/>
        <v>0</v>
      </c>
      <c r="CU147" s="2">
        <f t="shared" si="1079"/>
        <v>0</v>
      </c>
      <c r="CV147" s="102">
        <f t="shared" si="1080"/>
        <v>0</v>
      </c>
      <c r="CW147" s="102">
        <f t="shared" si="1014"/>
        <v>0</v>
      </c>
      <c r="CX147" s="102">
        <f t="shared" si="1081"/>
        <v>0</v>
      </c>
      <c r="CY147" s="290">
        <f t="shared" si="1082"/>
        <v>0</v>
      </c>
      <c r="CZ147" s="102">
        <f t="shared" si="1016"/>
        <v>0</v>
      </c>
      <c r="DA147" s="290">
        <f t="shared" si="1083"/>
        <v>0</v>
      </c>
      <c r="DB147" s="102">
        <f t="shared" si="1017"/>
        <v>0</v>
      </c>
      <c r="DC147" s="290">
        <f t="shared" si="1084"/>
        <v>0</v>
      </c>
      <c r="DD147" s="102">
        <f t="shared" si="1015"/>
        <v>0</v>
      </c>
      <c r="DE147" s="592">
        <f>IF(D147="Sim",HLOOKUP($DH$5,Parametrização!$G$2:$H$4,2,FALSE),0)</f>
        <v>0</v>
      </c>
      <c r="DF147" s="102">
        <f t="shared" si="1018"/>
        <v>0</v>
      </c>
      <c r="DG147" s="592">
        <f>IF(D147="Sim",HLOOKUP($DH$5,Parametrização!$G$2:$H$4,3,FALSE),0)</f>
        <v>0</v>
      </c>
      <c r="DH147" s="102">
        <f t="shared" si="1019"/>
        <v>0</v>
      </c>
      <c r="DI147" s="102">
        <f t="shared" si="1020"/>
        <v>0</v>
      </c>
      <c r="DK147" s="3" t="str">
        <f t="shared" si="1085"/>
        <v>NA</v>
      </c>
      <c r="DL147" s="2" t="str">
        <f t="shared" si="1086"/>
        <v>NA</v>
      </c>
      <c r="DM147" s="3" t="str">
        <f t="shared" si="1087"/>
        <v>NA</v>
      </c>
      <c r="DN147" s="9" t="str">
        <f t="shared" si="1088"/>
        <v>NA</v>
      </c>
      <c r="DO147" s="637" t="str">
        <f t="shared" si="1089"/>
        <v>NA</v>
      </c>
      <c r="DP147" s="637"/>
      <c r="DQ147" s="3" t="str">
        <f t="shared" si="1090"/>
        <v>NA</v>
      </c>
      <c r="DR147" s="2" t="str">
        <f t="shared" si="1091"/>
        <v>NA</v>
      </c>
      <c r="DS147" s="3" t="str">
        <f t="shared" si="1092"/>
        <v>NA</v>
      </c>
      <c r="DT147" s="9" t="str">
        <f t="shared" si="1021"/>
        <v>NA</v>
      </c>
      <c r="DU147" s="637" t="str">
        <f t="shared" si="1022"/>
        <v>NA</v>
      </c>
      <c r="DV147" s="637"/>
      <c r="DW147" s="682"/>
      <c r="DX147" s="682"/>
      <c r="DY147" s="682"/>
      <c r="DZ147" s="637"/>
      <c r="EA147" s="643"/>
    </row>
    <row r="148" spans="1:131" s="355" customFormat="1" ht="20.100000000000001" customHeight="1" outlineLevel="1" x14ac:dyDescent="0.25">
      <c r="A148" s="356"/>
      <c r="B148" s="355" t="s">
        <v>268</v>
      </c>
      <c r="C148" s="355" t="str">
        <f t="shared" si="1093"/>
        <v>Consumo</v>
      </c>
      <c r="D148" s="355" t="s">
        <v>53</v>
      </c>
      <c r="E148" s="18" t="s">
        <v>38</v>
      </c>
      <c r="F148" s="355" t="s">
        <v>53</v>
      </c>
      <c r="G148" s="357" t="str">
        <f t="shared" si="1094"/>
        <v>Geral</v>
      </c>
      <c r="H148" s="255" t="s">
        <v>377</v>
      </c>
      <c r="I148" s="356" t="str">
        <f t="shared" si="1028"/>
        <v>Sistema</v>
      </c>
      <c r="K148" s="318" t="s">
        <v>2901</v>
      </c>
      <c r="L148" s="749" t="str">
        <f>IF(Padrões!JF89&lt;&gt;"",Padrões!JF89,"")</f>
        <v/>
      </c>
      <c r="M148" s="358" t="str">
        <f t="shared" si="1029"/>
        <v>?</v>
      </c>
      <c r="N148" s="359">
        <f>Padrões!JI89</f>
        <v>0</v>
      </c>
      <c r="O148" s="381" t="str">
        <f t="shared" si="1030"/>
        <v>?</v>
      </c>
      <c r="P148" s="360">
        <f t="shared" si="1031"/>
        <v>0.12</v>
      </c>
      <c r="Q148" s="360" t="str">
        <f t="shared" si="1032"/>
        <v>?</v>
      </c>
      <c r="R148" s="360">
        <f t="shared" si="1033"/>
        <v>0</v>
      </c>
      <c r="S148" s="361">
        <f t="shared" si="1034"/>
        <v>0</v>
      </c>
      <c r="T148" s="362">
        <f t="shared" si="1035"/>
        <v>0</v>
      </c>
      <c r="U148" s="53" t="str" cm="1">
        <f t="array" ref="U148">IFERROR(IF(I148&lt;&gt;"Serviço",IF(AND(mlookup(tbl_DIFAL_data,UFdestino,tbl_DIFAL_UF,O148,tbl_DIFAL_NCM)&lt;&gt;"",C148="Consumo"),"Sim",""),""),"?")</f>
        <v>?</v>
      </c>
      <c r="V148" s="363" t="str">
        <f>IFERROR(IF(I148&lt;&gt;"Serviço",IF(AND(D148="Não",mlookup(tbl_ST_data,UFdestino,tbl_ST_UF,O148,tbl_ST_NCM)&lt;&gt;"",C148="Revenda",CD148="Não"),"Sim",""),""),"?")</f>
        <v>?</v>
      </c>
      <c r="W148" s="364">
        <f t="shared" si="1036"/>
        <v>0</v>
      </c>
      <c r="X148" s="365">
        <f>IF(V148="Sim",mlookup(tbl_ST_data,UFdestino,tbl_ST_UF,O148,tbl_ST_NCM),0)</f>
        <v>0</v>
      </c>
      <c r="Z148" s="355">
        <f t="shared" si="1037"/>
        <v>0</v>
      </c>
      <c r="AA148" s="355">
        <f t="shared" si="1023"/>
        <v>0</v>
      </c>
      <c r="AC148" s="366">
        <f t="shared" si="1095"/>
        <v>1.31243473968765E-2</v>
      </c>
      <c r="AD148" s="366">
        <f t="shared" si="1038"/>
        <v>0.15</v>
      </c>
      <c r="AF148" s="355">
        <f t="shared" si="1039"/>
        <v>0</v>
      </c>
      <c r="AG148" s="355">
        <f t="shared" si="1040"/>
        <v>0</v>
      </c>
      <c r="AI148" s="355">
        <f t="shared" si="1041"/>
        <v>0</v>
      </c>
      <c r="AK148" s="366">
        <f t="shared" si="1096"/>
        <v>0</v>
      </c>
      <c r="AL148" s="355">
        <f t="shared" si="1024"/>
        <v>0</v>
      </c>
      <c r="AM148" s="355">
        <f t="shared" si="1025"/>
        <v>0</v>
      </c>
      <c r="AO148" s="355" t="b">
        <f t="shared" si="1042"/>
        <v>1</v>
      </c>
      <c r="AQ148" s="367">
        <f t="shared" si="1043"/>
        <v>0</v>
      </c>
      <c r="AR148" s="367">
        <f t="shared" si="1026"/>
        <v>0</v>
      </c>
      <c r="AT148" s="367">
        <f t="shared" si="1044"/>
        <v>0</v>
      </c>
      <c r="AU148" s="367">
        <f t="shared" si="1045"/>
        <v>0</v>
      </c>
      <c r="AW148" s="367">
        <f t="shared" si="1046"/>
        <v>0</v>
      </c>
      <c r="AX148" s="367">
        <f t="shared" si="1047"/>
        <v>0</v>
      </c>
      <c r="AY148" s="367">
        <f t="shared" si="1048"/>
        <v>0</v>
      </c>
      <c r="AZ148" s="367">
        <f t="shared" si="1049"/>
        <v>0</v>
      </c>
      <c r="BB148" s="355">
        <f t="shared" si="1050"/>
        <v>0</v>
      </c>
      <c r="BC148" s="355">
        <f t="shared" si="1051"/>
        <v>0</v>
      </c>
      <c r="BD148" s="355">
        <f t="shared" si="1052"/>
        <v>0</v>
      </c>
      <c r="BE148" s="355">
        <f t="shared" si="1053"/>
        <v>0</v>
      </c>
      <c r="BF148" s="355">
        <f t="shared" si="1054"/>
        <v>0</v>
      </c>
      <c r="BH148" s="368">
        <f t="shared" si="1055"/>
        <v>0</v>
      </c>
      <c r="BJ148" s="369">
        <f t="shared" si="1056"/>
        <v>-0.12</v>
      </c>
      <c r="BK148" s="355">
        <f t="shared" si="1057"/>
        <v>0</v>
      </c>
      <c r="BL148" s="355">
        <f t="shared" si="1058"/>
        <v>0</v>
      </c>
      <c r="BN148" s="366">
        <f t="shared" si="1059"/>
        <v>0</v>
      </c>
      <c r="BO148" s="355">
        <f t="shared" si="1060"/>
        <v>0</v>
      </c>
      <c r="BP148" s="355">
        <f t="shared" si="1061"/>
        <v>0</v>
      </c>
      <c r="BQ148" s="355">
        <f t="shared" si="1062"/>
        <v>0</v>
      </c>
      <c r="BS148" s="367">
        <f t="shared" si="1063"/>
        <v>0</v>
      </c>
      <c r="BT148" s="355">
        <f t="shared" si="1064"/>
        <v>0</v>
      </c>
      <c r="BU148" s="355" t="b">
        <f t="shared" si="1027"/>
        <v>1</v>
      </c>
      <c r="BW148" s="355" t="str">
        <f t="shared" si="1065"/>
        <v/>
      </c>
      <c r="BX148" s="355">
        <f t="shared" si="1066"/>
        <v>0</v>
      </c>
      <c r="BY148" s="356">
        <f t="shared" si="1097"/>
        <v>0</v>
      </c>
      <c r="BZ148" s="355">
        <f t="shared" si="1067"/>
        <v>0</v>
      </c>
      <c r="CB148" s="102" t="str">
        <f t="shared" si="1068"/>
        <v>?</v>
      </c>
      <c r="CD148" s="355" t="str">
        <f t="shared" si="1069"/>
        <v>Não</v>
      </c>
      <c r="CE148" s="368">
        <f>ifzero(mlookup(tbl_ICMSinterest_data,UFdestino,tbl_ICMSinterest_ufdest,UForigem,tbl_ICMSinterest_uforig))</f>
        <v>0.12</v>
      </c>
      <c r="CF148" s="368">
        <f>IF(N148&gt;0,IF(I148&lt;&gt;"Serviço",ifzero(mlookup(tbl_ICMSinterno_data,UForigem,tbl_ICMSinterno_UF,O148,tbl_ICMSinterno_NCM),mlookup(tbl_ICMSinterest_data,UForigem,tbl_ICMSinterest_ufdest,UForigem,tbl_ICMSinterest_uforig)),""),0)</f>
        <v>0</v>
      </c>
      <c r="CG148" s="368">
        <f>IF(N148&gt;0,IF(I148&lt;&gt;"Serviço",ifzero(mlookup(tbl_ICMSinterno_data,UFdestino,tbl_ICMSinterno_UF,O148,tbl_ICMSinterno_NCM),mlookup(tbl_ICMSinterest_data,UFdestino,tbl_ICMSinterest_ufdest,UFdestino,tbl_ICMSinterest_uforig)),""),0)</f>
        <v>0</v>
      </c>
      <c r="CI148" s="355">
        <f t="shared" si="1070"/>
        <v>0</v>
      </c>
      <c r="CJ148" s="355">
        <f t="shared" si="1071"/>
        <v>0</v>
      </c>
      <c r="CK148" s="355">
        <f t="shared" si="1072"/>
        <v>0</v>
      </c>
      <c r="CL148" s="355">
        <f t="shared" si="1073"/>
        <v>0</v>
      </c>
      <c r="CN148" s="370">
        <f t="shared" si="1074"/>
        <v>1540</v>
      </c>
      <c r="CO148" s="355">
        <f t="shared" si="1075"/>
        <v>0</v>
      </c>
      <c r="CQ148" s="355" t="b">
        <f t="shared" si="1076"/>
        <v>0</v>
      </c>
      <c r="CR148" s="355" t="b">
        <f t="shared" si="1077"/>
        <v>1</v>
      </c>
      <c r="CS148" s="355" t="b">
        <f t="shared" si="1078"/>
        <v>0</v>
      </c>
      <c r="CU148" s="2">
        <f t="shared" si="1079"/>
        <v>0</v>
      </c>
      <c r="CV148" s="102">
        <f t="shared" si="1080"/>
        <v>0</v>
      </c>
      <c r="CW148" s="102">
        <f t="shared" si="1014"/>
        <v>0</v>
      </c>
      <c r="CX148" s="102">
        <f t="shared" si="1081"/>
        <v>0</v>
      </c>
      <c r="CY148" s="290">
        <f t="shared" si="1082"/>
        <v>0</v>
      </c>
      <c r="CZ148" s="102">
        <f t="shared" si="1016"/>
        <v>0</v>
      </c>
      <c r="DA148" s="290">
        <f t="shared" si="1083"/>
        <v>0</v>
      </c>
      <c r="DB148" s="102">
        <f t="shared" si="1017"/>
        <v>0</v>
      </c>
      <c r="DC148" s="290">
        <f t="shared" si="1084"/>
        <v>0</v>
      </c>
      <c r="DD148" s="102">
        <f t="shared" si="1015"/>
        <v>0</v>
      </c>
      <c r="DE148" s="592">
        <f>IF(D148="Sim",HLOOKUP($DH$5,Parametrização!$G$2:$H$4,2,FALSE),0)</f>
        <v>0</v>
      </c>
      <c r="DF148" s="102">
        <f t="shared" si="1018"/>
        <v>0</v>
      </c>
      <c r="DG148" s="592">
        <f>IF(D148="Sim",HLOOKUP($DH$5,Parametrização!$G$2:$H$4,3,FALSE),0)</f>
        <v>0</v>
      </c>
      <c r="DH148" s="102">
        <f t="shared" si="1019"/>
        <v>0</v>
      </c>
      <c r="DI148" s="102">
        <f t="shared" si="1020"/>
        <v>0</v>
      </c>
      <c r="DK148" s="3" t="str">
        <f t="shared" si="1085"/>
        <v>NA</v>
      </c>
      <c r="DL148" s="2" t="str">
        <f t="shared" si="1086"/>
        <v>NA</v>
      </c>
      <c r="DM148" s="3" t="str">
        <f t="shared" si="1087"/>
        <v>NA</v>
      </c>
      <c r="DN148" s="9" t="str">
        <f t="shared" si="1088"/>
        <v>NA</v>
      </c>
      <c r="DO148" s="637" t="str">
        <f t="shared" si="1089"/>
        <v>NA</v>
      </c>
      <c r="DP148" s="637"/>
      <c r="DQ148" s="3" t="str">
        <f t="shared" si="1090"/>
        <v>NA</v>
      </c>
      <c r="DR148" s="2" t="str">
        <f t="shared" si="1091"/>
        <v>NA</v>
      </c>
      <c r="DS148" s="3" t="str">
        <f t="shared" si="1092"/>
        <v>NA</v>
      </c>
      <c r="DT148" s="9" t="str">
        <f t="shared" si="1021"/>
        <v>NA</v>
      </c>
      <c r="DU148" s="637" t="str">
        <f t="shared" si="1022"/>
        <v>NA</v>
      </c>
      <c r="DV148" s="637"/>
      <c r="DW148" s="682"/>
      <c r="DX148" s="682"/>
      <c r="DY148" s="682"/>
      <c r="DZ148" s="637"/>
      <c r="EA148" s="643"/>
    </row>
    <row r="149" spans="1:131" s="355" customFormat="1" ht="20.100000000000001" customHeight="1" outlineLevel="1" x14ac:dyDescent="0.25">
      <c r="A149" s="356"/>
      <c r="B149" s="355" t="s">
        <v>268</v>
      </c>
      <c r="C149" s="355" t="str">
        <f t="shared" si="1093"/>
        <v>Consumo</v>
      </c>
      <c r="D149" s="355" t="s">
        <v>53</v>
      </c>
      <c r="E149" s="18" t="s">
        <v>38</v>
      </c>
      <c r="F149" s="355" t="s">
        <v>53</v>
      </c>
      <c r="G149" s="357" t="str">
        <f t="shared" si="1094"/>
        <v>Geral</v>
      </c>
      <c r="H149" s="255" t="s">
        <v>377</v>
      </c>
      <c r="I149" s="356" t="str">
        <f t="shared" si="1028"/>
        <v>Sistema</v>
      </c>
      <c r="K149" s="318" t="s">
        <v>2902</v>
      </c>
      <c r="L149" s="749" t="str">
        <f>IF(Padrões!JF90&lt;&gt;"",Padrões!JF90,"")</f>
        <v/>
      </c>
      <c r="M149" s="358" t="str">
        <f t="shared" si="1029"/>
        <v>?</v>
      </c>
      <c r="N149" s="359">
        <f>Padrões!JI90</f>
        <v>0</v>
      </c>
      <c r="O149" s="381" t="str">
        <f t="shared" si="1030"/>
        <v>?</v>
      </c>
      <c r="P149" s="360">
        <f t="shared" si="1031"/>
        <v>0.12</v>
      </c>
      <c r="Q149" s="360" t="str">
        <f t="shared" si="1032"/>
        <v>?</v>
      </c>
      <c r="R149" s="360">
        <f t="shared" si="1033"/>
        <v>0</v>
      </c>
      <c r="S149" s="361">
        <f t="shared" si="1034"/>
        <v>0</v>
      </c>
      <c r="T149" s="362">
        <f t="shared" si="1035"/>
        <v>0</v>
      </c>
      <c r="U149" s="53" t="str" cm="1">
        <f t="array" ref="U149">IFERROR(IF(I149&lt;&gt;"Serviço",IF(AND(mlookup(tbl_DIFAL_data,UFdestino,tbl_DIFAL_UF,O149,tbl_DIFAL_NCM)&lt;&gt;"",C149="Consumo"),"Sim",""),""),"?")</f>
        <v>?</v>
      </c>
      <c r="V149" s="363" t="str">
        <f>IFERROR(IF(I149&lt;&gt;"Serviço",IF(AND(D149="Não",mlookup(tbl_ST_data,UFdestino,tbl_ST_UF,O149,tbl_ST_NCM)&lt;&gt;"",C149="Revenda",CD149="Não"),"Sim",""),""),"?")</f>
        <v>?</v>
      </c>
      <c r="W149" s="364">
        <f t="shared" si="1036"/>
        <v>0</v>
      </c>
      <c r="X149" s="365">
        <f>IF(V149="Sim",mlookup(tbl_ST_data,UFdestino,tbl_ST_UF,O149,tbl_ST_NCM),0)</f>
        <v>0</v>
      </c>
      <c r="Z149" s="355">
        <f t="shared" si="1037"/>
        <v>0</v>
      </c>
      <c r="AA149" s="355">
        <f t="shared" si="1023"/>
        <v>0</v>
      </c>
      <c r="AC149" s="366">
        <f t="shared" si="1095"/>
        <v>1.31243473968765E-2</v>
      </c>
      <c r="AD149" s="366">
        <f t="shared" si="1038"/>
        <v>0.15</v>
      </c>
      <c r="AF149" s="355">
        <f t="shared" si="1039"/>
        <v>0</v>
      </c>
      <c r="AG149" s="355">
        <f t="shared" si="1040"/>
        <v>0</v>
      </c>
      <c r="AI149" s="355">
        <f t="shared" si="1041"/>
        <v>0</v>
      </c>
      <c r="AK149" s="366">
        <f t="shared" si="1096"/>
        <v>0</v>
      </c>
      <c r="AL149" s="355">
        <f t="shared" si="1024"/>
        <v>0</v>
      </c>
      <c r="AM149" s="355">
        <f t="shared" si="1025"/>
        <v>0</v>
      </c>
      <c r="AO149" s="355" t="b">
        <f t="shared" si="1042"/>
        <v>1</v>
      </c>
      <c r="AQ149" s="367">
        <f t="shared" si="1043"/>
        <v>0</v>
      </c>
      <c r="AR149" s="367">
        <f t="shared" si="1026"/>
        <v>0</v>
      </c>
      <c r="AT149" s="367">
        <f t="shared" si="1044"/>
        <v>0</v>
      </c>
      <c r="AU149" s="367">
        <f t="shared" si="1045"/>
        <v>0</v>
      </c>
      <c r="AW149" s="367">
        <f t="shared" si="1046"/>
        <v>0</v>
      </c>
      <c r="AX149" s="367">
        <f t="shared" si="1047"/>
        <v>0</v>
      </c>
      <c r="AY149" s="367">
        <f t="shared" si="1048"/>
        <v>0</v>
      </c>
      <c r="AZ149" s="367">
        <f t="shared" si="1049"/>
        <v>0</v>
      </c>
      <c r="BB149" s="355">
        <f t="shared" si="1050"/>
        <v>0</v>
      </c>
      <c r="BC149" s="355">
        <f t="shared" si="1051"/>
        <v>0</v>
      </c>
      <c r="BD149" s="355">
        <f t="shared" si="1052"/>
        <v>0</v>
      </c>
      <c r="BE149" s="355">
        <f t="shared" si="1053"/>
        <v>0</v>
      </c>
      <c r="BF149" s="355">
        <f t="shared" si="1054"/>
        <v>0</v>
      </c>
      <c r="BH149" s="368">
        <f t="shared" si="1055"/>
        <v>0</v>
      </c>
      <c r="BJ149" s="369">
        <f t="shared" si="1056"/>
        <v>-0.12</v>
      </c>
      <c r="BK149" s="355">
        <f t="shared" si="1057"/>
        <v>0</v>
      </c>
      <c r="BL149" s="355">
        <f t="shared" si="1058"/>
        <v>0</v>
      </c>
      <c r="BN149" s="366">
        <f t="shared" si="1059"/>
        <v>0</v>
      </c>
      <c r="BO149" s="355">
        <f t="shared" si="1060"/>
        <v>0</v>
      </c>
      <c r="BP149" s="355">
        <f t="shared" si="1061"/>
        <v>0</v>
      </c>
      <c r="BQ149" s="355">
        <f t="shared" si="1062"/>
        <v>0</v>
      </c>
      <c r="BS149" s="367">
        <f t="shared" si="1063"/>
        <v>0</v>
      </c>
      <c r="BT149" s="355">
        <f t="shared" si="1064"/>
        <v>0</v>
      </c>
      <c r="BU149" s="355" t="b">
        <f t="shared" si="1027"/>
        <v>1</v>
      </c>
      <c r="BW149" s="355" t="str">
        <f t="shared" si="1065"/>
        <v/>
      </c>
      <c r="BX149" s="355">
        <f t="shared" si="1066"/>
        <v>0</v>
      </c>
      <c r="BY149" s="356">
        <f t="shared" si="1097"/>
        <v>0</v>
      </c>
      <c r="BZ149" s="355">
        <f t="shared" si="1067"/>
        <v>0</v>
      </c>
      <c r="CB149" s="102" t="str">
        <f t="shared" si="1068"/>
        <v>?</v>
      </c>
      <c r="CD149" s="355" t="str">
        <f t="shared" si="1069"/>
        <v>Não</v>
      </c>
      <c r="CE149" s="368">
        <f>ifzero(mlookup(tbl_ICMSinterest_data,UFdestino,tbl_ICMSinterest_ufdest,UForigem,tbl_ICMSinterest_uforig))</f>
        <v>0.12</v>
      </c>
      <c r="CF149" s="368">
        <f>IF(N149&gt;0,IF(I149&lt;&gt;"Serviço",ifzero(mlookup(tbl_ICMSinterno_data,UForigem,tbl_ICMSinterno_UF,O149,tbl_ICMSinterno_NCM),mlookup(tbl_ICMSinterest_data,UForigem,tbl_ICMSinterest_ufdest,UForigem,tbl_ICMSinterest_uforig)),""),0)</f>
        <v>0</v>
      </c>
      <c r="CG149" s="368">
        <f>IF(N149&gt;0,IF(I149&lt;&gt;"Serviço",ifzero(mlookup(tbl_ICMSinterno_data,UFdestino,tbl_ICMSinterno_UF,O149,tbl_ICMSinterno_NCM),mlookup(tbl_ICMSinterest_data,UFdestino,tbl_ICMSinterest_ufdest,UFdestino,tbl_ICMSinterest_uforig)),""),0)</f>
        <v>0</v>
      </c>
      <c r="CI149" s="355">
        <f t="shared" si="1070"/>
        <v>0</v>
      </c>
      <c r="CJ149" s="355">
        <f t="shared" si="1071"/>
        <v>0</v>
      </c>
      <c r="CK149" s="355">
        <f t="shared" si="1072"/>
        <v>0</v>
      </c>
      <c r="CL149" s="355">
        <f t="shared" si="1073"/>
        <v>0</v>
      </c>
      <c r="CN149" s="370">
        <f t="shared" si="1074"/>
        <v>1540</v>
      </c>
      <c r="CO149" s="355">
        <f t="shared" si="1075"/>
        <v>0</v>
      </c>
      <c r="CQ149" s="355" t="b">
        <f t="shared" si="1076"/>
        <v>0</v>
      </c>
      <c r="CR149" s="355" t="b">
        <f t="shared" si="1077"/>
        <v>1</v>
      </c>
      <c r="CS149" s="355" t="b">
        <f t="shared" si="1078"/>
        <v>0</v>
      </c>
      <c r="CU149" s="2">
        <f t="shared" si="1079"/>
        <v>0</v>
      </c>
      <c r="CV149" s="102">
        <f t="shared" si="1080"/>
        <v>0</v>
      </c>
      <c r="CW149" s="102">
        <f t="shared" si="1014"/>
        <v>0</v>
      </c>
      <c r="CX149" s="102">
        <f t="shared" si="1081"/>
        <v>0</v>
      </c>
      <c r="CY149" s="290">
        <f t="shared" si="1082"/>
        <v>0</v>
      </c>
      <c r="CZ149" s="102">
        <f t="shared" si="1016"/>
        <v>0</v>
      </c>
      <c r="DA149" s="290">
        <f t="shared" si="1083"/>
        <v>0</v>
      </c>
      <c r="DB149" s="102">
        <f t="shared" si="1017"/>
        <v>0</v>
      </c>
      <c r="DC149" s="290">
        <f t="shared" si="1084"/>
        <v>0</v>
      </c>
      <c r="DD149" s="102">
        <f t="shared" si="1015"/>
        <v>0</v>
      </c>
      <c r="DE149" s="592">
        <f>IF(D149="Sim",HLOOKUP($DH$5,Parametrização!$G$2:$H$4,2,FALSE),0)</f>
        <v>0</v>
      </c>
      <c r="DF149" s="102">
        <f t="shared" si="1018"/>
        <v>0</v>
      </c>
      <c r="DG149" s="592">
        <f>IF(D149="Sim",HLOOKUP($DH$5,Parametrização!$G$2:$H$4,3,FALSE),0)</f>
        <v>0</v>
      </c>
      <c r="DH149" s="102">
        <f t="shared" si="1019"/>
        <v>0</v>
      </c>
      <c r="DI149" s="102">
        <f t="shared" si="1020"/>
        <v>0</v>
      </c>
      <c r="DK149" s="3" t="str">
        <f t="shared" si="1085"/>
        <v>NA</v>
      </c>
      <c r="DL149" s="2" t="str">
        <f t="shared" si="1086"/>
        <v>NA</v>
      </c>
      <c r="DM149" s="3" t="str">
        <f t="shared" si="1087"/>
        <v>NA</v>
      </c>
      <c r="DN149" s="9" t="str">
        <f t="shared" si="1088"/>
        <v>NA</v>
      </c>
      <c r="DO149" s="637" t="str">
        <f t="shared" si="1089"/>
        <v>NA</v>
      </c>
      <c r="DP149" s="637"/>
      <c r="DQ149" s="3" t="str">
        <f t="shared" si="1090"/>
        <v>NA</v>
      </c>
      <c r="DR149" s="2" t="str">
        <f t="shared" si="1091"/>
        <v>NA</v>
      </c>
      <c r="DS149" s="3" t="str">
        <f t="shared" si="1092"/>
        <v>NA</v>
      </c>
      <c r="DT149" s="9" t="str">
        <f t="shared" si="1021"/>
        <v>NA</v>
      </c>
      <c r="DU149" s="637" t="str">
        <f t="shared" si="1022"/>
        <v>NA</v>
      </c>
      <c r="DV149" s="637"/>
      <c r="DW149" s="682"/>
      <c r="DX149" s="682"/>
      <c r="DY149" s="682"/>
      <c r="DZ149" s="637"/>
      <c r="EA149" s="643"/>
    </row>
    <row r="150" spans="1:131" s="355" customFormat="1" ht="20.100000000000001" customHeight="1" outlineLevel="1" x14ac:dyDescent="0.25">
      <c r="A150" s="356"/>
      <c r="B150" s="355" t="s">
        <v>268</v>
      </c>
      <c r="C150" s="355" t="str">
        <f t="shared" si="1093"/>
        <v>Consumo</v>
      </c>
      <c r="D150" s="355" t="s">
        <v>53</v>
      </c>
      <c r="E150" s="18" t="s">
        <v>38</v>
      </c>
      <c r="F150" s="355" t="s">
        <v>53</v>
      </c>
      <c r="G150" s="357" t="str">
        <f t="shared" si="1094"/>
        <v>Geral</v>
      </c>
      <c r="H150" s="255" t="s">
        <v>377</v>
      </c>
      <c r="I150" s="356" t="str">
        <f t="shared" si="1028"/>
        <v>Sistema</v>
      </c>
      <c r="K150" s="318" t="s">
        <v>2903</v>
      </c>
      <c r="L150" s="749" t="str">
        <f>IF(Padrões!JF91&lt;&gt;"",Padrões!JF91,"")</f>
        <v/>
      </c>
      <c r="M150" s="358" t="str">
        <f t="shared" si="1029"/>
        <v>?</v>
      </c>
      <c r="N150" s="359">
        <f>Padrões!JI91</f>
        <v>0</v>
      </c>
      <c r="O150" s="381" t="str">
        <f t="shared" si="1030"/>
        <v>?</v>
      </c>
      <c r="P150" s="360">
        <f t="shared" si="1031"/>
        <v>0.12</v>
      </c>
      <c r="Q150" s="360" t="str">
        <f t="shared" si="1032"/>
        <v>?</v>
      </c>
      <c r="R150" s="360">
        <f t="shared" si="1033"/>
        <v>0</v>
      </c>
      <c r="S150" s="361">
        <f t="shared" si="1034"/>
        <v>0</v>
      </c>
      <c r="T150" s="362">
        <f t="shared" si="1035"/>
        <v>0</v>
      </c>
      <c r="U150" s="53" t="str" cm="1">
        <f t="array" ref="U150">IFERROR(IF(I150&lt;&gt;"Serviço",IF(AND(mlookup(tbl_DIFAL_data,UFdestino,tbl_DIFAL_UF,O150,tbl_DIFAL_NCM)&lt;&gt;"",C150="Consumo"),"Sim",""),""),"?")</f>
        <v>?</v>
      </c>
      <c r="V150" s="363" t="str">
        <f>IFERROR(IF(I150&lt;&gt;"Serviço",IF(AND(D150="Não",mlookup(tbl_ST_data,UFdestino,tbl_ST_UF,O150,tbl_ST_NCM)&lt;&gt;"",C150="Revenda",CD150="Não"),"Sim",""),""),"?")</f>
        <v>?</v>
      </c>
      <c r="W150" s="364">
        <f t="shared" si="1036"/>
        <v>0</v>
      </c>
      <c r="X150" s="365">
        <f>IF(V150="Sim",mlookup(tbl_ST_data,UFdestino,tbl_ST_UF,O150,tbl_ST_NCM),0)</f>
        <v>0</v>
      </c>
      <c r="Z150" s="355">
        <f t="shared" si="1037"/>
        <v>0</v>
      </c>
      <c r="AA150" s="355">
        <f t="shared" si="1023"/>
        <v>0</v>
      </c>
      <c r="AC150" s="366">
        <f t="shared" si="1095"/>
        <v>1.31243473968765E-2</v>
      </c>
      <c r="AD150" s="366">
        <f t="shared" si="1038"/>
        <v>0.15</v>
      </c>
      <c r="AF150" s="355">
        <f t="shared" si="1039"/>
        <v>0</v>
      </c>
      <c r="AG150" s="355">
        <f t="shared" si="1040"/>
        <v>0</v>
      </c>
      <c r="AI150" s="355">
        <f t="shared" si="1041"/>
        <v>0</v>
      </c>
      <c r="AK150" s="366">
        <f t="shared" si="1096"/>
        <v>0</v>
      </c>
      <c r="AL150" s="355">
        <f t="shared" si="1024"/>
        <v>0</v>
      </c>
      <c r="AM150" s="355">
        <f t="shared" si="1025"/>
        <v>0</v>
      </c>
      <c r="AO150" s="355" t="b">
        <f t="shared" si="1042"/>
        <v>1</v>
      </c>
      <c r="AQ150" s="367">
        <f t="shared" si="1043"/>
        <v>0</v>
      </c>
      <c r="AR150" s="367">
        <f t="shared" si="1026"/>
        <v>0</v>
      </c>
      <c r="AT150" s="367">
        <f t="shared" si="1044"/>
        <v>0</v>
      </c>
      <c r="AU150" s="367">
        <f t="shared" si="1045"/>
        <v>0</v>
      </c>
      <c r="AW150" s="367">
        <f t="shared" si="1046"/>
        <v>0</v>
      </c>
      <c r="AX150" s="367">
        <f t="shared" si="1047"/>
        <v>0</v>
      </c>
      <c r="AY150" s="367">
        <f t="shared" si="1048"/>
        <v>0</v>
      </c>
      <c r="AZ150" s="367">
        <f t="shared" si="1049"/>
        <v>0</v>
      </c>
      <c r="BB150" s="355">
        <f t="shared" si="1050"/>
        <v>0</v>
      </c>
      <c r="BC150" s="355">
        <f t="shared" si="1051"/>
        <v>0</v>
      </c>
      <c r="BD150" s="355">
        <f t="shared" si="1052"/>
        <v>0</v>
      </c>
      <c r="BE150" s="355">
        <f t="shared" si="1053"/>
        <v>0</v>
      </c>
      <c r="BF150" s="355">
        <f t="shared" si="1054"/>
        <v>0</v>
      </c>
      <c r="BH150" s="368">
        <f t="shared" si="1055"/>
        <v>0</v>
      </c>
      <c r="BJ150" s="369">
        <f t="shared" si="1056"/>
        <v>-0.12</v>
      </c>
      <c r="BK150" s="355">
        <f t="shared" si="1057"/>
        <v>0</v>
      </c>
      <c r="BL150" s="355">
        <f t="shared" si="1058"/>
        <v>0</v>
      </c>
      <c r="BN150" s="366">
        <f t="shared" si="1059"/>
        <v>0</v>
      </c>
      <c r="BO150" s="355">
        <f t="shared" si="1060"/>
        <v>0</v>
      </c>
      <c r="BP150" s="355">
        <f t="shared" si="1061"/>
        <v>0</v>
      </c>
      <c r="BQ150" s="355">
        <f t="shared" si="1062"/>
        <v>0</v>
      </c>
      <c r="BS150" s="367">
        <f t="shared" si="1063"/>
        <v>0</v>
      </c>
      <c r="BT150" s="355">
        <f t="shared" si="1064"/>
        <v>0</v>
      </c>
      <c r="BU150" s="355" t="b">
        <f t="shared" si="1027"/>
        <v>1</v>
      </c>
      <c r="BW150" s="355" t="str">
        <f t="shared" si="1065"/>
        <v/>
      </c>
      <c r="BX150" s="355">
        <f t="shared" si="1066"/>
        <v>0</v>
      </c>
      <c r="BY150" s="356">
        <f t="shared" si="1097"/>
        <v>0</v>
      </c>
      <c r="BZ150" s="355">
        <f t="shared" si="1067"/>
        <v>0</v>
      </c>
      <c r="CB150" s="102" t="str">
        <f t="shared" si="1068"/>
        <v>?</v>
      </c>
      <c r="CD150" s="355" t="str">
        <f t="shared" si="1069"/>
        <v>Não</v>
      </c>
      <c r="CE150" s="368">
        <f>ifzero(mlookup(tbl_ICMSinterest_data,UFdestino,tbl_ICMSinterest_ufdest,UForigem,tbl_ICMSinterest_uforig))</f>
        <v>0.12</v>
      </c>
      <c r="CF150" s="368">
        <f>IF(N150&gt;0,IF(I150&lt;&gt;"Serviço",ifzero(mlookup(tbl_ICMSinterno_data,UForigem,tbl_ICMSinterno_UF,O150,tbl_ICMSinterno_NCM),mlookup(tbl_ICMSinterest_data,UForigem,tbl_ICMSinterest_ufdest,UForigem,tbl_ICMSinterest_uforig)),""),0)</f>
        <v>0</v>
      </c>
      <c r="CG150" s="368">
        <f>IF(N150&gt;0,IF(I150&lt;&gt;"Serviço",ifzero(mlookup(tbl_ICMSinterno_data,UFdestino,tbl_ICMSinterno_UF,O150,tbl_ICMSinterno_NCM),mlookup(tbl_ICMSinterest_data,UFdestino,tbl_ICMSinterest_ufdest,UFdestino,tbl_ICMSinterest_uforig)),""),0)</f>
        <v>0</v>
      </c>
      <c r="CI150" s="355">
        <f t="shared" si="1070"/>
        <v>0</v>
      </c>
      <c r="CJ150" s="355">
        <f t="shared" si="1071"/>
        <v>0</v>
      </c>
      <c r="CK150" s="355">
        <f t="shared" si="1072"/>
        <v>0</v>
      </c>
      <c r="CL150" s="355">
        <f t="shared" si="1073"/>
        <v>0</v>
      </c>
      <c r="CN150" s="370">
        <f t="shared" si="1074"/>
        <v>1540</v>
      </c>
      <c r="CO150" s="355">
        <f t="shared" si="1075"/>
        <v>0</v>
      </c>
      <c r="CQ150" s="355" t="b">
        <f t="shared" si="1076"/>
        <v>0</v>
      </c>
      <c r="CR150" s="355" t="b">
        <f t="shared" si="1077"/>
        <v>1</v>
      </c>
      <c r="CS150" s="355" t="b">
        <f t="shared" si="1078"/>
        <v>0</v>
      </c>
      <c r="CU150" s="2">
        <f t="shared" si="1079"/>
        <v>0</v>
      </c>
      <c r="CV150" s="102">
        <f t="shared" si="1080"/>
        <v>0</v>
      </c>
      <c r="CW150" s="102">
        <f t="shared" si="1014"/>
        <v>0</v>
      </c>
      <c r="CX150" s="102">
        <f t="shared" si="1081"/>
        <v>0</v>
      </c>
      <c r="CY150" s="290">
        <f t="shared" si="1082"/>
        <v>0</v>
      </c>
      <c r="CZ150" s="102">
        <f t="shared" si="1016"/>
        <v>0</v>
      </c>
      <c r="DA150" s="290">
        <f t="shared" si="1083"/>
        <v>0</v>
      </c>
      <c r="DB150" s="102">
        <f t="shared" si="1017"/>
        <v>0</v>
      </c>
      <c r="DC150" s="290">
        <f t="shared" si="1084"/>
        <v>0</v>
      </c>
      <c r="DD150" s="102">
        <f t="shared" si="1015"/>
        <v>0</v>
      </c>
      <c r="DE150" s="592">
        <f>IF(D150="Sim",HLOOKUP($DH$5,Parametrização!$G$2:$H$4,2,FALSE),0)</f>
        <v>0</v>
      </c>
      <c r="DF150" s="102">
        <f t="shared" si="1018"/>
        <v>0</v>
      </c>
      <c r="DG150" s="592">
        <f>IF(D150="Sim",HLOOKUP($DH$5,Parametrização!$G$2:$H$4,3,FALSE),0)</f>
        <v>0</v>
      </c>
      <c r="DH150" s="102">
        <f t="shared" si="1019"/>
        <v>0</v>
      </c>
      <c r="DI150" s="102">
        <f t="shared" si="1020"/>
        <v>0</v>
      </c>
      <c r="DK150" s="3" t="str">
        <f t="shared" si="1085"/>
        <v>NA</v>
      </c>
      <c r="DL150" s="2" t="str">
        <f t="shared" si="1086"/>
        <v>NA</v>
      </c>
      <c r="DM150" s="3" t="str">
        <f t="shared" si="1087"/>
        <v>NA</v>
      </c>
      <c r="DN150" s="9" t="str">
        <f t="shared" si="1088"/>
        <v>NA</v>
      </c>
      <c r="DO150" s="637" t="str">
        <f t="shared" si="1089"/>
        <v>NA</v>
      </c>
      <c r="DP150" s="637"/>
      <c r="DQ150" s="3" t="str">
        <f t="shared" si="1090"/>
        <v>NA</v>
      </c>
      <c r="DR150" s="2" t="str">
        <f t="shared" si="1091"/>
        <v>NA</v>
      </c>
      <c r="DS150" s="3" t="str">
        <f t="shared" si="1092"/>
        <v>NA</v>
      </c>
      <c r="DT150" s="9" t="str">
        <f t="shared" si="1021"/>
        <v>NA</v>
      </c>
      <c r="DU150" s="637" t="str">
        <f t="shared" si="1022"/>
        <v>NA</v>
      </c>
      <c r="DV150" s="637"/>
      <c r="DW150" s="682"/>
      <c r="DX150" s="682"/>
      <c r="DY150" s="682"/>
      <c r="DZ150" s="637"/>
      <c r="EA150" s="643"/>
    </row>
    <row r="151" spans="1:131" s="355" customFormat="1" ht="20.100000000000001" customHeight="1" outlineLevel="1" x14ac:dyDescent="0.25">
      <c r="A151" s="356"/>
      <c r="B151" s="355" t="s">
        <v>268</v>
      </c>
      <c r="C151" s="355" t="str">
        <f t="shared" si="1093"/>
        <v>Consumo</v>
      </c>
      <c r="D151" s="355" t="s">
        <v>53</v>
      </c>
      <c r="E151" s="18" t="s">
        <v>38</v>
      </c>
      <c r="F151" s="355" t="s">
        <v>53</v>
      </c>
      <c r="G151" s="357" t="str">
        <f t="shared" si="1094"/>
        <v>Geral</v>
      </c>
      <c r="H151" s="255" t="s">
        <v>377</v>
      </c>
      <c r="I151" s="356" t="str">
        <f t="shared" si="1028"/>
        <v>Sistema</v>
      </c>
      <c r="K151" s="318" t="s">
        <v>2904</v>
      </c>
      <c r="L151" s="749" t="str">
        <f>IF(Padrões!JF92&lt;&gt;"",Padrões!JF92,"")</f>
        <v/>
      </c>
      <c r="M151" s="358" t="str">
        <f t="shared" si="1029"/>
        <v>?</v>
      </c>
      <c r="N151" s="359">
        <f>Padrões!JI92</f>
        <v>0</v>
      </c>
      <c r="O151" s="381" t="str">
        <f t="shared" si="1030"/>
        <v>?</v>
      </c>
      <c r="P151" s="360">
        <f t="shared" si="1031"/>
        <v>0.12</v>
      </c>
      <c r="Q151" s="360" t="str">
        <f t="shared" si="1032"/>
        <v>?</v>
      </c>
      <c r="R151" s="360">
        <f t="shared" si="1033"/>
        <v>0</v>
      </c>
      <c r="S151" s="361">
        <f t="shared" si="1034"/>
        <v>0</v>
      </c>
      <c r="T151" s="362">
        <f t="shared" si="1035"/>
        <v>0</v>
      </c>
      <c r="U151" s="53" t="str" cm="1">
        <f t="array" ref="U151">IFERROR(IF(I151&lt;&gt;"Serviço",IF(AND(mlookup(tbl_DIFAL_data,UFdestino,tbl_DIFAL_UF,O151,tbl_DIFAL_NCM)&lt;&gt;"",C151="Consumo"),"Sim",""),""),"?")</f>
        <v>?</v>
      </c>
      <c r="V151" s="363" t="str">
        <f>IFERROR(IF(I151&lt;&gt;"Serviço",IF(AND(D151="Não",mlookup(tbl_ST_data,UFdestino,tbl_ST_UF,O151,tbl_ST_NCM)&lt;&gt;"",C151="Revenda",CD151="Não"),"Sim",""),""),"?")</f>
        <v>?</v>
      </c>
      <c r="W151" s="364">
        <f t="shared" si="1036"/>
        <v>0</v>
      </c>
      <c r="X151" s="365">
        <f>IF(V151="Sim",mlookup(tbl_ST_data,UFdestino,tbl_ST_UF,O151,tbl_ST_NCM),0)</f>
        <v>0</v>
      </c>
      <c r="Z151" s="355">
        <f t="shared" si="1037"/>
        <v>0</v>
      </c>
      <c r="AA151" s="355">
        <f t="shared" si="1023"/>
        <v>0</v>
      </c>
      <c r="AC151" s="366">
        <f t="shared" si="1095"/>
        <v>1.31243473968765E-2</v>
      </c>
      <c r="AD151" s="366">
        <f t="shared" si="1038"/>
        <v>0.15</v>
      </c>
      <c r="AF151" s="355">
        <f t="shared" si="1039"/>
        <v>0</v>
      </c>
      <c r="AG151" s="355">
        <f t="shared" si="1040"/>
        <v>0</v>
      </c>
      <c r="AI151" s="355">
        <f t="shared" si="1041"/>
        <v>0</v>
      </c>
      <c r="AK151" s="366">
        <f t="shared" si="1096"/>
        <v>0</v>
      </c>
      <c r="AL151" s="355">
        <f t="shared" si="1024"/>
        <v>0</v>
      </c>
      <c r="AM151" s="355">
        <f t="shared" si="1025"/>
        <v>0</v>
      </c>
      <c r="AO151" s="355" t="b">
        <f t="shared" si="1042"/>
        <v>1</v>
      </c>
      <c r="AQ151" s="367">
        <f t="shared" si="1043"/>
        <v>0</v>
      </c>
      <c r="AR151" s="367">
        <f t="shared" si="1026"/>
        <v>0</v>
      </c>
      <c r="AT151" s="367">
        <f t="shared" si="1044"/>
        <v>0</v>
      </c>
      <c r="AU151" s="367">
        <f t="shared" si="1045"/>
        <v>0</v>
      </c>
      <c r="AW151" s="367">
        <f t="shared" si="1046"/>
        <v>0</v>
      </c>
      <c r="AX151" s="367">
        <f t="shared" si="1047"/>
        <v>0</v>
      </c>
      <c r="AY151" s="367">
        <f t="shared" si="1048"/>
        <v>0</v>
      </c>
      <c r="AZ151" s="367">
        <f t="shared" si="1049"/>
        <v>0</v>
      </c>
      <c r="BB151" s="355">
        <f t="shared" si="1050"/>
        <v>0</v>
      </c>
      <c r="BC151" s="355">
        <f t="shared" si="1051"/>
        <v>0</v>
      </c>
      <c r="BD151" s="355">
        <f t="shared" si="1052"/>
        <v>0</v>
      </c>
      <c r="BE151" s="355">
        <f t="shared" si="1053"/>
        <v>0</v>
      </c>
      <c r="BF151" s="355">
        <f t="shared" si="1054"/>
        <v>0</v>
      </c>
      <c r="BH151" s="368">
        <f t="shared" si="1055"/>
        <v>0</v>
      </c>
      <c r="BJ151" s="369">
        <f t="shared" si="1056"/>
        <v>-0.12</v>
      </c>
      <c r="BK151" s="355">
        <f t="shared" si="1057"/>
        <v>0</v>
      </c>
      <c r="BL151" s="355">
        <f t="shared" si="1058"/>
        <v>0</v>
      </c>
      <c r="BN151" s="366">
        <f t="shared" si="1059"/>
        <v>0</v>
      </c>
      <c r="BO151" s="355">
        <f t="shared" si="1060"/>
        <v>0</v>
      </c>
      <c r="BP151" s="355">
        <f t="shared" si="1061"/>
        <v>0</v>
      </c>
      <c r="BQ151" s="355">
        <f t="shared" si="1062"/>
        <v>0</v>
      </c>
      <c r="BS151" s="367">
        <f t="shared" si="1063"/>
        <v>0</v>
      </c>
      <c r="BT151" s="355">
        <f t="shared" si="1064"/>
        <v>0</v>
      </c>
      <c r="BU151" s="355" t="b">
        <f t="shared" si="1027"/>
        <v>1</v>
      </c>
      <c r="BW151" s="355" t="str">
        <f t="shared" si="1065"/>
        <v/>
      </c>
      <c r="BX151" s="355">
        <f t="shared" si="1066"/>
        <v>0</v>
      </c>
      <c r="BY151" s="356">
        <f t="shared" si="1097"/>
        <v>0</v>
      </c>
      <c r="BZ151" s="355">
        <f t="shared" si="1067"/>
        <v>0</v>
      </c>
      <c r="CB151" s="102" t="str">
        <f t="shared" si="1068"/>
        <v>?</v>
      </c>
      <c r="CD151" s="355" t="str">
        <f t="shared" si="1069"/>
        <v>Não</v>
      </c>
      <c r="CE151" s="368">
        <f>ifzero(mlookup(tbl_ICMSinterest_data,UFdestino,tbl_ICMSinterest_ufdest,UForigem,tbl_ICMSinterest_uforig))</f>
        <v>0.12</v>
      </c>
      <c r="CF151" s="368">
        <f>IF(N151&gt;0,IF(I151&lt;&gt;"Serviço",ifzero(mlookup(tbl_ICMSinterno_data,UForigem,tbl_ICMSinterno_UF,O151,tbl_ICMSinterno_NCM),mlookup(tbl_ICMSinterest_data,UForigem,tbl_ICMSinterest_ufdest,UForigem,tbl_ICMSinterest_uforig)),""),0)</f>
        <v>0</v>
      </c>
      <c r="CG151" s="368">
        <f>IF(N151&gt;0,IF(I151&lt;&gt;"Serviço",ifzero(mlookup(tbl_ICMSinterno_data,UFdestino,tbl_ICMSinterno_UF,O151,tbl_ICMSinterno_NCM),mlookup(tbl_ICMSinterest_data,UFdestino,tbl_ICMSinterest_ufdest,UFdestino,tbl_ICMSinterest_uforig)),""),0)</f>
        <v>0</v>
      </c>
      <c r="CI151" s="355">
        <f t="shared" si="1070"/>
        <v>0</v>
      </c>
      <c r="CJ151" s="355">
        <f t="shared" si="1071"/>
        <v>0</v>
      </c>
      <c r="CK151" s="355">
        <f t="shared" si="1072"/>
        <v>0</v>
      </c>
      <c r="CL151" s="355">
        <f t="shared" si="1073"/>
        <v>0</v>
      </c>
      <c r="CN151" s="370">
        <f t="shared" si="1074"/>
        <v>1540</v>
      </c>
      <c r="CO151" s="355">
        <f t="shared" si="1075"/>
        <v>0</v>
      </c>
      <c r="CQ151" s="355" t="b">
        <f t="shared" si="1076"/>
        <v>0</v>
      </c>
      <c r="CR151" s="355" t="b">
        <f t="shared" si="1077"/>
        <v>1</v>
      </c>
      <c r="CS151" s="355" t="b">
        <f t="shared" si="1078"/>
        <v>0</v>
      </c>
      <c r="CU151" s="2">
        <f t="shared" si="1079"/>
        <v>0</v>
      </c>
      <c r="CV151" s="102">
        <f t="shared" si="1080"/>
        <v>0</v>
      </c>
      <c r="CW151" s="102">
        <f t="shared" si="1014"/>
        <v>0</v>
      </c>
      <c r="CX151" s="102">
        <f t="shared" si="1081"/>
        <v>0</v>
      </c>
      <c r="CY151" s="290">
        <f t="shared" si="1082"/>
        <v>0</v>
      </c>
      <c r="CZ151" s="102">
        <f t="shared" si="1016"/>
        <v>0</v>
      </c>
      <c r="DA151" s="290">
        <f t="shared" si="1083"/>
        <v>0</v>
      </c>
      <c r="DB151" s="102">
        <f t="shared" si="1017"/>
        <v>0</v>
      </c>
      <c r="DC151" s="290">
        <f t="shared" si="1084"/>
        <v>0</v>
      </c>
      <c r="DD151" s="102">
        <f t="shared" si="1015"/>
        <v>0</v>
      </c>
      <c r="DE151" s="592">
        <f>IF(D151="Sim",HLOOKUP($DH$5,Parametrização!$G$2:$H$4,2,FALSE),0)</f>
        <v>0</v>
      </c>
      <c r="DF151" s="102">
        <f t="shared" si="1018"/>
        <v>0</v>
      </c>
      <c r="DG151" s="592">
        <f>IF(D151="Sim",HLOOKUP($DH$5,Parametrização!$G$2:$H$4,3,FALSE),0)</f>
        <v>0</v>
      </c>
      <c r="DH151" s="102">
        <f t="shared" si="1019"/>
        <v>0</v>
      </c>
      <c r="DI151" s="102">
        <f t="shared" si="1020"/>
        <v>0</v>
      </c>
      <c r="DK151" s="3" t="str">
        <f t="shared" si="1085"/>
        <v>NA</v>
      </c>
      <c r="DL151" s="2" t="str">
        <f t="shared" si="1086"/>
        <v>NA</v>
      </c>
      <c r="DM151" s="3" t="str">
        <f t="shared" si="1087"/>
        <v>NA</v>
      </c>
      <c r="DN151" s="9" t="str">
        <f t="shared" si="1088"/>
        <v>NA</v>
      </c>
      <c r="DO151" s="637" t="str">
        <f t="shared" si="1089"/>
        <v>NA</v>
      </c>
      <c r="DP151" s="637"/>
      <c r="DQ151" s="3" t="str">
        <f t="shared" si="1090"/>
        <v>NA</v>
      </c>
      <c r="DR151" s="2" t="str">
        <f t="shared" si="1091"/>
        <v>NA</v>
      </c>
      <c r="DS151" s="3" t="str">
        <f t="shared" si="1092"/>
        <v>NA</v>
      </c>
      <c r="DT151" s="9" t="str">
        <f t="shared" si="1021"/>
        <v>NA</v>
      </c>
      <c r="DU151" s="637" t="str">
        <f t="shared" si="1022"/>
        <v>NA</v>
      </c>
      <c r="DV151" s="637"/>
      <c r="DW151" s="682"/>
      <c r="DX151" s="682"/>
      <c r="DY151" s="682"/>
      <c r="DZ151" s="637"/>
      <c r="EA151" s="643"/>
    </row>
    <row r="152" spans="1:131" s="355" customFormat="1" ht="20.100000000000001" customHeight="1" outlineLevel="1" x14ac:dyDescent="0.25">
      <c r="A152" s="356"/>
      <c r="B152" s="355" t="s">
        <v>268</v>
      </c>
      <c r="C152" s="355" t="str">
        <f t="shared" si="1093"/>
        <v>Consumo</v>
      </c>
      <c r="D152" s="355" t="s">
        <v>53</v>
      </c>
      <c r="E152" s="18" t="s">
        <v>38</v>
      </c>
      <c r="F152" s="355" t="s">
        <v>53</v>
      </c>
      <c r="G152" s="357" t="str">
        <f t="shared" si="1094"/>
        <v>Geral</v>
      </c>
      <c r="H152" s="255" t="s">
        <v>377</v>
      </c>
      <c r="I152" s="356" t="str">
        <f t="shared" si="1028"/>
        <v>Sistema</v>
      </c>
      <c r="K152" s="318" t="s">
        <v>2905</v>
      </c>
      <c r="L152" s="749" t="str">
        <f>IF(Padrões!JF93&lt;&gt;"",Padrões!JF93,"")</f>
        <v/>
      </c>
      <c r="M152" s="358" t="str">
        <f t="shared" si="1029"/>
        <v>?</v>
      </c>
      <c r="N152" s="359">
        <f>Padrões!JI93</f>
        <v>0</v>
      </c>
      <c r="O152" s="381" t="str">
        <f t="shared" si="1030"/>
        <v>?</v>
      </c>
      <c r="P152" s="360">
        <f t="shared" si="1031"/>
        <v>0.12</v>
      </c>
      <c r="Q152" s="360" t="str">
        <f t="shared" si="1032"/>
        <v>?</v>
      </c>
      <c r="R152" s="360">
        <f t="shared" si="1033"/>
        <v>0</v>
      </c>
      <c r="S152" s="361">
        <f t="shared" si="1034"/>
        <v>0</v>
      </c>
      <c r="T152" s="362">
        <f t="shared" si="1035"/>
        <v>0</v>
      </c>
      <c r="U152" s="53" t="str" cm="1">
        <f t="array" ref="U152">IFERROR(IF(I152&lt;&gt;"Serviço",IF(AND(mlookup(tbl_DIFAL_data,UFdestino,tbl_DIFAL_UF,O152,tbl_DIFAL_NCM)&lt;&gt;"",C152="Consumo"),"Sim",""),""),"?")</f>
        <v>?</v>
      </c>
      <c r="V152" s="363" t="str">
        <f>IFERROR(IF(I152&lt;&gt;"Serviço",IF(AND(D152="Não",mlookup(tbl_ST_data,UFdestino,tbl_ST_UF,O152,tbl_ST_NCM)&lt;&gt;"",C152="Revenda",CD152="Não"),"Sim",""),""),"?")</f>
        <v>?</v>
      </c>
      <c r="W152" s="364">
        <f t="shared" si="1036"/>
        <v>0</v>
      </c>
      <c r="X152" s="365">
        <f>IF(V152="Sim",mlookup(tbl_ST_data,UFdestino,tbl_ST_UF,O152,tbl_ST_NCM),0)</f>
        <v>0</v>
      </c>
      <c r="Z152" s="355">
        <f t="shared" si="1037"/>
        <v>0</v>
      </c>
      <c r="AA152" s="355">
        <f t="shared" si="1023"/>
        <v>0</v>
      </c>
      <c r="AC152" s="366">
        <f t="shared" si="1095"/>
        <v>1.31243473968765E-2</v>
      </c>
      <c r="AD152" s="366">
        <f t="shared" si="1038"/>
        <v>0.15</v>
      </c>
      <c r="AF152" s="355">
        <f t="shared" si="1039"/>
        <v>0</v>
      </c>
      <c r="AG152" s="355">
        <f t="shared" si="1040"/>
        <v>0</v>
      </c>
      <c r="AI152" s="355">
        <f t="shared" si="1041"/>
        <v>0</v>
      </c>
      <c r="AK152" s="366">
        <f t="shared" si="1096"/>
        <v>0</v>
      </c>
      <c r="AL152" s="355">
        <f t="shared" si="1024"/>
        <v>0</v>
      </c>
      <c r="AM152" s="355">
        <f t="shared" si="1025"/>
        <v>0</v>
      </c>
      <c r="AO152" s="355" t="b">
        <f t="shared" si="1042"/>
        <v>1</v>
      </c>
      <c r="AQ152" s="367">
        <f t="shared" si="1043"/>
        <v>0</v>
      </c>
      <c r="AR152" s="367">
        <f t="shared" si="1026"/>
        <v>0</v>
      </c>
      <c r="AT152" s="367">
        <f t="shared" si="1044"/>
        <v>0</v>
      </c>
      <c r="AU152" s="367">
        <f t="shared" si="1045"/>
        <v>0</v>
      </c>
      <c r="AW152" s="367">
        <f t="shared" si="1046"/>
        <v>0</v>
      </c>
      <c r="AX152" s="367">
        <f t="shared" si="1047"/>
        <v>0</v>
      </c>
      <c r="AY152" s="367">
        <f t="shared" si="1048"/>
        <v>0</v>
      </c>
      <c r="AZ152" s="367">
        <f t="shared" si="1049"/>
        <v>0</v>
      </c>
      <c r="BB152" s="355">
        <f t="shared" si="1050"/>
        <v>0</v>
      </c>
      <c r="BC152" s="355">
        <f t="shared" si="1051"/>
        <v>0</v>
      </c>
      <c r="BD152" s="355">
        <f t="shared" si="1052"/>
        <v>0</v>
      </c>
      <c r="BE152" s="355">
        <f t="shared" si="1053"/>
        <v>0</v>
      </c>
      <c r="BF152" s="355">
        <f t="shared" si="1054"/>
        <v>0</v>
      </c>
      <c r="BH152" s="368">
        <f t="shared" si="1055"/>
        <v>0</v>
      </c>
      <c r="BJ152" s="369">
        <f t="shared" si="1056"/>
        <v>-0.12</v>
      </c>
      <c r="BK152" s="355">
        <f t="shared" si="1057"/>
        <v>0</v>
      </c>
      <c r="BL152" s="355">
        <f t="shared" si="1058"/>
        <v>0</v>
      </c>
      <c r="BN152" s="366">
        <f t="shared" si="1059"/>
        <v>0</v>
      </c>
      <c r="BO152" s="355">
        <f t="shared" si="1060"/>
        <v>0</v>
      </c>
      <c r="BP152" s="355">
        <f t="shared" si="1061"/>
        <v>0</v>
      </c>
      <c r="BQ152" s="355">
        <f t="shared" si="1062"/>
        <v>0</v>
      </c>
      <c r="BS152" s="367">
        <f t="shared" si="1063"/>
        <v>0</v>
      </c>
      <c r="BT152" s="355">
        <f t="shared" si="1064"/>
        <v>0</v>
      </c>
      <c r="BU152" s="355" t="b">
        <f t="shared" si="1027"/>
        <v>1</v>
      </c>
      <c r="BW152" s="355" t="str">
        <f t="shared" si="1065"/>
        <v/>
      </c>
      <c r="BX152" s="355">
        <f t="shared" si="1066"/>
        <v>0</v>
      </c>
      <c r="BY152" s="356">
        <f t="shared" si="1097"/>
        <v>0</v>
      </c>
      <c r="BZ152" s="355">
        <f t="shared" si="1067"/>
        <v>0</v>
      </c>
      <c r="CB152" s="102" t="str">
        <f t="shared" si="1068"/>
        <v>?</v>
      </c>
      <c r="CD152" s="355" t="str">
        <f t="shared" si="1069"/>
        <v>Não</v>
      </c>
      <c r="CE152" s="368">
        <f>ifzero(mlookup(tbl_ICMSinterest_data,UFdestino,tbl_ICMSinterest_ufdest,UForigem,tbl_ICMSinterest_uforig))</f>
        <v>0.12</v>
      </c>
      <c r="CF152" s="368">
        <f>IF(N152&gt;0,IF(I152&lt;&gt;"Serviço",ifzero(mlookup(tbl_ICMSinterno_data,UForigem,tbl_ICMSinterno_UF,O152,tbl_ICMSinterno_NCM),mlookup(tbl_ICMSinterest_data,UForigem,tbl_ICMSinterest_ufdest,UForigem,tbl_ICMSinterest_uforig)),""),0)</f>
        <v>0</v>
      </c>
      <c r="CG152" s="368">
        <f>IF(N152&gt;0,IF(I152&lt;&gt;"Serviço",ifzero(mlookup(tbl_ICMSinterno_data,UFdestino,tbl_ICMSinterno_UF,O152,tbl_ICMSinterno_NCM),mlookup(tbl_ICMSinterest_data,UFdestino,tbl_ICMSinterest_ufdest,UFdestino,tbl_ICMSinterest_uforig)),""),0)</f>
        <v>0</v>
      </c>
      <c r="CI152" s="355">
        <f t="shared" si="1070"/>
        <v>0</v>
      </c>
      <c r="CJ152" s="355">
        <f t="shared" si="1071"/>
        <v>0</v>
      </c>
      <c r="CK152" s="355">
        <f t="shared" si="1072"/>
        <v>0</v>
      </c>
      <c r="CL152" s="355">
        <f t="shared" si="1073"/>
        <v>0</v>
      </c>
      <c r="CN152" s="370">
        <f t="shared" si="1074"/>
        <v>1540</v>
      </c>
      <c r="CO152" s="355">
        <f t="shared" si="1075"/>
        <v>0</v>
      </c>
      <c r="CQ152" s="355" t="b">
        <f t="shared" si="1076"/>
        <v>0</v>
      </c>
      <c r="CR152" s="355" t="b">
        <f t="shared" si="1077"/>
        <v>1</v>
      </c>
      <c r="CS152" s="355" t="b">
        <f t="shared" si="1078"/>
        <v>0</v>
      </c>
      <c r="CU152" s="2">
        <f t="shared" si="1079"/>
        <v>0</v>
      </c>
      <c r="CV152" s="102">
        <f t="shared" si="1080"/>
        <v>0</v>
      </c>
      <c r="CW152" s="102">
        <f t="shared" si="1014"/>
        <v>0</v>
      </c>
      <c r="CX152" s="102">
        <f t="shared" si="1081"/>
        <v>0</v>
      </c>
      <c r="CY152" s="290">
        <f t="shared" si="1082"/>
        <v>0</v>
      </c>
      <c r="CZ152" s="102">
        <f t="shared" si="1016"/>
        <v>0</v>
      </c>
      <c r="DA152" s="290">
        <f t="shared" si="1083"/>
        <v>0</v>
      </c>
      <c r="DB152" s="102">
        <f t="shared" si="1017"/>
        <v>0</v>
      </c>
      <c r="DC152" s="290">
        <f t="shared" si="1084"/>
        <v>0</v>
      </c>
      <c r="DD152" s="102">
        <f t="shared" si="1015"/>
        <v>0</v>
      </c>
      <c r="DE152" s="592">
        <f>IF(D152="Sim",HLOOKUP($DH$5,Parametrização!$G$2:$H$4,2,FALSE),0)</f>
        <v>0</v>
      </c>
      <c r="DF152" s="102">
        <f t="shared" si="1018"/>
        <v>0</v>
      </c>
      <c r="DG152" s="592">
        <f>IF(D152="Sim",HLOOKUP($DH$5,Parametrização!$G$2:$H$4,3,FALSE),0)</f>
        <v>0</v>
      </c>
      <c r="DH152" s="102">
        <f t="shared" si="1019"/>
        <v>0</v>
      </c>
      <c r="DI152" s="102">
        <f t="shared" si="1020"/>
        <v>0</v>
      </c>
      <c r="DK152" s="3" t="str">
        <f t="shared" si="1085"/>
        <v>NA</v>
      </c>
      <c r="DL152" s="2" t="str">
        <f t="shared" si="1086"/>
        <v>NA</v>
      </c>
      <c r="DM152" s="3" t="str">
        <f t="shared" si="1087"/>
        <v>NA</v>
      </c>
      <c r="DN152" s="9" t="str">
        <f t="shared" si="1088"/>
        <v>NA</v>
      </c>
      <c r="DO152" s="637" t="str">
        <f t="shared" si="1089"/>
        <v>NA</v>
      </c>
      <c r="DP152" s="637"/>
      <c r="DQ152" s="3" t="str">
        <f t="shared" si="1090"/>
        <v>NA</v>
      </c>
      <c r="DR152" s="2" t="str">
        <f t="shared" si="1091"/>
        <v>NA</v>
      </c>
      <c r="DS152" s="3" t="str">
        <f t="shared" si="1092"/>
        <v>NA</v>
      </c>
      <c r="DT152" s="9" t="str">
        <f t="shared" si="1021"/>
        <v>NA</v>
      </c>
      <c r="DU152" s="637" t="str">
        <f t="shared" si="1022"/>
        <v>NA</v>
      </c>
      <c r="DV152" s="637"/>
      <c r="DW152" s="682"/>
      <c r="DX152" s="682"/>
      <c r="DY152" s="682"/>
      <c r="DZ152" s="637"/>
      <c r="EA152" s="643"/>
    </row>
    <row r="153" spans="1:131" s="355" customFormat="1" ht="20.100000000000001" customHeight="1" outlineLevel="1" x14ac:dyDescent="0.25">
      <c r="A153" s="356"/>
      <c r="B153" s="355" t="s">
        <v>268</v>
      </c>
      <c r="C153" s="355" t="str">
        <f t="shared" si="1093"/>
        <v>Consumo</v>
      </c>
      <c r="D153" s="355" t="s">
        <v>53</v>
      </c>
      <c r="E153" s="18" t="s">
        <v>38</v>
      </c>
      <c r="F153" s="355" t="s">
        <v>53</v>
      </c>
      <c r="G153" s="357" t="str">
        <f t="shared" si="1094"/>
        <v>Geral</v>
      </c>
      <c r="H153" s="255" t="s">
        <v>377</v>
      </c>
      <c r="I153" s="356" t="str">
        <f t="shared" si="1028"/>
        <v>Sistema</v>
      </c>
      <c r="K153" s="318" t="s">
        <v>2906</v>
      </c>
      <c r="L153" s="749" t="str">
        <f>IF(Padrões!JF94&lt;&gt;"",Padrões!JF94,"")</f>
        <v/>
      </c>
      <c r="M153" s="358" t="str">
        <f t="shared" si="1029"/>
        <v>?</v>
      </c>
      <c r="N153" s="359">
        <f>Padrões!JI94</f>
        <v>0</v>
      </c>
      <c r="O153" s="381" t="str">
        <f t="shared" si="1030"/>
        <v>?</v>
      </c>
      <c r="P153" s="360">
        <f t="shared" si="1031"/>
        <v>0.12</v>
      </c>
      <c r="Q153" s="360" t="str">
        <f t="shared" si="1032"/>
        <v>?</v>
      </c>
      <c r="R153" s="360">
        <f t="shared" si="1033"/>
        <v>0</v>
      </c>
      <c r="S153" s="361">
        <f t="shared" si="1034"/>
        <v>0</v>
      </c>
      <c r="T153" s="362">
        <f t="shared" si="1035"/>
        <v>0</v>
      </c>
      <c r="U153" s="53" t="str" cm="1">
        <f t="array" ref="U153">IFERROR(IF(I153&lt;&gt;"Serviço",IF(AND(mlookup(tbl_DIFAL_data,UFdestino,tbl_DIFAL_UF,O153,tbl_DIFAL_NCM)&lt;&gt;"",C153="Consumo"),"Sim",""),""),"?")</f>
        <v>?</v>
      </c>
      <c r="V153" s="363" t="str">
        <f>IFERROR(IF(I153&lt;&gt;"Serviço",IF(AND(D153="Não",mlookup(tbl_ST_data,UFdestino,tbl_ST_UF,O153,tbl_ST_NCM)&lt;&gt;"",C153="Revenda",CD153="Não"),"Sim",""),""),"?")</f>
        <v>?</v>
      </c>
      <c r="W153" s="364">
        <f t="shared" si="1036"/>
        <v>0</v>
      </c>
      <c r="X153" s="365">
        <f>IF(V153="Sim",mlookup(tbl_ST_data,UFdestino,tbl_ST_UF,O153,tbl_ST_NCM),0)</f>
        <v>0</v>
      </c>
      <c r="Z153" s="355">
        <f t="shared" si="1037"/>
        <v>0</v>
      </c>
      <c r="AA153" s="355">
        <f t="shared" si="1023"/>
        <v>0</v>
      </c>
      <c r="AC153" s="366">
        <f t="shared" si="1095"/>
        <v>1.31243473968765E-2</v>
      </c>
      <c r="AD153" s="366">
        <f t="shared" si="1038"/>
        <v>0.15</v>
      </c>
      <c r="AF153" s="355">
        <f t="shared" si="1039"/>
        <v>0</v>
      </c>
      <c r="AG153" s="355">
        <f t="shared" si="1040"/>
        <v>0</v>
      </c>
      <c r="AI153" s="355">
        <f t="shared" si="1041"/>
        <v>0</v>
      </c>
      <c r="AK153" s="366">
        <f t="shared" si="1096"/>
        <v>0</v>
      </c>
      <c r="AL153" s="355">
        <f t="shared" si="1024"/>
        <v>0</v>
      </c>
      <c r="AM153" s="355">
        <f t="shared" si="1025"/>
        <v>0</v>
      </c>
      <c r="AO153" s="355" t="b">
        <f t="shared" si="1042"/>
        <v>1</v>
      </c>
      <c r="AQ153" s="367">
        <f t="shared" si="1043"/>
        <v>0</v>
      </c>
      <c r="AR153" s="367">
        <f t="shared" si="1026"/>
        <v>0</v>
      </c>
      <c r="AT153" s="367">
        <f t="shared" si="1044"/>
        <v>0</v>
      </c>
      <c r="AU153" s="367">
        <f t="shared" si="1045"/>
        <v>0</v>
      </c>
      <c r="AW153" s="367">
        <f t="shared" si="1046"/>
        <v>0</v>
      </c>
      <c r="AX153" s="367">
        <f t="shared" si="1047"/>
        <v>0</v>
      </c>
      <c r="AY153" s="367">
        <f t="shared" si="1048"/>
        <v>0</v>
      </c>
      <c r="AZ153" s="367">
        <f t="shared" si="1049"/>
        <v>0</v>
      </c>
      <c r="BB153" s="355">
        <f t="shared" si="1050"/>
        <v>0</v>
      </c>
      <c r="BC153" s="355">
        <f t="shared" si="1051"/>
        <v>0</v>
      </c>
      <c r="BD153" s="355">
        <f t="shared" si="1052"/>
        <v>0</v>
      </c>
      <c r="BE153" s="355">
        <f t="shared" si="1053"/>
        <v>0</v>
      </c>
      <c r="BF153" s="355">
        <f t="shared" si="1054"/>
        <v>0</v>
      </c>
      <c r="BH153" s="368">
        <f t="shared" si="1055"/>
        <v>0</v>
      </c>
      <c r="BJ153" s="369">
        <f t="shared" si="1056"/>
        <v>-0.12</v>
      </c>
      <c r="BK153" s="355">
        <f t="shared" si="1057"/>
        <v>0</v>
      </c>
      <c r="BL153" s="355">
        <f t="shared" si="1058"/>
        <v>0</v>
      </c>
      <c r="BN153" s="366">
        <f t="shared" si="1059"/>
        <v>0</v>
      </c>
      <c r="BO153" s="355">
        <f t="shared" si="1060"/>
        <v>0</v>
      </c>
      <c r="BP153" s="355">
        <f t="shared" si="1061"/>
        <v>0</v>
      </c>
      <c r="BQ153" s="355">
        <f t="shared" si="1062"/>
        <v>0</v>
      </c>
      <c r="BS153" s="367">
        <f t="shared" si="1063"/>
        <v>0</v>
      </c>
      <c r="BT153" s="355">
        <f t="shared" si="1064"/>
        <v>0</v>
      </c>
      <c r="BU153" s="355" t="b">
        <f t="shared" si="1027"/>
        <v>1</v>
      </c>
      <c r="BW153" s="355" t="str">
        <f t="shared" si="1065"/>
        <v/>
      </c>
      <c r="BX153" s="355">
        <f t="shared" si="1066"/>
        <v>0</v>
      </c>
      <c r="BY153" s="356">
        <f t="shared" si="1097"/>
        <v>0</v>
      </c>
      <c r="BZ153" s="355">
        <f t="shared" si="1067"/>
        <v>0</v>
      </c>
      <c r="CB153" s="102" t="str">
        <f t="shared" si="1068"/>
        <v>?</v>
      </c>
      <c r="CD153" s="355" t="str">
        <f t="shared" si="1069"/>
        <v>Não</v>
      </c>
      <c r="CE153" s="368">
        <f>ifzero(mlookup(tbl_ICMSinterest_data,UFdestino,tbl_ICMSinterest_ufdest,UForigem,tbl_ICMSinterest_uforig))</f>
        <v>0.12</v>
      </c>
      <c r="CF153" s="368">
        <f>IF(N153&gt;0,IF(I153&lt;&gt;"Serviço",ifzero(mlookup(tbl_ICMSinterno_data,UForigem,tbl_ICMSinterno_UF,O153,tbl_ICMSinterno_NCM),mlookup(tbl_ICMSinterest_data,UForigem,tbl_ICMSinterest_ufdest,UForigem,tbl_ICMSinterest_uforig)),""),0)</f>
        <v>0</v>
      </c>
      <c r="CG153" s="368">
        <f>IF(N153&gt;0,IF(I153&lt;&gt;"Serviço",ifzero(mlookup(tbl_ICMSinterno_data,UFdestino,tbl_ICMSinterno_UF,O153,tbl_ICMSinterno_NCM),mlookup(tbl_ICMSinterest_data,UFdestino,tbl_ICMSinterest_ufdest,UFdestino,tbl_ICMSinterest_uforig)),""),0)</f>
        <v>0</v>
      </c>
      <c r="CI153" s="355">
        <f t="shared" si="1070"/>
        <v>0</v>
      </c>
      <c r="CJ153" s="355">
        <f t="shared" si="1071"/>
        <v>0</v>
      </c>
      <c r="CK153" s="355">
        <f t="shared" si="1072"/>
        <v>0</v>
      </c>
      <c r="CL153" s="355">
        <f t="shared" si="1073"/>
        <v>0</v>
      </c>
      <c r="CN153" s="370">
        <f t="shared" si="1074"/>
        <v>1540</v>
      </c>
      <c r="CO153" s="355">
        <f t="shared" si="1075"/>
        <v>0</v>
      </c>
      <c r="CQ153" s="355" t="b">
        <f t="shared" si="1076"/>
        <v>0</v>
      </c>
      <c r="CR153" s="355" t="b">
        <f t="shared" si="1077"/>
        <v>1</v>
      </c>
      <c r="CS153" s="355" t="b">
        <f t="shared" si="1078"/>
        <v>0</v>
      </c>
      <c r="CU153" s="2">
        <f t="shared" si="1079"/>
        <v>0</v>
      </c>
      <c r="CV153" s="102">
        <f t="shared" si="1080"/>
        <v>0</v>
      </c>
      <c r="CW153" s="102">
        <f t="shared" si="1014"/>
        <v>0</v>
      </c>
      <c r="CX153" s="102">
        <f t="shared" si="1081"/>
        <v>0</v>
      </c>
      <c r="CY153" s="290">
        <f t="shared" si="1082"/>
        <v>0</v>
      </c>
      <c r="CZ153" s="102">
        <f t="shared" si="1016"/>
        <v>0</v>
      </c>
      <c r="DA153" s="290">
        <f t="shared" si="1083"/>
        <v>0</v>
      </c>
      <c r="DB153" s="102">
        <f t="shared" si="1017"/>
        <v>0</v>
      </c>
      <c r="DC153" s="290">
        <f t="shared" si="1084"/>
        <v>0</v>
      </c>
      <c r="DD153" s="102">
        <f t="shared" si="1015"/>
        <v>0</v>
      </c>
      <c r="DE153" s="592">
        <f>IF(D153="Sim",HLOOKUP($DH$5,Parametrização!$G$2:$H$4,2,FALSE),0)</f>
        <v>0</v>
      </c>
      <c r="DF153" s="102">
        <f t="shared" si="1018"/>
        <v>0</v>
      </c>
      <c r="DG153" s="592">
        <f>IF(D153="Sim",HLOOKUP($DH$5,Parametrização!$G$2:$H$4,3,FALSE),0)</f>
        <v>0</v>
      </c>
      <c r="DH153" s="102">
        <f t="shared" si="1019"/>
        <v>0</v>
      </c>
      <c r="DI153" s="102">
        <f t="shared" si="1020"/>
        <v>0</v>
      </c>
      <c r="DK153" s="3" t="str">
        <f t="shared" si="1085"/>
        <v>NA</v>
      </c>
      <c r="DL153" s="2" t="str">
        <f t="shared" si="1086"/>
        <v>NA</v>
      </c>
      <c r="DM153" s="3" t="str">
        <f t="shared" si="1087"/>
        <v>NA</v>
      </c>
      <c r="DN153" s="9" t="str">
        <f t="shared" si="1088"/>
        <v>NA</v>
      </c>
      <c r="DO153" s="637" t="str">
        <f t="shared" si="1089"/>
        <v>NA</v>
      </c>
      <c r="DP153" s="637"/>
      <c r="DQ153" s="3" t="str">
        <f t="shared" si="1090"/>
        <v>NA</v>
      </c>
      <c r="DR153" s="2" t="str">
        <f t="shared" si="1091"/>
        <v>NA</v>
      </c>
      <c r="DS153" s="3" t="str">
        <f t="shared" si="1092"/>
        <v>NA</v>
      </c>
      <c r="DT153" s="9" t="str">
        <f t="shared" si="1021"/>
        <v>NA</v>
      </c>
      <c r="DU153" s="637" t="str">
        <f t="shared" si="1022"/>
        <v>NA</v>
      </c>
      <c r="DV153" s="637"/>
      <c r="DW153" s="682"/>
      <c r="DX153" s="682"/>
      <c r="DY153" s="682"/>
      <c r="DZ153" s="637"/>
      <c r="EA153" s="643"/>
    </row>
    <row r="154" spans="1:131" s="355" customFormat="1" ht="20.100000000000001" customHeight="1" outlineLevel="1" x14ac:dyDescent="0.25">
      <c r="A154" s="356"/>
      <c r="B154" s="355" t="s">
        <v>268</v>
      </c>
      <c r="C154" s="355" t="str">
        <f t="shared" si="1093"/>
        <v>Consumo</v>
      </c>
      <c r="D154" s="355" t="s">
        <v>53</v>
      </c>
      <c r="E154" s="18" t="s">
        <v>38</v>
      </c>
      <c r="F154" s="355" t="s">
        <v>53</v>
      </c>
      <c r="G154" s="357" t="str">
        <f t="shared" si="1094"/>
        <v>Geral</v>
      </c>
      <c r="H154" s="255" t="s">
        <v>377</v>
      </c>
      <c r="I154" s="356" t="str">
        <f t="shared" si="1028"/>
        <v>Sistema</v>
      </c>
      <c r="K154" s="318" t="s">
        <v>2907</v>
      </c>
      <c r="L154" s="749" t="str">
        <f>IF(Padrões!JF95&lt;&gt;"",Padrões!JF95,"")</f>
        <v/>
      </c>
      <c r="M154" s="358" t="str">
        <f t="shared" si="1029"/>
        <v>?</v>
      </c>
      <c r="N154" s="359">
        <f>Padrões!JI95</f>
        <v>0</v>
      </c>
      <c r="O154" s="381" t="str">
        <f t="shared" si="1030"/>
        <v>?</v>
      </c>
      <c r="P154" s="360">
        <f t="shared" si="1031"/>
        <v>0.12</v>
      </c>
      <c r="Q154" s="360" t="str">
        <f t="shared" si="1032"/>
        <v>?</v>
      </c>
      <c r="R154" s="360">
        <f t="shared" si="1033"/>
        <v>0</v>
      </c>
      <c r="S154" s="361">
        <f t="shared" si="1034"/>
        <v>0</v>
      </c>
      <c r="T154" s="362">
        <f t="shared" si="1035"/>
        <v>0</v>
      </c>
      <c r="U154" s="53" t="str" cm="1">
        <f t="array" ref="U154">IFERROR(IF(I154&lt;&gt;"Serviço",IF(AND(mlookup(tbl_DIFAL_data,UFdestino,tbl_DIFAL_UF,O154,tbl_DIFAL_NCM)&lt;&gt;"",C154="Consumo"),"Sim",""),""),"?")</f>
        <v>?</v>
      </c>
      <c r="V154" s="363" t="str">
        <f>IFERROR(IF(I154&lt;&gt;"Serviço",IF(AND(D154="Não",mlookup(tbl_ST_data,UFdestino,tbl_ST_UF,O154,tbl_ST_NCM)&lt;&gt;"",C154="Revenda",CD154="Não"),"Sim",""),""),"?")</f>
        <v>?</v>
      </c>
      <c r="W154" s="364">
        <f t="shared" si="1036"/>
        <v>0</v>
      </c>
      <c r="X154" s="365">
        <f>IF(V154="Sim",mlookup(tbl_ST_data,UFdestino,tbl_ST_UF,O154,tbl_ST_NCM),0)</f>
        <v>0</v>
      </c>
      <c r="Z154" s="355">
        <f t="shared" si="1037"/>
        <v>0</v>
      </c>
      <c r="AA154" s="355">
        <f t="shared" si="1023"/>
        <v>0</v>
      </c>
      <c r="AC154" s="366">
        <f t="shared" si="1095"/>
        <v>1.31243473968765E-2</v>
      </c>
      <c r="AD154" s="366">
        <f t="shared" si="1038"/>
        <v>0.15</v>
      </c>
      <c r="AF154" s="355">
        <f t="shared" si="1039"/>
        <v>0</v>
      </c>
      <c r="AG154" s="355">
        <f t="shared" si="1040"/>
        <v>0</v>
      </c>
      <c r="AI154" s="355">
        <f t="shared" si="1041"/>
        <v>0</v>
      </c>
      <c r="AK154" s="366">
        <f t="shared" si="1096"/>
        <v>0</v>
      </c>
      <c r="AL154" s="355">
        <f t="shared" si="1024"/>
        <v>0</v>
      </c>
      <c r="AM154" s="355">
        <f t="shared" si="1025"/>
        <v>0</v>
      </c>
      <c r="AO154" s="355" t="b">
        <f t="shared" si="1042"/>
        <v>1</v>
      </c>
      <c r="AQ154" s="367">
        <f t="shared" si="1043"/>
        <v>0</v>
      </c>
      <c r="AR154" s="367">
        <f t="shared" si="1026"/>
        <v>0</v>
      </c>
      <c r="AT154" s="367">
        <f t="shared" si="1044"/>
        <v>0</v>
      </c>
      <c r="AU154" s="367">
        <f t="shared" si="1045"/>
        <v>0</v>
      </c>
      <c r="AW154" s="367">
        <f t="shared" si="1046"/>
        <v>0</v>
      </c>
      <c r="AX154" s="367">
        <f t="shared" si="1047"/>
        <v>0</v>
      </c>
      <c r="AY154" s="367">
        <f t="shared" si="1048"/>
        <v>0</v>
      </c>
      <c r="AZ154" s="367">
        <f t="shared" si="1049"/>
        <v>0</v>
      </c>
      <c r="BB154" s="355">
        <f t="shared" si="1050"/>
        <v>0</v>
      </c>
      <c r="BC154" s="355">
        <f t="shared" si="1051"/>
        <v>0</v>
      </c>
      <c r="BD154" s="355">
        <f t="shared" si="1052"/>
        <v>0</v>
      </c>
      <c r="BE154" s="355">
        <f t="shared" si="1053"/>
        <v>0</v>
      </c>
      <c r="BF154" s="355">
        <f t="shared" si="1054"/>
        <v>0</v>
      </c>
      <c r="BH154" s="368">
        <f t="shared" si="1055"/>
        <v>0</v>
      </c>
      <c r="BJ154" s="369">
        <f t="shared" si="1056"/>
        <v>-0.12</v>
      </c>
      <c r="BK154" s="355">
        <f t="shared" si="1057"/>
        <v>0</v>
      </c>
      <c r="BL154" s="355">
        <f t="shared" si="1058"/>
        <v>0</v>
      </c>
      <c r="BN154" s="366">
        <f t="shared" si="1059"/>
        <v>0</v>
      </c>
      <c r="BO154" s="355">
        <f t="shared" si="1060"/>
        <v>0</v>
      </c>
      <c r="BP154" s="355">
        <f t="shared" si="1061"/>
        <v>0</v>
      </c>
      <c r="BQ154" s="355">
        <f t="shared" si="1062"/>
        <v>0</v>
      </c>
      <c r="BS154" s="367">
        <f t="shared" si="1063"/>
        <v>0</v>
      </c>
      <c r="BT154" s="355">
        <f t="shared" si="1064"/>
        <v>0</v>
      </c>
      <c r="BU154" s="355" t="b">
        <f t="shared" si="1027"/>
        <v>1</v>
      </c>
      <c r="BW154" s="355" t="str">
        <f t="shared" si="1065"/>
        <v/>
      </c>
      <c r="BX154" s="355">
        <f t="shared" si="1066"/>
        <v>0</v>
      </c>
      <c r="BY154" s="356">
        <f t="shared" si="1097"/>
        <v>0</v>
      </c>
      <c r="BZ154" s="355">
        <f t="shared" si="1067"/>
        <v>0</v>
      </c>
      <c r="CB154" s="102" t="str">
        <f t="shared" si="1068"/>
        <v>?</v>
      </c>
      <c r="CD154" s="355" t="str">
        <f t="shared" si="1069"/>
        <v>Não</v>
      </c>
      <c r="CE154" s="368">
        <f>ifzero(mlookup(tbl_ICMSinterest_data,UFdestino,tbl_ICMSinterest_ufdest,UForigem,tbl_ICMSinterest_uforig))</f>
        <v>0.12</v>
      </c>
      <c r="CF154" s="368">
        <f>IF(N154&gt;0,IF(I154&lt;&gt;"Serviço",ifzero(mlookup(tbl_ICMSinterno_data,UForigem,tbl_ICMSinterno_UF,O154,tbl_ICMSinterno_NCM),mlookup(tbl_ICMSinterest_data,UForigem,tbl_ICMSinterest_ufdest,UForigem,tbl_ICMSinterest_uforig)),""),0)</f>
        <v>0</v>
      </c>
      <c r="CG154" s="368">
        <f>IF(N154&gt;0,IF(I154&lt;&gt;"Serviço",ifzero(mlookup(tbl_ICMSinterno_data,UFdestino,tbl_ICMSinterno_UF,O154,tbl_ICMSinterno_NCM),mlookup(tbl_ICMSinterest_data,UFdestino,tbl_ICMSinterest_ufdest,UFdestino,tbl_ICMSinterest_uforig)),""),0)</f>
        <v>0</v>
      </c>
      <c r="CI154" s="355">
        <f t="shared" si="1070"/>
        <v>0</v>
      </c>
      <c r="CJ154" s="355">
        <f t="shared" si="1071"/>
        <v>0</v>
      </c>
      <c r="CK154" s="355">
        <f t="shared" si="1072"/>
        <v>0</v>
      </c>
      <c r="CL154" s="355">
        <f t="shared" si="1073"/>
        <v>0</v>
      </c>
      <c r="CN154" s="370">
        <f t="shared" si="1074"/>
        <v>1540</v>
      </c>
      <c r="CO154" s="355">
        <f t="shared" si="1075"/>
        <v>0</v>
      </c>
      <c r="CQ154" s="355" t="b">
        <f t="shared" si="1076"/>
        <v>0</v>
      </c>
      <c r="CR154" s="355" t="b">
        <f t="shared" si="1077"/>
        <v>1</v>
      </c>
      <c r="CS154" s="355" t="b">
        <f t="shared" si="1078"/>
        <v>0</v>
      </c>
      <c r="CU154" s="2">
        <f t="shared" si="1079"/>
        <v>0</v>
      </c>
      <c r="CV154" s="102">
        <f t="shared" si="1080"/>
        <v>0</v>
      </c>
      <c r="CW154" s="102">
        <f t="shared" si="1014"/>
        <v>0</v>
      </c>
      <c r="CX154" s="102">
        <f t="shared" si="1081"/>
        <v>0</v>
      </c>
      <c r="CY154" s="290">
        <f t="shared" si="1082"/>
        <v>0</v>
      </c>
      <c r="CZ154" s="102">
        <f t="shared" si="1016"/>
        <v>0</v>
      </c>
      <c r="DA154" s="290">
        <f t="shared" si="1083"/>
        <v>0</v>
      </c>
      <c r="DB154" s="102">
        <f t="shared" si="1017"/>
        <v>0</v>
      </c>
      <c r="DC154" s="290">
        <f t="shared" si="1084"/>
        <v>0</v>
      </c>
      <c r="DD154" s="102">
        <f t="shared" si="1015"/>
        <v>0</v>
      </c>
      <c r="DE154" s="592">
        <f>IF(D154="Sim",HLOOKUP($DH$5,Parametrização!$G$2:$H$4,2,FALSE),0)</f>
        <v>0</v>
      </c>
      <c r="DF154" s="102">
        <f t="shared" si="1018"/>
        <v>0</v>
      </c>
      <c r="DG154" s="592">
        <f>IF(D154="Sim",HLOOKUP($DH$5,Parametrização!$G$2:$H$4,3,FALSE),0)</f>
        <v>0</v>
      </c>
      <c r="DH154" s="102">
        <f t="shared" si="1019"/>
        <v>0</v>
      </c>
      <c r="DI154" s="102">
        <f t="shared" si="1020"/>
        <v>0</v>
      </c>
      <c r="DK154" s="3" t="str">
        <f t="shared" si="1085"/>
        <v>NA</v>
      </c>
      <c r="DL154" s="2" t="str">
        <f t="shared" si="1086"/>
        <v>NA</v>
      </c>
      <c r="DM154" s="3" t="str">
        <f t="shared" si="1087"/>
        <v>NA</v>
      </c>
      <c r="DN154" s="9" t="str">
        <f t="shared" si="1088"/>
        <v>NA</v>
      </c>
      <c r="DO154" s="637" t="str">
        <f t="shared" si="1089"/>
        <v>NA</v>
      </c>
      <c r="DP154" s="637"/>
      <c r="DQ154" s="3" t="str">
        <f t="shared" si="1090"/>
        <v>NA</v>
      </c>
      <c r="DR154" s="2" t="str">
        <f t="shared" si="1091"/>
        <v>NA</v>
      </c>
      <c r="DS154" s="3" t="str">
        <f t="shared" si="1092"/>
        <v>NA</v>
      </c>
      <c r="DT154" s="9" t="str">
        <f t="shared" si="1021"/>
        <v>NA</v>
      </c>
      <c r="DU154" s="637" t="str">
        <f t="shared" si="1022"/>
        <v>NA</v>
      </c>
      <c r="DV154" s="637"/>
      <c r="DW154" s="682"/>
      <c r="DX154" s="682"/>
      <c r="DY154" s="682"/>
      <c r="DZ154" s="637"/>
      <c r="EA154" s="643"/>
    </row>
    <row r="155" spans="1:131" s="355" customFormat="1" ht="20.100000000000001" customHeight="1" outlineLevel="1" x14ac:dyDescent="0.25">
      <c r="A155" s="356"/>
      <c r="B155" s="355" t="s">
        <v>268</v>
      </c>
      <c r="C155" s="355" t="str">
        <f t="shared" si="1093"/>
        <v>Consumo</v>
      </c>
      <c r="D155" s="355" t="s">
        <v>53</v>
      </c>
      <c r="E155" s="18" t="s">
        <v>38</v>
      </c>
      <c r="F155" s="355" t="s">
        <v>53</v>
      </c>
      <c r="G155" s="357" t="str">
        <f t="shared" si="1094"/>
        <v>Geral</v>
      </c>
      <c r="H155" s="255" t="s">
        <v>377</v>
      </c>
      <c r="I155" s="356" t="str">
        <f t="shared" si="1028"/>
        <v>Sistema</v>
      </c>
      <c r="K155" s="318" t="s">
        <v>2908</v>
      </c>
      <c r="L155" s="749" t="str">
        <f>IF(Padrões!JF96&lt;&gt;"",Padrões!JF96,"")</f>
        <v/>
      </c>
      <c r="M155" s="358" t="str">
        <f t="shared" si="1029"/>
        <v>?</v>
      </c>
      <c r="N155" s="359">
        <f>Padrões!JI96</f>
        <v>0</v>
      </c>
      <c r="O155" s="381" t="str">
        <f t="shared" si="1030"/>
        <v>?</v>
      </c>
      <c r="P155" s="360">
        <f t="shared" si="1031"/>
        <v>0.12</v>
      </c>
      <c r="Q155" s="360" t="str">
        <f t="shared" si="1032"/>
        <v>?</v>
      </c>
      <c r="R155" s="360">
        <f t="shared" si="1033"/>
        <v>0</v>
      </c>
      <c r="S155" s="361">
        <f t="shared" si="1034"/>
        <v>0</v>
      </c>
      <c r="T155" s="362">
        <f t="shared" si="1035"/>
        <v>0</v>
      </c>
      <c r="U155" s="53" t="str" cm="1">
        <f t="array" ref="U155">IFERROR(IF(I155&lt;&gt;"Serviço",IF(AND(mlookup(tbl_DIFAL_data,UFdestino,tbl_DIFAL_UF,O155,tbl_DIFAL_NCM)&lt;&gt;"",C155="Consumo"),"Sim",""),""),"?")</f>
        <v>?</v>
      </c>
      <c r="V155" s="363" t="str">
        <f>IFERROR(IF(I155&lt;&gt;"Serviço",IF(AND(D155="Não",mlookup(tbl_ST_data,UFdestino,tbl_ST_UF,O155,tbl_ST_NCM)&lt;&gt;"",C155="Revenda",CD155="Não"),"Sim",""),""),"?")</f>
        <v>?</v>
      </c>
      <c r="W155" s="364">
        <f t="shared" si="1036"/>
        <v>0</v>
      </c>
      <c r="X155" s="365">
        <f>IF(V155="Sim",mlookup(tbl_ST_data,UFdestino,tbl_ST_UF,O155,tbl_ST_NCM),0)</f>
        <v>0</v>
      </c>
      <c r="Z155" s="355">
        <f t="shared" si="1037"/>
        <v>0</v>
      </c>
      <c r="AA155" s="355">
        <f t="shared" si="1023"/>
        <v>0</v>
      </c>
      <c r="AC155" s="366">
        <f t="shared" si="1095"/>
        <v>1.31243473968765E-2</v>
      </c>
      <c r="AD155" s="366">
        <f t="shared" si="1038"/>
        <v>0.15</v>
      </c>
      <c r="AF155" s="355">
        <f t="shared" si="1039"/>
        <v>0</v>
      </c>
      <c r="AG155" s="355">
        <f t="shared" si="1040"/>
        <v>0</v>
      </c>
      <c r="AI155" s="355">
        <f t="shared" si="1041"/>
        <v>0</v>
      </c>
      <c r="AK155" s="366">
        <f t="shared" si="1096"/>
        <v>0</v>
      </c>
      <c r="AL155" s="355">
        <f t="shared" si="1024"/>
        <v>0</v>
      </c>
      <c r="AM155" s="355">
        <f t="shared" si="1025"/>
        <v>0</v>
      </c>
      <c r="AO155" s="355" t="b">
        <f t="shared" si="1042"/>
        <v>1</v>
      </c>
      <c r="AQ155" s="367">
        <f t="shared" si="1043"/>
        <v>0</v>
      </c>
      <c r="AR155" s="367">
        <f t="shared" si="1026"/>
        <v>0</v>
      </c>
      <c r="AT155" s="367">
        <f t="shared" si="1044"/>
        <v>0</v>
      </c>
      <c r="AU155" s="367">
        <f t="shared" si="1045"/>
        <v>0</v>
      </c>
      <c r="AW155" s="367">
        <f t="shared" si="1046"/>
        <v>0</v>
      </c>
      <c r="AX155" s="367">
        <f t="shared" si="1047"/>
        <v>0</v>
      </c>
      <c r="AY155" s="367">
        <f t="shared" si="1048"/>
        <v>0</v>
      </c>
      <c r="AZ155" s="367">
        <f t="shared" si="1049"/>
        <v>0</v>
      </c>
      <c r="BB155" s="355">
        <f t="shared" si="1050"/>
        <v>0</v>
      </c>
      <c r="BC155" s="355">
        <f t="shared" si="1051"/>
        <v>0</v>
      </c>
      <c r="BD155" s="355">
        <f t="shared" si="1052"/>
        <v>0</v>
      </c>
      <c r="BE155" s="355">
        <f t="shared" si="1053"/>
        <v>0</v>
      </c>
      <c r="BF155" s="355">
        <f t="shared" si="1054"/>
        <v>0</v>
      </c>
      <c r="BH155" s="368">
        <f t="shared" si="1055"/>
        <v>0</v>
      </c>
      <c r="BJ155" s="369">
        <f t="shared" si="1056"/>
        <v>-0.12</v>
      </c>
      <c r="BK155" s="355">
        <f t="shared" si="1057"/>
        <v>0</v>
      </c>
      <c r="BL155" s="355">
        <f t="shared" si="1058"/>
        <v>0</v>
      </c>
      <c r="BN155" s="366">
        <f t="shared" si="1059"/>
        <v>0</v>
      </c>
      <c r="BO155" s="355">
        <f t="shared" si="1060"/>
        <v>0</v>
      </c>
      <c r="BP155" s="355">
        <f t="shared" si="1061"/>
        <v>0</v>
      </c>
      <c r="BQ155" s="355">
        <f t="shared" si="1062"/>
        <v>0</v>
      </c>
      <c r="BS155" s="367">
        <f t="shared" si="1063"/>
        <v>0</v>
      </c>
      <c r="BT155" s="355">
        <f t="shared" si="1064"/>
        <v>0</v>
      </c>
      <c r="BU155" s="355" t="b">
        <f t="shared" si="1027"/>
        <v>1</v>
      </c>
      <c r="BW155" s="355" t="str">
        <f t="shared" si="1065"/>
        <v/>
      </c>
      <c r="BX155" s="355">
        <f t="shared" si="1066"/>
        <v>0</v>
      </c>
      <c r="BY155" s="356">
        <f t="shared" si="1097"/>
        <v>0</v>
      </c>
      <c r="BZ155" s="355">
        <f t="shared" si="1067"/>
        <v>0</v>
      </c>
      <c r="CB155" s="102" t="str">
        <f t="shared" si="1068"/>
        <v>?</v>
      </c>
      <c r="CD155" s="355" t="str">
        <f t="shared" si="1069"/>
        <v>Não</v>
      </c>
      <c r="CE155" s="368">
        <f>ifzero(mlookup(tbl_ICMSinterest_data,UFdestino,tbl_ICMSinterest_ufdest,UForigem,tbl_ICMSinterest_uforig))</f>
        <v>0.12</v>
      </c>
      <c r="CF155" s="368">
        <f>IF(N155&gt;0,IF(I155&lt;&gt;"Serviço",ifzero(mlookup(tbl_ICMSinterno_data,UForigem,tbl_ICMSinterno_UF,O155,tbl_ICMSinterno_NCM),mlookup(tbl_ICMSinterest_data,UForigem,tbl_ICMSinterest_ufdest,UForigem,tbl_ICMSinterest_uforig)),""),0)</f>
        <v>0</v>
      </c>
      <c r="CG155" s="368">
        <f>IF(N155&gt;0,IF(I155&lt;&gt;"Serviço",ifzero(mlookup(tbl_ICMSinterno_data,UFdestino,tbl_ICMSinterno_UF,O155,tbl_ICMSinterno_NCM),mlookup(tbl_ICMSinterest_data,UFdestino,tbl_ICMSinterest_ufdest,UFdestino,tbl_ICMSinterest_uforig)),""),0)</f>
        <v>0</v>
      </c>
      <c r="CI155" s="355">
        <f t="shared" si="1070"/>
        <v>0</v>
      </c>
      <c r="CJ155" s="355">
        <f t="shared" si="1071"/>
        <v>0</v>
      </c>
      <c r="CK155" s="355">
        <f t="shared" si="1072"/>
        <v>0</v>
      </c>
      <c r="CL155" s="355">
        <f t="shared" si="1073"/>
        <v>0</v>
      </c>
      <c r="CN155" s="370">
        <f t="shared" si="1074"/>
        <v>1540</v>
      </c>
      <c r="CO155" s="355">
        <f t="shared" si="1075"/>
        <v>0</v>
      </c>
      <c r="CQ155" s="355" t="b">
        <f t="shared" si="1076"/>
        <v>0</v>
      </c>
      <c r="CR155" s="355" t="b">
        <f t="shared" si="1077"/>
        <v>1</v>
      </c>
      <c r="CS155" s="355" t="b">
        <f t="shared" si="1078"/>
        <v>0</v>
      </c>
      <c r="CU155" s="2">
        <f t="shared" si="1079"/>
        <v>0</v>
      </c>
      <c r="CV155" s="102">
        <f t="shared" si="1080"/>
        <v>0</v>
      </c>
      <c r="CW155" s="102">
        <f t="shared" si="1014"/>
        <v>0</v>
      </c>
      <c r="CX155" s="102">
        <f t="shared" si="1081"/>
        <v>0</v>
      </c>
      <c r="CY155" s="290">
        <f t="shared" si="1082"/>
        <v>0</v>
      </c>
      <c r="CZ155" s="102">
        <f t="shared" si="1016"/>
        <v>0</v>
      </c>
      <c r="DA155" s="290">
        <f t="shared" si="1083"/>
        <v>0</v>
      </c>
      <c r="DB155" s="102">
        <f t="shared" si="1017"/>
        <v>0</v>
      </c>
      <c r="DC155" s="290">
        <f t="shared" si="1084"/>
        <v>0</v>
      </c>
      <c r="DD155" s="102">
        <f t="shared" si="1015"/>
        <v>0</v>
      </c>
      <c r="DE155" s="592">
        <f>IF(D155="Sim",HLOOKUP($DH$5,Parametrização!$G$2:$H$4,2,FALSE),0)</f>
        <v>0</v>
      </c>
      <c r="DF155" s="102">
        <f t="shared" si="1018"/>
        <v>0</v>
      </c>
      <c r="DG155" s="592">
        <f>IF(D155="Sim",HLOOKUP($DH$5,Parametrização!$G$2:$H$4,3,FALSE),0)</f>
        <v>0</v>
      </c>
      <c r="DH155" s="102">
        <f t="shared" si="1019"/>
        <v>0</v>
      </c>
      <c r="DI155" s="102">
        <f t="shared" si="1020"/>
        <v>0</v>
      </c>
      <c r="DK155" s="3" t="str">
        <f t="shared" si="1085"/>
        <v>NA</v>
      </c>
      <c r="DL155" s="2" t="str">
        <f t="shared" si="1086"/>
        <v>NA</v>
      </c>
      <c r="DM155" s="3" t="str">
        <f t="shared" si="1087"/>
        <v>NA</v>
      </c>
      <c r="DN155" s="9" t="str">
        <f t="shared" si="1088"/>
        <v>NA</v>
      </c>
      <c r="DO155" s="637" t="str">
        <f t="shared" si="1089"/>
        <v>NA</v>
      </c>
      <c r="DP155" s="637"/>
      <c r="DQ155" s="3" t="str">
        <f t="shared" si="1090"/>
        <v>NA</v>
      </c>
      <c r="DR155" s="2" t="str">
        <f t="shared" si="1091"/>
        <v>NA</v>
      </c>
      <c r="DS155" s="3" t="str">
        <f t="shared" si="1092"/>
        <v>NA</v>
      </c>
      <c r="DT155" s="9" t="str">
        <f t="shared" si="1021"/>
        <v>NA</v>
      </c>
      <c r="DU155" s="637" t="str">
        <f t="shared" si="1022"/>
        <v>NA</v>
      </c>
      <c r="DV155" s="637"/>
      <c r="DW155" s="682"/>
      <c r="DX155" s="682"/>
      <c r="DY155" s="682"/>
      <c r="DZ155" s="637"/>
      <c r="EA155" s="643"/>
    </row>
    <row r="156" spans="1:131" s="355" customFormat="1" ht="20.100000000000001" customHeight="1" outlineLevel="1" x14ac:dyDescent="0.25">
      <c r="A156" s="356"/>
      <c r="B156" s="355" t="s">
        <v>268</v>
      </c>
      <c r="C156" s="355" t="str">
        <f t="shared" si="1093"/>
        <v>Consumo</v>
      </c>
      <c r="D156" s="355" t="s">
        <v>53</v>
      </c>
      <c r="E156" s="18" t="s">
        <v>38</v>
      </c>
      <c r="F156" s="355" t="s">
        <v>53</v>
      </c>
      <c r="G156" s="357" t="str">
        <f t="shared" si="1094"/>
        <v>Geral</v>
      </c>
      <c r="H156" s="255" t="s">
        <v>377</v>
      </c>
      <c r="I156" s="356" t="str">
        <f t="shared" si="1028"/>
        <v>Sistema</v>
      </c>
      <c r="K156" s="318" t="s">
        <v>2909</v>
      </c>
      <c r="L156" s="749" t="str">
        <f>IF(Padrões!JF97&lt;&gt;"",Padrões!JF97,"")</f>
        <v/>
      </c>
      <c r="M156" s="358" t="str">
        <f t="shared" si="1029"/>
        <v>?</v>
      </c>
      <c r="N156" s="359">
        <f>Padrões!JI97</f>
        <v>0</v>
      </c>
      <c r="O156" s="381" t="str">
        <f t="shared" si="1030"/>
        <v>?</v>
      </c>
      <c r="P156" s="360">
        <f t="shared" si="1031"/>
        <v>0.12</v>
      </c>
      <c r="Q156" s="360" t="str">
        <f t="shared" si="1032"/>
        <v>?</v>
      </c>
      <c r="R156" s="360">
        <f t="shared" si="1033"/>
        <v>0</v>
      </c>
      <c r="S156" s="361">
        <f t="shared" si="1034"/>
        <v>0</v>
      </c>
      <c r="T156" s="362">
        <f t="shared" si="1035"/>
        <v>0</v>
      </c>
      <c r="U156" s="53" t="str" cm="1">
        <f t="array" ref="U156">IFERROR(IF(I156&lt;&gt;"Serviço",IF(AND(mlookup(tbl_DIFAL_data,UFdestino,tbl_DIFAL_UF,O156,tbl_DIFAL_NCM)&lt;&gt;"",C156="Consumo"),"Sim",""),""),"?")</f>
        <v>?</v>
      </c>
      <c r="V156" s="363" t="str">
        <f>IFERROR(IF(I156&lt;&gt;"Serviço",IF(AND(D156="Não",mlookup(tbl_ST_data,UFdestino,tbl_ST_UF,O156,tbl_ST_NCM)&lt;&gt;"",C156="Revenda",CD156="Não"),"Sim",""),""),"?")</f>
        <v>?</v>
      </c>
      <c r="W156" s="364">
        <f t="shared" si="1036"/>
        <v>0</v>
      </c>
      <c r="X156" s="365">
        <f>IF(V156="Sim",mlookup(tbl_ST_data,UFdestino,tbl_ST_UF,O156,tbl_ST_NCM),0)</f>
        <v>0</v>
      </c>
      <c r="Z156" s="355">
        <f t="shared" si="1037"/>
        <v>0</v>
      </c>
      <c r="AA156" s="355">
        <f t="shared" si="1023"/>
        <v>0</v>
      </c>
      <c r="AC156" s="366">
        <f t="shared" si="1095"/>
        <v>1.31243473968765E-2</v>
      </c>
      <c r="AD156" s="366">
        <f t="shared" si="1038"/>
        <v>0.15</v>
      </c>
      <c r="AF156" s="355">
        <f t="shared" si="1039"/>
        <v>0</v>
      </c>
      <c r="AG156" s="355">
        <f t="shared" si="1040"/>
        <v>0</v>
      </c>
      <c r="AI156" s="355">
        <f t="shared" si="1041"/>
        <v>0</v>
      </c>
      <c r="AK156" s="366">
        <f t="shared" si="1096"/>
        <v>0</v>
      </c>
      <c r="AL156" s="355">
        <f t="shared" si="1024"/>
        <v>0</v>
      </c>
      <c r="AM156" s="355">
        <f t="shared" si="1025"/>
        <v>0</v>
      </c>
      <c r="AO156" s="355" t="b">
        <f t="shared" si="1042"/>
        <v>1</v>
      </c>
      <c r="AQ156" s="367">
        <f t="shared" si="1043"/>
        <v>0</v>
      </c>
      <c r="AR156" s="367">
        <f t="shared" si="1026"/>
        <v>0</v>
      </c>
      <c r="AT156" s="367">
        <f t="shared" si="1044"/>
        <v>0</v>
      </c>
      <c r="AU156" s="367">
        <f t="shared" si="1045"/>
        <v>0</v>
      </c>
      <c r="AW156" s="367">
        <f t="shared" si="1046"/>
        <v>0</v>
      </c>
      <c r="AX156" s="367">
        <f t="shared" si="1047"/>
        <v>0</v>
      </c>
      <c r="AY156" s="367">
        <f t="shared" si="1048"/>
        <v>0</v>
      </c>
      <c r="AZ156" s="367">
        <f t="shared" si="1049"/>
        <v>0</v>
      </c>
      <c r="BB156" s="355">
        <f t="shared" si="1050"/>
        <v>0</v>
      </c>
      <c r="BC156" s="355">
        <f t="shared" si="1051"/>
        <v>0</v>
      </c>
      <c r="BD156" s="355">
        <f t="shared" si="1052"/>
        <v>0</v>
      </c>
      <c r="BE156" s="355">
        <f t="shared" si="1053"/>
        <v>0</v>
      </c>
      <c r="BF156" s="355">
        <f t="shared" si="1054"/>
        <v>0</v>
      </c>
      <c r="BH156" s="368">
        <f t="shared" si="1055"/>
        <v>0</v>
      </c>
      <c r="BJ156" s="369">
        <f t="shared" si="1056"/>
        <v>-0.12</v>
      </c>
      <c r="BK156" s="355">
        <f t="shared" si="1057"/>
        <v>0</v>
      </c>
      <c r="BL156" s="355">
        <f t="shared" si="1058"/>
        <v>0</v>
      </c>
      <c r="BN156" s="366">
        <f t="shared" si="1059"/>
        <v>0</v>
      </c>
      <c r="BO156" s="355">
        <f t="shared" si="1060"/>
        <v>0</v>
      </c>
      <c r="BP156" s="355">
        <f t="shared" si="1061"/>
        <v>0</v>
      </c>
      <c r="BQ156" s="355">
        <f t="shared" si="1062"/>
        <v>0</v>
      </c>
      <c r="BS156" s="367">
        <f t="shared" si="1063"/>
        <v>0</v>
      </c>
      <c r="BT156" s="355">
        <f t="shared" si="1064"/>
        <v>0</v>
      </c>
      <c r="BU156" s="355" t="b">
        <f t="shared" si="1027"/>
        <v>1</v>
      </c>
      <c r="BW156" s="355" t="str">
        <f t="shared" si="1065"/>
        <v/>
      </c>
      <c r="BX156" s="355">
        <f t="shared" si="1066"/>
        <v>0</v>
      </c>
      <c r="BY156" s="356">
        <f t="shared" si="1097"/>
        <v>0</v>
      </c>
      <c r="BZ156" s="355">
        <f t="shared" si="1067"/>
        <v>0</v>
      </c>
      <c r="CB156" s="102" t="str">
        <f t="shared" si="1068"/>
        <v>?</v>
      </c>
      <c r="CD156" s="355" t="str">
        <f t="shared" si="1069"/>
        <v>Não</v>
      </c>
      <c r="CE156" s="368">
        <f>ifzero(mlookup(tbl_ICMSinterest_data,UFdestino,tbl_ICMSinterest_ufdest,UForigem,tbl_ICMSinterest_uforig))</f>
        <v>0.12</v>
      </c>
      <c r="CF156" s="368">
        <f>IF(N156&gt;0,IF(I156&lt;&gt;"Serviço",ifzero(mlookup(tbl_ICMSinterno_data,UForigem,tbl_ICMSinterno_UF,O156,tbl_ICMSinterno_NCM),mlookup(tbl_ICMSinterest_data,UForigem,tbl_ICMSinterest_ufdest,UForigem,tbl_ICMSinterest_uforig)),""),0)</f>
        <v>0</v>
      </c>
      <c r="CG156" s="368">
        <f>IF(N156&gt;0,IF(I156&lt;&gt;"Serviço",ifzero(mlookup(tbl_ICMSinterno_data,UFdestino,tbl_ICMSinterno_UF,O156,tbl_ICMSinterno_NCM),mlookup(tbl_ICMSinterest_data,UFdestino,tbl_ICMSinterest_ufdest,UFdestino,tbl_ICMSinterest_uforig)),""),0)</f>
        <v>0</v>
      </c>
      <c r="CI156" s="355">
        <f t="shared" si="1070"/>
        <v>0</v>
      </c>
      <c r="CJ156" s="355">
        <f t="shared" si="1071"/>
        <v>0</v>
      </c>
      <c r="CK156" s="355">
        <f t="shared" si="1072"/>
        <v>0</v>
      </c>
      <c r="CL156" s="355">
        <f t="shared" si="1073"/>
        <v>0</v>
      </c>
      <c r="CN156" s="370">
        <f t="shared" si="1074"/>
        <v>1540</v>
      </c>
      <c r="CO156" s="355">
        <f t="shared" si="1075"/>
        <v>0</v>
      </c>
      <c r="CQ156" s="355" t="b">
        <f t="shared" si="1076"/>
        <v>0</v>
      </c>
      <c r="CR156" s="355" t="b">
        <f t="shared" si="1077"/>
        <v>1</v>
      </c>
      <c r="CS156" s="355" t="b">
        <f t="shared" si="1078"/>
        <v>0</v>
      </c>
      <c r="CU156" s="2">
        <f t="shared" si="1079"/>
        <v>0</v>
      </c>
      <c r="CV156" s="102">
        <f t="shared" si="1080"/>
        <v>0</v>
      </c>
      <c r="CW156" s="102">
        <f t="shared" si="1014"/>
        <v>0</v>
      </c>
      <c r="CX156" s="102">
        <f t="shared" si="1081"/>
        <v>0</v>
      </c>
      <c r="CY156" s="290">
        <f t="shared" si="1082"/>
        <v>0</v>
      </c>
      <c r="CZ156" s="102">
        <f t="shared" si="1016"/>
        <v>0</v>
      </c>
      <c r="DA156" s="290">
        <f t="shared" si="1083"/>
        <v>0</v>
      </c>
      <c r="DB156" s="102">
        <f t="shared" si="1017"/>
        <v>0</v>
      </c>
      <c r="DC156" s="290">
        <f t="shared" si="1084"/>
        <v>0</v>
      </c>
      <c r="DD156" s="102">
        <f t="shared" si="1015"/>
        <v>0</v>
      </c>
      <c r="DE156" s="592">
        <f>IF(D156="Sim",HLOOKUP($DH$5,Parametrização!$G$2:$H$4,2,FALSE),0)</f>
        <v>0</v>
      </c>
      <c r="DF156" s="102">
        <f t="shared" si="1018"/>
        <v>0</v>
      </c>
      <c r="DG156" s="592">
        <f>IF(D156="Sim",HLOOKUP($DH$5,Parametrização!$G$2:$H$4,3,FALSE),0)</f>
        <v>0</v>
      </c>
      <c r="DH156" s="102">
        <f t="shared" si="1019"/>
        <v>0</v>
      </c>
      <c r="DI156" s="102">
        <f t="shared" si="1020"/>
        <v>0</v>
      </c>
      <c r="DK156" s="3" t="str">
        <f t="shared" si="1085"/>
        <v>NA</v>
      </c>
      <c r="DL156" s="2" t="str">
        <f t="shared" si="1086"/>
        <v>NA</v>
      </c>
      <c r="DM156" s="3" t="str">
        <f t="shared" si="1087"/>
        <v>NA</v>
      </c>
      <c r="DN156" s="9" t="str">
        <f t="shared" si="1088"/>
        <v>NA</v>
      </c>
      <c r="DO156" s="637" t="str">
        <f t="shared" si="1089"/>
        <v>NA</v>
      </c>
      <c r="DP156" s="637"/>
      <c r="DQ156" s="3" t="str">
        <f t="shared" si="1090"/>
        <v>NA</v>
      </c>
      <c r="DR156" s="2" t="str">
        <f t="shared" si="1091"/>
        <v>NA</v>
      </c>
      <c r="DS156" s="3" t="str">
        <f t="shared" si="1092"/>
        <v>NA</v>
      </c>
      <c r="DT156" s="9" t="str">
        <f t="shared" si="1021"/>
        <v>NA</v>
      </c>
      <c r="DU156" s="637" t="str">
        <f t="shared" si="1022"/>
        <v>NA</v>
      </c>
      <c r="DV156" s="637"/>
      <c r="DW156" s="682"/>
      <c r="DX156" s="682"/>
      <c r="DY156" s="682"/>
      <c r="DZ156" s="637"/>
      <c r="EA156" s="643"/>
    </row>
    <row r="157" spans="1:131" s="355" customFormat="1" ht="20.100000000000001" customHeight="1" outlineLevel="1" x14ac:dyDescent="0.25">
      <c r="A157" s="356"/>
      <c r="B157" s="355" t="s">
        <v>268</v>
      </c>
      <c r="C157" s="355" t="str">
        <f t="shared" si="1093"/>
        <v>Consumo</v>
      </c>
      <c r="D157" s="355" t="s">
        <v>53</v>
      </c>
      <c r="E157" s="18" t="s">
        <v>38</v>
      </c>
      <c r="F157" s="355" t="s">
        <v>53</v>
      </c>
      <c r="G157" s="357" t="str">
        <f t="shared" si="1094"/>
        <v>Geral</v>
      </c>
      <c r="H157" s="255" t="s">
        <v>377</v>
      </c>
      <c r="I157" s="356" t="str">
        <f t="shared" si="1028"/>
        <v>Sistema</v>
      </c>
      <c r="K157" s="318" t="s">
        <v>2910</v>
      </c>
      <c r="L157" s="749" t="str">
        <f>IF(Padrões!JF98&lt;&gt;"",Padrões!JF98,"")</f>
        <v/>
      </c>
      <c r="M157" s="358" t="str">
        <f t="shared" si="1029"/>
        <v>?</v>
      </c>
      <c r="N157" s="359">
        <f>Padrões!JI98</f>
        <v>0</v>
      </c>
      <c r="O157" s="381" t="str">
        <f t="shared" si="1030"/>
        <v>?</v>
      </c>
      <c r="P157" s="360">
        <f t="shared" si="1031"/>
        <v>0.12</v>
      </c>
      <c r="Q157" s="360" t="str">
        <f t="shared" si="1032"/>
        <v>?</v>
      </c>
      <c r="R157" s="360">
        <f t="shared" si="1033"/>
        <v>0</v>
      </c>
      <c r="S157" s="361">
        <f t="shared" si="1034"/>
        <v>0</v>
      </c>
      <c r="T157" s="362">
        <f t="shared" si="1035"/>
        <v>0</v>
      </c>
      <c r="U157" s="53" t="str" cm="1">
        <f t="array" ref="U157">IFERROR(IF(I157&lt;&gt;"Serviço",IF(AND(mlookup(tbl_DIFAL_data,UFdestino,tbl_DIFAL_UF,O157,tbl_DIFAL_NCM)&lt;&gt;"",C157="Consumo"),"Sim",""),""),"?")</f>
        <v>?</v>
      </c>
      <c r="V157" s="363" t="str">
        <f>IFERROR(IF(I157&lt;&gt;"Serviço",IF(AND(D157="Não",mlookup(tbl_ST_data,UFdestino,tbl_ST_UF,O157,tbl_ST_NCM)&lt;&gt;"",C157="Revenda",CD157="Não"),"Sim",""),""),"?")</f>
        <v>?</v>
      </c>
      <c r="W157" s="364">
        <f t="shared" si="1036"/>
        <v>0</v>
      </c>
      <c r="X157" s="365">
        <f>IF(V157="Sim",mlookup(tbl_ST_data,UFdestino,tbl_ST_UF,O157,tbl_ST_NCM),0)</f>
        <v>0</v>
      </c>
      <c r="Z157" s="355">
        <f t="shared" si="1037"/>
        <v>0</v>
      </c>
      <c r="AA157" s="355">
        <f t="shared" si="1023"/>
        <v>0</v>
      </c>
      <c r="AC157" s="366">
        <f t="shared" si="1095"/>
        <v>1.31243473968765E-2</v>
      </c>
      <c r="AD157" s="366">
        <f t="shared" si="1038"/>
        <v>0.15</v>
      </c>
      <c r="AF157" s="355">
        <f t="shared" si="1039"/>
        <v>0</v>
      </c>
      <c r="AG157" s="355">
        <f t="shared" si="1040"/>
        <v>0</v>
      </c>
      <c r="AI157" s="355">
        <f t="shared" si="1041"/>
        <v>0</v>
      </c>
      <c r="AK157" s="366">
        <f t="shared" si="1096"/>
        <v>0</v>
      </c>
      <c r="AL157" s="355">
        <f t="shared" si="1024"/>
        <v>0</v>
      </c>
      <c r="AM157" s="355">
        <f t="shared" si="1025"/>
        <v>0</v>
      </c>
      <c r="AO157" s="355" t="b">
        <f t="shared" si="1042"/>
        <v>1</v>
      </c>
      <c r="AQ157" s="367">
        <f t="shared" si="1043"/>
        <v>0</v>
      </c>
      <c r="AR157" s="367">
        <f t="shared" si="1026"/>
        <v>0</v>
      </c>
      <c r="AT157" s="367">
        <f t="shared" si="1044"/>
        <v>0</v>
      </c>
      <c r="AU157" s="367">
        <f t="shared" si="1045"/>
        <v>0</v>
      </c>
      <c r="AW157" s="367">
        <f t="shared" si="1046"/>
        <v>0</v>
      </c>
      <c r="AX157" s="367">
        <f t="shared" si="1047"/>
        <v>0</v>
      </c>
      <c r="AY157" s="367">
        <f t="shared" si="1048"/>
        <v>0</v>
      </c>
      <c r="AZ157" s="367">
        <f t="shared" si="1049"/>
        <v>0</v>
      </c>
      <c r="BB157" s="355">
        <f t="shared" si="1050"/>
        <v>0</v>
      </c>
      <c r="BC157" s="355">
        <f t="shared" si="1051"/>
        <v>0</v>
      </c>
      <c r="BD157" s="355">
        <f t="shared" si="1052"/>
        <v>0</v>
      </c>
      <c r="BE157" s="355">
        <f t="shared" si="1053"/>
        <v>0</v>
      </c>
      <c r="BF157" s="355">
        <f t="shared" si="1054"/>
        <v>0</v>
      </c>
      <c r="BH157" s="368">
        <f t="shared" si="1055"/>
        <v>0</v>
      </c>
      <c r="BJ157" s="369">
        <f t="shared" si="1056"/>
        <v>-0.12</v>
      </c>
      <c r="BK157" s="355">
        <f t="shared" si="1057"/>
        <v>0</v>
      </c>
      <c r="BL157" s="355">
        <f t="shared" si="1058"/>
        <v>0</v>
      </c>
      <c r="BN157" s="366">
        <f t="shared" si="1059"/>
        <v>0</v>
      </c>
      <c r="BO157" s="355">
        <f t="shared" si="1060"/>
        <v>0</v>
      </c>
      <c r="BP157" s="355">
        <f t="shared" si="1061"/>
        <v>0</v>
      </c>
      <c r="BQ157" s="355">
        <f t="shared" si="1062"/>
        <v>0</v>
      </c>
      <c r="BS157" s="367">
        <f t="shared" si="1063"/>
        <v>0</v>
      </c>
      <c r="BT157" s="355">
        <f t="shared" si="1064"/>
        <v>0</v>
      </c>
      <c r="BU157" s="355" t="b">
        <f t="shared" si="1027"/>
        <v>1</v>
      </c>
      <c r="BW157" s="355" t="str">
        <f t="shared" si="1065"/>
        <v/>
      </c>
      <c r="BX157" s="355">
        <f t="shared" si="1066"/>
        <v>0</v>
      </c>
      <c r="BY157" s="356">
        <f t="shared" si="1097"/>
        <v>0</v>
      </c>
      <c r="BZ157" s="355">
        <f t="shared" si="1067"/>
        <v>0</v>
      </c>
      <c r="CB157" s="102" t="str">
        <f t="shared" si="1068"/>
        <v>?</v>
      </c>
      <c r="CD157" s="355" t="str">
        <f t="shared" si="1069"/>
        <v>Não</v>
      </c>
      <c r="CE157" s="368">
        <f>ifzero(mlookup(tbl_ICMSinterest_data,UFdestino,tbl_ICMSinterest_ufdest,UForigem,tbl_ICMSinterest_uforig))</f>
        <v>0.12</v>
      </c>
      <c r="CF157" s="368">
        <f>IF(N157&gt;0,IF(I157&lt;&gt;"Serviço",ifzero(mlookup(tbl_ICMSinterno_data,UForigem,tbl_ICMSinterno_UF,O157,tbl_ICMSinterno_NCM),mlookup(tbl_ICMSinterest_data,UForigem,tbl_ICMSinterest_ufdest,UForigem,tbl_ICMSinterest_uforig)),""),0)</f>
        <v>0</v>
      </c>
      <c r="CG157" s="368">
        <f>IF(N157&gt;0,IF(I157&lt;&gt;"Serviço",ifzero(mlookup(tbl_ICMSinterno_data,UFdestino,tbl_ICMSinterno_UF,O157,tbl_ICMSinterno_NCM),mlookup(tbl_ICMSinterest_data,UFdestino,tbl_ICMSinterest_ufdest,UFdestino,tbl_ICMSinterest_uforig)),""),0)</f>
        <v>0</v>
      </c>
      <c r="CI157" s="355">
        <f t="shared" si="1070"/>
        <v>0</v>
      </c>
      <c r="CJ157" s="355">
        <f t="shared" si="1071"/>
        <v>0</v>
      </c>
      <c r="CK157" s="355">
        <f t="shared" si="1072"/>
        <v>0</v>
      </c>
      <c r="CL157" s="355">
        <f t="shared" si="1073"/>
        <v>0</v>
      </c>
      <c r="CN157" s="370">
        <f t="shared" si="1074"/>
        <v>1540</v>
      </c>
      <c r="CO157" s="355">
        <f t="shared" si="1075"/>
        <v>0</v>
      </c>
      <c r="CQ157" s="355" t="b">
        <f t="shared" si="1076"/>
        <v>0</v>
      </c>
      <c r="CR157" s="355" t="b">
        <f t="shared" si="1077"/>
        <v>1</v>
      </c>
      <c r="CS157" s="355" t="b">
        <f t="shared" si="1078"/>
        <v>0</v>
      </c>
      <c r="CU157" s="2">
        <f t="shared" si="1079"/>
        <v>0</v>
      </c>
      <c r="CV157" s="102">
        <f t="shared" si="1080"/>
        <v>0</v>
      </c>
      <c r="CW157" s="102">
        <f t="shared" si="1014"/>
        <v>0</v>
      </c>
      <c r="CX157" s="102">
        <f t="shared" si="1081"/>
        <v>0</v>
      </c>
      <c r="CY157" s="290">
        <f t="shared" si="1082"/>
        <v>0</v>
      </c>
      <c r="CZ157" s="102">
        <f t="shared" si="1016"/>
        <v>0</v>
      </c>
      <c r="DA157" s="290">
        <f t="shared" si="1083"/>
        <v>0</v>
      </c>
      <c r="DB157" s="102">
        <f t="shared" si="1017"/>
        <v>0</v>
      </c>
      <c r="DC157" s="290">
        <f t="shared" si="1084"/>
        <v>0</v>
      </c>
      <c r="DD157" s="102">
        <f t="shared" si="1015"/>
        <v>0</v>
      </c>
      <c r="DE157" s="592">
        <f>IF(D157="Sim",HLOOKUP($DH$5,Parametrização!$G$2:$H$4,2,FALSE),0)</f>
        <v>0</v>
      </c>
      <c r="DF157" s="102">
        <f t="shared" si="1018"/>
        <v>0</v>
      </c>
      <c r="DG157" s="592">
        <f>IF(D157="Sim",HLOOKUP($DH$5,Parametrização!$G$2:$H$4,3,FALSE),0)</f>
        <v>0</v>
      </c>
      <c r="DH157" s="102">
        <f t="shared" si="1019"/>
        <v>0</v>
      </c>
      <c r="DI157" s="102">
        <f t="shared" si="1020"/>
        <v>0</v>
      </c>
      <c r="DK157" s="3" t="str">
        <f t="shared" si="1085"/>
        <v>NA</v>
      </c>
      <c r="DL157" s="2" t="str">
        <f t="shared" si="1086"/>
        <v>NA</v>
      </c>
      <c r="DM157" s="3" t="str">
        <f t="shared" si="1087"/>
        <v>NA</v>
      </c>
      <c r="DN157" s="9" t="str">
        <f t="shared" si="1088"/>
        <v>NA</v>
      </c>
      <c r="DO157" s="637" t="str">
        <f t="shared" si="1089"/>
        <v>NA</v>
      </c>
      <c r="DP157" s="637"/>
      <c r="DQ157" s="3" t="str">
        <f t="shared" si="1090"/>
        <v>NA</v>
      </c>
      <c r="DR157" s="2" t="str">
        <f t="shared" si="1091"/>
        <v>NA</v>
      </c>
      <c r="DS157" s="3" t="str">
        <f t="shared" si="1092"/>
        <v>NA</v>
      </c>
      <c r="DT157" s="9" t="str">
        <f t="shared" si="1021"/>
        <v>NA</v>
      </c>
      <c r="DU157" s="637" t="str">
        <f t="shared" si="1022"/>
        <v>NA</v>
      </c>
      <c r="DV157" s="637"/>
      <c r="DW157" s="682"/>
      <c r="DX157" s="682"/>
      <c r="DY157" s="682"/>
      <c r="DZ157" s="637"/>
      <c r="EA157" s="643"/>
    </row>
    <row r="158" spans="1:131" s="355" customFormat="1" ht="20.100000000000001" customHeight="1" outlineLevel="1" x14ac:dyDescent="0.25">
      <c r="A158" s="356"/>
      <c r="B158" s="355" t="s">
        <v>268</v>
      </c>
      <c r="C158" s="355" t="str">
        <f t="shared" si="1093"/>
        <v>Consumo</v>
      </c>
      <c r="D158" s="355" t="s">
        <v>53</v>
      </c>
      <c r="E158" s="18" t="s">
        <v>38</v>
      </c>
      <c r="F158" s="355" t="s">
        <v>53</v>
      </c>
      <c r="G158" s="357" t="str">
        <f t="shared" si="1094"/>
        <v>Geral</v>
      </c>
      <c r="H158" s="255" t="s">
        <v>377</v>
      </c>
      <c r="I158" s="356" t="str">
        <f t="shared" si="1028"/>
        <v>Sistema</v>
      </c>
      <c r="K158" s="318" t="s">
        <v>2911</v>
      </c>
      <c r="L158" s="749" t="str">
        <f>IF(Padrões!JF99&lt;&gt;"",Padrões!JF99,"")</f>
        <v/>
      </c>
      <c r="M158" s="358" t="str">
        <f t="shared" si="1029"/>
        <v>?</v>
      </c>
      <c r="N158" s="359">
        <f>Padrões!JI99</f>
        <v>0</v>
      </c>
      <c r="O158" s="381" t="str">
        <f t="shared" si="1030"/>
        <v>?</v>
      </c>
      <c r="P158" s="360">
        <f t="shared" si="1031"/>
        <v>0.12</v>
      </c>
      <c r="Q158" s="360" t="str">
        <f t="shared" si="1032"/>
        <v>?</v>
      </c>
      <c r="R158" s="360">
        <f t="shared" si="1033"/>
        <v>0</v>
      </c>
      <c r="S158" s="361">
        <f t="shared" si="1034"/>
        <v>0</v>
      </c>
      <c r="T158" s="362">
        <f t="shared" si="1035"/>
        <v>0</v>
      </c>
      <c r="U158" s="53" t="str" cm="1">
        <f t="array" ref="U158">IFERROR(IF(I158&lt;&gt;"Serviço",IF(AND(mlookup(tbl_DIFAL_data,UFdestino,tbl_DIFAL_UF,O158,tbl_DIFAL_NCM)&lt;&gt;"",C158="Consumo"),"Sim",""),""),"?")</f>
        <v>?</v>
      </c>
      <c r="V158" s="363" t="str">
        <f>IFERROR(IF(I158&lt;&gt;"Serviço",IF(AND(D158="Não",mlookup(tbl_ST_data,UFdestino,tbl_ST_UF,O158,tbl_ST_NCM)&lt;&gt;"",C158="Revenda",CD158="Não"),"Sim",""),""),"?")</f>
        <v>?</v>
      </c>
      <c r="W158" s="364">
        <f t="shared" si="1036"/>
        <v>0</v>
      </c>
      <c r="X158" s="365">
        <f>IF(V158="Sim",mlookup(tbl_ST_data,UFdestino,tbl_ST_UF,O158,tbl_ST_NCM),0)</f>
        <v>0</v>
      </c>
      <c r="Z158" s="355">
        <f t="shared" si="1037"/>
        <v>0</v>
      </c>
      <c r="AA158" s="355">
        <f t="shared" si="1023"/>
        <v>0</v>
      </c>
      <c r="AC158" s="366">
        <f t="shared" si="1095"/>
        <v>1.31243473968765E-2</v>
      </c>
      <c r="AD158" s="366">
        <f t="shared" si="1038"/>
        <v>0.15</v>
      </c>
      <c r="AF158" s="355">
        <f t="shared" si="1039"/>
        <v>0</v>
      </c>
      <c r="AG158" s="355">
        <f t="shared" si="1040"/>
        <v>0</v>
      </c>
      <c r="AI158" s="355">
        <f t="shared" si="1041"/>
        <v>0</v>
      </c>
      <c r="AK158" s="366">
        <f t="shared" si="1096"/>
        <v>0</v>
      </c>
      <c r="AL158" s="355">
        <f t="shared" si="1024"/>
        <v>0</v>
      </c>
      <c r="AM158" s="355">
        <f t="shared" si="1025"/>
        <v>0</v>
      </c>
      <c r="AO158" s="355" t="b">
        <f t="shared" si="1042"/>
        <v>1</v>
      </c>
      <c r="AQ158" s="367">
        <f t="shared" si="1043"/>
        <v>0</v>
      </c>
      <c r="AR158" s="367">
        <f t="shared" si="1026"/>
        <v>0</v>
      </c>
      <c r="AT158" s="367">
        <f t="shared" si="1044"/>
        <v>0</v>
      </c>
      <c r="AU158" s="367">
        <f t="shared" si="1045"/>
        <v>0</v>
      </c>
      <c r="AW158" s="367">
        <f t="shared" si="1046"/>
        <v>0</v>
      </c>
      <c r="AX158" s="367">
        <f t="shared" si="1047"/>
        <v>0</v>
      </c>
      <c r="AY158" s="367">
        <f t="shared" si="1048"/>
        <v>0</v>
      </c>
      <c r="AZ158" s="367">
        <f t="shared" si="1049"/>
        <v>0</v>
      </c>
      <c r="BB158" s="355">
        <f t="shared" si="1050"/>
        <v>0</v>
      </c>
      <c r="BC158" s="355">
        <f t="shared" si="1051"/>
        <v>0</v>
      </c>
      <c r="BD158" s="355">
        <f t="shared" si="1052"/>
        <v>0</v>
      </c>
      <c r="BE158" s="355">
        <f t="shared" si="1053"/>
        <v>0</v>
      </c>
      <c r="BF158" s="355">
        <f t="shared" si="1054"/>
        <v>0</v>
      </c>
      <c r="BH158" s="368">
        <f t="shared" si="1055"/>
        <v>0</v>
      </c>
      <c r="BJ158" s="369">
        <f t="shared" si="1056"/>
        <v>-0.12</v>
      </c>
      <c r="BK158" s="355">
        <f t="shared" si="1057"/>
        <v>0</v>
      </c>
      <c r="BL158" s="355">
        <f t="shared" si="1058"/>
        <v>0</v>
      </c>
      <c r="BN158" s="366">
        <f t="shared" si="1059"/>
        <v>0</v>
      </c>
      <c r="BO158" s="355">
        <f t="shared" si="1060"/>
        <v>0</v>
      </c>
      <c r="BP158" s="355">
        <f t="shared" si="1061"/>
        <v>0</v>
      </c>
      <c r="BQ158" s="355">
        <f t="shared" si="1062"/>
        <v>0</v>
      </c>
      <c r="BS158" s="367">
        <f t="shared" si="1063"/>
        <v>0</v>
      </c>
      <c r="BT158" s="355">
        <f t="shared" si="1064"/>
        <v>0</v>
      </c>
      <c r="BU158" s="355" t="b">
        <f t="shared" si="1027"/>
        <v>1</v>
      </c>
      <c r="BW158" s="355" t="str">
        <f t="shared" si="1065"/>
        <v/>
      </c>
      <c r="BX158" s="355">
        <f t="shared" si="1066"/>
        <v>0</v>
      </c>
      <c r="BY158" s="356">
        <f t="shared" si="1097"/>
        <v>0</v>
      </c>
      <c r="BZ158" s="355">
        <f t="shared" si="1067"/>
        <v>0</v>
      </c>
      <c r="CB158" s="102" t="str">
        <f t="shared" si="1068"/>
        <v>?</v>
      </c>
      <c r="CD158" s="355" t="str">
        <f t="shared" si="1069"/>
        <v>Não</v>
      </c>
      <c r="CE158" s="368">
        <f>ifzero(mlookup(tbl_ICMSinterest_data,UFdestino,tbl_ICMSinterest_ufdest,UForigem,tbl_ICMSinterest_uforig))</f>
        <v>0.12</v>
      </c>
      <c r="CF158" s="368">
        <f>IF(N158&gt;0,IF(I158&lt;&gt;"Serviço",ifzero(mlookup(tbl_ICMSinterno_data,UForigem,tbl_ICMSinterno_UF,O158,tbl_ICMSinterno_NCM),mlookup(tbl_ICMSinterest_data,UForigem,tbl_ICMSinterest_ufdest,UForigem,tbl_ICMSinterest_uforig)),""),0)</f>
        <v>0</v>
      </c>
      <c r="CG158" s="368">
        <f>IF(N158&gt;0,IF(I158&lt;&gt;"Serviço",ifzero(mlookup(tbl_ICMSinterno_data,UFdestino,tbl_ICMSinterno_UF,O158,tbl_ICMSinterno_NCM),mlookup(tbl_ICMSinterest_data,UFdestino,tbl_ICMSinterest_ufdest,UFdestino,tbl_ICMSinterest_uforig)),""),0)</f>
        <v>0</v>
      </c>
      <c r="CI158" s="355">
        <f t="shared" si="1070"/>
        <v>0</v>
      </c>
      <c r="CJ158" s="355">
        <f t="shared" si="1071"/>
        <v>0</v>
      </c>
      <c r="CK158" s="355">
        <f t="shared" si="1072"/>
        <v>0</v>
      </c>
      <c r="CL158" s="355">
        <f t="shared" si="1073"/>
        <v>0</v>
      </c>
      <c r="CN158" s="370">
        <f t="shared" si="1074"/>
        <v>1540</v>
      </c>
      <c r="CO158" s="355">
        <f t="shared" si="1075"/>
        <v>0</v>
      </c>
      <c r="CQ158" s="355" t="b">
        <f t="shared" si="1076"/>
        <v>0</v>
      </c>
      <c r="CR158" s="355" t="b">
        <f t="shared" si="1077"/>
        <v>1</v>
      </c>
      <c r="CS158" s="355" t="b">
        <f t="shared" si="1078"/>
        <v>0</v>
      </c>
      <c r="CU158" s="2">
        <f t="shared" si="1079"/>
        <v>0</v>
      </c>
      <c r="CV158" s="102">
        <f t="shared" si="1080"/>
        <v>0</v>
      </c>
      <c r="CW158" s="102">
        <f t="shared" si="1014"/>
        <v>0</v>
      </c>
      <c r="CX158" s="102">
        <f t="shared" si="1081"/>
        <v>0</v>
      </c>
      <c r="CY158" s="290">
        <f t="shared" si="1082"/>
        <v>0</v>
      </c>
      <c r="CZ158" s="102">
        <f t="shared" si="1016"/>
        <v>0</v>
      </c>
      <c r="DA158" s="290">
        <f t="shared" si="1083"/>
        <v>0</v>
      </c>
      <c r="DB158" s="102">
        <f t="shared" si="1017"/>
        <v>0</v>
      </c>
      <c r="DC158" s="290">
        <f t="shared" si="1084"/>
        <v>0</v>
      </c>
      <c r="DD158" s="102">
        <f t="shared" si="1015"/>
        <v>0</v>
      </c>
      <c r="DE158" s="592">
        <f>IF(D158="Sim",HLOOKUP($DH$5,Parametrização!$G$2:$H$4,2,FALSE),0)</f>
        <v>0</v>
      </c>
      <c r="DF158" s="102">
        <f t="shared" si="1018"/>
        <v>0</v>
      </c>
      <c r="DG158" s="592">
        <f>IF(D158="Sim",HLOOKUP($DH$5,Parametrização!$G$2:$H$4,3,FALSE),0)</f>
        <v>0</v>
      </c>
      <c r="DH158" s="102">
        <f t="shared" si="1019"/>
        <v>0</v>
      </c>
      <c r="DI158" s="102">
        <f t="shared" si="1020"/>
        <v>0</v>
      </c>
      <c r="DK158" s="3" t="str">
        <f t="shared" si="1085"/>
        <v>NA</v>
      </c>
      <c r="DL158" s="2" t="str">
        <f t="shared" si="1086"/>
        <v>NA</v>
      </c>
      <c r="DM158" s="3" t="str">
        <f t="shared" si="1087"/>
        <v>NA</v>
      </c>
      <c r="DN158" s="9" t="str">
        <f t="shared" si="1088"/>
        <v>NA</v>
      </c>
      <c r="DO158" s="637" t="str">
        <f t="shared" si="1089"/>
        <v>NA</v>
      </c>
      <c r="DP158" s="637"/>
      <c r="DQ158" s="3" t="str">
        <f t="shared" si="1090"/>
        <v>NA</v>
      </c>
      <c r="DR158" s="2" t="str">
        <f t="shared" si="1091"/>
        <v>NA</v>
      </c>
      <c r="DS158" s="3" t="str">
        <f t="shared" si="1092"/>
        <v>NA</v>
      </c>
      <c r="DT158" s="9" t="str">
        <f t="shared" si="1021"/>
        <v>NA</v>
      </c>
      <c r="DU158" s="637" t="str">
        <f t="shared" si="1022"/>
        <v>NA</v>
      </c>
      <c r="DV158" s="637"/>
      <c r="DW158" s="682"/>
      <c r="DX158" s="682"/>
      <c r="DY158" s="682"/>
      <c r="DZ158" s="637"/>
      <c r="EA158" s="643"/>
    </row>
    <row r="159" spans="1:131" s="355" customFormat="1" ht="20.100000000000001" customHeight="1" outlineLevel="1" x14ac:dyDescent="0.25">
      <c r="A159" s="356"/>
      <c r="B159" s="355" t="s">
        <v>268</v>
      </c>
      <c r="C159" s="355" t="str">
        <f t="shared" si="1093"/>
        <v>Consumo</v>
      </c>
      <c r="D159" s="355" t="s">
        <v>53</v>
      </c>
      <c r="E159" s="18" t="s">
        <v>38</v>
      </c>
      <c r="F159" s="355" t="s">
        <v>53</v>
      </c>
      <c r="G159" s="357" t="str">
        <f t="shared" si="1094"/>
        <v>Geral</v>
      </c>
      <c r="H159" s="255" t="s">
        <v>377</v>
      </c>
      <c r="I159" s="356" t="str">
        <f t="shared" si="1028"/>
        <v>Sistema</v>
      </c>
      <c r="K159" s="318" t="s">
        <v>2912</v>
      </c>
      <c r="L159" s="749" t="str">
        <f>IF(Padrões!JF100&lt;&gt;"",Padrões!JF100,"")</f>
        <v/>
      </c>
      <c r="M159" s="358" t="str">
        <f t="shared" si="1029"/>
        <v>?</v>
      </c>
      <c r="N159" s="359">
        <f>Padrões!JI100</f>
        <v>0</v>
      </c>
      <c r="O159" s="381" t="str">
        <f t="shared" si="1030"/>
        <v>?</v>
      </c>
      <c r="P159" s="360">
        <f t="shared" si="1031"/>
        <v>0.12</v>
      </c>
      <c r="Q159" s="360" t="str">
        <f t="shared" si="1032"/>
        <v>?</v>
      </c>
      <c r="R159" s="360">
        <f t="shared" si="1033"/>
        <v>0</v>
      </c>
      <c r="S159" s="361">
        <f t="shared" si="1034"/>
        <v>0</v>
      </c>
      <c r="T159" s="362">
        <f t="shared" si="1035"/>
        <v>0</v>
      </c>
      <c r="U159" s="53" t="str" cm="1">
        <f t="array" ref="U159">IFERROR(IF(I159&lt;&gt;"Serviço",IF(AND(mlookup(tbl_DIFAL_data,UFdestino,tbl_DIFAL_UF,O159,tbl_DIFAL_NCM)&lt;&gt;"",C159="Consumo"),"Sim",""),""),"?")</f>
        <v>?</v>
      </c>
      <c r="V159" s="363" t="str">
        <f>IFERROR(IF(I159&lt;&gt;"Serviço",IF(AND(D159="Não",mlookup(tbl_ST_data,UFdestino,tbl_ST_UF,O159,tbl_ST_NCM)&lt;&gt;"",C159="Revenda",CD159="Não"),"Sim",""),""),"?")</f>
        <v>?</v>
      </c>
      <c r="W159" s="364">
        <f t="shared" si="1036"/>
        <v>0</v>
      </c>
      <c r="X159" s="365">
        <f>IF(V159="Sim",mlookup(tbl_ST_data,UFdestino,tbl_ST_UF,O159,tbl_ST_NCM),0)</f>
        <v>0</v>
      </c>
      <c r="Z159" s="355">
        <f t="shared" si="1037"/>
        <v>0</v>
      </c>
      <c r="AA159" s="355">
        <f t="shared" si="1023"/>
        <v>0</v>
      </c>
      <c r="AC159" s="366">
        <f t="shared" si="1095"/>
        <v>1.31243473968765E-2</v>
      </c>
      <c r="AD159" s="366">
        <f t="shared" si="1038"/>
        <v>0.15</v>
      </c>
      <c r="AF159" s="355">
        <f t="shared" si="1039"/>
        <v>0</v>
      </c>
      <c r="AG159" s="355">
        <f t="shared" si="1040"/>
        <v>0</v>
      </c>
      <c r="AI159" s="355">
        <f t="shared" si="1041"/>
        <v>0</v>
      </c>
      <c r="AK159" s="366">
        <f t="shared" si="1096"/>
        <v>0</v>
      </c>
      <c r="AL159" s="355">
        <f t="shared" si="1024"/>
        <v>0</v>
      </c>
      <c r="AM159" s="355">
        <f t="shared" si="1025"/>
        <v>0</v>
      </c>
      <c r="AO159" s="355" t="b">
        <f t="shared" si="1042"/>
        <v>1</v>
      </c>
      <c r="AQ159" s="367">
        <f t="shared" si="1043"/>
        <v>0</v>
      </c>
      <c r="AR159" s="367">
        <f t="shared" si="1026"/>
        <v>0</v>
      </c>
      <c r="AT159" s="367">
        <f t="shared" si="1044"/>
        <v>0</v>
      </c>
      <c r="AU159" s="367">
        <f t="shared" si="1045"/>
        <v>0</v>
      </c>
      <c r="AW159" s="367">
        <f t="shared" si="1046"/>
        <v>0</v>
      </c>
      <c r="AX159" s="367">
        <f t="shared" si="1047"/>
        <v>0</v>
      </c>
      <c r="AY159" s="367">
        <f t="shared" si="1048"/>
        <v>0</v>
      </c>
      <c r="AZ159" s="367">
        <f t="shared" si="1049"/>
        <v>0</v>
      </c>
      <c r="BB159" s="355">
        <f t="shared" si="1050"/>
        <v>0</v>
      </c>
      <c r="BC159" s="355">
        <f t="shared" si="1051"/>
        <v>0</v>
      </c>
      <c r="BD159" s="355">
        <f t="shared" si="1052"/>
        <v>0</v>
      </c>
      <c r="BE159" s="355">
        <f t="shared" si="1053"/>
        <v>0</v>
      </c>
      <c r="BF159" s="355">
        <f t="shared" si="1054"/>
        <v>0</v>
      </c>
      <c r="BH159" s="368">
        <f t="shared" si="1055"/>
        <v>0</v>
      </c>
      <c r="BJ159" s="369">
        <f t="shared" si="1056"/>
        <v>-0.12</v>
      </c>
      <c r="BK159" s="355">
        <f t="shared" si="1057"/>
        <v>0</v>
      </c>
      <c r="BL159" s="355">
        <f t="shared" si="1058"/>
        <v>0</v>
      </c>
      <c r="BN159" s="366">
        <f t="shared" si="1059"/>
        <v>0</v>
      </c>
      <c r="BO159" s="355">
        <f t="shared" si="1060"/>
        <v>0</v>
      </c>
      <c r="BP159" s="355">
        <f t="shared" si="1061"/>
        <v>0</v>
      </c>
      <c r="BQ159" s="355">
        <f t="shared" si="1062"/>
        <v>0</v>
      </c>
      <c r="BS159" s="367">
        <f t="shared" si="1063"/>
        <v>0</v>
      </c>
      <c r="BT159" s="355">
        <f t="shared" si="1064"/>
        <v>0</v>
      </c>
      <c r="BU159" s="355" t="b">
        <f t="shared" si="1027"/>
        <v>1</v>
      </c>
      <c r="BW159" s="355" t="str">
        <f t="shared" si="1065"/>
        <v/>
      </c>
      <c r="BX159" s="355">
        <f t="shared" si="1066"/>
        <v>0</v>
      </c>
      <c r="BY159" s="356">
        <f t="shared" si="1097"/>
        <v>0</v>
      </c>
      <c r="BZ159" s="355">
        <f t="shared" si="1067"/>
        <v>0</v>
      </c>
      <c r="CB159" s="102" t="str">
        <f t="shared" si="1068"/>
        <v>?</v>
      </c>
      <c r="CD159" s="355" t="str">
        <f t="shared" si="1069"/>
        <v>Não</v>
      </c>
      <c r="CE159" s="368">
        <f>ifzero(mlookup(tbl_ICMSinterest_data,UFdestino,tbl_ICMSinterest_ufdest,UForigem,tbl_ICMSinterest_uforig))</f>
        <v>0.12</v>
      </c>
      <c r="CF159" s="368">
        <f>IF(N159&gt;0,IF(I159&lt;&gt;"Serviço",ifzero(mlookup(tbl_ICMSinterno_data,UForigem,tbl_ICMSinterno_UF,O159,tbl_ICMSinterno_NCM),mlookup(tbl_ICMSinterest_data,UForigem,tbl_ICMSinterest_ufdest,UForigem,tbl_ICMSinterest_uforig)),""),0)</f>
        <v>0</v>
      </c>
      <c r="CG159" s="368">
        <f>IF(N159&gt;0,IF(I159&lt;&gt;"Serviço",ifzero(mlookup(tbl_ICMSinterno_data,UFdestino,tbl_ICMSinterno_UF,O159,tbl_ICMSinterno_NCM),mlookup(tbl_ICMSinterest_data,UFdestino,tbl_ICMSinterest_ufdest,UFdestino,tbl_ICMSinterest_uforig)),""),0)</f>
        <v>0</v>
      </c>
      <c r="CI159" s="355">
        <f t="shared" si="1070"/>
        <v>0</v>
      </c>
      <c r="CJ159" s="355">
        <f t="shared" si="1071"/>
        <v>0</v>
      </c>
      <c r="CK159" s="355">
        <f t="shared" si="1072"/>
        <v>0</v>
      </c>
      <c r="CL159" s="355">
        <f t="shared" si="1073"/>
        <v>0</v>
      </c>
      <c r="CN159" s="370">
        <f t="shared" si="1074"/>
        <v>1540</v>
      </c>
      <c r="CO159" s="355">
        <f t="shared" si="1075"/>
        <v>0</v>
      </c>
      <c r="CQ159" s="355" t="b">
        <f t="shared" si="1076"/>
        <v>0</v>
      </c>
      <c r="CR159" s="355" t="b">
        <f t="shared" si="1077"/>
        <v>1</v>
      </c>
      <c r="CS159" s="355" t="b">
        <f t="shared" si="1078"/>
        <v>0</v>
      </c>
      <c r="CU159" s="2">
        <f t="shared" si="1079"/>
        <v>0</v>
      </c>
      <c r="CV159" s="102">
        <f t="shared" si="1080"/>
        <v>0</v>
      </c>
      <c r="CW159" s="102">
        <f t="shared" si="1014"/>
        <v>0</v>
      </c>
      <c r="CX159" s="102">
        <f t="shared" si="1081"/>
        <v>0</v>
      </c>
      <c r="CY159" s="290">
        <f t="shared" si="1082"/>
        <v>0</v>
      </c>
      <c r="CZ159" s="102">
        <f t="shared" si="1016"/>
        <v>0</v>
      </c>
      <c r="DA159" s="290">
        <f t="shared" si="1083"/>
        <v>0</v>
      </c>
      <c r="DB159" s="102">
        <f t="shared" si="1017"/>
        <v>0</v>
      </c>
      <c r="DC159" s="290">
        <f t="shared" si="1084"/>
        <v>0</v>
      </c>
      <c r="DD159" s="102">
        <f t="shared" si="1015"/>
        <v>0</v>
      </c>
      <c r="DE159" s="592">
        <f>IF(D159="Sim",HLOOKUP($DH$5,Parametrização!$G$2:$H$4,2,FALSE),0)</f>
        <v>0</v>
      </c>
      <c r="DF159" s="102">
        <f t="shared" si="1018"/>
        <v>0</v>
      </c>
      <c r="DG159" s="592">
        <f>IF(D159="Sim",HLOOKUP($DH$5,Parametrização!$G$2:$H$4,3,FALSE),0)</f>
        <v>0</v>
      </c>
      <c r="DH159" s="102">
        <f t="shared" si="1019"/>
        <v>0</v>
      </c>
      <c r="DI159" s="102">
        <f t="shared" si="1020"/>
        <v>0</v>
      </c>
      <c r="DK159" s="3" t="str">
        <f t="shared" si="1085"/>
        <v>NA</v>
      </c>
      <c r="DL159" s="2" t="str">
        <f t="shared" si="1086"/>
        <v>NA</v>
      </c>
      <c r="DM159" s="3" t="str">
        <f t="shared" si="1087"/>
        <v>NA</v>
      </c>
      <c r="DN159" s="9" t="str">
        <f t="shared" si="1088"/>
        <v>NA</v>
      </c>
      <c r="DO159" s="637" t="str">
        <f t="shared" si="1089"/>
        <v>NA</v>
      </c>
      <c r="DP159" s="637"/>
      <c r="DQ159" s="3" t="str">
        <f t="shared" si="1090"/>
        <v>NA</v>
      </c>
      <c r="DR159" s="2" t="str">
        <f t="shared" si="1091"/>
        <v>NA</v>
      </c>
      <c r="DS159" s="3" t="str">
        <f t="shared" si="1092"/>
        <v>NA</v>
      </c>
      <c r="DT159" s="9" t="str">
        <f t="shared" si="1021"/>
        <v>NA</v>
      </c>
      <c r="DU159" s="637" t="str">
        <f t="shared" si="1022"/>
        <v>NA</v>
      </c>
      <c r="DV159" s="637"/>
      <c r="DW159" s="682"/>
      <c r="DX159" s="682"/>
      <c r="DY159" s="682"/>
      <c r="DZ159" s="637"/>
      <c r="EA159" s="643"/>
    </row>
    <row r="160" spans="1:131" s="355" customFormat="1" ht="20.100000000000001" customHeight="1" outlineLevel="1" x14ac:dyDescent="0.25">
      <c r="A160" s="356"/>
      <c r="B160" s="355" t="s">
        <v>268</v>
      </c>
      <c r="C160" s="355" t="str">
        <f t="shared" si="1093"/>
        <v>Consumo</v>
      </c>
      <c r="D160" s="355" t="s">
        <v>53</v>
      </c>
      <c r="E160" s="18" t="s">
        <v>38</v>
      </c>
      <c r="F160" s="355" t="s">
        <v>53</v>
      </c>
      <c r="G160" s="357" t="str">
        <f t="shared" si="1094"/>
        <v>Geral</v>
      </c>
      <c r="H160" s="255" t="s">
        <v>377</v>
      </c>
      <c r="I160" s="356" t="str">
        <f t="shared" si="1028"/>
        <v>Sistema</v>
      </c>
      <c r="K160" s="318" t="s">
        <v>2913</v>
      </c>
      <c r="L160" s="749" t="str">
        <f>IF(Padrões!JF101&lt;&gt;"",Padrões!JF101,"")</f>
        <v/>
      </c>
      <c r="M160" s="358" t="str">
        <f t="shared" si="1029"/>
        <v>?</v>
      </c>
      <c r="N160" s="359">
        <f>Padrões!JI101</f>
        <v>0</v>
      </c>
      <c r="O160" s="381" t="str">
        <f t="shared" si="1030"/>
        <v>?</v>
      </c>
      <c r="P160" s="360">
        <f t="shared" si="1031"/>
        <v>0.12</v>
      </c>
      <c r="Q160" s="360" t="str">
        <f t="shared" si="1032"/>
        <v>?</v>
      </c>
      <c r="R160" s="360">
        <f t="shared" si="1033"/>
        <v>0</v>
      </c>
      <c r="S160" s="361">
        <f t="shared" si="1034"/>
        <v>0</v>
      </c>
      <c r="T160" s="362">
        <f t="shared" si="1035"/>
        <v>0</v>
      </c>
      <c r="U160" s="53" t="str" cm="1">
        <f t="array" ref="U160">IFERROR(IF(I160&lt;&gt;"Serviço",IF(AND(mlookup(tbl_DIFAL_data,UFdestino,tbl_DIFAL_UF,O160,tbl_DIFAL_NCM)&lt;&gt;"",C160="Consumo"),"Sim",""),""),"?")</f>
        <v>?</v>
      </c>
      <c r="V160" s="363" t="str">
        <f>IFERROR(IF(I160&lt;&gt;"Serviço",IF(AND(D160="Não",mlookup(tbl_ST_data,UFdestino,tbl_ST_UF,O160,tbl_ST_NCM)&lt;&gt;"",C160="Revenda",CD160="Não"),"Sim",""),""),"?")</f>
        <v>?</v>
      </c>
      <c r="W160" s="364">
        <f t="shared" si="1036"/>
        <v>0</v>
      </c>
      <c r="X160" s="365">
        <f>IF(V160="Sim",mlookup(tbl_ST_data,UFdestino,tbl_ST_UF,O160,tbl_ST_NCM),0)</f>
        <v>0</v>
      </c>
      <c r="Z160" s="355">
        <f t="shared" si="1037"/>
        <v>0</v>
      </c>
      <c r="AA160" s="355">
        <f t="shared" si="1023"/>
        <v>0</v>
      </c>
      <c r="AC160" s="366">
        <f t="shared" si="1095"/>
        <v>1.31243473968765E-2</v>
      </c>
      <c r="AD160" s="366">
        <f t="shared" si="1038"/>
        <v>0.15</v>
      </c>
      <c r="AF160" s="355">
        <f t="shared" si="1039"/>
        <v>0</v>
      </c>
      <c r="AG160" s="355">
        <f t="shared" si="1040"/>
        <v>0</v>
      </c>
      <c r="AI160" s="355">
        <f t="shared" si="1041"/>
        <v>0</v>
      </c>
      <c r="AK160" s="366">
        <f t="shared" si="1096"/>
        <v>0</v>
      </c>
      <c r="AL160" s="355">
        <f t="shared" si="1024"/>
        <v>0</v>
      </c>
      <c r="AM160" s="355">
        <f t="shared" si="1025"/>
        <v>0</v>
      </c>
      <c r="AO160" s="355" t="b">
        <f t="shared" si="1042"/>
        <v>1</v>
      </c>
      <c r="AQ160" s="367">
        <f t="shared" si="1043"/>
        <v>0</v>
      </c>
      <c r="AR160" s="367">
        <f t="shared" si="1026"/>
        <v>0</v>
      </c>
      <c r="AT160" s="367">
        <f t="shared" si="1044"/>
        <v>0</v>
      </c>
      <c r="AU160" s="367">
        <f t="shared" si="1045"/>
        <v>0</v>
      </c>
      <c r="AW160" s="367">
        <f t="shared" si="1046"/>
        <v>0</v>
      </c>
      <c r="AX160" s="367">
        <f t="shared" si="1047"/>
        <v>0</v>
      </c>
      <c r="AY160" s="367">
        <f t="shared" si="1048"/>
        <v>0</v>
      </c>
      <c r="AZ160" s="367">
        <f t="shared" si="1049"/>
        <v>0</v>
      </c>
      <c r="BB160" s="355">
        <f t="shared" si="1050"/>
        <v>0</v>
      </c>
      <c r="BC160" s="355">
        <f t="shared" si="1051"/>
        <v>0</v>
      </c>
      <c r="BD160" s="355">
        <f t="shared" si="1052"/>
        <v>0</v>
      </c>
      <c r="BE160" s="355">
        <f t="shared" si="1053"/>
        <v>0</v>
      </c>
      <c r="BF160" s="355">
        <f t="shared" si="1054"/>
        <v>0</v>
      </c>
      <c r="BH160" s="368">
        <f t="shared" si="1055"/>
        <v>0</v>
      </c>
      <c r="BJ160" s="369">
        <f t="shared" si="1056"/>
        <v>-0.12</v>
      </c>
      <c r="BK160" s="355">
        <f t="shared" si="1057"/>
        <v>0</v>
      </c>
      <c r="BL160" s="355">
        <f t="shared" si="1058"/>
        <v>0</v>
      </c>
      <c r="BN160" s="366">
        <f t="shared" si="1059"/>
        <v>0</v>
      </c>
      <c r="BO160" s="355">
        <f t="shared" si="1060"/>
        <v>0</v>
      </c>
      <c r="BP160" s="355">
        <f t="shared" si="1061"/>
        <v>0</v>
      </c>
      <c r="BQ160" s="355">
        <f t="shared" si="1062"/>
        <v>0</v>
      </c>
      <c r="BS160" s="367">
        <f t="shared" si="1063"/>
        <v>0</v>
      </c>
      <c r="BT160" s="355">
        <f t="shared" si="1064"/>
        <v>0</v>
      </c>
      <c r="BU160" s="355" t="b">
        <f t="shared" si="1027"/>
        <v>1</v>
      </c>
      <c r="BW160" s="355" t="str">
        <f t="shared" si="1065"/>
        <v/>
      </c>
      <c r="BX160" s="355">
        <f t="shared" si="1066"/>
        <v>0</v>
      </c>
      <c r="BY160" s="356">
        <f t="shared" si="1097"/>
        <v>0</v>
      </c>
      <c r="BZ160" s="355">
        <f t="shared" si="1067"/>
        <v>0</v>
      </c>
      <c r="CB160" s="102" t="str">
        <f t="shared" si="1068"/>
        <v>?</v>
      </c>
      <c r="CD160" s="355" t="str">
        <f t="shared" si="1069"/>
        <v>Não</v>
      </c>
      <c r="CE160" s="368">
        <f>ifzero(mlookup(tbl_ICMSinterest_data,UFdestino,tbl_ICMSinterest_ufdest,UForigem,tbl_ICMSinterest_uforig))</f>
        <v>0.12</v>
      </c>
      <c r="CF160" s="368">
        <f>IF(N160&gt;0,IF(I160&lt;&gt;"Serviço",ifzero(mlookup(tbl_ICMSinterno_data,UForigem,tbl_ICMSinterno_UF,O160,tbl_ICMSinterno_NCM),mlookup(tbl_ICMSinterest_data,UForigem,tbl_ICMSinterest_ufdest,UForigem,tbl_ICMSinterest_uforig)),""),0)</f>
        <v>0</v>
      </c>
      <c r="CG160" s="368">
        <f>IF(N160&gt;0,IF(I160&lt;&gt;"Serviço",ifzero(mlookup(tbl_ICMSinterno_data,UFdestino,tbl_ICMSinterno_UF,O160,tbl_ICMSinterno_NCM),mlookup(tbl_ICMSinterest_data,UFdestino,tbl_ICMSinterest_ufdest,UFdestino,tbl_ICMSinterest_uforig)),""),0)</f>
        <v>0</v>
      </c>
      <c r="CI160" s="355">
        <f t="shared" si="1070"/>
        <v>0</v>
      </c>
      <c r="CJ160" s="355">
        <f t="shared" si="1071"/>
        <v>0</v>
      </c>
      <c r="CK160" s="355">
        <f t="shared" si="1072"/>
        <v>0</v>
      </c>
      <c r="CL160" s="355">
        <f t="shared" si="1073"/>
        <v>0</v>
      </c>
      <c r="CN160" s="370">
        <f t="shared" si="1074"/>
        <v>1540</v>
      </c>
      <c r="CO160" s="355">
        <f t="shared" si="1075"/>
        <v>0</v>
      </c>
      <c r="CQ160" s="355" t="b">
        <f t="shared" si="1076"/>
        <v>0</v>
      </c>
      <c r="CR160" s="355" t="b">
        <f t="shared" si="1077"/>
        <v>1</v>
      </c>
      <c r="CS160" s="355" t="b">
        <f t="shared" si="1078"/>
        <v>0</v>
      </c>
      <c r="CU160" s="2">
        <f t="shared" si="1079"/>
        <v>0</v>
      </c>
      <c r="CV160" s="102">
        <f t="shared" si="1080"/>
        <v>0</v>
      </c>
      <c r="CW160" s="102">
        <f t="shared" ref="CW160:CW223" si="1098">CX160*(1-CY160-DA160-DE160-DG160)/(1+DC160)</f>
        <v>0</v>
      </c>
      <c r="CX160" s="102">
        <f t="shared" si="1081"/>
        <v>0</v>
      </c>
      <c r="CY160" s="290">
        <f t="shared" si="1082"/>
        <v>0</v>
      </c>
      <c r="CZ160" s="102">
        <f t="shared" si="1016"/>
        <v>0</v>
      </c>
      <c r="DA160" s="290">
        <f t="shared" si="1083"/>
        <v>0</v>
      </c>
      <c r="DB160" s="102">
        <f t="shared" si="1017"/>
        <v>0</v>
      </c>
      <c r="DC160" s="290">
        <f t="shared" si="1084"/>
        <v>0</v>
      </c>
      <c r="DD160" s="102">
        <f t="shared" si="1015"/>
        <v>0</v>
      </c>
      <c r="DE160" s="592">
        <f>IF(D160="Sim",HLOOKUP($DH$5,Parametrização!$G$2:$H$4,2,FALSE),0)</f>
        <v>0</v>
      </c>
      <c r="DF160" s="102">
        <f t="shared" si="1018"/>
        <v>0</v>
      </c>
      <c r="DG160" s="592">
        <f>IF(D160="Sim",HLOOKUP($DH$5,Parametrização!$G$2:$H$4,3,FALSE),0)</f>
        <v>0</v>
      </c>
      <c r="DH160" s="102">
        <f t="shared" si="1019"/>
        <v>0</v>
      </c>
      <c r="DI160" s="102">
        <f t="shared" si="1020"/>
        <v>0</v>
      </c>
      <c r="DK160" s="3" t="str">
        <f t="shared" si="1085"/>
        <v>NA</v>
      </c>
      <c r="DL160" s="2" t="str">
        <f t="shared" si="1086"/>
        <v>NA</v>
      </c>
      <c r="DM160" s="3" t="str">
        <f t="shared" si="1087"/>
        <v>NA</v>
      </c>
      <c r="DN160" s="9" t="str">
        <f t="shared" si="1088"/>
        <v>NA</v>
      </c>
      <c r="DO160" s="637" t="str">
        <f t="shared" si="1089"/>
        <v>NA</v>
      </c>
      <c r="DP160" s="637"/>
      <c r="DQ160" s="3" t="str">
        <f t="shared" si="1090"/>
        <v>NA</v>
      </c>
      <c r="DR160" s="2" t="str">
        <f t="shared" si="1091"/>
        <v>NA</v>
      </c>
      <c r="DS160" s="3" t="str">
        <f t="shared" si="1092"/>
        <v>NA</v>
      </c>
      <c r="DT160" s="9" t="str">
        <f t="shared" si="1021"/>
        <v>NA</v>
      </c>
      <c r="DU160" s="637" t="str">
        <f t="shared" si="1022"/>
        <v>NA</v>
      </c>
      <c r="DV160" s="637"/>
      <c r="DW160" s="682"/>
      <c r="DX160" s="682"/>
      <c r="DY160" s="682"/>
      <c r="DZ160" s="637"/>
      <c r="EA160" s="643"/>
    </row>
    <row r="161" spans="1:131" s="355" customFormat="1" ht="20.100000000000001" customHeight="1" outlineLevel="1" x14ac:dyDescent="0.25">
      <c r="A161" s="356"/>
      <c r="B161" s="355" t="s">
        <v>268</v>
      </c>
      <c r="C161" s="355" t="str">
        <f t="shared" si="1093"/>
        <v>Consumo</v>
      </c>
      <c r="D161" s="355" t="s">
        <v>53</v>
      </c>
      <c r="E161" s="18" t="s">
        <v>38</v>
      </c>
      <c r="F161" s="355" t="s">
        <v>53</v>
      </c>
      <c r="G161" s="357" t="str">
        <f t="shared" si="1094"/>
        <v>Geral</v>
      </c>
      <c r="H161" s="255" t="s">
        <v>377</v>
      </c>
      <c r="I161" s="356" t="str">
        <f t="shared" si="1028"/>
        <v>Sistema</v>
      </c>
      <c r="K161" s="318" t="s">
        <v>2914</v>
      </c>
      <c r="L161" s="749" t="str">
        <f>IF(Padrões!JF102&lt;&gt;"",Padrões!JF102,"")</f>
        <v/>
      </c>
      <c r="M161" s="358" t="str">
        <f t="shared" si="1029"/>
        <v>?</v>
      </c>
      <c r="N161" s="359">
        <f>Padrões!JI102</f>
        <v>0</v>
      </c>
      <c r="O161" s="381" t="str">
        <f t="shared" si="1030"/>
        <v>?</v>
      </c>
      <c r="P161" s="360">
        <f t="shared" si="1031"/>
        <v>0.12</v>
      </c>
      <c r="Q161" s="360" t="str">
        <f t="shared" si="1032"/>
        <v>?</v>
      </c>
      <c r="R161" s="360">
        <f t="shared" si="1033"/>
        <v>0</v>
      </c>
      <c r="S161" s="361">
        <f t="shared" si="1034"/>
        <v>0</v>
      </c>
      <c r="T161" s="362">
        <f t="shared" si="1035"/>
        <v>0</v>
      </c>
      <c r="U161" s="53" t="str" cm="1">
        <f t="array" ref="U161">IFERROR(IF(I161&lt;&gt;"Serviço",IF(AND(mlookup(tbl_DIFAL_data,UFdestino,tbl_DIFAL_UF,O161,tbl_DIFAL_NCM)&lt;&gt;"",C161="Consumo"),"Sim",""),""),"?")</f>
        <v>?</v>
      </c>
      <c r="V161" s="363" t="str">
        <f>IFERROR(IF(I161&lt;&gt;"Serviço",IF(AND(D161="Não",mlookup(tbl_ST_data,UFdestino,tbl_ST_UF,O161,tbl_ST_NCM)&lt;&gt;"",C161="Revenda",CD161="Não"),"Sim",""),""),"?")</f>
        <v>?</v>
      </c>
      <c r="W161" s="364">
        <f t="shared" si="1036"/>
        <v>0</v>
      </c>
      <c r="X161" s="365">
        <f>IF(V161="Sim",mlookup(tbl_ST_data,UFdestino,tbl_ST_UF,O161,tbl_ST_NCM),0)</f>
        <v>0</v>
      </c>
      <c r="Z161" s="355">
        <f t="shared" si="1037"/>
        <v>0</v>
      </c>
      <c r="AA161" s="355">
        <f t="shared" si="1023"/>
        <v>0</v>
      </c>
      <c r="AC161" s="366">
        <f t="shared" si="1095"/>
        <v>1.31243473968765E-2</v>
      </c>
      <c r="AD161" s="366">
        <f t="shared" si="1038"/>
        <v>0.15</v>
      </c>
      <c r="AF161" s="355">
        <f t="shared" si="1039"/>
        <v>0</v>
      </c>
      <c r="AG161" s="355">
        <f t="shared" si="1040"/>
        <v>0</v>
      </c>
      <c r="AI161" s="355">
        <f t="shared" si="1041"/>
        <v>0</v>
      </c>
      <c r="AK161" s="366">
        <f t="shared" si="1096"/>
        <v>0</v>
      </c>
      <c r="AL161" s="355">
        <f t="shared" si="1024"/>
        <v>0</v>
      </c>
      <c r="AM161" s="355">
        <f t="shared" si="1025"/>
        <v>0</v>
      </c>
      <c r="AO161" s="355" t="b">
        <f t="shared" si="1042"/>
        <v>1</v>
      </c>
      <c r="AQ161" s="367">
        <f t="shared" si="1043"/>
        <v>0</v>
      </c>
      <c r="AR161" s="367">
        <f t="shared" si="1026"/>
        <v>0</v>
      </c>
      <c r="AT161" s="367">
        <f t="shared" si="1044"/>
        <v>0</v>
      </c>
      <c r="AU161" s="367">
        <f t="shared" si="1045"/>
        <v>0</v>
      </c>
      <c r="AW161" s="367">
        <f t="shared" si="1046"/>
        <v>0</v>
      </c>
      <c r="AX161" s="367">
        <f t="shared" si="1047"/>
        <v>0</v>
      </c>
      <c r="AY161" s="367">
        <f t="shared" si="1048"/>
        <v>0</v>
      </c>
      <c r="AZ161" s="367">
        <f t="shared" si="1049"/>
        <v>0</v>
      </c>
      <c r="BB161" s="355">
        <f t="shared" si="1050"/>
        <v>0</v>
      </c>
      <c r="BC161" s="355">
        <f t="shared" si="1051"/>
        <v>0</v>
      </c>
      <c r="BD161" s="355">
        <f t="shared" si="1052"/>
        <v>0</v>
      </c>
      <c r="BE161" s="355">
        <f t="shared" si="1053"/>
        <v>0</v>
      </c>
      <c r="BF161" s="355">
        <f t="shared" si="1054"/>
        <v>0</v>
      </c>
      <c r="BH161" s="368">
        <f t="shared" si="1055"/>
        <v>0</v>
      </c>
      <c r="BJ161" s="369">
        <f t="shared" si="1056"/>
        <v>-0.12</v>
      </c>
      <c r="BK161" s="355">
        <f t="shared" si="1057"/>
        <v>0</v>
      </c>
      <c r="BL161" s="355">
        <f t="shared" si="1058"/>
        <v>0</v>
      </c>
      <c r="BN161" s="366">
        <f t="shared" si="1059"/>
        <v>0</v>
      </c>
      <c r="BO161" s="355">
        <f t="shared" si="1060"/>
        <v>0</v>
      </c>
      <c r="BP161" s="355">
        <f t="shared" si="1061"/>
        <v>0</v>
      </c>
      <c r="BQ161" s="355">
        <f t="shared" si="1062"/>
        <v>0</v>
      </c>
      <c r="BS161" s="367">
        <f t="shared" si="1063"/>
        <v>0</v>
      </c>
      <c r="BT161" s="355">
        <f t="shared" si="1064"/>
        <v>0</v>
      </c>
      <c r="BU161" s="355" t="b">
        <f t="shared" si="1027"/>
        <v>1</v>
      </c>
      <c r="BW161" s="355" t="str">
        <f t="shared" si="1065"/>
        <v/>
      </c>
      <c r="BX161" s="355">
        <f t="shared" si="1066"/>
        <v>0</v>
      </c>
      <c r="BY161" s="356">
        <f t="shared" si="1097"/>
        <v>0</v>
      </c>
      <c r="BZ161" s="355">
        <f t="shared" si="1067"/>
        <v>0</v>
      </c>
      <c r="CB161" s="102" t="str">
        <f t="shared" si="1068"/>
        <v>?</v>
      </c>
      <c r="CD161" s="355" t="str">
        <f t="shared" si="1069"/>
        <v>Não</v>
      </c>
      <c r="CE161" s="368">
        <f>ifzero(mlookup(tbl_ICMSinterest_data,UFdestino,tbl_ICMSinterest_ufdest,UForigem,tbl_ICMSinterest_uforig))</f>
        <v>0.12</v>
      </c>
      <c r="CF161" s="368">
        <f>IF(N161&gt;0,IF(I161&lt;&gt;"Serviço",ifzero(mlookup(tbl_ICMSinterno_data,UForigem,tbl_ICMSinterno_UF,O161,tbl_ICMSinterno_NCM),mlookup(tbl_ICMSinterest_data,UForigem,tbl_ICMSinterest_ufdest,UForigem,tbl_ICMSinterest_uforig)),""),0)</f>
        <v>0</v>
      </c>
      <c r="CG161" s="368">
        <f>IF(N161&gt;0,IF(I161&lt;&gt;"Serviço",ifzero(mlookup(tbl_ICMSinterno_data,UFdestino,tbl_ICMSinterno_UF,O161,tbl_ICMSinterno_NCM),mlookup(tbl_ICMSinterest_data,UFdestino,tbl_ICMSinterest_ufdest,UFdestino,tbl_ICMSinterest_uforig)),""),0)</f>
        <v>0</v>
      </c>
      <c r="CI161" s="355">
        <f t="shared" si="1070"/>
        <v>0</v>
      </c>
      <c r="CJ161" s="355">
        <f t="shared" si="1071"/>
        <v>0</v>
      </c>
      <c r="CK161" s="355">
        <f t="shared" si="1072"/>
        <v>0</v>
      </c>
      <c r="CL161" s="355">
        <f t="shared" si="1073"/>
        <v>0</v>
      </c>
      <c r="CN161" s="370">
        <f t="shared" si="1074"/>
        <v>1540</v>
      </c>
      <c r="CO161" s="355">
        <f t="shared" si="1075"/>
        <v>0</v>
      </c>
      <c r="CQ161" s="355" t="b">
        <f t="shared" si="1076"/>
        <v>0</v>
      </c>
      <c r="CR161" s="355" t="b">
        <f t="shared" si="1077"/>
        <v>1</v>
      </c>
      <c r="CS161" s="355" t="b">
        <f t="shared" si="1078"/>
        <v>0</v>
      </c>
      <c r="CU161" s="2">
        <f t="shared" si="1079"/>
        <v>0</v>
      </c>
      <c r="CV161" s="102">
        <f t="shared" si="1080"/>
        <v>0</v>
      </c>
      <c r="CW161" s="102">
        <f t="shared" si="1098"/>
        <v>0</v>
      </c>
      <c r="CX161" s="102">
        <f t="shared" si="1081"/>
        <v>0</v>
      </c>
      <c r="CY161" s="290">
        <f t="shared" si="1082"/>
        <v>0</v>
      </c>
      <c r="CZ161" s="102">
        <f t="shared" si="1016"/>
        <v>0</v>
      </c>
      <c r="DA161" s="290">
        <f t="shared" si="1083"/>
        <v>0</v>
      </c>
      <c r="DB161" s="102">
        <f t="shared" si="1017"/>
        <v>0</v>
      </c>
      <c r="DC161" s="290">
        <f t="shared" si="1084"/>
        <v>0</v>
      </c>
      <c r="DD161" s="102">
        <f t="shared" si="1015"/>
        <v>0</v>
      </c>
      <c r="DE161" s="592">
        <f>IF(D161="Sim",HLOOKUP($DH$5,Parametrização!$G$2:$H$4,2,FALSE),0)</f>
        <v>0</v>
      </c>
      <c r="DF161" s="102">
        <f t="shared" si="1018"/>
        <v>0</v>
      </c>
      <c r="DG161" s="592">
        <f>IF(D161="Sim",HLOOKUP($DH$5,Parametrização!$G$2:$H$4,3,FALSE),0)</f>
        <v>0</v>
      </c>
      <c r="DH161" s="102">
        <f t="shared" si="1019"/>
        <v>0</v>
      </c>
      <c r="DI161" s="102">
        <f t="shared" si="1020"/>
        <v>0</v>
      </c>
      <c r="DK161" s="3" t="str">
        <f t="shared" si="1085"/>
        <v>NA</v>
      </c>
      <c r="DL161" s="2" t="str">
        <f t="shared" si="1086"/>
        <v>NA</v>
      </c>
      <c r="DM161" s="3" t="str">
        <f t="shared" si="1087"/>
        <v>NA</v>
      </c>
      <c r="DN161" s="9" t="str">
        <f t="shared" si="1088"/>
        <v>NA</v>
      </c>
      <c r="DO161" s="637" t="str">
        <f t="shared" si="1089"/>
        <v>NA</v>
      </c>
      <c r="DP161" s="637"/>
      <c r="DQ161" s="3" t="str">
        <f t="shared" si="1090"/>
        <v>NA</v>
      </c>
      <c r="DR161" s="2" t="str">
        <f t="shared" si="1091"/>
        <v>NA</v>
      </c>
      <c r="DS161" s="3" t="str">
        <f t="shared" si="1092"/>
        <v>NA</v>
      </c>
      <c r="DT161" s="9" t="str">
        <f t="shared" si="1021"/>
        <v>NA</v>
      </c>
      <c r="DU161" s="637" t="str">
        <f t="shared" si="1022"/>
        <v>NA</v>
      </c>
      <c r="DV161" s="637"/>
      <c r="DW161" s="682"/>
      <c r="DX161" s="682"/>
      <c r="DY161" s="682"/>
      <c r="DZ161" s="637"/>
      <c r="EA161" s="643"/>
    </row>
    <row r="162" spans="1:131" s="355" customFormat="1" ht="20.100000000000001" customHeight="1" outlineLevel="1" x14ac:dyDescent="0.25">
      <c r="A162" s="356"/>
      <c r="B162" s="355" t="s">
        <v>268</v>
      </c>
      <c r="C162" s="355" t="str">
        <f t="shared" si="1093"/>
        <v>Consumo</v>
      </c>
      <c r="D162" s="355" t="s">
        <v>53</v>
      </c>
      <c r="E162" s="18" t="s">
        <v>38</v>
      </c>
      <c r="F162" s="355" t="s">
        <v>53</v>
      </c>
      <c r="G162" s="357" t="str">
        <f t="shared" si="1094"/>
        <v>Geral</v>
      </c>
      <c r="H162" s="255" t="s">
        <v>377</v>
      </c>
      <c r="I162" s="356" t="str">
        <f t="shared" si="1028"/>
        <v>Sistema</v>
      </c>
      <c r="K162" s="318" t="s">
        <v>2915</v>
      </c>
      <c r="L162" s="749" t="str">
        <f>IF(Padrões!JF103&lt;&gt;"",Padrões!JF103,"")</f>
        <v/>
      </c>
      <c r="M162" s="358" t="str">
        <f t="shared" si="1029"/>
        <v>?</v>
      </c>
      <c r="N162" s="359">
        <f>Padrões!JI103</f>
        <v>0</v>
      </c>
      <c r="O162" s="381" t="str">
        <f t="shared" si="1030"/>
        <v>?</v>
      </c>
      <c r="P162" s="360">
        <f t="shared" si="1031"/>
        <v>0.12</v>
      </c>
      <c r="Q162" s="360" t="str">
        <f t="shared" si="1032"/>
        <v>?</v>
      </c>
      <c r="R162" s="360">
        <f t="shared" si="1033"/>
        <v>0</v>
      </c>
      <c r="S162" s="361">
        <f t="shared" si="1034"/>
        <v>0</v>
      </c>
      <c r="T162" s="362">
        <f t="shared" si="1035"/>
        <v>0</v>
      </c>
      <c r="U162" s="53" t="str" cm="1">
        <f t="array" ref="U162">IFERROR(IF(I162&lt;&gt;"Serviço",IF(AND(mlookup(tbl_DIFAL_data,UFdestino,tbl_DIFAL_UF,O162,tbl_DIFAL_NCM)&lt;&gt;"",C162="Consumo"),"Sim",""),""),"?")</f>
        <v>?</v>
      </c>
      <c r="V162" s="363" t="str">
        <f>IFERROR(IF(I162&lt;&gt;"Serviço",IF(AND(D162="Não",mlookup(tbl_ST_data,UFdestino,tbl_ST_UF,O162,tbl_ST_NCM)&lt;&gt;"",C162="Revenda",CD162="Não"),"Sim",""),""),"?")</f>
        <v>?</v>
      </c>
      <c r="W162" s="364">
        <f t="shared" si="1036"/>
        <v>0</v>
      </c>
      <c r="X162" s="365">
        <f>IF(V162="Sim",mlookup(tbl_ST_data,UFdestino,tbl_ST_UF,O162,tbl_ST_NCM),0)</f>
        <v>0</v>
      </c>
      <c r="Z162" s="355">
        <f t="shared" si="1037"/>
        <v>0</v>
      </c>
      <c r="AA162" s="355">
        <f t="shared" si="1023"/>
        <v>0</v>
      </c>
      <c r="AC162" s="366">
        <f t="shared" si="1095"/>
        <v>1.31243473968765E-2</v>
      </c>
      <c r="AD162" s="366">
        <f t="shared" si="1038"/>
        <v>0.15</v>
      </c>
      <c r="AF162" s="355">
        <f t="shared" si="1039"/>
        <v>0</v>
      </c>
      <c r="AG162" s="355">
        <f t="shared" si="1040"/>
        <v>0</v>
      </c>
      <c r="AI162" s="355">
        <f t="shared" si="1041"/>
        <v>0</v>
      </c>
      <c r="AK162" s="366">
        <f t="shared" si="1096"/>
        <v>0</v>
      </c>
      <c r="AL162" s="355">
        <f t="shared" si="1024"/>
        <v>0</v>
      </c>
      <c r="AM162" s="355">
        <f t="shared" si="1025"/>
        <v>0</v>
      </c>
      <c r="AO162" s="355" t="b">
        <f t="shared" si="1042"/>
        <v>1</v>
      </c>
      <c r="AQ162" s="367">
        <f t="shared" si="1043"/>
        <v>0</v>
      </c>
      <c r="AR162" s="367">
        <f t="shared" si="1026"/>
        <v>0</v>
      </c>
      <c r="AT162" s="367">
        <f t="shared" si="1044"/>
        <v>0</v>
      </c>
      <c r="AU162" s="367">
        <f t="shared" si="1045"/>
        <v>0</v>
      </c>
      <c r="AW162" s="367">
        <f t="shared" si="1046"/>
        <v>0</v>
      </c>
      <c r="AX162" s="367">
        <f t="shared" si="1047"/>
        <v>0</v>
      </c>
      <c r="AY162" s="367">
        <f t="shared" si="1048"/>
        <v>0</v>
      </c>
      <c r="AZ162" s="367">
        <f t="shared" si="1049"/>
        <v>0</v>
      </c>
      <c r="BB162" s="355">
        <f t="shared" si="1050"/>
        <v>0</v>
      </c>
      <c r="BC162" s="355">
        <f t="shared" si="1051"/>
        <v>0</v>
      </c>
      <c r="BD162" s="355">
        <f t="shared" si="1052"/>
        <v>0</v>
      </c>
      <c r="BE162" s="355">
        <f t="shared" si="1053"/>
        <v>0</v>
      </c>
      <c r="BF162" s="355">
        <f t="shared" si="1054"/>
        <v>0</v>
      </c>
      <c r="BH162" s="368">
        <f t="shared" si="1055"/>
        <v>0</v>
      </c>
      <c r="BJ162" s="369">
        <f t="shared" si="1056"/>
        <v>-0.12</v>
      </c>
      <c r="BK162" s="355">
        <f t="shared" si="1057"/>
        <v>0</v>
      </c>
      <c r="BL162" s="355">
        <f t="shared" si="1058"/>
        <v>0</v>
      </c>
      <c r="BN162" s="366">
        <f t="shared" si="1059"/>
        <v>0</v>
      </c>
      <c r="BO162" s="355">
        <f t="shared" si="1060"/>
        <v>0</v>
      </c>
      <c r="BP162" s="355">
        <f t="shared" si="1061"/>
        <v>0</v>
      </c>
      <c r="BQ162" s="355">
        <f t="shared" si="1062"/>
        <v>0</v>
      </c>
      <c r="BS162" s="367">
        <f t="shared" si="1063"/>
        <v>0</v>
      </c>
      <c r="BT162" s="355">
        <f t="shared" si="1064"/>
        <v>0</v>
      </c>
      <c r="BU162" s="355" t="b">
        <f t="shared" si="1027"/>
        <v>1</v>
      </c>
      <c r="BW162" s="355" t="str">
        <f t="shared" si="1065"/>
        <v/>
      </c>
      <c r="BX162" s="355">
        <f t="shared" si="1066"/>
        <v>0</v>
      </c>
      <c r="BY162" s="356">
        <f t="shared" si="1097"/>
        <v>0</v>
      </c>
      <c r="BZ162" s="355">
        <f t="shared" si="1067"/>
        <v>0</v>
      </c>
      <c r="CB162" s="102" t="str">
        <f t="shared" si="1068"/>
        <v>?</v>
      </c>
      <c r="CD162" s="355" t="str">
        <f t="shared" si="1069"/>
        <v>Não</v>
      </c>
      <c r="CE162" s="368">
        <f>ifzero(mlookup(tbl_ICMSinterest_data,UFdestino,tbl_ICMSinterest_ufdest,UForigem,tbl_ICMSinterest_uforig))</f>
        <v>0.12</v>
      </c>
      <c r="CF162" s="368">
        <f>IF(N162&gt;0,IF(I162&lt;&gt;"Serviço",ifzero(mlookup(tbl_ICMSinterno_data,UForigem,tbl_ICMSinterno_UF,O162,tbl_ICMSinterno_NCM),mlookup(tbl_ICMSinterest_data,UForigem,tbl_ICMSinterest_ufdest,UForigem,tbl_ICMSinterest_uforig)),""),0)</f>
        <v>0</v>
      </c>
      <c r="CG162" s="368">
        <f>IF(N162&gt;0,IF(I162&lt;&gt;"Serviço",ifzero(mlookup(tbl_ICMSinterno_data,UFdestino,tbl_ICMSinterno_UF,O162,tbl_ICMSinterno_NCM),mlookup(tbl_ICMSinterest_data,UFdestino,tbl_ICMSinterest_ufdest,UFdestino,tbl_ICMSinterest_uforig)),""),0)</f>
        <v>0</v>
      </c>
      <c r="CI162" s="355">
        <f t="shared" si="1070"/>
        <v>0</v>
      </c>
      <c r="CJ162" s="355">
        <f t="shared" si="1071"/>
        <v>0</v>
      </c>
      <c r="CK162" s="355">
        <f t="shared" si="1072"/>
        <v>0</v>
      </c>
      <c r="CL162" s="355">
        <f t="shared" si="1073"/>
        <v>0</v>
      </c>
      <c r="CN162" s="370">
        <f t="shared" si="1074"/>
        <v>1540</v>
      </c>
      <c r="CO162" s="355">
        <f t="shared" si="1075"/>
        <v>0</v>
      </c>
      <c r="CQ162" s="355" t="b">
        <f t="shared" si="1076"/>
        <v>0</v>
      </c>
      <c r="CR162" s="355" t="b">
        <f t="shared" si="1077"/>
        <v>1</v>
      </c>
      <c r="CS162" s="355" t="b">
        <f t="shared" si="1078"/>
        <v>0</v>
      </c>
      <c r="CU162" s="2">
        <f t="shared" si="1079"/>
        <v>0</v>
      </c>
      <c r="CV162" s="102">
        <f t="shared" si="1080"/>
        <v>0</v>
      </c>
      <c r="CW162" s="102">
        <f t="shared" si="1098"/>
        <v>0</v>
      </c>
      <c r="CX162" s="102">
        <f t="shared" si="1081"/>
        <v>0</v>
      </c>
      <c r="CY162" s="290">
        <f t="shared" si="1082"/>
        <v>0</v>
      </c>
      <c r="CZ162" s="102">
        <f t="shared" si="1016"/>
        <v>0</v>
      </c>
      <c r="DA162" s="290">
        <f t="shared" si="1083"/>
        <v>0</v>
      </c>
      <c r="DB162" s="102">
        <f t="shared" si="1017"/>
        <v>0</v>
      </c>
      <c r="DC162" s="290">
        <f t="shared" si="1084"/>
        <v>0</v>
      </c>
      <c r="DD162" s="102">
        <f t="shared" si="1015"/>
        <v>0</v>
      </c>
      <c r="DE162" s="592">
        <f>IF(D162="Sim",HLOOKUP($DH$5,Parametrização!$G$2:$H$4,2,FALSE),0)</f>
        <v>0</v>
      </c>
      <c r="DF162" s="102">
        <f t="shared" si="1018"/>
        <v>0</v>
      </c>
      <c r="DG162" s="592">
        <f>IF(D162="Sim",HLOOKUP($DH$5,Parametrização!$G$2:$H$4,3,FALSE),0)</f>
        <v>0</v>
      </c>
      <c r="DH162" s="102">
        <f t="shared" si="1019"/>
        <v>0</v>
      </c>
      <c r="DI162" s="102">
        <f t="shared" si="1020"/>
        <v>0</v>
      </c>
      <c r="DK162" s="3" t="str">
        <f t="shared" si="1085"/>
        <v>NA</v>
      </c>
      <c r="DL162" s="2" t="str">
        <f t="shared" si="1086"/>
        <v>NA</v>
      </c>
      <c r="DM162" s="3" t="str">
        <f t="shared" si="1087"/>
        <v>NA</v>
      </c>
      <c r="DN162" s="9" t="str">
        <f t="shared" si="1088"/>
        <v>NA</v>
      </c>
      <c r="DO162" s="637" t="str">
        <f t="shared" si="1089"/>
        <v>NA</v>
      </c>
      <c r="DP162" s="637"/>
      <c r="DQ162" s="3" t="str">
        <f t="shared" si="1090"/>
        <v>NA</v>
      </c>
      <c r="DR162" s="2" t="str">
        <f t="shared" si="1091"/>
        <v>NA</v>
      </c>
      <c r="DS162" s="3" t="str">
        <f t="shared" si="1092"/>
        <v>NA</v>
      </c>
      <c r="DT162" s="9" t="str">
        <f t="shared" si="1021"/>
        <v>NA</v>
      </c>
      <c r="DU162" s="637" t="str">
        <f t="shared" si="1022"/>
        <v>NA</v>
      </c>
      <c r="DV162" s="637"/>
      <c r="DW162" s="682"/>
      <c r="DX162" s="682"/>
      <c r="DY162" s="682"/>
      <c r="DZ162" s="637"/>
      <c r="EA162" s="643"/>
    </row>
    <row r="163" spans="1:131" s="355" customFormat="1" ht="20.100000000000001" customHeight="1" outlineLevel="1" x14ac:dyDescent="0.25">
      <c r="A163" s="356"/>
      <c r="B163" s="355" t="s">
        <v>268</v>
      </c>
      <c r="C163" s="355" t="str">
        <f t="shared" si="1093"/>
        <v>Consumo</v>
      </c>
      <c r="D163" s="355" t="s">
        <v>53</v>
      </c>
      <c r="E163" s="18" t="s">
        <v>38</v>
      </c>
      <c r="F163" s="355" t="s">
        <v>53</v>
      </c>
      <c r="G163" s="357" t="str">
        <f t="shared" si="1094"/>
        <v>Geral</v>
      </c>
      <c r="H163" s="255" t="s">
        <v>377</v>
      </c>
      <c r="I163" s="356" t="str">
        <f t="shared" si="1028"/>
        <v>Sistema</v>
      </c>
      <c r="K163" s="318" t="s">
        <v>2916</v>
      </c>
      <c r="L163" s="749" t="str">
        <f>IF(Padrões!JF104&lt;&gt;"",Padrões!JF104,"")</f>
        <v/>
      </c>
      <c r="M163" s="358" t="str">
        <f t="shared" si="1029"/>
        <v>?</v>
      </c>
      <c r="N163" s="359">
        <f>Padrões!JI104</f>
        <v>0</v>
      </c>
      <c r="O163" s="381" t="str">
        <f t="shared" si="1030"/>
        <v>?</v>
      </c>
      <c r="P163" s="360">
        <f t="shared" si="1031"/>
        <v>0.12</v>
      </c>
      <c r="Q163" s="360" t="str">
        <f t="shared" si="1032"/>
        <v>?</v>
      </c>
      <c r="R163" s="360">
        <f t="shared" si="1033"/>
        <v>0</v>
      </c>
      <c r="S163" s="361">
        <f t="shared" si="1034"/>
        <v>0</v>
      </c>
      <c r="T163" s="362">
        <f t="shared" si="1035"/>
        <v>0</v>
      </c>
      <c r="U163" s="53" t="str" cm="1">
        <f t="array" ref="U163">IFERROR(IF(I163&lt;&gt;"Serviço",IF(AND(mlookup(tbl_DIFAL_data,UFdestino,tbl_DIFAL_UF,O163,tbl_DIFAL_NCM)&lt;&gt;"",C163="Consumo"),"Sim",""),""),"?")</f>
        <v>?</v>
      </c>
      <c r="V163" s="363" t="str">
        <f>IFERROR(IF(I163&lt;&gt;"Serviço",IF(AND(D163="Não",mlookup(tbl_ST_data,UFdestino,tbl_ST_UF,O163,tbl_ST_NCM)&lt;&gt;"",C163="Revenda",CD163="Não"),"Sim",""),""),"?")</f>
        <v>?</v>
      </c>
      <c r="W163" s="364">
        <f t="shared" si="1036"/>
        <v>0</v>
      </c>
      <c r="X163" s="365">
        <f>IF(V163="Sim",mlookup(tbl_ST_data,UFdestino,tbl_ST_UF,O163,tbl_ST_NCM),0)</f>
        <v>0</v>
      </c>
      <c r="Z163" s="355">
        <f t="shared" si="1037"/>
        <v>0</v>
      </c>
      <c r="AA163" s="355">
        <f t="shared" si="1023"/>
        <v>0</v>
      </c>
      <c r="AC163" s="366">
        <f t="shared" si="1095"/>
        <v>1.31243473968765E-2</v>
      </c>
      <c r="AD163" s="366">
        <f t="shared" si="1038"/>
        <v>0.15</v>
      </c>
      <c r="AF163" s="355">
        <f t="shared" si="1039"/>
        <v>0</v>
      </c>
      <c r="AG163" s="355">
        <f t="shared" si="1040"/>
        <v>0</v>
      </c>
      <c r="AI163" s="355">
        <f t="shared" si="1041"/>
        <v>0</v>
      </c>
      <c r="AK163" s="366">
        <f t="shared" si="1096"/>
        <v>0</v>
      </c>
      <c r="AL163" s="355">
        <f t="shared" si="1024"/>
        <v>0</v>
      </c>
      <c r="AM163" s="355">
        <f t="shared" si="1025"/>
        <v>0</v>
      </c>
      <c r="AO163" s="355" t="b">
        <f t="shared" si="1042"/>
        <v>1</v>
      </c>
      <c r="AQ163" s="367">
        <f t="shared" si="1043"/>
        <v>0</v>
      </c>
      <c r="AR163" s="367">
        <f t="shared" si="1026"/>
        <v>0</v>
      </c>
      <c r="AT163" s="367">
        <f t="shared" si="1044"/>
        <v>0</v>
      </c>
      <c r="AU163" s="367">
        <f t="shared" si="1045"/>
        <v>0</v>
      </c>
      <c r="AW163" s="367">
        <f t="shared" si="1046"/>
        <v>0</v>
      </c>
      <c r="AX163" s="367">
        <f t="shared" si="1047"/>
        <v>0</v>
      </c>
      <c r="AY163" s="367">
        <f t="shared" si="1048"/>
        <v>0</v>
      </c>
      <c r="AZ163" s="367">
        <f t="shared" si="1049"/>
        <v>0</v>
      </c>
      <c r="BB163" s="355">
        <f t="shared" si="1050"/>
        <v>0</v>
      </c>
      <c r="BC163" s="355">
        <f t="shared" si="1051"/>
        <v>0</v>
      </c>
      <c r="BD163" s="355">
        <f t="shared" si="1052"/>
        <v>0</v>
      </c>
      <c r="BE163" s="355">
        <f t="shared" si="1053"/>
        <v>0</v>
      </c>
      <c r="BF163" s="355">
        <f t="shared" si="1054"/>
        <v>0</v>
      </c>
      <c r="BH163" s="368">
        <f t="shared" si="1055"/>
        <v>0</v>
      </c>
      <c r="BJ163" s="369">
        <f t="shared" si="1056"/>
        <v>-0.12</v>
      </c>
      <c r="BK163" s="355">
        <f t="shared" si="1057"/>
        <v>0</v>
      </c>
      <c r="BL163" s="355">
        <f t="shared" si="1058"/>
        <v>0</v>
      </c>
      <c r="BN163" s="366">
        <f t="shared" si="1059"/>
        <v>0</v>
      </c>
      <c r="BO163" s="355">
        <f t="shared" si="1060"/>
        <v>0</v>
      </c>
      <c r="BP163" s="355">
        <f t="shared" si="1061"/>
        <v>0</v>
      </c>
      <c r="BQ163" s="355">
        <f t="shared" si="1062"/>
        <v>0</v>
      </c>
      <c r="BS163" s="367">
        <f t="shared" si="1063"/>
        <v>0</v>
      </c>
      <c r="BT163" s="355">
        <f t="shared" si="1064"/>
        <v>0</v>
      </c>
      <c r="BU163" s="355" t="b">
        <f t="shared" si="1027"/>
        <v>1</v>
      </c>
      <c r="BW163" s="355" t="str">
        <f t="shared" si="1065"/>
        <v/>
      </c>
      <c r="BX163" s="355">
        <f t="shared" si="1066"/>
        <v>0</v>
      </c>
      <c r="BY163" s="356">
        <f t="shared" si="1097"/>
        <v>0</v>
      </c>
      <c r="BZ163" s="355">
        <f t="shared" si="1067"/>
        <v>0</v>
      </c>
      <c r="CB163" s="102" t="str">
        <f t="shared" si="1068"/>
        <v>?</v>
      </c>
      <c r="CD163" s="355" t="str">
        <f t="shared" si="1069"/>
        <v>Não</v>
      </c>
      <c r="CE163" s="368">
        <f>ifzero(mlookup(tbl_ICMSinterest_data,UFdestino,tbl_ICMSinterest_ufdest,UForigem,tbl_ICMSinterest_uforig))</f>
        <v>0.12</v>
      </c>
      <c r="CF163" s="368">
        <f>IF(N163&gt;0,IF(I163&lt;&gt;"Serviço",ifzero(mlookup(tbl_ICMSinterno_data,UForigem,tbl_ICMSinterno_UF,O163,tbl_ICMSinterno_NCM),mlookup(tbl_ICMSinterest_data,UForigem,tbl_ICMSinterest_ufdest,UForigem,tbl_ICMSinterest_uforig)),""),0)</f>
        <v>0</v>
      </c>
      <c r="CG163" s="368">
        <f>IF(N163&gt;0,IF(I163&lt;&gt;"Serviço",ifzero(mlookup(tbl_ICMSinterno_data,UFdestino,tbl_ICMSinterno_UF,O163,tbl_ICMSinterno_NCM),mlookup(tbl_ICMSinterest_data,UFdestino,tbl_ICMSinterest_ufdest,UFdestino,tbl_ICMSinterest_uforig)),""),0)</f>
        <v>0</v>
      </c>
      <c r="CI163" s="355">
        <f t="shared" si="1070"/>
        <v>0</v>
      </c>
      <c r="CJ163" s="355">
        <f t="shared" si="1071"/>
        <v>0</v>
      </c>
      <c r="CK163" s="355">
        <f t="shared" si="1072"/>
        <v>0</v>
      </c>
      <c r="CL163" s="355">
        <f t="shared" si="1073"/>
        <v>0</v>
      </c>
      <c r="CN163" s="370">
        <f t="shared" si="1074"/>
        <v>1540</v>
      </c>
      <c r="CO163" s="355">
        <f t="shared" si="1075"/>
        <v>0</v>
      </c>
      <c r="CQ163" s="355" t="b">
        <f t="shared" si="1076"/>
        <v>0</v>
      </c>
      <c r="CR163" s="355" t="b">
        <f t="shared" si="1077"/>
        <v>1</v>
      </c>
      <c r="CS163" s="355" t="b">
        <f t="shared" si="1078"/>
        <v>0</v>
      </c>
      <c r="CU163" s="2">
        <f t="shared" si="1079"/>
        <v>0</v>
      </c>
      <c r="CV163" s="102">
        <f t="shared" si="1080"/>
        <v>0</v>
      </c>
      <c r="CW163" s="102">
        <f t="shared" si="1098"/>
        <v>0</v>
      </c>
      <c r="CX163" s="102">
        <f t="shared" si="1081"/>
        <v>0</v>
      </c>
      <c r="CY163" s="290">
        <f t="shared" si="1082"/>
        <v>0</v>
      </c>
      <c r="CZ163" s="102">
        <f t="shared" si="1016"/>
        <v>0</v>
      </c>
      <c r="DA163" s="290">
        <f t="shared" si="1083"/>
        <v>0</v>
      </c>
      <c r="DB163" s="102">
        <f t="shared" si="1017"/>
        <v>0</v>
      </c>
      <c r="DC163" s="290">
        <f t="shared" si="1084"/>
        <v>0</v>
      </c>
      <c r="DD163" s="102">
        <f t="shared" si="1015"/>
        <v>0</v>
      </c>
      <c r="DE163" s="592">
        <f>IF(D163="Sim",HLOOKUP($DH$5,Parametrização!$G$2:$H$4,2,FALSE),0)</f>
        <v>0</v>
      </c>
      <c r="DF163" s="102">
        <f t="shared" si="1018"/>
        <v>0</v>
      </c>
      <c r="DG163" s="592">
        <f>IF(D163="Sim",HLOOKUP($DH$5,Parametrização!$G$2:$H$4,3,FALSE),0)</f>
        <v>0</v>
      </c>
      <c r="DH163" s="102">
        <f t="shared" si="1019"/>
        <v>0</v>
      </c>
      <c r="DI163" s="102">
        <f t="shared" si="1020"/>
        <v>0</v>
      </c>
      <c r="DK163" s="3" t="str">
        <f t="shared" si="1085"/>
        <v>NA</v>
      </c>
      <c r="DL163" s="2" t="str">
        <f t="shared" si="1086"/>
        <v>NA</v>
      </c>
      <c r="DM163" s="3" t="str">
        <f t="shared" si="1087"/>
        <v>NA</v>
      </c>
      <c r="DN163" s="9" t="str">
        <f t="shared" si="1088"/>
        <v>NA</v>
      </c>
      <c r="DO163" s="637" t="str">
        <f t="shared" si="1089"/>
        <v>NA</v>
      </c>
      <c r="DP163" s="637"/>
      <c r="DQ163" s="3" t="str">
        <f t="shared" si="1090"/>
        <v>NA</v>
      </c>
      <c r="DR163" s="2" t="str">
        <f t="shared" si="1091"/>
        <v>NA</v>
      </c>
      <c r="DS163" s="3" t="str">
        <f t="shared" si="1092"/>
        <v>NA</v>
      </c>
      <c r="DT163" s="9" t="str">
        <f t="shared" si="1021"/>
        <v>NA</v>
      </c>
      <c r="DU163" s="637" t="str">
        <f t="shared" si="1022"/>
        <v>NA</v>
      </c>
      <c r="DV163" s="637"/>
      <c r="DW163" s="682"/>
      <c r="DX163" s="682"/>
      <c r="DY163" s="682"/>
      <c r="DZ163" s="637"/>
      <c r="EA163" s="643"/>
    </row>
    <row r="164" spans="1:131" s="355" customFormat="1" ht="20.100000000000001" customHeight="1" outlineLevel="1" x14ac:dyDescent="0.25">
      <c r="A164" s="356"/>
      <c r="B164" s="355" t="s">
        <v>268</v>
      </c>
      <c r="C164" s="355" t="str">
        <f t="shared" si="1093"/>
        <v>Consumo</v>
      </c>
      <c r="D164" s="355" t="s">
        <v>53</v>
      </c>
      <c r="E164" s="18" t="s">
        <v>38</v>
      </c>
      <c r="F164" s="355" t="s">
        <v>53</v>
      </c>
      <c r="G164" s="357" t="str">
        <f t="shared" si="1094"/>
        <v>Geral</v>
      </c>
      <c r="H164" s="255" t="s">
        <v>377</v>
      </c>
      <c r="I164" s="356" t="str">
        <f t="shared" si="1028"/>
        <v>Sistema</v>
      </c>
      <c r="K164" s="318" t="s">
        <v>2917</v>
      </c>
      <c r="L164" s="749" t="str">
        <f>IF(Padrões!JF105&lt;&gt;"",Padrões!JF105,"")</f>
        <v/>
      </c>
      <c r="M164" s="358" t="str">
        <f t="shared" si="1029"/>
        <v>?</v>
      </c>
      <c r="N164" s="359">
        <f>Padrões!JI105</f>
        <v>0</v>
      </c>
      <c r="O164" s="381" t="str">
        <f t="shared" si="1030"/>
        <v>?</v>
      </c>
      <c r="P164" s="360">
        <f t="shared" si="1031"/>
        <v>0.12</v>
      </c>
      <c r="Q164" s="360" t="str">
        <f t="shared" si="1032"/>
        <v>?</v>
      </c>
      <c r="R164" s="360">
        <f t="shared" si="1033"/>
        <v>0</v>
      </c>
      <c r="S164" s="361">
        <f t="shared" si="1034"/>
        <v>0</v>
      </c>
      <c r="T164" s="362">
        <f t="shared" si="1035"/>
        <v>0</v>
      </c>
      <c r="U164" s="53" t="str" cm="1">
        <f t="array" ref="U164">IFERROR(IF(I164&lt;&gt;"Serviço",IF(AND(mlookup(tbl_DIFAL_data,UFdestino,tbl_DIFAL_UF,O164,tbl_DIFAL_NCM)&lt;&gt;"",C164="Consumo"),"Sim",""),""),"?")</f>
        <v>?</v>
      </c>
      <c r="V164" s="363" t="str">
        <f>IFERROR(IF(I164&lt;&gt;"Serviço",IF(AND(D164="Não",mlookup(tbl_ST_data,UFdestino,tbl_ST_UF,O164,tbl_ST_NCM)&lt;&gt;"",C164="Revenda",CD164="Não"),"Sim",""),""),"?")</f>
        <v>?</v>
      </c>
      <c r="W164" s="364">
        <f t="shared" si="1036"/>
        <v>0</v>
      </c>
      <c r="X164" s="365">
        <f>IF(V164="Sim",mlookup(tbl_ST_data,UFdestino,tbl_ST_UF,O164,tbl_ST_NCM),0)</f>
        <v>0</v>
      </c>
      <c r="Z164" s="355">
        <f t="shared" si="1037"/>
        <v>0</v>
      </c>
      <c r="AA164" s="355">
        <f t="shared" si="1023"/>
        <v>0</v>
      </c>
      <c r="AC164" s="366">
        <f t="shared" si="1095"/>
        <v>1.31243473968765E-2</v>
      </c>
      <c r="AD164" s="366">
        <f t="shared" si="1038"/>
        <v>0.15</v>
      </c>
      <c r="AF164" s="355">
        <f t="shared" si="1039"/>
        <v>0</v>
      </c>
      <c r="AG164" s="355">
        <f t="shared" si="1040"/>
        <v>0</v>
      </c>
      <c r="AI164" s="355">
        <f t="shared" si="1041"/>
        <v>0</v>
      </c>
      <c r="AK164" s="366">
        <f t="shared" si="1096"/>
        <v>0</v>
      </c>
      <c r="AL164" s="355">
        <f t="shared" si="1024"/>
        <v>0</v>
      </c>
      <c r="AM164" s="355">
        <f t="shared" si="1025"/>
        <v>0</v>
      </c>
      <c r="AO164" s="355" t="b">
        <f t="shared" si="1042"/>
        <v>1</v>
      </c>
      <c r="AQ164" s="367">
        <f t="shared" si="1043"/>
        <v>0</v>
      </c>
      <c r="AR164" s="367">
        <f t="shared" si="1026"/>
        <v>0</v>
      </c>
      <c r="AT164" s="367">
        <f t="shared" si="1044"/>
        <v>0</v>
      </c>
      <c r="AU164" s="367">
        <f t="shared" si="1045"/>
        <v>0</v>
      </c>
      <c r="AW164" s="367">
        <f t="shared" si="1046"/>
        <v>0</v>
      </c>
      <c r="AX164" s="367">
        <f t="shared" si="1047"/>
        <v>0</v>
      </c>
      <c r="AY164" s="367">
        <f t="shared" si="1048"/>
        <v>0</v>
      </c>
      <c r="AZ164" s="367">
        <f t="shared" si="1049"/>
        <v>0</v>
      </c>
      <c r="BB164" s="355">
        <f t="shared" si="1050"/>
        <v>0</v>
      </c>
      <c r="BC164" s="355">
        <f t="shared" si="1051"/>
        <v>0</v>
      </c>
      <c r="BD164" s="355">
        <f t="shared" si="1052"/>
        <v>0</v>
      </c>
      <c r="BE164" s="355">
        <f t="shared" si="1053"/>
        <v>0</v>
      </c>
      <c r="BF164" s="355">
        <f t="shared" si="1054"/>
        <v>0</v>
      </c>
      <c r="BH164" s="368">
        <f t="shared" si="1055"/>
        <v>0</v>
      </c>
      <c r="BJ164" s="369">
        <f t="shared" si="1056"/>
        <v>-0.12</v>
      </c>
      <c r="BK164" s="355">
        <f t="shared" si="1057"/>
        <v>0</v>
      </c>
      <c r="BL164" s="355">
        <f t="shared" si="1058"/>
        <v>0</v>
      </c>
      <c r="BN164" s="366">
        <f t="shared" si="1059"/>
        <v>0</v>
      </c>
      <c r="BO164" s="355">
        <f t="shared" si="1060"/>
        <v>0</v>
      </c>
      <c r="BP164" s="355">
        <f t="shared" si="1061"/>
        <v>0</v>
      </c>
      <c r="BQ164" s="355">
        <f t="shared" si="1062"/>
        <v>0</v>
      </c>
      <c r="BS164" s="367">
        <f t="shared" si="1063"/>
        <v>0</v>
      </c>
      <c r="BT164" s="355">
        <f t="shared" si="1064"/>
        <v>0</v>
      </c>
      <c r="BU164" s="355" t="b">
        <f t="shared" si="1027"/>
        <v>1</v>
      </c>
      <c r="BW164" s="355" t="str">
        <f t="shared" si="1065"/>
        <v/>
      </c>
      <c r="BX164" s="355">
        <f t="shared" si="1066"/>
        <v>0</v>
      </c>
      <c r="BY164" s="356">
        <f t="shared" si="1097"/>
        <v>0</v>
      </c>
      <c r="BZ164" s="355">
        <f t="shared" si="1067"/>
        <v>0</v>
      </c>
      <c r="CB164" s="102" t="str">
        <f t="shared" si="1068"/>
        <v>?</v>
      </c>
      <c r="CD164" s="355" t="str">
        <f t="shared" si="1069"/>
        <v>Não</v>
      </c>
      <c r="CE164" s="368">
        <f>ifzero(mlookup(tbl_ICMSinterest_data,UFdestino,tbl_ICMSinterest_ufdest,UForigem,tbl_ICMSinterest_uforig))</f>
        <v>0.12</v>
      </c>
      <c r="CF164" s="368">
        <f>IF(N164&gt;0,IF(I164&lt;&gt;"Serviço",ifzero(mlookup(tbl_ICMSinterno_data,UForigem,tbl_ICMSinterno_UF,O164,tbl_ICMSinterno_NCM),mlookup(tbl_ICMSinterest_data,UForigem,tbl_ICMSinterest_ufdest,UForigem,tbl_ICMSinterest_uforig)),""),0)</f>
        <v>0</v>
      </c>
      <c r="CG164" s="368">
        <f>IF(N164&gt;0,IF(I164&lt;&gt;"Serviço",ifzero(mlookup(tbl_ICMSinterno_data,UFdestino,tbl_ICMSinterno_UF,O164,tbl_ICMSinterno_NCM),mlookup(tbl_ICMSinterest_data,UFdestino,tbl_ICMSinterest_ufdest,UFdestino,tbl_ICMSinterest_uforig)),""),0)</f>
        <v>0</v>
      </c>
      <c r="CI164" s="355">
        <f t="shared" si="1070"/>
        <v>0</v>
      </c>
      <c r="CJ164" s="355">
        <f t="shared" si="1071"/>
        <v>0</v>
      </c>
      <c r="CK164" s="355">
        <f t="shared" si="1072"/>
        <v>0</v>
      </c>
      <c r="CL164" s="355">
        <f t="shared" si="1073"/>
        <v>0</v>
      </c>
      <c r="CN164" s="370">
        <f t="shared" si="1074"/>
        <v>1540</v>
      </c>
      <c r="CO164" s="355">
        <f t="shared" si="1075"/>
        <v>0</v>
      </c>
      <c r="CQ164" s="355" t="b">
        <f t="shared" si="1076"/>
        <v>0</v>
      </c>
      <c r="CR164" s="355" t="b">
        <f t="shared" si="1077"/>
        <v>1</v>
      </c>
      <c r="CS164" s="355" t="b">
        <f t="shared" si="1078"/>
        <v>0</v>
      </c>
      <c r="CU164" s="2">
        <f t="shared" si="1079"/>
        <v>0</v>
      </c>
      <c r="CV164" s="102">
        <f t="shared" si="1080"/>
        <v>0</v>
      </c>
      <c r="CW164" s="102">
        <f t="shared" si="1098"/>
        <v>0</v>
      </c>
      <c r="CX164" s="102">
        <f t="shared" si="1081"/>
        <v>0</v>
      </c>
      <c r="CY164" s="290">
        <f t="shared" si="1082"/>
        <v>0</v>
      </c>
      <c r="CZ164" s="102">
        <f t="shared" si="1016"/>
        <v>0</v>
      </c>
      <c r="DA164" s="290">
        <f t="shared" si="1083"/>
        <v>0</v>
      </c>
      <c r="DB164" s="102">
        <f t="shared" si="1017"/>
        <v>0</v>
      </c>
      <c r="DC164" s="290">
        <f t="shared" si="1084"/>
        <v>0</v>
      </c>
      <c r="DD164" s="102">
        <f t="shared" si="1015"/>
        <v>0</v>
      </c>
      <c r="DE164" s="592">
        <f>IF(D164="Sim",HLOOKUP($DH$5,Parametrização!$G$2:$H$4,2,FALSE),0)</f>
        <v>0</v>
      </c>
      <c r="DF164" s="102">
        <f t="shared" si="1018"/>
        <v>0</v>
      </c>
      <c r="DG164" s="592">
        <f>IF(D164="Sim",HLOOKUP($DH$5,Parametrização!$G$2:$H$4,3,FALSE),0)</f>
        <v>0</v>
      </c>
      <c r="DH164" s="102">
        <f t="shared" si="1019"/>
        <v>0</v>
      </c>
      <c r="DI164" s="102">
        <f t="shared" si="1020"/>
        <v>0</v>
      </c>
      <c r="DK164" s="3" t="str">
        <f t="shared" si="1085"/>
        <v>NA</v>
      </c>
      <c r="DL164" s="2" t="str">
        <f t="shared" si="1086"/>
        <v>NA</v>
      </c>
      <c r="DM164" s="3" t="str">
        <f t="shared" si="1087"/>
        <v>NA</v>
      </c>
      <c r="DN164" s="9" t="str">
        <f t="shared" si="1088"/>
        <v>NA</v>
      </c>
      <c r="DO164" s="637" t="str">
        <f t="shared" si="1089"/>
        <v>NA</v>
      </c>
      <c r="DP164" s="637"/>
      <c r="DQ164" s="3" t="str">
        <f t="shared" si="1090"/>
        <v>NA</v>
      </c>
      <c r="DR164" s="2" t="str">
        <f t="shared" si="1091"/>
        <v>NA</v>
      </c>
      <c r="DS164" s="3" t="str">
        <f t="shared" si="1092"/>
        <v>NA</v>
      </c>
      <c r="DT164" s="9" t="str">
        <f t="shared" si="1021"/>
        <v>NA</v>
      </c>
      <c r="DU164" s="637" t="str">
        <f t="shared" si="1022"/>
        <v>NA</v>
      </c>
      <c r="DV164" s="637"/>
      <c r="DW164" s="682"/>
      <c r="DX164" s="682"/>
      <c r="DY164" s="682"/>
      <c r="DZ164" s="637"/>
      <c r="EA164" s="643"/>
    </row>
    <row r="165" spans="1:131" s="355" customFormat="1" ht="20.100000000000001" customHeight="1" outlineLevel="1" x14ac:dyDescent="0.25">
      <c r="A165" s="356"/>
      <c r="B165" s="355" t="s">
        <v>268</v>
      </c>
      <c r="C165" s="355" t="str">
        <f t="shared" si="1093"/>
        <v>Consumo</v>
      </c>
      <c r="D165" s="355" t="s">
        <v>53</v>
      </c>
      <c r="E165" s="18" t="s">
        <v>38</v>
      </c>
      <c r="F165" s="355" t="s">
        <v>53</v>
      </c>
      <c r="G165" s="357" t="str">
        <f t="shared" si="1094"/>
        <v>Geral</v>
      </c>
      <c r="H165" s="255" t="s">
        <v>377</v>
      </c>
      <c r="I165" s="356" t="str">
        <f t="shared" si="1028"/>
        <v>Sistema</v>
      </c>
      <c r="K165" s="318" t="s">
        <v>2918</v>
      </c>
      <c r="L165" s="749" t="str">
        <f>IF(Padrões!JF106&lt;&gt;"",Padrões!JF106,"")</f>
        <v/>
      </c>
      <c r="M165" s="358" t="str">
        <f t="shared" si="1029"/>
        <v>?</v>
      </c>
      <c r="N165" s="359">
        <f>Padrões!JI106</f>
        <v>0</v>
      </c>
      <c r="O165" s="381" t="str">
        <f t="shared" si="1030"/>
        <v>?</v>
      </c>
      <c r="P165" s="360">
        <f t="shared" si="1031"/>
        <v>0.12</v>
      </c>
      <c r="Q165" s="360" t="str">
        <f t="shared" si="1032"/>
        <v>?</v>
      </c>
      <c r="R165" s="360">
        <f t="shared" si="1033"/>
        <v>0</v>
      </c>
      <c r="S165" s="361">
        <f t="shared" si="1034"/>
        <v>0</v>
      </c>
      <c r="T165" s="362">
        <f t="shared" si="1035"/>
        <v>0</v>
      </c>
      <c r="U165" s="53" t="str" cm="1">
        <f t="array" ref="U165">IFERROR(IF(I165&lt;&gt;"Serviço",IF(AND(mlookup(tbl_DIFAL_data,UFdestino,tbl_DIFAL_UF,O165,tbl_DIFAL_NCM)&lt;&gt;"",C165="Consumo"),"Sim",""),""),"?")</f>
        <v>?</v>
      </c>
      <c r="V165" s="363" t="str">
        <f>IFERROR(IF(I165&lt;&gt;"Serviço",IF(AND(D165="Não",mlookup(tbl_ST_data,UFdestino,tbl_ST_UF,O165,tbl_ST_NCM)&lt;&gt;"",C165="Revenda",CD165="Não"),"Sim",""),""),"?")</f>
        <v>?</v>
      </c>
      <c r="W165" s="364">
        <f t="shared" si="1036"/>
        <v>0</v>
      </c>
      <c r="X165" s="365">
        <f>IF(V165="Sim",mlookup(tbl_ST_data,UFdestino,tbl_ST_UF,O165,tbl_ST_NCM),0)</f>
        <v>0</v>
      </c>
      <c r="Z165" s="355">
        <f t="shared" si="1037"/>
        <v>0</v>
      </c>
      <c r="AA165" s="355">
        <f t="shared" si="1023"/>
        <v>0</v>
      </c>
      <c r="AC165" s="366">
        <f t="shared" si="1095"/>
        <v>1.31243473968765E-2</v>
      </c>
      <c r="AD165" s="366">
        <f t="shared" si="1038"/>
        <v>0.15</v>
      </c>
      <c r="AF165" s="355">
        <f t="shared" si="1039"/>
        <v>0</v>
      </c>
      <c r="AG165" s="355">
        <f t="shared" si="1040"/>
        <v>0</v>
      </c>
      <c r="AI165" s="355">
        <f t="shared" si="1041"/>
        <v>0</v>
      </c>
      <c r="AK165" s="366">
        <f t="shared" si="1096"/>
        <v>0</v>
      </c>
      <c r="AL165" s="355">
        <f t="shared" si="1024"/>
        <v>0</v>
      </c>
      <c r="AM165" s="355">
        <f t="shared" si="1025"/>
        <v>0</v>
      </c>
      <c r="AO165" s="355" t="b">
        <f t="shared" si="1042"/>
        <v>1</v>
      </c>
      <c r="AQ165" s="367">
        <f t="shared" si="1043"/>
        <v>0</v>
      </c>
      <c r="AR165" s="367">
        <f t="shared" si="1026"/>
        <v>0</v>
      </c>
      <c r="AT165" s="367">
        <f t="shared" si="1044"/>
        <v>0</v>
      </c>
      <c r="AU165" s="367">
        <f t="shared" si="1045"/>
        <v>0</v>
      </c>
      <c r="AW165" s="367">
        <f t="shared" si="1046"/>
        <v>0</v>
      </c>
      <c r="AX165" s="367">
        <f t="shared" si="1047"/>
        <v>0</v>
      </c>
      <c r="AY165" s="367">
        <f t="shared" si="1048"/>
        <v>0</v>
      </c>
      <c r="AZ165" s="367">
        <f t="shared" si="1049"/>
        <v>0</v>
      </c>
      <c r="BB165" s="355">
        <f t="shared" si="1050"/>
        <v>0</v>
      </c>
      <c r="BC165" s="355">
        <f t="shared" si="1051"/>
        <v>0</v>
      </c>
      <c r="BD165" s="355">
        <f t="shared" si="1052"/>
        <v>0</v>
      </c>
      <c r="BE165" s="355">
        <f t="shared" si="1053"/>
        <v>0</v>
      </c>
      <c r="BF165" s="355">
        <f t="shared" si="1054"/>
        <v>0</v>
      </c>
      <c r="BH165" s="368">
        <f t="shared" si="1055"/>
        <v>0</v>
      </c>
      <c r="BJ165" s="369">
        <f t="shared" si="1056"/>
        <v>-0.12</v>
      </c>
      <c r="BK165" s="355">
        <f t="shared" si="1057"/>
        <v>0</v>
      </c>
      <c r="BL165" s="355">
        <f t="shared" si="1058"/>
        <v>0</v>
      </c>
      <c r="BN165" s="366">
        <f t="shared" si="1059"/>
        <v>0</v>
      </c>
      <c r="BO165" s="355">
        <f t="shared" si="1060"/>
        <v>0</v>
      </c>
      <c r="BP165" s="355">
        <f t="shared" si="1061"/>
        <v>0</v>
      </c>
      <c r="BQ165" s="355">
        <f t="shared" si="1062"/>
        <v>0</v>
      </c>
      <c r="BS165" s="367">
        <f t="shared" si="1063"/>
        <v>0</v>
      </c>
      <c r="BT165" s="355">
        <f t="shared" si="1064"/>
        <v>0</v>
      </c>
      <c r="BU165" s="355" t="b">
        <f t="shared" si="1027"/>
        <v>1</v>
      </c>
      <c r="BW165" s="355" t="str">
        <f t="shared" si="1065"/>
        <v/>
      </c>
      <c r="BX165" s="355">
        <f t="shared" si="1066"/>
        <v>0</v>
      </c>
      <c r="BY165" s="356">
        <f t="shared" si="1097"/>
        <v>0</v>
      </c>
      <c r="BZ165" s="355">
        <f t="shared" si="1067"/>
        <v>0</v>
      </c>
      <c r="CB165" s="102" t="str">
        <f t="shared" si="1068"/>
        <v>?</v>
      </c>
      <c r="CD165" s="355" t="str">
        <f t="shared" si="1069"/>
        <v>Não</v>
      </c>
      <c r="CE165" s="368">
        <f>ifzero(mlookup(tbl_ICMSinterest_data,UFdestino,tbl_ICMSinterest_ufdest,UForigem,tbl_ICMSinterest_uforig))</f>
        <v>0.12</v>
      </c>
      <c r="CF165" s="368">
        <f>IF(N165&gt;0,IF(I165&lt;&gt;"Serviço",ifzero(mlookup(tbl_ICMSinterno_data,UForigem,tbl_ICMSinterno_UF,O165,tbl_ICMSinterno_NCM),mlookup(tbl_ICMSinterest_data,UForigem,tbl_ICMSinterest_ufdest,UForigem,tbl_ICMSinterest_uforig)),""),0)</f>
        <v>0</v>
      </c>
      <c r="CG165" s="368">
        <f>IF(N165&gt;0,IF(I165&lt;&gt;"Serviço",ifzero(mlookup(tbl_ICMSinterno_data,UFdestino,tbl_ICMSinterno_UF,O165,tbl_ICMSinterno_NCM),mlookup(tbl_ICMSinterest_data,UFdestino,tbl_ICMSinterest_ufdest,UFdestino,tbl_ICMSinterest_uforig)),""),0)</f>
        <v>0</v>
      </c>
      <c r="CI165" s="355">
        <f t="shared" si="1070"/>
        <v>0</v>
      </c>
      <c r="CJ165" s="355">
        <f t="shared" si="1071"/>
        <v>0</v>
      </c>
      <c r="CK165" s="355">
        <f t="shared" si="1072"/>
        <v>0</v>
      </c>
      <c r="CL165" s="355">
        <f t="shared" si="1073"/>
        <v>0</v>
      </c>
      <c r="CN165" s="370">
        <f t="shared" si="1074"/>
        <v>1540</v>
      </c>
      <c r="CO165" s="355">
        <f t="shared" si="1075"/>
        <v>0</v>
      </c>
      <c r="CQ165" s="355" t="b">
        <f t="shared" si="1076"/>
        <v>0</v>
      </c>
      <c r="CR165" s="355" t="b">
        <f t="shared" si="1077"/>
        <v>1</v>
      </c>
      <c r="CS165" s="355" t="b">
        <f t="shared" si="1078"/>
        <v>0</v>
      </c>
      <c r="CU165" s="2">
        <f t="shared" si="1079"/>
        <v>0</v>
      </c>
      <c r="CV165" s="102">
        <f t="shared" si="1080"/>
        <v>0</v>
      </c>
      <c r="CW165" s="102">
        <f t="shared" si="1098"/>
        <v>0</v>
      </c>
      <c r="CX165" s="102">
        <f t="shared" si="1081"/>
        <v>0</v>
      </c>
      <c r="CY165" s="290">
        <f t="shared" si="1082"/>
        <v>0</v>
      </c>
      <c r="CZ165" s="102">
        <f t="shared" si="1016"/>
        <v>0</v>
      </c>
      <c r="DA165" s="290">
        <f t="shared" si="1083"/>
        <v>0</v>
      </c>
      <c r="DB165" s="102">
        <f t="shared" si="1017"/>
        <v>0</v>
      </c>
      <c r="DC165" s="290">
        <f t="shared" si="1084"/>
        <v>0</v>
      </c>
      <c r="DD165" s="102">
        <f t="shared" si="1015"/>
        <v>0</v>
      </c>
      <c r="DE165" s="592">
        <f>IF(D165="Sim",HLOOKUP($DH$5,Parametrização!$G$2:$H$4,2,FALSE),0)</f>
        <v>0</v>
      </c>
      <c r="DF165" s="102">
        <f t="shared" si="1018"/>
        <v>0</v>
      </c>
      <c r="DG165" s="592">
        <f>IF(D165="Sim",HLOOKUP($DH$5,Parametrização!$G$2:$H$4,3,FALSE),0)</f>
        <v>0</v>
      </c>
      <c r="DH165" s="102">
        <f t="shared" si="1019"/>
        <v>0</v>
      </c>
      <c r="DI165" s="102">
        <f t="shared" si="1020"/>
        <v>0</v>
      </c>
      <c r="DK165" s="3" t="str">
        <f t="shared" si="1085"/>
        <v>NA</v>
      </c>
      <c r="DL165" s="2" t="str">
        <f t="shared" si="1086"/>
        <v>NA</v>
      </c>
      <c r="DM165" s="3" t="str">
        <f t="shared" si="1087"/>
        <v>NA</v>
      </c>
      <c r="DN165" s="9" t="str">
        <f t="shared" si="1088"/>
        <v>NA</v>
      </c>
      <c r="DO165" s="637" t="str">
        <f t="shared" si="1089"/>
        <v>NA</v>
      </c>
      <c r="DP165" s="637"/>
      <c r="DQ165" s="3" t="str">
        <f t="shared" si="1090"/>
        <v>NA</v>
      </c>
      <c r="DR165" s="2" t="str">
        <f t="shared" si="1091"/>
        <v>NA</v>
      </c>
      <c r="DS165" s="3" t="str">
        <f t="shared" si="1092"/>
        <v>NA</v>
      </c>
      <c r="DT165" s="9" t="str">
        <f t="shared" si="1021"/>
        <v>NA</v>
      </c>
      <c r="DU165" s="637" t="str">
        <f t="shared" si="1022"/>
        <v>NA</v>
      </c>
      <c r="DV165" s="637"/>
      <c r="DW165" s="682"/>
      <c r="DX165" s="682"/>
      <c r="DY165" s="682"/>
      <c r="DZ165" s="637"/>
      <c r="EA165" s="643"/>
    </row>
    <row r="166" spans="1:131" s="355" customFormat="1" ht="20.100000000000001" customHeight="1" outlineLevel="1" x14ac:dyDescent="0.25">
      <c r="A166" s="356"/>
      <c r="B166" s="355" t="s">
        <v>268</v>
      </c>
      <c r="C166" s="355" t="str">
        <f t="shared" si="1093"/>
        <v>Consumo</v>
      </c>
      <c r="D166" s="355" t="s">
        <v>53</v>
      </c>
      <c r="E166" s="18" t="s">
        <v>38</v>
      </c>
      <c r="F166" s="355" t="s">
        <v>53</v>
      </c>
      <c r="G166" s="357" t="str">
        <f t="shared" si="1094"/>
        <v>Geral</v>
      </c>
      <c r="H166" s="255" t="s">
        <v>377</v>
      </c>
      <c r="I166" s="356" t="str">
        <f t="shared" si="1028"/>
        <v>Sistema</v>
      </c>
      <c r="K166" s="318" t="s">
        <v>2919</v>
      </c>
      <c r="L166" s="749" t="str">
        <f>IF(Padrões!JF107&lt;&gt;"",Padrões!JF107,"")</f>
        <v/>
      </c>
      <c r="M166" s="358" t="str">
        <f t="shared" si="1029"/>
        <v>?</v>
      </c>
      <c r="N166" s="359">
        <f>Padrões!JI107</f>
        <v>0</v>
      </c>
      <c r="O166" s="381" t="str">
        <f t="shared" si="1030"/>
        <v>?</v>
      </c>
      <c r="P166" s="360">
        <f t="shared" si="1031"/>
        <v>0.12</v>
      </c>
      <c r="Q166" s="360" t="str">
        <f t="shared" si="1032"/>
        <v>?</v>
      </c>
      <c r="R166" s="360">
        <f t="shared" si="1033"/>
        <v>0</v>
      </c>
      <c r="S166" s="361">
        <f t="shared" si="1034"/>
        <v>0</v>
      </c>
      <c r="T166" s="362">
        <f t="shared" si="1035"/>
        <v>0</v>
      </c>
      <c r="U166" s="53" t="str" cm="1">
        <f t="array" ref="U166">IFERROR(IF(I166&lt;&gt;"Serviço",IF(AND(mlookup(tbl_DIFAL_data,UFdestino,tbl_DIFAL_UF,O166,tbl_DIFAL_NCM)&lt;&gt;"",C166="Consumo"),"Sim",""),""),"?")</f>
        <v>?</v>
      </c>
      <c r="V166" s="363" t="str">
        <f>IFERROR(IF(I166&lt;&gt;"Serviço",IF(AND(D166="Não",mlookup(tbl_ST_data,UFdestino,tbl_ST_UF,O166,tbl_ST_NCM)&lt;&gt;"",C166="Revenda",CD166="Não"),"Sim",""),""),"?")</f>
        <v>?</v>
      </c>
      <c r="W166" s="364">
        <f t="shared" si="1036"/>
        <v>0</v>
      </c>
      <c r="X166" s="365">
        <f>IF(V166="Sim",mlookup(tbl_ST_data,UFdestino,tbl_ST_UF,O166,tbl_ST_NCM),0)</f>
        <v>0</v>
      </c>
      <c r="Z166" s="355">
        <f t="shared" si="1037"/>
        <v>0</v>
      </c>
      <c r="AA166" s="355">
        <f t="shared" si="1023"/>
        <v>0</v>
      </c>
      <c r="AC166" s="366">
        <f t="shared" si="1095"/>
        <v>1.31243473968765E-2</v>
      </c>
      <c r="AD166" s="366">
        <f t="shared" si="1038"/>
        <v>0.15</v>
      </c>
      <c r="AF166" s="355">
        <f t="shared" si="1039"/>
        <v>0</v>
      </c>
      <c r="AG166" s="355">
        <f t="shared" si="1040"/>
        <v>0</v>
      </c>
      <c r="AI166" s="355">
        <f t="shared" si="1041"/>
        <v>0</v>
      </c>
      <c r="AK166" s="366">
        <f t="shared" si="1096"/>
        <v>0</v>
      </c>
      <c r="AL166" s="355">
        <f t="shared" si="1024"/>
        <v>0</v>
      </c>
      <c r="AM166" s="355">
        <f t="shared" si="1025"/>
        <v>0</v>
      </c>
      <c r="AO166" s="355" t="b">
        <f t="shared" si="1042"/>
        <v>1</v>
      </c>
      <c r="AQ166" s="367">
        <f t="shared" si="1043"/>
        <v>0</v>
      </c>
      <c r="AR166" s="367">
        <f t="shared" si="1026"/>
        <v>0</v>
      </c>
      <c r="AT166" s="367">
        <f t="shared" si="1044"/>
        <v>0</v>
      </c>
      <c r="AU166" s="367">
        <f t="shared" si="1045"/>
        <v>0</v>
      </c>
      <c r="AW166" s="367">
        <f t="shared" si="1046"/>
        <v>0</v>
      </c>
      <c r="AX166" s="367">
        <f t="shared" si="1047"/>
        <v>0</v>
      </c>
      <c r="AY166" s="367">
        <f t="shared" si="1048"/>
        <v>0</v>
      </c>
      <c r="AZ166" s="367">
        <f t="shared" si="1049"/>
        <v>0</v>
      </c>
      <c r="BB166" s="355">
        <f t="shared" si="1050"/>
        <v>0</v>
      </c>
      <c r="BC166" s="355">
        <f t="shared" si="1051"/>
        <v>0</v>
      </c>
      <c r="BD166" s="355">
        <f t="shared" si="1052"/>
        <v>0</v>
      </c>
      <c r="BE166" s="355">
        <f t="shared" si="1053"/>
        <v>0</v>
      </c>
      <c r="BF166" s="355">
        <f t="shared" si="1054"/>
        <v>0</v>
      </c>
      <c r="BH166" s="368">
        <f t="shared" si="1055"/>
        <v>0</v>
      </c>
      <c r="BJ166" s="369">
        <f t="shared" si="1056"/>
        <v>-0.12</v>
      </c>
      <c r="BK166" s="355">
        <f t="shared" si="1057"/>
        <v>0</v>
      </c>
      <c r="BL166" s="355">
        <f t="shared" si="1058"/>
        <v>0</v>
      </c>
      <c r="BN166" s="366">
        <f t="shared" si="1059"/>
        <v>0</v>
      </c>
      <c r="BO166" s="355">
        <f t="shared" si="1060"/>
        <v>0</v>
      </c>
      <c r="BP166" s="355">
        <f t="shared" si="1061"/>
        <v>0</v>
      </c>
      <c r="BQ166" s="355">
        <f t="shared" si="1062"/>
        <v>0</v>
      </c>
      <c r="BS166" s="367">
        <f t="shared" si="1063"/>
        <v>0</v>
      </c>
      <c r="BT166" s="355">
        <f t="shared" si="1064"/>
        <v>0</v>
      </c>
      <c r="BU166" s="355" t="b">
        <f t="shared" si="1027"/>
        <v>1</v>
      </c>
      <c r="BW166" s="355" t="str">
        <f t="shared" si="1065"/>
        <v/>
      </c>
      <c r="BX166" s="355">
        <f t="shared" si="1066"/>
        <v>0</v>
      </c>
      <c r="BY166" s="356">
        <f t="shared" si="1097"/>
        <v>0</v>
      </c>
      <c r="BZ166" s="355">
        <f t="shared" si="1067"/>
        <v>0</v>
      </c>
      <c r="CB166" s="102" t="str">
        <f t="shared" si="1068"/>
        <v>?</v>
      </c>
      <c r="CD166" s="355" t="str">
        <f t="shared" si="1069"/>
        <v>Não</v>
      </c>
      <c r="CE166" s="368">
        <f>ifzero(mlookup(tbl_ICMSinterest_data,UFdestino,tbl_ICMSinterest_ufdest,UForigem,tbl_ICMSinterest_uforig))</f>
        <v>0.12</v>
      </c>
      <c r="CF166" s="368">
        <f>IF(N166&gt;0,IF(I166&lt;&gt;"Serviço",ifzero(mlookup(tbl_ICMSinterno_data,UForigem,tbl_ICMSinterno_UF,O166,tbl_ICMSinterno_NCM),mlookup(tbl_ICMSinterest_data,UForigem,tbl_ICMSinterest_ufdest,UForigem,tbl_ICMSinterest_uforig)),""),0)</f>
        <v>0</v>
      </c>
      <c r="CG166" s="368">
        <f>IF(N166&gt;0,IF(I166&lt;&gt;"Serviço",ifzero(mlookup(tbl_ICMSinterno_data,UFdestino,tbl_ICMSinterno_UF,O166,tbl_ICMSinterno_NCM),mlookup(tbl_ICMSinterest_data,UFdestino,tbl_ICMSinterest_ufdest,UFdestino,tbl_ICMSinterest_uforig)),""),0)</f>
        <v>0</v>
      </c>
      <c r="CI166" s="355">
        <f t="shared" si="1070"/>
        <v>0</v>
      </c>
      <c r="CJ166" s="355">
        <f t="shared" si="1071"/>
        <v>0</v>
      </c>
      <c r="CK166" s="355">
        <f t="shared" si="1072"/>
        <v>0</v>
      </c>
      <c r="CL166" s="355">
        <f t="shared" si="1073"/>
        <v>0</v>
      </c>
      <c r="CN166" s="370">
        <f t="shared" si="1074"/>
        <v>1540</v>
      </c>
      <c r="CO166" s="355">
        <f t="shared" si="1075"/>
        <v>0</v>
      </c>
      <c r="CQ166" s="355" t="b">
        <f t="shared" si="1076"/>
        <v>0</v>
      </c>
      <c r="CR166" s="355" t="b">
        <f t="shared" si="1077"/>
        <v>1</v>
      </c>
      <c r="CS166" s="355" t="b">
        <f t="shared" si="1078"/>
        <v>0</v>
      </c>
      <c r="CU166" s="2">
        <f t="shared" si="1079"/>
        <v>0</v>
      </c>
      <c r="CV166" s="102">
        <f t="shared" si="1080"/>
        <v>0</v>
      </c>
      <c r="CW166" s="102">
        <f t="shared" si="1098"/>
        <v>0</v>
      </c>
      <c r="CX166" s="102">
        <f t="shared" si="1081"/>
        <v>0</v>
      </c>
      <c r="CY166" s="290">
        <f t="shared" si="1082"/>
        <v>0</v>
      </c>
      <c r="CZ166" s="102">
        <f t="shared" si="1016"/>
        <v>0</v>
      </c>
      <c r="DA166" s="290">
        <f t="shared" si="1083"/>
        <v>0</v>
      </c>
      <c r="DB166" s="102">
        <f t="shared" si="1017"/>
        <v>0</v>
      </c>
      <c r="DC166" s="290">
        <f t="shared" si="1084"/>
        <v>0</v>
      </c>
      <c r="DD166" s="102">
        <f t="shared" si="1015"/>
        <v>0</v>
      </c>
      <c r="DE166" s="592">
        <f>IF(D166="Sim",HLOOKUP($DH$5,Parametrização!$G$2:$H$4,2,FALSE),0)</f>
        <v>0</v>
      </c>
      <c r="DF166" s="102">
        <f t="shared" si="1018"/>
        <v>0</v>
      </c>
      <c r="DG166" s="592">
        <f>IF(D166="Sim",HLOOKUP($DH$5,Parametrização!$G$2:$H$4,3,FALSE),0)</f>
        <v>0</v>
      </c>
      <c r="DH166" s="102">
        <f t="shared" si="1019"/>
        <v>0</v>
      </c>
      <c r="DI166" s="102">
        <f t="shared" si="1020"/>
        <v>0</v>
      </c>
      <c r="DK166" s="3" t="str">
        <f t="shared" si="1085"/>
        <v>NA</v>
      </c>
      <c r="DL166" s="2" t="str">
        <f t="shared" si="1086"/>
        <v>NA</v>
      </c>
      <c r="DM166" s="3" t="str">
        <f t="shared" si="1087"/>
        <v>NA</v>
      </c>
      <c r="DN166" s="9" t="str">
        <f t="shared" si="1088"/>
        <v>NA</v>
      </c>
      <c r="DO166" s="637" t="str">
        <f t="shared" si="1089"/>
        <v>NA</v>
      </c>
      <c r="DP166" s="637"/>
      <c r="DQ166" s="3" t="str">
        <f t="shared" si="1090"/>
        <v>NA</v>
      </c>
      <c r="DR166" s="2" t="str">
        <f t="shared" si="1091"/>
        <v>NA</v>
      </c>
      <c r="DS166" s="3" t="str">
        <f t="shared" si="1092"/>
        <v>NA</v>
      </c>
      <c r="DT166" s="9" t="str">
        <f t="shared" si="1021"/>
        <v>NA</v>
      </c>
      <c r="DU166" s="637" t="str">
        <f t="shared" si="1022"/>
        <v>NA</v>
      </c>
      <c r="DV166" s="637"/>
      <c r="DW166" s="682"/>
      <c r="DX166" s="682"/>
      <c r="DY166" s="682"/>
      <c r="DZ166" s="637"/>
      <c r="EA166" s="643"/>
    </row>
    <row r="167" spans="1:131" s="355" customFormat="1" ht="20.100000000000001" customHeight="1" outlineLevel="1" x14ac:dyDescent="0.25">
      <c r="A167" s="356"/>
      <c r="B167" s="355" t="s">
        <v>268</v>
      </c>
      <c r="C167" s="355" t="str">
        <f t="shared" si="1093"/>
        <v>Consumo</v>
      </c>
      <c r="D167" s="355" t="s">
        <v>53</v>
      </c>
      <c r="E167" s="18" t="s">
        <v>38</v>
      </c>
      <c r="F167" s="355" t="s">
        <v>53</v>
      </c>
      <c r="G167" s="357" t="str">
        <f t="shared" si="1094"/>
        <v>Geral</v>
      </c>
      <c r="H167" s="255" t="s">
        <v>377</v>
      </c>
      <c r="I167" s="356" t="str">
        <f t="shared" si="1028"/>
        <v>Sistema</v>
      </c>
      <c r="K167" s="318" t="s">
        <v>2920</v>
      </c>
      <c r="L167" s="749" t="str">
        <f>IF(Padrões!JF108&lt;&gt;"",Padrões!JF108,"")</f>
        <v/>
      </c>
      <c r="M167" s="358" t="str">
        <f t="shared" si="1029"/>
        <v>?</v>
      </c>
      <c r="N167" s="359">
        <f>Padrões!JI108</f>
        <v>0</v>
      </c>
      <c r="O167" s="381" t="str">
        <f t="shared" si="1030"/>
        <v>?</v>
      </c>
      <c r="P167" s="360">
        <f t="shared" si="1031"/>
        <v>0.12</v>
      </c>
      <c r="Q167" s="360" t="str">
        <f t="shared" si="1032"/>
        <v>?</v>
      </c>
      <c r="R167" s="360">
        <f t="shared" si="1033"/>
        <v>0</v>
      </c>
      <c r="S167" s="361">
        <f t="shared" si="1034"/>
        <v>0</v>
      </c>
      <c r="T167" s="362">
        <f t="shared" si="1035"/>
        <v>0</v>
      </c>
      <c r="U167" s="53" t="str" cm="1">
        <f t="array" ref="U167">IFERROR(IF(I167&lt;&gt;"Serviço",IF(AND(mlookup(tbl_DIFAL_data,UFdestino,tbl_DIFAL_UF,O167,tbl_DIFAL_NCM)&lt;&gt;"",C167="Consumo"),"Sim",""),""),"?")</f>
        <v>?</v>
      </c>
      <c r="V167" s="363" t="str">
        <f>IFERROR(IF(I167&lt;&gt;"Serviço",IF(AND(D167="Não",mlookup(tbl_ST_data,UFdestino,tbl_ST_UF,O167,tbl_ST_NCM)&lt;&gt;"",C167="Revenda",CD167="Não"),"Sim",""),""),"?")</f>
        <v>?</v>
      </c>
      <c r="W167" s="364">
        <f t="shared" si="1036"/>
        <v>0</v>
      </c>
      <c r="X167" s="365">
        <f>IF(V167="Sim",mlookup(tbl_ST_data,UFdestino,tbl_ST_UF,O167,tbl_ST_NCM),0)</f>
        <v>0</v>
      </c>
      <c r="Z167" s="355">
        <f t="shared" si="1037"/>
        <v>0</v>
      </c>
      <c r="AA167" s="355">
        <f t="shared" si="1023"/>
        <v>0</v>
      </c>
      <c r="AC167" s="366">
        <f t="shared" si="1095"/>
        <v>1.31243473968765E-2</v>
      </c>
      <c r="AD167" s="366">
        <f t="shared" si="1038"/>
        <v>0.15</v>
      </c>
      <c r="AF167" s="355">
        <f t="shared" si="1039"/>
        <v>0</v>
      </c>
      <c r="AG167" s="355">
        <f t="shared" si="1040"/>
        <v>0</v>
      </c>
      <c r="AI167" s="355">
        <f t="shared" si="1041"/>
        <v>0</v>
      </c>
      <c r="AK167" s="366">
        <f t="shared" si="1096"/>
        <v>0</v>
      </c>
      <c r="AL167" s="355">
        <f t="shared" si="1024"/>
        <v>0</v>
      </c>
      <c r="AM167" s="355">
        <f t="shared" si="1025"/>
        <v>0</v>
      </c>
      <c r="AO167" s="355" t="b">
        <f t="shared" si="1042"/>
        <v>1</v>
      </c>
      <c r="AQ167" s="367">
        <f t="shared" si="1043"/>
        <v>0</v>
      </c>
      <c r="AR167" s="367">
        <f t="shared" si="1026"/>
        <v>0</v>
      </c>
      <c r="AT167" s="367">
        <f t="shared" si="1044"/>
        <v>0</v>
      </c>
      <c r="AU167" s="367">
        <f t="shared" si="1045"/>
        <v>0</v>
      </c>
      <c r="AW167" s="367">
        <f t="shared" si="1046"/>
        <v>0</v>
      </c>
      <c r="AX167" s="367">
        <f t="shared" si="1047"/>
        <v>0</v>
      </c>
      <c r="AY167" s="367">
        <f t="shared" si="1048"/>
        <v>0</v>
      </c>
      <c r="AZ167" s="367">
        <f t="shared" si="1049"/>
        <v>0</v>
      </c>
      <c r="BB167" s="355">
        <f t="shared" si="1050"/>
        <v>0</v>
      </c>
      <c r="BC167" s="355">
        <f t="shared" si="1051"/>
        <v>0</v>
      </c>
      <c r="BD167" s="355">
        <f t="shared" si="1052"/>
        <v>0</v>
      </c>
      <c r="BE167" s="355">
        <f t="shared" si="1053"/>
        <v>0</v>
      </c>
      <c r="BF167" s="355">
        <f t="shared" si="1054"/>
        <v>0</v>
      </c>
      <c r="BH167" s="368">
        <f t="shared" si="1055"/>
        <v>0</v>
      </c>
      <c r="BJ167" s="369">
        <f t="shared" si="1056"/>
        <v>-0.12</v>
      </c>
      <c r="BK167" s="355">
        <f t="shared" si="1057"/>
        <v>0</v>
      </c>
      <c r="BL167" s="355">
        <f t="shared" si="1058"/>
        <v>0</v>
      </c>
      <c r="BN167" s="366">
        <f t="shared" si="1059"/>
        <v>0</v>
      </c>
      <c r="BO167" s="355">
        <f t="shared" si="1060"/>
        <v>0</v>
      </c>
      <c r="BP167" s="355">
        <f t="shared" si="1061"/>
        <v>0</v>
      </c>
      <c r="BQ167" s="355">
        <f t="shared" si="1062"/>
        <v>0</v>
      </c>
      <c r="BS167" s="367">
        <f t="shared" si="1063"/>
        <v>0</v>
      </c>
      <c r="BT167" s="355">
        <f t="shared" si="1064"/>
        <v>0</v>
      </c>
      <c r="BU167" s="355" t="b">
        <f t="shared" si="1027"/>
        <v>1</v>
      </c>
      <c r="BW167" s="355" t="str">
        <f t="shared" si="1065"/>
        <v/>
      </c>
      <c r="BX167" s="355">
        <f t="shared" si="1066"/>
        <v>0</v>
      </c>
      <c r="BY167" s="356">
        <f t="shared" si="1097"/>
        <v>0</v>
      </c>
      <c r="BZ167" s="355">
        <f t="shared" si="1067"/>
        <v>0</v>
      </c>
      <c r="CB167" s="102" t="str">
        <f t="shared" si="1068"/>
        <v>?</v>
      </c>
      <c r="CD167" s="355" t="str">
        <f t="shared" si="1069"/>
        <v>Não</v>
      </c>
      <c r="CE167" s="368">
        <f>ifzero(mlookup(tbl_ICMSinterest_data,UFdestino,tbl_ICMSinterest_ufdest,UForigem,tbl_ICMSinterest_uforig))</f>
        <v>0.12</v>
      </c>
      <c r="CF167" s="368">
        <f>IF(N167&gt;0,IF(I167&lt;&gt;"Serviço",ifzero(mlookup(tbl_ICMSinterno_data,UForigem,tbl_ICMSinterno_UF,O167,tbl_ICMSinterno_NCM),mlookup(tbl_ICMSinterest_data,UForigem,tbl_ICMSinterest_ufdest,UForigem,tbl_ICMSinterest_uforig)),""),0)</f>
        <v>0</v>
      </c>
      <c r="CG167" s="368">
        <f>IF(N167&gt;0,IF(I167&lt;&gt;"Serviço",ifzero(mlookup(tbl_ICMSinterno_data,UFdestino,tbl_ICMSinterno_UF,O167,tbl_ICMSinterno_NCM),mlookup(tbl_ICMSinterest_data,UFdestino,tbl_ICMSinterest_ufdest,UFdestino,tbl_ICMSinterest_uforig)),""),0)</f>
        <v>0</v>
      </c>
      <c r="CI167" s="355">
        <f t="shared" si="1070"/>
        <v>0</v>
      </c>
      <c r="CJ167" s="355">
        <f t="shared" si="1071"/>
        <v>0</v>
      </c>
      <c r="CK167" s="355">
        <f t="shared" si="1072"/>
        <v>0</v>
      </c>
      <c r="CL167" s="355">
        <f t="shared" si="1073"/>
        <v>0</v>
      </c>
      <c r="CN167" s="370">
        <f t="shared" si="1074"/>
        <v>1540</v>
      </c>
      <c r="CO167" s="355">
        <f t="shared" si="1075"/>
        <v>0</v>
      </c>
      <c r="CQ167" s="355" t="b">
        <f t="shared" si="1076"/>
        <v>0</v>
      </c>
      <c r="CR167" s="355" t="b">
        <f t="shared" si="1077"/>
        <v>1</v>
      </c>
      <c r="CS167" s="355" t="b">
        <f t="shared" si="1078"/>
        <v>0</v>
      </c>
      <c r="CU167" s="2">
        <f t="shared" si="1079"/>
        <v>0</v>
      </c>
      <c r="CV167" s="102">
        <f t="shared" si="1080"/>
        <v>0</v>
      </c>
      <c r="CW167" s="102">
        <f t="shared" si="1098"/>
        <v>0</v>
      </c>
      <c r="CX167" s="102">
        <f t="shared" si="1081"/>
        <v>0</v>
      </c>
      <c r="CY167" s="290">
        <f t="shared" si="1082"/>
        <v>0</v>
      </c>
      <c r="CZ167" s="102">
        <f t="shared" si="1016"/>
        <v>0</v>
      </c>
      <c r="DA167" s="290">
        <f t="shared" si="1083"/>
        <v>0</v>
      </c>
      <c r="DB167" s="102">
        <f t="shared" si="1017"/>
        <v>0</v>
      </c>
      <c r="DC167" s="290">
        <f t="shared" si="1084"/>
        <v>0</v>
      </c>
      <c r="DD167" s="102">
        <f t="shared" si="1015"/>
        <v>0</v>
      </c>
      <c r="DE167" s="592">
        <f>IF(D167="Sim",HLOOKUP($DH$5,Parametrização!$G$2:$H$4,2,FALSE),0)</f>
        <v>0</v>
      </c>
      <c r="DF167" s="102">
        <f t="shared" si="1018"/>
        <v>0</v>
      </c>
      <c r="DG167" s="592">
        <f>IF(D167="Sim",HLOOKUP($DH$5,Parametrização!$G$2:$H$4,3,FALSE),0)</f>
        <v>0</v>
      </c>
      <c r="DH167" s="102">
        <f t="shared" si="1019"/>
        <v>0</v>
      </c>
      <c r="DI167" s="102">
        <f t="shared" si="1020"/>
        <v>0</v>
      </c>
      <c r="DK167" s="3" t="str">
        <f t="shared" si="1085"/>
        <v>NA</v>
      </c>
      <c r="DL167" s="2" t="str">
        <f t="shared" si="1086"/>
        <v>NA</v>
      </c>
      <c r="DM167" s="3" t="str">
        <f t="shared" si="1087"/>
        <v>NA</v>
      </c>
      <c r="DN167" s="9" t="str">
        <f t="shared" si="1088"/>
        <v>NA</v>
      </c>
      <c r="DO167" s="637" t="str">
        <f t="shared" si="1089"/>
        <v>NA</v>
      </c>
      <c r="DP167" s="637"/>
      <c r="DQ167" s="3" t="str">
        <f t="shared" si="1090"/>
        <v>NA</v>
      </c>
      <c r="DR167" s="2" t="str">
        <f t="shared" si="1091"/>
        <v>NA</v>
      </c>
      <c r="DS167" s="3" t="str">
        <f t="shared" si="1092"/>
        <v>NA</v>
      </c>
      <c r="DT167" s="9" t="str">
        <f t="shared" si="1021"/>
        <v>NA</v>
      </c>
      <c r="DU167" s="637" t="str">
        <f t="shared" si="1022"/>
        <v>NA</v>
      </c>
      <c r="DV167" s="637"/>
      <c r="DW167" s="682"/>
      <c r="DX167" s="682"/>
      <c r="DY167" s="682"/>
      <c r="DZ167" s="637"/>
      <c r="EA167" s="643"/>
    </row>
    <row r="168" spans="1:131" s="355" customFormat="1" ht="20.100000000000001" customHeight="1" outlineLevel="1" x14ac:dyDescent="0.25">
      <c r="A168" s="356"/>
      <c r="B168" s="355" t="s">
        <v>268</v>
      </c>
      <c r="C168" s="355" t="str">
        <f t="shared" si="1093"/>
        <v>Consumo</v>
      </c>
      <c r="D168" s="355" t="s">
        <v>53</v>
      </c>
      <c r="E168" s="18" t="s">
        <v>38</v>
      </c>
      <c r="F168" s="355" t="s">
        <v>53</v>
      </c>
      <c r="G168" s="357" t="str">
        <f t="shared" si="1094"/>
        <v>Geral</v>
      </c>
      <c r="H168" s="255" t="s">
        <v>377</v>
      </c>
      <c r="I168" s="356" t="str">
        <f t="shared" si="1028"/>
        <v>Sistema</v>
      </c>
      <c r="K168" s="318" t="s">
        <v>2921</v>
      </c>
      <c r="L168" s="749" t="str">
        <f>IF(Padrões!JF109&lt;&gt;"",Padrões!JF109,"")</f>
        <v/>
      </c>
      <c r="M168" s="358" t="str">
        <f t="shared" si="1029"/>
        <v>?</v>
      </c>
      <c r="N168" s="359">
        <f>Padrões!JI109</f>
        <v>0</v>
      </c>
      <c r="O168" s="381" t="str">
        <f t="shared" si="1030"/>
        <v>?</v>
      </c>
      <c r="P168" s="360">
        <f t="shared" si="1031"/>
        <v>0.12</v>
      </c>
      <c r="Q168" s="360" t="str">
        <f t="shared" si="1032"/>
        <v>?</v>
      </c>
      <c r="R168" s="360">
        <f t="shared" si="1033"/>
        <v>0</v>
      </c>
      <c r="S168" s="361">
        <f t="shared" si="1034"/>
        <v>0</v>
      </c>
      <c r="T168" s="362">
        <f t="shared" si="1035"/>
        <v>0</v>
      </c>
      <c r="U168" s="53" t="str" cm="1">
        <f t="array" ref="U168">IFERROR(IF(I168&lt;&gt;"Serviço",IF(AND(mlookup(tbl_DIFAL_data,UFdestino,tbl_DIFAL_UF,O168,tbl_DIFAL_NCM)&lt;&gt;"",C168="Consumo"),"Sim",""),""),"?")</f>
        <v>?</v>
      </c>
      <c r="V168" s="363" t="str">
        <f>IFERROR(IF(I168&lt;&gt;"Serviço",IF(AND(D168="Não",mlookup(tbl_ST_data,UFdestino,tbl_ST_UF,O168,tbl_ST_NCM)&lt;&gt;"",C168="Revenda",CD168="Não"),"Sim",""),""),"?")</f>
        <v>?</v>
      </c>
      <c r="W168" s="364">
        <f t="shared" si="1036"/>
        <v>0</v>
      </c>
      <c r="X168" s="365">
        <f>IF(V168="Sim",mlookup(tbl_ST_data,UFdestino,tbl_ST_UF,O168,tbl_ST_NCM),0)</f>
        <v>0</v>
      </c>
      <c r="Z168" s="355">
        <f t="shared" si="1037"/>
        <v>0</v>
      </c>
      <c r="AA168" s="355">
        <f t="shared" si="1023"/>
        <v>0</v>
      </c>
      <c r="AC168" s="366">
        <f t="shared" si="1095"/>
        <v>1.31243473968765E-2</v>
      </c>
      <c r="AD168" s="366">
        <f t="shared" si="1038"/>
        <v>0.15</v>
      </c>
      <c r="AF168" s="355">
        <f t="shared" si="1039"/>
        <v>0</v>
      </c>
      <c r="AG168" s="355">
        <f t="shared" si="1040"/>
        <v>0</v>
      </c>
      <c r="AI168" s="355">
        <f t="shared" si="1041"/>
        <v>0</v>
      </c>
      <c r="AK168" s="366">
        <f t="shared" si="1096"/>
        <v>0</v>
      </c>
      <c r="AL168" s="355">
        <f t="shared" si="1024"/>
        <v>0</v>
      </c>
      <c r="AM168" s="355">
        <f t="shared" si="1025"/>
        <v>0</v>
      </c>
      <c r="AO168" s="355" t="b">
        <f t="shared" si="1042"/>
        <v>1</v>
      </c>
      <c r="AQ168" s="367">
        <f t="shared" si="1043"/>
        <v>0</v>
      </c>
      <c r="AR168" s="367">
        <f t="shared" si="1026"/>
        <v>0</v>
      </c>
      <c r="AT168" s="367">
        <f t="shared" si="1044"/>
        <v>0</v>
      </c>
      <c r="AU168" s="367">
        <f t="shared" si="1045"/>
        <v>0</v>
      </c>
      <c r="AW168" s="367">
        <f t="shared" si="1046"/>
        <v>0</v>
      </c>
      <c r="AX168" s="367">
        <f t="shared" si="1047"/>
        <v>0</v>
      </c>
      <c r="AY168" s="367">
        <f t="shared" si="1048"/>
        <v>0</v>
      </c>
      <c r="AZ168" s="367">
        <f t="shared" si="1049"/>
        <v>0</v>
      </c>
      <c r="BB168" s="355">
        <f t="shared" si="1050"/>
        <v>0</v>
      </c>
      <c r="BC168" s="355">
        <f t="shared" si="1051"/>
        <v>0</v>
      </c>
      <c r="BD168" s="355">
        <f t="shared" si="1052"/>
        <v>0</v>
      </c>
      <c r="BE168" s="355">
        <f t="shared" si="1053"/>
        <v>0</v>
      </c>
      <c r="BF168" s="355">
        <f t="shared" si="1054"/>
        <v>0</v>
      </c>
      <c r="BH168" s="368">
        <f t="shared" si="1055"/>
        <v>0</v>
      </c>
      <c r="BJ168" s="369">
        <f t="shared" si="1056"/>
        <v>-0.12</v>
      </c>
      <c r="BK168" s="355">
        <f t="shared" si="1057"/>
        <v>0</v>
      </c>
      <c r="BL168" s="355">
        <f t="shared" si="1058"/>
        <v>0</v>
      </c>
      <c r="BN168" s="366">
        <f t="shared" si="1059"/>
        <v>0</v>
      </c>
      <c r="BO168" s="355">
        <f t="shared" si="1060"/>
        <v>0</v>
      </c>
      <c r="BP168" s="355">
        <f t="shared" si="1061"/>
        <v>0</v>
      </c>
      <c r="BQ168" s="355">
        <f t="shared" si="1062"/>
        <v>0</v>
      </c>
      <c r="BS168" s="367">
        <f t="shared" si="1063"/>
        <v>0</v>
      </c>
      <c r="BT168" s="355">
        <f t="shared" si="1064"/>
        <v>0</v>
      </c>
      <c r="BU168" s="355" t="b">
        <f t="shared" si="1027"/>
        <v>1</v>
      </c>
      <c r="BW168" s="355" t="str">
        <f t="shared" si="1065"/>
        <v/>
      </c>
      <c r="BX168" s="355">
        <f t="shared" si="1066"/>
        <v>0</v>
      </c>
      <c r="BY168" s="356">
        <f t="shared" si="1097"/>
        <v>0</v>
      </c>
      <c r="BZ168" s="355">
        <f t="shared" si="1067"/>
        <v>0</v>
      </c>
      <c r="CB168" s="102" t="str">
        <f t="shared" si="1068"/>
        <v>?</v>
      </c>
      <c r="CD168" s="355" t="str">
        <f t="shared" si="1069"/>
        <v>Não</v>
      </c>
      <c r="CE168" s="368">
        <f>ifzero(mlookup(tbl_ICMSinterest_data,UFdestino,tbl_ICMSinterest_ufdest,UForigem,tbl_ICMSinterest_uforig))</f>
        <v>0.12</v>
      </c>
      <c r="CF168" s="368">
        <f>IF(N168&gt;0,IF(I168&lt;&gt;"Serviço",ifzero(mlookup(tbl_ICMSinterno_data,UForigem,tbl_ICMSinterno_UF,O168,tbl_ICMSinterno_NCM),mlookup(tbl_ICMSinterest_data,UForigem,tbl_ICMSinterest_ufdest,UForigem,tbl_ICMSinterest_uforig)),""),0)</f>
        <v>0</v>
      </c>
      <c r="CG168" s="368">
        <f>IF(N168&gt;0,IF(I168&lt;&gt;"Serviço",ifzero(mlookup(tbl_ICMSinterno_data,UFdestino,tbl_ICMSinterno_UF,O168,tbl_ICMSinterno_NCM),mlookup(tbl_ICMSinterest_data,UFdestino,tbl_ICMSinterest_ufdest,UFdestino,tbl_ICMSinterest_uforig)),""),0)</f>
        <v>0</v>
      </c>
      <c r="CI168" s="355">
        <f t="shared" si="1070"/>
        <v>0</v>
      </c>
      <c r="CJ168" s="355">
        <f t="shared" si="1071"/>
        <v>0</v>
      </c>
      <c r="CK168" s="355">
        <f t="shared" si="1072"/>
        <v>0</v>
      </c>
      <c r="CL168" s="355">
        <f t="shared" si="1073"/>
        <v>0</v>
      </c>
      <c r="CN168" s="370">
        <f t="shared" si="1074"/>
        <v>1540</v>
      </c>
      <c r="CO168" s="355">
        <f t="shared" si="1075"/>
        <v>0</v>
      </c>
      <c r="CQ168" s="355" t="b">
        <f t="shared" si="1076"/>
        <v>0</v>
      </c>
      <c r="CR168" s="355" t="b">
        <f t="shared" si="1077"/>
        <v>1</v>
      </c>
      <c r="CS168" s="355" t="b">
        <f t="shared" si="1078"/>
        <v>0</v>
      </c>
      <c r="CU168" s="2">
        <f t="shared" si="1079"/>
        <v>0</v>
      </c>
      <c r="CV168" s="102">
        <f t="shared" si="1080"/>
        <v>0</v>
      </c>
      <c r="CW168" s="102">
        <f t="shared" si="1098"/>
        <v>0</v>
      </c>
      <c r="CX168" s="102">
        <f t="shared" si="1081"/>
        <v>0</v>
      </c>
      <c r="CY168" s="290">
        <f t="shared" si="1082"/>
        <v>0</v>
      </c>
      <c r="CZ168" s="102">
        <f t="shared" si="1016"/>
        <v>0</v>
      </c>
      <c r="DA168" s="290">
        <f t="shared" si="1083"/>
        <v>0</v>
      </c>
      <c r="DB168" s="102">
        <f t="shared" si="1017"/>
        <v>0</v>
      </c>
      <c r="DC168" s="290">
        <f t="shared" si="1084"/>
        <v>0</v>
      </c>
      <c r="DD168" s="102">
        <f t="shared" si="1015"/>
        <v>0</v>
      </c>
      <c r="DE168" s="592">
        <f>IF(D168="Sim",HLOOKUP($DH$5,Parametrização!$G$2:$H$4,2,FALSE),0)</f>
        <v>0</v>
      </c>
      <c r="DF168" s="102">
        <f t="shared" si="1018"/>
        <v>0</v>
      </c>
      <c r="DG168" s="592">
        <f>IF(D168="Sim",HLOOKUP($DH$5,Parametrização!$G$2:$H$4,3,FALSE),0)</f>
        <v>0</v>
      </c>
      <c r="DH168" s="102">
        <f t="shared" si="1019"/>
        <v>0</v>
      </c>
      <c r="DI168" s="102">
        <f t="shared" si="1020"/>
        <v>0</v>
      </c>
      <c r="DK168" s="3" t="str">
        <f t="shared" si="1085"/>
        <v>NA</v>
      </c>
      <c r="DL168" s="2" t="str">
        <f t="shared" si="1086"/>
        <v>NA</v>
      </c>
      <c r="DM168" s="3" t="str">
        <f t="shared" si="1087"/>
        <v>NA</v>
      </c>
      <c r="DN168" s="9" t="str">
        <f t="shared" si="1088"/>
        <v>NA</v>
      </c>
      <c r="DO168" s="637" t="str">
        <f t="shared" si="1089"/>
        <v>NA</v>
      </c>
      <c r="DP168" s="637"/>
      <c r="DQ168" s="3" t="str">
        <f t="shared" si="1090"/>
        <v>NA</v>
      </c>
      <c r="DR168" s="2" t="str">
        <f t="shared" si="1091"/>
        <v>NA</v>
      </c>
      <c r="DS168" s="3" t="str">
        <f t="shared" si="1092"/>
        <v>NA</v>
      </c>
      <c r="DT168" s="9" t="str">
        <f t="shared" si="1021"/>
        <v>NA</v>
      </c>
      <c r="DU168" s="637" t="str">
        <f t="shared" si="1022"/>
        <v>NA</v>
      </c>
      <c r="DV168" s="637"/>
      <c r="DW168" s="682"/>
      <c r="DX168" s="682"/>
      <c r="DY168" s="682"/>
      <c r="DZ168" s="637"/>
      <c r="EA168" s="643"/>
    </row>
    <row r="169" spans="1:131" s="355" customFormat="1" ht="20.100000000000001" customHeight="1" outlineLevel="1" x14ac:dyDescent="0.25">
      <c r="A169" s="356"/>
      <c r="B169" s="355" t="s">
        <v>268</v>
      </c>
      <c r="C169" s="355" t="str">
        <f t="shared" si="1093"/>
        <v>Consumo</v>
      </c>
      <c r="D169" s="355" t="s">
        <v>53</v>
      </c>
      <c r="E169" s="18" t="s">
        <v>38</v>
      </c>
      <c r="F169" s="355" t="s">
        <v>53</v>
      </c>
      <c r="G169" s="357" t="str">
        <f t="shared" si="1094"/>
        <v>Geral</v>
      </c>
      <c r="H169" s="255" t="s">
        <v>377</v>
      </c>
      <c r="I169" s="356" t="str">
        <f t="shared" si="1028"/>
        <v>Sistema</v>
      </c>
      <c r="K169" s="318" t="s">
        <v>2922</v>
      </c>
      <c r="L169" s="749" t="str">
        <f>IF(Padrões!JF110&lt;&gt;"",Padrões!JF110,"")</f>
        <v/>
      </c>
      <c r="M169" s="358" t="str">
        <f t="shared" si="1029"/>
        <v>?</v>
      </c>
      <c r="N169" s="359">
        <f>Padrões!JI110</f>
        <v>0</v>
      </c>
      <c r="O169" s="381" t="str">
        <f t="shared" si="1030"/>
        <v>?</v>
      </c>
      <c r="P169" s="360">
        <f t="shared" si="1031"/>
        <v>0.12</v>
      </c>
      <c r="Q169" s="360" t="str">
        <f t="shared" si="1032"/>
        <v>?</v>
      </c>
      <c r="R169" s="360">
        <f t="shared" si="1033"/>
        <v>0</v>
      </c>
      <c r="S169" s="361">
        <f t="shared" si="1034"/>
        <v>0</v>
      </c>
      <c r="T169" s="362">
        <f t="shared" si="1035"/>
        <v>0</v>
      </c>
      <c r="U169" s="53" t="str" cm="1">
        <f t="array" ref="U169">IFERROR(IF(I169&lt;&gt;"Serviço",IF(AND(mlookup(tbl_DIFAL_data,UFdestino,tbl_DIFAL_UF,O169,tbl_DIFAL_NCM)&lt;&gt;"",C169="Consumo"),"Sim",""),""),"?")</f>
        <v>?</v>
      </c>
      <c r="V169" s="363" t="str">
        <f>IFERROR(IF(I169&lt;&gt;"Serviço",IF(AND(D169="Não",mlookup(tbl_ST_data,UFdestino,tbl_ST_UF,O169,tbl_ST_NCM)&lt;&gt;"",C169="Revenda",CD169="Não"),"Sim",""),""),"?")</f>
        <v>?</v>
      </c>
      <c r="W169" s="364">
        <f t="shared" si="1036"/>
        <v>0</v>
      </c>
      <c r="X169" s="365">
        <f>IF(V169="Sim",mlookup(tbl_ST_data,UFdestino,tbl_ST_UF,O169,tbl_ST_NCM),0)</f>
        <v>0</v>
      </c>
      <c r="Z169" s="355">
        <f t="shared" si="1037"/>
        <v>0</v>
      </c>
      <c r="AA169" s="355">
        <f t="shared" si="1023"/>
        <v>0</v>
      </c>
      <c r="AC169" s="366">
        <f t="shared" si="1095"/>
        <v>1.31243473968765E-2</v>
      </c>
      <c r="AD169" s="366">
        <f t="shared" si="1038"/>
        <v>0.15</v>
      </c>
      <c r="AF169" s="355">
        <f t="shared" si="1039"/>
        <v>0</v>
      </c>
      <c r="AG169" s="355">
        <f t="shared" si="1040"/>
        <v>0</v>
      </c>
      <c r="AI169" s="355">
        <f t="shared" si="1041"/>
        <v>0</v>
      </c>
      <c r="AK169" s="366">
        <f t="shared" si="1096"/>
        <v>0</v>
      </c>
      <c r="AL169" s="355">
        <f t="shared" si="1024"/>
        <v>0</v>
      </c>
      <c r="AM169" s="355">
        <f t="shared" si="1025"/>
        <v>0</v>
      </c>
      <c r="AO169" s="355" t="b">
        <f t="shared" si="1042"/>
        <v>1</v>
      </c>
      <c r="AQ169" s="367">
        <f t="shared" si="1043"/>
        <v>0</v>
      </c>
      <c r="AR169" s="367">
        <f t="shared" si="1026"/>
        <v>0</v>
      </c>
      <c r="AT169" s="367">
        <f t="shared" si="1044"/>
        <v>0</v>
      </c>
      <c r="AU169" s="367">
        <f t="shared" si="1045"/>
        <v>0</v>
      </c>
      <c r="AW169" s="367">
        <f t="shared" si="1046"/>
        <v>0</v>
      </c>
      <c r="AX169" s="367">
        <f t="shared" si="1047"/>
        <v>0</v>
      </c>
      <c r="AY169" s="367">
        <f t="shared" si="1048"/>
        <v>0</v>
      </c>
      <c r="AZ169" s="367">
        <f t="shared" si="1049"/>
        <v>0</v>
      </c>
      <c r="BB169" s="355">
        <f t="shared" si="1050"/>
        <v>0</v>
      </c>
      <c r="BC169" s="355">
        <f t="shared" si="1051"/>
        <v>0</v>
      </c>
      <c r="BD169" s="355">
        <f t="shared" si="1052"/>
        <v>0</v>
      </c>
      <c r="BE169" s="355">
        <f t="shared" si="1053"/>
        <v>0</v>
      </c>
      <c r="BF169" s="355">
        <f t="shared" si="1054"/>
        <v>0</v>
      </c>
      <c r="BH169" s="368">
        <f t="shared" si="1055"/>
        <v>0</v>
      </c>
      <c r="BJ169" s="369">
        <f t="shared" si="1056"/>
        <v>-0.12</v>
      </c>
      <c r="BK169" s="355">
        <f t="shared" si="1057"/>
        <v>0</v>
      </c>
      <c r="BL169" s="355">
        <f t="shared" si="1058"/>
        <v>0</v>
      </c>
      <c r="BN169" s="366">
        <f t="shared" si="1059"/>
        <v>0</v>
      </c>
      <c r="BO169" s="355">
        <f t="shared" si="1060"/>
        <v>0</v>
      </c>
      <c r="BP169" s="355">
        <f t="shared" si="1061"/>
        <v>0</v>
      </c>
      <c r="BQ169" s="355">
        <f t="shared" si="1062"/>
        <v>0</v>
      </c>
      <c r="BS169" s="367">
        <f t="shared" si="1063"/>
        <v>0</v>
      </c>
      <c r="BT169" s="355">
        <f t="shared" si="1064"/>
        <v>0</v>
      </c>
      <c r="BU169" s="355" t="b">
        <f t="shared" si="1027"/>
        <v>1</v>
      </c>
      <c r="BW169" s="355" t="str">
        <f t="shared" si="1065"/>
        <v/>
      </c>
      <c r="BX169" s="355">
        <f t="shared" si="1066"/>
        <v>0</v>
      </c>
      <c r="BY169" s="356">
        <f t="shared" si="1097"/>
        <v>0</v>
      </c>
      <c r="BZ169" s="355">
        <f t="shared" si="1067"/>
        <v>0</v>
      </c>
      <c r="CB169" s="102" t="str">
        <f t="shared" si="1068"/>
        <v>?</v>
      </c>
      <c r="CD169" s="355" t="str">
        <f t="shared" si="1069"/>
        <v>Não</v>
      </c>
      <c r="CE169" s="368">
        <f>ifzero(mlookup(tbl_ICMSinterest_data,UFdestino,tbl_ICMSinterest_ufdest,UForigem,tbl_ICMSinterest_uforig))</f>
        <v>0.12</v>
      </c>
      <c r="CF169" s="368">
        <f>IF(N169&gt;0,IF(I169&lt;&gt;"Serviço",ifzero(mlookup(tbl_ICMSinterno_data,UForigem,tbl_ICMSinterno_UF,O169,tbl_ICMSinterno_NCM),mlookup(tbl_ICMSinterest_data,UForigem,tbl_ICMSinterest_ufdest,UForigem,tbl_ICMSinterest_uforig)),""),0)</f>
        <v>0</v>
      </c>
      <c r="CG169" s="368">
        <f>IF(N169&gt;0,IF(I169&lt;&gt;"Serviço",ifzero(mlookup(tbl_ICMSinterno_data,UFdestino,tbl_ICMSinterno_UF,O169,tbl_ICMSinterno_NCM),mlookup(tbl_ICMSinterest_data,UFdestino,tbl_ICMSinterest_ufdest,UFdestino,tbl_ICMSinterest_uforig)),""),0)</f>
        <v>0</v>
      </c>
      <c r="CI169" s="355">
        <f t="shared" si="1070"/>
        <v>0</v>
      </c>
      <c r="CJ169" s="355">
        <f t="shared" si="1071"/>
        <v>0</v>
      </c>
      <c r="CK169" s="355">
        <f t="shared" si="1072"/>
        <v>0</v>
      </c>
      <c r="CL169" s="355">
        <f t="shared" si="1073"/>
        <v>0</v>
      </c>
      <c r="CN169" s="370">
        <f t="shared" si="1074"/>
        <v>1540</v>
      </c>
      <c r="CO169" s="355">
        <f t="shared" si="1075"/>
        <v>0</v>
      </c>
      <c r="CQ169" s="355" t="b">
        <f t="shared" si="1076"/>
        <v>0</v>
      </c>
      <c r="CR169" s="355" t="b">
        <f t="shared" si="1077"/>
        <v>1</v>
      </c>
      <c r="CS169" s="355" t="b">
        <f t="shared" si="1078"/>
        <v>0</v>
      </c>
      <c r="CU169" s="2">
        <f t="shared" si="1079"/>
        <v>0</v>
      </c>
      <c r="CV169" s="102">
        <f t="shared" si="1080"/>
        <v>0</v>
      </c>
      <c r="CW169" s="102">
        <f t="shared" si="1098"/>
        <v>0</v>
      </c>
      <c r="CX169" s="102">
        <f t="shared" si="1081"/>
        <v>0</v>
      </c>
      <c r="CY169" s="290">
        <f t="shared" si="1082"/>
        <v>0</v>
      </c>
      <c r="CZ169" s="102">
        <f t="shared" si="1016"/>
        <v>0</v>
      </c>
      <c r="DA169" s="290">
        <f t="shared" si="1083"/>
        <v>0</v>
      </c>
      <c r="DB169" s="102">
        <f t="shared" si="1017"/>
        <v>0</v>
      </c>
      <c r="DC169" s="290">
        <f t="shared" si="1084"/>
        <v>0</v>
      </c>
      <c r="DD169" s="102">
        <f t="shared" si="1015"/>
        <v>0</v>
      </c>
      <c r="DE169" s="592">
        <f>IF(D169="Sim",HLOOKUP($DH$5,Parametrização!$G$2:$H$4,2,FALSE),0)</f>
        <v>0</v>
      </c>
      <c r="DF169" s="102">
        <f t="shared" si="1018"/>
        <v>0</v>
      </c>
      <c r="DG169" s="592">
        <f>IF(D169="Sim",HLOOKUP($DH$5,Parametrização!$G$2:$H$4,3,FALSE),0)</f>
        <v>0</v>
      </c>
      <c r="DH169" s="102">
        <f t="shared" si="1019"/>
        <v>0</v>
      </c>
      <c r="DI169" s="102">
        <f t="shared" si="1020"/>
        <v>0</v>
      </c>
      <c r="DK169" s="3" t="str">
        <f t="shared" si="1085"/>
        <v>NA</v>
      </c>
      <c r="DL169" s="2" t="str">
        <f t="shared" si="1086"/>
        <v>NA</v>
      </c>
      <c r="DM169" s="3" t="str">
        <f t="shared" si="1087"/>
        <v>NA</v>
      </c>
      <c r="DN169" s="9" t="str">
        <f t="shared" si="1088"/>
        <v>NA</v>
      </c>
      <c r="DO169" s="637" t="str">
        <f t="shared" si="1089"/>
        <v>NA</v>
      </c>
      <c r="DP169" s="637"/>
      <c r="DQ169" s="3" t="str">
        <f t="shared" si="1090"/>
        <v>NA</v>
      </c>
      <c r="DR169" s="2" t="str">
        <f t="shared" si="1091"/>
        <v>NA</v>
      </c>
      <c r="DS169" s="3" t="str">
        <f t="shared" si="1092"/>
        <v>NA</v>
      </c>
      <c r="DT169" s="9" t="str">
        <f t="shared" si="1021"/>
        <v>NA</v>
      </c>
      <c r="DU169" s="637" t="str">
        <f t="shared" si="1022"/>
        <v>NA</v>
      </c>
      <c r="DV169" s="637"/>
      <c r="DW169" s="682"/>
      <c r="DX169" s="682"/>
      <c r="DY169" s="682"/>
      <c r="DZ169" s="637"/>
      <c r="EA169" s="643"/>
    </row>
    <row r="170" spans="1:131" s="355" customFormat="1" ht="20.100000000000001" customHeight="1" outlineLevel="1" x14ac:dyDescent="0.25">
      <c r="A170" s="356"/>
      <c r="B170" s="355" t="s">
        <v>268</v>
      </c>
      <c r="C170" s="355" t="str">
        <f t="shared" si="1093"/>
        <v>Consumo</v>
      </c>
      <c r="D170" s="355" t="s">
        <v>53</v>
      </c>
      <c r="E170" s="18" t="s">
        <v>38</v>
      </c>
      <c r="F170" s="355" t="s">
        <v>53</v>
      </c>
      <c r="G170" s="357" t="str">
        <f t="shared" si="1094"/>
        <v>Geral</v>
      </c>
      <c r="H170" s="255" t="s">
        <v>377</v>
      </c>
      <c r="I170" s="356" t="str">
        <f t="shared" si="1028"/>
        <v>Sistema</v>
      </c>
      <c r="K170" s="318" t="s">
        <v>2923</v>
      </c>
      <c r="L170" s="749" t="str">
        <f>IF(Padrões!JF111&lt;&gt;"",Padrões!JF111,"")</f>
        <v/>
      </c>
      <c r="M170" s="358" t="str">
        <f t="shared" si="1029"/>
        <v>?</v>
      </c>
      <c r="N170" s="359">
        <f>Padrões!JI111</f>
        <v>0</v>
      </c>
      <c r="O170" s="381" t="str">
        <f t="shared" si="1030"/>
        <v>?</v>
      </c>
      <c r="P170" s="360">
        <f t="shared" si="1031"/>
        <v>0.12</v>
      </c>
      <c r="Q170" s="360" t="str">
        <f t="shared" si="1032"/>
        <v>?</v>
      </c>
      <c r="R170" s="360">
        <f t="shared" si="1033"/>
        <v>0</v>
      </c>
      <c r="S170" s="361">
        <f t="shared" si="1034"/>
        <v>0</v>
      </c>
      <c r="T170" s="362">
        <f t="shared" si="1035"/>
        <v>0</v>
      </c>
      <c r="U170" s="53" t="str" cm="1">
        <f t="array" ref="U170">IFERROR(IF(I170&lt;&gt;"Serviço",IF(AND(mlookup(tbl_DIFAL_data,UFdestino,tbl_DIFAL_UF,O170,tbl_DIFAL_NCM)&lt;&gt;"",C170="Consumo"),"Sim",""),""),"?")</f>
        <v>?</v>
      </c>
      <c r="V170" s="363" t="str">
        <f>IFERROR(IF(I170&lt;&gt;"Serviço",IF(AND(D170="Não",mlookup(tbl_ST_data,UFdestino,tbl_ST_UF,O170,tbl_ST_NCM)&lt;&gt;"",C170="Revenda",CD170="Não"),"Sim",""),""),"?")</f>
        <v>?</v>
      </c>
      <c r="W170" s="364">
        <f t="shared" si="1036"/>
        <v>0</v>
      </c>
      <c r="X170" s="365">
        <f>IF(V170="Sim",mlookup(tbl_ST_data,UFdestino,tbl_ST_UF,O170,tbl_ST_NCM),0)</f>
        <v>0</v>
      </c>
      <c r="Z170" s="355">
        <f t="shared" si="1037"/>
        <v>0</v>
      </c>
      <c r="AA170" s="355">
        <f t="shared" si="1023"/>
        <v>0</v>
      </c>
      <c r="AC170" s="366">
        <f t="shared" si="1095"/>
        <v>1.31243473968765E-2</v>
      </c>
      <c r="AD170" s="366">
        <f t="shared" si="1038"/>
        <v>0.15</v>
      </c>
      <c r="AF170" s="355">
        <f t="shared" si="1039"/>
        <v>0</v>
      </c>
      <c r="AG170" s="355">
        <f t="shared" si="1040"/>
        <v>0</v>
      </c>
      <c r="AI170" s="355">
        <f t="shared" si="1041"/>
        <v>0</v>
      </c>
      <c r="AK170" s="366">
        <f t="shared" si="1096"/>
        <v>0</v>
      </c>
      <c r="AL170" s="355">
        <f t="shared" si="1024"/>
        <v>0</v>
      </c>
      <c r="AM170" s="355">
        <f t="shared" si="1025"/>
        <v>0</v>
      </c>
      <c r="AO170" s="355" t="b">
        <f t="shared" si="1042"/>
        <v>1</v>
      </c>
      <c r="AQ170" s="367">
        <f t="shared" si="1043"/>
        <v>0</v>
      </c>
      <c r="AR170" s="367">
        <f t="shared" si="1026"/>
        <v>0</v>
      </c>
      <c r="AT170" s="367">
        <f t="shared" si="1044"/>
        <v>0</v>
      </c>
      <c r="AU170" s="367">
        <f t="shared" si="1045"/>
        <v>0</v>
      </c>
      <c r="AW170" s="367">
        <f t="shared" si="1046"/>
        <v>0</v>
      </c>
      <c r="AX170" s="367">
        <f t="shared" si="1047"/>
        <v>0</v>
      </c>
      <c r="AY170" s="367">
        <f t="shared" si="1048"/>
        <v>0</v>
      </c>
      <c r="AZ170" s="367">
        <f t="shared" si="1049"/>
        <v>0</v>
      </c>
      <c r="BB170" s="355">
        <f t="shared" si="1050"/>
        <v>0</v>
      </c>
      <c r="BC170" s="355">
        <f t="shared" si="1051"/>
        <v>0</v>
      </c>
      <c r="BD170" s="355">
        <f t="shared" si="1052"/>
        <v>0</v>
      </c>
      <c r="BE170" s="355">
        <f t="shared" si="1053"/>
        <v>0</v>
      </c>
      <c r="BF170" s="355">
        <f t="shared" si="1054"/>
        <v>0</v>
      </c>
      <c r="BH170" s="368">
        <f t="shared" si="1055"/>
        <v>0</v>
      </c>
      <c r="BJ170" s="369">
        <f t="shared" si="1056"/>
        <v>-0.12</v>
      </c>
      <c r="BK170" s="355">
        <f t="shared" si="1057"/>
        <v>0</v>
      </c>
      <c r="BL170" s="355">
        <f t="shared" si="1058"/>
        <v>0</v>
      </c>
      <c r="BN170" s="366">
        <f t="shared" si="1059"/>
        <v>0</v>
      </c>
      <c r="BO170" s="355">
        <f t="shared" si="1060"/>
        <v>0</v>
      </c>
      <c r="BP170" s="355">
        <f t="shared" si="1061"/>
        <v>0</v>
      </c>
      <c r="BQ170" s="355">
        <f t="shared" si="1062"/>
        <v>0</v>
      </c>
      <c r="BS170" s="367">
        <f t="shared" si="1063"/>
        <v>0</v>
      </c>
      <c r="BT170" s="355">
        <f t="shared" si="1064"/>
        <v>0</v>
      </c>
      <c r="BU170" s="355" t="b">
        <f t="shared" si="1027"/>
        <v>1</v>
      </c>
      <c r="BW170" s="355" t="str">
        <f t="shared" si="1065"/>
        <v/>
      </c>
      <c r="BX170" s="355">
        <f t="shared" si="1066"/>
        <v>0</v>
      </c>
      <c r="BY170" s="356">
        <f t="shared" si="1097"/>
        <v>0</v>
      </c>
      <c r="BZ170" s="355">
        <f t="shared" si="1067"/>
        <v>0</v>
      </c>
      <c r="CB170" s="102" t="str">
        <f t="shared" si="1068"/>
        <v>?</v>
      </c>
      <c r="CD170" s="355" t="str">
        <f t="shared" si="1069"/>
        <v>Não</v>
      </c>
      <c r="CE170" s="368">
        <f>ifzero(mlookup(tbl_ICMSinterest_data,UFdestino,tbl_ICMSinterest_ufdest,UForigem,tbl_ICMSinterest_uforig))</f>
        <v>0.12</v>
      </c>
      <c r="CF170" s="368">
        <f>IF(N170&gt;0,IF(I170&lt;&gt;"Serviço",ifzero(mlookup(tbl_ICMSinterno_data,UForigem,tbl_ICMSinterno_UF,O170,tbl_ICMSinterno_NCM),mlookup(tbl_ICMSinterest_data,UForigem,tbl_ICMSinterest_ufdest,UForigem,tbl_ICMSinterest_uforig)),""),0)</f>
        <v>0</v>
      </c>
      <c r="CG170" s="368">
        <f>IF(N170&gt;0,IF(I170&lt;&gt;"Serviço",ifzero(mlookup(tbl_ICMSinterno_data,UFdestino,tbl_ICMSinterno_UF,O170,tbl_ICMSinterno_NCM),mlookup(tbl_ICMSinterest_data,UFdestino,tbl_ICMSinterest_ufdest,UFdestino,tbl_ICMSinterest_uforig)),""),0)</f>
        <v>0</v>
      </c>
      <c r="CI170" s="355">
        <f t="shared" si="1070"/>
        <v>0</v>
      </c>
      <c r="CJ170" s="355">
        <f t="shared" si="1071"/>
        <v>0</v>
      </c>
      <c r="CK170" s="355">
        <f t="shared" si="1072"/>
        <v>0</v>
      </c>
      <c r="CL170" s="355">
        <f t="shared" si="1073"/>
        <v>0</v>
      </c>
      <c r="CN170" s="370">
        <f t="shared" si="1074"/>
        <v>1540</v>
      </c>
      <c r="CO170" s="355">
        <f t="shared" si="1075"/>
        <v>0</v>
      </c>
      <c r="CQ170" s="355" t="b">
        <f t="shared" si="1076"/>
        <v>0</v>
      </c>
      <c r="CR170" s="355" t="b">
        <f t="shared" si="1077"/>
        <v>1</v>
      </c>
      <c r="CS170" s="355" t="b">
        <f t="shared" si="1078"/>
        <v>0</v>
      </c>
      <c r="CU170" s="2">
        <f t="shared" si="1079"/>
        <v>0</v>
      </c>
      <c r="CV170" s="102">
        <f t="shared" si="1080"/>
        <v>0</v>
      </c>
      <c r="CW170" s="102">
        <f t="shared" si="1098"/>
        <v>0</v>
      </c>
      <c r="CX170" s="102">
        <f t="shared" si="1081"/>
        <v>0</v>
      </c>
      <c r="CY170" s="290">
        <f t="shared" si="1082"/>
        <v>0</v>
      </c>
      <c r="CZ170" s="102">
        <f t="shared" si="1016"/>
        <v>0</v>
      </c>
      <c r="DA170" s="290">
        <f t="shared" si="1083"/>
        <v>0</v>
      </c>
      <c r="DB170" s="102">
        <f t="shared" si="1017"/>
        <v>0</v>
      </c>
      <c r="DC170" s="290">
        <f t="shared" si="1084"/>
        <v>0</v>
      </c>
      <c r="DD170" s="102">
        <f t="shared" ref="DD170:DD233" si="1099">CX170*DC170/(1+DC170)</f>
        <v>0</v>
      </c>
      <c r="DE170" s="592">
        <f>IF(D170="Sim",HLOOKUP($DH$5,Parametrização!$G$2:$H$4,2,FALSE),0)</f>
        <v>0</v>
      </c>
      <c r="DF170" s="102">
        <f t="shared" si="1018"/>
        <v>0</v>
      </c>
      <c r="DG170" s="592">
        <f>IF(D170="Sim",HLOOKUP($DH$5,Parametrização!$G$2:$H$4,3,FALSE),0)</f>
        <v>0</v>
      </c>
      <c r="DH170" s="102">
        <f t="shared" si="1019"/>
        <v>0</v>
      </c>
      <c r="DI170" s="102">
        <f t="shared" si="1020"/>
        <v>0</v>
      </c>
      <c r="DK170" s="3" t="str">
        <f t="shared" si="1085"/>
        <v>NA</v>
      </c>
      <c r="DL170" s="2" t="str">
        <f t="shared" si="1086"/>
        <v>NA</v>
      </c>
      <c r="DM170" s="3" t="str">
        <f t="shared" si="1087"/>
        <v>NA</v>
      </c>
      <c r="DN170" s="9" t="str">
        <f t="shared" si="1088"/>
        <v>NA</v>
      </c>
      <c r="DO170" s="637" t="str">
        <f t="shared" si="1089"/>
        <v>NA</v>
      </c>
      <c r="DP170" s="637"/>
      <c r="DQ170" s="3" t="str">
        <f t="shared" si="1090"/>
        <v>NA</v>
      </c>
      <c r="DR170" s="2" t="str">
        <f t="shared" si="1091"/>
        <v>NA</v>
      </c>
      <c r="DS170" s="3" t="str">
        <f t="shared" si="1092"/>
        <v>NA</v>
      </c>
      <c r="DT170" s="9" t="str">
        <f t="shared" si="1021"/>
        <v>NA</v>
      </c>
      <c r="DU170" s="637" t="str">
        <f t="shared" si="1022"/>
        <v>NA</v>
      </c>
      <c r="DV170" s="637"/>
      <c r="DW170" s="682"/>
      <c r="DX170" s="682"/>
      <c r="DY170" s="682"/>
      <c r="DZ170" s="637"/>
      <c r="EA170" s="643"/>
    </row>
    <row r="171" spans="1:131" s="355" customFormat="1" ht="20.100000000000001" customHeight="1" outlineLevel="1" x14ac:dyDescent="0.25">
      <c r="A171" s="356"/>
      <c r="B171" s="355" t="s">
        <v>268</v>
      </c>
      <c r="C171" s="355" t="str">
        <f t="shared" si="1093"/>
        <v>Consumo</v>
      </c>
      <c r="D171" s="355" t="s">
        <v>53</v>
      </c>
      <c r="E171" s="18" t="s">
        <v>38</v>
      </c>
      <c r="F171" s="355" t="s">
        <v>53</v>
      </c>
      <c r="G171" s="357" t="str">
        <f t="shared" si="1094"/>
        <v>Geral</v>
      </c>
      <c r="H171" s="255" t="s">
        <v>377</v>
      </c>
      <c r="I171" s="356" t="str">
        <f t="shared" si="1028"/>
        <v>Sistema</v>
      </c>
      <c r="K171" s="318" t="s">
        <v>2924</v>
      </c>
      <c r="L171" s="749" t="str">
        <f>IF(Padrões!JF112&lt;&gt;"",Padrões!JF112,"")</f>
        <v/>
      </c>
      <c r="M171" s="358" t="str">
        <f t="shared" si="1029"/>
        <v>?</v>
      </c>
      <c r="N171" s="359">
        <f>Padrões!JI112</f>
        <v>0</v>
      </c>
      <c r="O171" s="381" t="str">
        <f t="shared" si="1030"/>
        <v>?</v>
      </c>
      <c r="P171" s="360">
        <f t="shared" si="1031"/>
        <v>0.12</v>
      </c>
      <c r="Q171" s="360" t="str">
        <f t="shared" si="1032"/>
        <v>?</v>
      </c>
      <c r="R171" s="360">
        <f t="shared" si="1033"/>
        <v>0</v>
      </c>
      <c r="S171" s="361">
        <f t="shared" si="1034"/>
        <v>0</v>
      </c>
      <c r="T171" s="362">
        <f t="shared" si="1035"/>
        <v>0</v>
      </c>
      <c r="U171" s="53" t="str" cm="1">
        <f t="array" ref="U171">IFERROR(IF(I171&lt;&gt;"Serviço",IF(AND(mlookup(tbl_DIFAL_data,UFdestino,tbl_DIFAL_UF,O171,tbl_DIFAL_NCM)&lt;&gt;"",C171="Consumo"),"Sim",""),""),"?")</f>
        <v>?</v>
      </c>
      <c r="V171" s="363" t="str">
        <f>IFERROR(IF(I171&lt;&gt;"Serviço",IF(AND(D171="Não",mlookup(tbl_ST_data,UFdestino,tbl_ST_UF,O171,tbl_ST_NCM)&lt;&gt;"",C171="Revenda",CD171="Não"),"Sim",""),""),"?")</f>
        <v>?</v>
      </c>
      <c r="W171" s="364">
        <f t="shared" si="1036"/>
        <v>0</v>
      </c>
      <c r="X171" s="365">
        <f>IF(V171="Sim",mlookup(tbl_ST_data,UFdestino,tbl_ST_UF,O171,tbl_ST_NCM),0)</f>
        <v>0</v>
      </c>
      <c r="Z171" s="355">
        <f t="shared" si="1037"/>
        <v>0</v>
      </c>
      <c r="AA171" s="355">
        <f t="shared" si="1023"/>
        <v>0</v>
      </c>
      <c r="AC171" s="366">
        <f t="shared" si="1095"/>
        <v>1.31243473968765E-2</v>
      </c>
      <c r="AD171" s="366">
        <f t="shared" si="1038"/>
        <v>0.15</v>
      </c>
      <c r="AF171" s="355">
        <f t="shared" si="1039"/>
        <v>0</v>
      </c>
      <c r="AG171" s="355">
        <f t="shared" si="1040"/>
        <v>0</v>
      </c>
      <c r="AI171" s="355">
        <f t="shared" si="1041"/>
        <v>0</v>
      </c>
      <c r="AK171" s="366">
        <f t="shared" si="1096"/>
        <v>0</v>
      </c>
      <c r="AL171" s="355">
        <f t="shared" si="1024"/>
        <v>0</v>
      </c>
      <c r="AM171" s="355">
        <f t="shared" si="1025"/>
        <v>0</v>
      </c>
      <c r="AO171" s="355" t="b">
        <f t="shared" si="1042"/>
        <v>1</v>
      </c>
      <c r="AQ171" s="367">
        <f t="shared" si="1043"/>
        <v>0</v>
      </c>
      <c r="AR171" s="367">
        <f t="shared" si="1026"/>
        <v>0</v>
      </c>
      <c r="AT171" s="367">
        <f t="shared" si="1044"/>
        <v>0</v>
      </c>
      <c r="AU171" s="367">
        <f t="shared" si="1045"/>
        <v>0</v>
      </c>
      <c r="AW171" s="367">
        <f t="shared" si="1046"/>
        <v>0</v>
      </c>
      <c r="AX171" s="367">
        <f t="shared" si="1047"/>
        <v>0</v>
      </c>
      <c r="AY171" s="367">
        <f t="shared" si="1048"/>
        <v>0</v>
      </c>
      <c r="AZ171" s="367">
        <f t="shared" si="1049"/>
        <v>0</v>
      </c>
      <c r="BB171" s="355">
        <f t="shared" si="1050"/>
        <v>0</v>
      </c>
      <c r="BC171" s="355">
        <f t="shared" si="1051"/>
        <v>0</v>
      </c>
      <c r="BD171" s="355">
        <f t="shared" si="1052"/>
        <v>0</v>
      </c>
      <c r="BE171" s="355">
        <f t="shared" si="1053"/>
        <v>0</v>
      </c>
      <c r="BF171" s="355">
        <f t="shared" si="1054"/>
        <v>0</v>
      </c>
      <c r="BH171" s="368">
        <f t="shared" si="1055"/>
        <v>0</v>
      </c>
      <c r="BJ171" s="369">
        <f t="shared" si="1056"/>
        <v>-0.12</v>
      </c>
      <c r="BK171" s="355">
        <f t="shared" si="1057"/>
        <v>0</v>
      </c>
      <c r="BL171" s="355">
        <f t="shared" si="1058"/>
        <v>0</v>
      </c>
      <c r="BN171" s="366">
        <f t="shared" si="1059"/>
        <v>0</v>
      </c>
      <c r="BO171" s="355">
        <f t="shared" si="1060"/>
        <v>0</v>
      </c>
      <c r="BP171" s="355">
        <f t="shared" si="1061"/>
        <v>0</v>
      </c>
      <c r="BQ171" s="355">
        <f t="shared" si="1062"/>
        <v>0</v>
      </c>
      <c r="BS171" s="367">
        <f t="shared" si="1063"/>
        <v>0</v>
      </c>
      <c r="BT171" s="355">
        <f t="shared" si="1064"/>
        <v>0</v>
      </c>
      <c r="BU171" s="355" t="b">
        <f t="shared" si="1027"/>
        <v>1</v>
      </c>
      <c r="BW171" s="355" t="str">
        <f t="shared" si="1065"/>
        <v/>
      </c>
      <c r="BX171" s="355">
        <f t="shared" si="1066"/>
        <v>0</v>
      </c>
      <c r="BY171" s="356">
        <f t="shared" si="1097"/>
        <v>0</v>
      </c>
      <c r="BZ171" s="355">
        <f t="shared" si="1067"/>
        <v>0</v>
      </c>
      <c r="CB171" s="102" t="str">
        <f t="shared" si="1068"/>
        <v>?</v>
      </c>
      <c r="CD171" s="355" t="str">
        <f t="shared" si="1069"/>
        <v>Não</v>
      </c>
      <c r="CE171" s="368">
        <f>ifzero(mlookup(tbl_ICMSinterest_data,UFdestino,tbl_ICMSinterest_ufdest,UForigem,tbl_ICMSinterest_uforig))</f>
        <v>0.12</v>
      </c>
      <c r="CF171" s="368">
        <f>IF(N171&gt;0,IF(I171&lt;&gt;"Serviço",ifzero(mlookup(tbl_ICMSinterno_data,UForigem,tbl_ICMSinterno_UF,O171,tbl_ICMSinterno_NCM),mlookup(tbl_ICMSinterest_data,UForigem,tbl_ICMSinterest_ufdest,UForigem,tbl_ICMSinterest_uforig)),""),0)</f>
        <v>0</v>
      </c>
      <c r="CG171" s="368">
        <f>IF(N171&gt;0,IF(I171&lt;&gt;"Serviço",ifzero(mlookup(tbl_ICMSinterno_data,UFdestino,tbl_ICMSinterno_UF,O171,tbl_ICMSinterno_NCM),mlookup(tbl_ICMSinterest_data,UFdestino,tbl_ICMSinterest_ufdest,UFdestino,tbl_ICMSinterest_uforig)),""),0)</f>
        <v>0</v>
      </c>
      <c r="CI171" s="355">
        <f t="shared" si="1070"/>
        <v>0</v>
      </c>
      <c r="CJ171" s="355">
        <f t="shared" si="1071"/>
        <v>0</v>
      </c>
      <c r="CK171" s="355">
        <f t="shared" si="1072"/>
        <v>0</v>
      </c>
      <c r="CL171" s="355">
        <f t="shared" si="1073"/>
        <v>0</v>
      </c>
      <c r="CN171" s="370">
        <f t="shared" si="1074"/>
        <v>1540</v>
      </c>
      <c r="CO171" s="355">
        <f t="shared" si="1075"/>
        <v>0</v>
      </c>
      <c r="CQ171" s="355" t="b">
        <f t="shared" si="1076"/>
        <v>0</v>
      </c>
      <c r="CR171" s="355" t="b">
        <f t="shared" si="1077"/>
        <v>1</v>
      </c>
      <c r="CS171" s="355" t="b">
        <f t="shared" si="1078"/>
        <v>0</v>
      </c>
      <c r="CU171" s="2">
        <f t="shared" si="1079"/>
        <v>0</v>
      </c>
      <c r="CV171" s="102">
        <f t="shared" si="1080"/>
        <v>0</v>
      </c>
      <c r="CW171" s="102">
        <f t="shared" si="1098"/>
        <v>0</v>
      </c>
      <c r="CX171" s="102">
        <f t="shared" si="1081"/>
        <v>0</v>
      </c>
      <c r="CY171" s="290">
        <f t="shared" si="1082"/>
        <v>0</v>
      </c>
      <c r="CZ171" s="102">
        <f t="shared" si="1016"/>
        <v>0</v>
      </c>
      <c r="DA171" s="290">
        <f t="shared" si="1083"/>
        <v>0</v>
      </c>
      <c r="DB171" s="102">
        <f t="shared" si="1017"/>
        <v>0</v>
      </c>
      <c r="DC171" s="290">
        <f t="shared" si="1084"/>
        <v>0</v>
      </c>
      <c r="DD171" s="102">
        <f t="shared" si="1099"/>
        <v>0</v>
      </c>
      <c r="DE171" s="592">
        <f>IF(D171="Sim",HLOOKUP($DH$5,Parametrização!$G$2:$H$4,2,FALSE),0)</f>
        <v>0</v>
      </c>
      <c r="DF171" s="102">
        <f t="shared" si="1018"/>
        <v>0</v>
      </c>
      <c r="DG171" s="592">
        <f>IF(D171="Sim",HLOOKUP($DH$5,Parametrização!$G$2:$H$4,3,FALSE),0)</f>
        <v>0</v>
      </c>
      <c r="DH171" s="102">
        <f t="shared" si="1019"/>
        <v>0</v>
      </c>
      <c r="DI171" s="102">
        <f t="shared" si="1020"/>
        <v>0</v>
      </c>
      <c r="DK171" s="3" t="str">
        <f t="shared" si="1085"/>
        <v>NA</v>
      </c>
      <c r="DL171" s="2" t="str">
        <f t="shared" si="1086"/>
        <v>NA</v>
      </c>
      <c r="DM171" s="3" t="str">
        <f t="shared" si="1087"/>
        <v>NA</v>
      </c>
      <c r="DN171" s="9" t="str">
        <f t="shared" si="1088"/>
        <v>NA</v>
      </c>
      <c r="DO171" s="637" t="str">
        <f t="shared" si="1089"/>
        <v>NA</v>
      </c>
      <c r="DP171" s="637"/>
      <c r="DQ171" s="3" t="str">
        <f t="shared" si="1090"/>
        <v>NA</v>
      </c>
      <c r="DR171" s="2" t="str">
        <f t="shared" si="1091"/>
        <v>NA</v>
      </c>
      <c r="DS171" s="3" t="str">
        <f t="shared" si="1092"/>
        <v>NA</v>
      </c>
      <c r="DT171" s="9" t="str">
        <f t="shared" si="1021"/>
        <v>NA</v>
      </c>
      <c r="DU171" s="637" t="str">
        <f t="shared" si="1022"/>
        <v>NA</v>
      </c>
      <c r="DV171" s="637"/>
      <c r="DW171" s="682"/>
      <c r="DX171" s="682"/>
      <c r="DY171" s="682"/>
      <c r="DZ171" s="637"/>
      <c r="EA171" s="643"/>
    </row>
    <row r="172" spans="1:131" s="355" customFormat="1" ht="20.100000000000001" customHeight="1" outlineLevel="1" x14ac:dyDescent="0.25">
      <c r="A172" s="356"/>
      <c r="B172" s="355" t="s">
        <v>268</v>
      </c>
      <c r="C172" s="355" t="str">
        <f t="shared" si="1093"/>
        <v>Consumo</v>
      </c>
      <c r="D172" s="355" t="s">
        <v>53</v>
      </c>
      <c r="E172" s="18" t="s">
        <v>38</v>
      </c>
      <c r="F172" s="355" t="s">
        <v>53</v>
      </c>
      <c r="G172" s="357" t="str">
        <f t="shared" si="1094"/>
        <v>Geral</v>
      </c>
      <c r="H172" s="255" t="s">
        <v>377</v>
      </c>
      <c r="I172" s="356" t="str">
        <f t="shared" si="1028"/>
        <v>Sistema</v>
      </c>
      <c r="K172" s="318" t="s">
        <v>2925</v>
      </c>
      <c r="L172" s="749" t="str">
        <f>IF(Padrões!JF113&lt;&gt;"",Padrões!JF113,"")</f>
        <v/>
      </c>
      <c r="M172" s="358" t="str">
        <f t="shared" si="1029"/>
        <v>?</v>
      </c>
      <c r="N172" s="359">
        <f>Padrões!JI113</f>
        <v>0</v>
      </c>
      <c r="O172" s="381" t="str">
        <f t="shared" si="1030"/>
        <v>?</v>
      </c>
      <c r="P172" s="360">
        <f t="shared" si="1031"/>
        <v>0.12</v>
      </c>
      <c r="Q172" s="360" t="str">
        <f t="shared" si="1032"/>
        <v>?</v>
      </c>
      <c r="R172" s="360">
        <f t="shared" si="1033"/>
        <v>0</v>
      </c>
      <c r="S172" s="361">
        <f t="shared" si="1034"/>
        <v>0</v>
      </c>
      <c r="T172" s="362">
        <f t="shared" si="1035"/>
        <v>0</v>
      </c>
      <c r="U172" s="53" t="str" cm="1">
        <f t="array" ref="U172">IFERROR(IF(I172&lt;&gt;"Serviço",IF(AND(mlookup(tbl_DIFAL_data,UFdestino,tbl_DIFAL_UF,O172,tbl_DIFAL_NCM)&lt;&gt;"",C172="Consumo"),"Sim",""),""),"?")</f>
        <v>?</v>
      </c>
      <c r="V172" s="363" t="str">
        <f>IFERROR(IF(I172&lt;&gt;"Serviço",IF(AND(D172="Não",mlookup(tbl_ST_data,UFdestino,tbl_ST_UF,O172,tbl_ST_NCM)&lt;&gt;"",C172="Revenda",CD172="Não"),"Sim",""),""),"?")</f>
        <v>?</v>
      </c>
      <c r="W172" s="364">
        <f t="shared" si="1036"/>
        <v>0</v>
      </c>
      <c r="X172" s="365">
        <f>IF(V172="Sim",mlookup(tbl_ST_data,UFdestino,tbl_ST_UF,O172,tbl_ST_NCM),0)</f>
        <v>0</v>
      </c>
      <c r="Z172" s="355">
        <f t="shared" si="1037"/>
        <v>0</v>
      </c>
      <c r="AA172" s="355">
        <f t="shared" si="1023"/>
        <v>0</v>
      </c>
      <c r="AC172" s="366">
        <f t="shared" si="1095"/>
        <v>1.31243473968765E-2</v>
      </c>
      <c r="AD172" s="366">
        <f t="shared" si="1038"/>
        <v>0.15</v>
      </c>
      <c r="AF172" s="355">
        <f t="shared" si="1039"/>
        <v>0</v>
      </c>
      <c r="AG172" s="355">
        <f t="shared" si="1040"/>
        <v>0</v>
      </c>
      <c r="AI172" s="355">
        <f t="shared" si="1041"/>
        <v>0</v>
      </c>
      <c r="AK172" s="366">
        <f t="shared" si="1096"/>
        <v>0</v>
      </c>
      <c r="AL172" s="355">
        <f t="shared" si="1024"/>
        <v>0</v>
      </c>
      <c r="AM172" s="355">
        <f t="shared" si="1025"/>
        <v>0</v>
      </c>
      <c r="AO172" s="355" t="b">
        <f t="shared" si="1042"/>
        <v>1</v>
      </c>
      <c r="AQ172" s="367">
        <f t="shared" si="1043"/>
        <v>0</v>
      </c>
      <c r="AR172" s="367">
        <f t="shared" si="1026"/>
        <v>0</v>
      </c>
      <c r="AT172" s="367">
        <f t="shared" si="1044"/>
        <v>0</v>
      </c>
      <c r="AU172" s="367">
        <f t="shared" si="1045"/>
        <v>0</v>
      </c>
      <c r="AW172" s="367">
        <f t="shared" si="1046"/>
        <v>0</v>
      </c>
      <c r="AX172" s="367">
        <f t="shared" si="1047"/>
        <v>0</v>
      </c>
      <c r="AY172" s="367">
        <f t="shared" si="1048"/>
        <v>0</v>
      </c>
      <c r="AZ172" s="367">
        <f t="shared" si="1049"/>
        <v>0</v>
      </c>
      <c r="BB172" s="355">
        <f t="shared" si="1050"/>
        <v>0</v>
      </c>
      <c r="BC172" s="355">
        <f t="shared" si="1051"/>
        <v>0</v>
      </c>
      <c r="BD172" s="355">
        <f t="shared" si="1052"/>
        <v>0</v>
      </c>
      <c r="BE172" s="355">
        <f t="shared" si="1053"/>
        <v>0</v>
      </c>
      <c r="BF172" s="355">
        <f t="shared" si="1054"/>
        <v>0</v>
      </c>
      <c r="BH172" s="368">
        <f t="shared" si="1055"/>
        <v>0</v>
      </c>
      <c r="BJ172" s="369">
        <f t="shared" si="1056"/>
        <v>-0.12</v>
      </c>
      <c r="BK172" s="355">
        <f t="shared" si="1057"/>
        <v>0</v>
      </c>
      <c r="BL172" s="355">
        <f t="shared" si="1058"/>
        <v>0</v>
      </c>
      <c r="BN172" s="366">
        <f t="shared" si="1059"/>
        <v>0</v>
      </c>
      <c r="BO172" s="355">
        <f t="shared" si="1060"/>
        <v>0</v>
      </c>
      <c r="BP172" s="355">
        <f t="shared" si="1061"/>
        <v>0</v>
      </c>
      <c r="BQ172" s="355">
        <f t="shared" si="1062"/>
        <v>0</v>
      </c>
      <c r="BS172" s="367">
        <f t="shared" si="1063"/>
        <v>0</v>
      </c>
      <c r="BT172" s="355">
        <f t="shared" si="1064"/>
        <v>0</v>
      </c>
      <c r="BU172" s="355" t="b">
        <f t="shared" si="1027"/>
        <v>1</v>
      </c>
      <c r="BW172" s="355" t="str">
        <f t="shared" si="1065"/>
        <v/>
      </c>
      <c r="BX172" s="355">
        <f t="shared" si="1066"/>
        <v>0</v>
      </c>
      <c r="BY172" s="356">
        <f t="shared" si="1097"/>
        <v>0</v>
      </c>
      <c r="BZ172" s="355">
        <f t="shared" si="1067"/>
        <v>0</v>
      </c>
      <c r="CB172" s="102" t="str">
        <f t="shared" si="1068"/>
        <v>?</v>
      </c>
      <c r="CD172" s="355" t="str">
        <f t="shared" si="1069"/>
        <v>Não</v>
      </c>
      <c r="CE172" s="368">
        <f>ifzero(mlookup(tbl_ICMSinterest_data,UFdestino,tbl_ICMSinterest_ufdest,UForigem,tbl_ICMSinterest_uforig))</f>
        <v>0.12</v>
      </c>
      <c r="CF172" s="368">
        <f>IF(N172&gt;0,IF(I172&lt;&gt;"Serviço",ifzero(mlookup(tbl_ICMSinterno_data,UForigem,tbl_ICMSinterno_UF,O172,tbl_ICMSinterno_NCM),mlookup(tbl_ICMSinterest_data,UForigem,tbl_ICMSinterest_ufdest,UForigem,tbl_ICMSinterest_uforig)),""),0)</f>
        <v>0</v>
      </c>
      <c r="CG172" s="368">
        <f>IF(N172&gt;0,IF(I172&lt;&gt;"Serviço",ifzero(mlookup(tbl_ICMSinterno_data,UFdestino,tbl_ICMSinterno_UF,O172,tbl_ICMSinterno_NCM),mlookup(tbl_ICMSinterest_data,UFdestino,tbl_ICMSinterest_ufdest,UFdestino,tbl_ICMSinterest_uforig)),""),0)</f>
        <v>0</v>
      </c>
      <c r="CI172" s="355">
        <f t="shared" si="1070"/>
        <v>0</v>
      </c>
      <c r="CJ172" s="355">
        <f t="shared" si="1071"/>
        <v>0</v>
      </c>
      <c r="CK172" s="355">
        <f t="shared" si="1072"/>
        <v>0</v>
      </c>
      <c r="CL172" s="355">
        <f t="shared" si="1073"/>
        <v>0</v>
      </c>
      <c r="CN172" s="370">
        <f t="shared" si="1074"/>
        <v>1540</v>
      </c>
      <c r="CO172" s="355">
        <f t="shared" si="1075"/>
        <v>0</v>
      </c>
      <c r="CQ172" s="355" t="b">
        <f t="shared" si="1076"/>
        <v>0</v>
      </c>
      <c r="CR172" s="355" t="b">
        <f t="shared" si="1077"/>
        <v>1</v>
      </c>
      <c r="CS172" s="355" t="b">
        <f t="shared" si="1078"/>
        <v>0</v>
      </c>
      <c r="CU172" s="2">
        <f t="shared" si="1079"/>
        <v>0</v>
      </c>
      <c r="CV172" s="102">
        <f t="shared" si="1080"/>
        <v>0</v>
      </c>
      <c r="CW172" s="102">
        <f t="shared" si="1098"/>
        <v>0</v>
      </c>
      <c r="CX172" s="102">
        <f t="shared" si="1081"/>
        <v>0</v>
      </c>
      <c r="CY172" s="290">
        <f t="shared" si="1082"/>
        <v>0</v>
      </c>
      <c r="CZ172" s="102">
        <f t="shared" si="1016"/>
        <v>0</v>
      </c>
      <c r="DA172" s="290">
        <f t="shared" si="1083"/>
        <v>0</v>
      </c>
      <c r="DB172" s="102">
        <f t="shared" si="1017"/>
        <v>0</v>
      </c>
      <c r="DC172" s="290">
        <f t="shared" si="1084"/>
        <v>0</v>
      </c>
      <c r="DD172" s="102">
        <f t="shared" si="1099"/>
        <v>0</v>
      </c>
      <c r="DE172" s="592">
        <f>IF(D172="Sim",HLOOKUP($DH$5,Parametrização!$G$2:$H$4,2,FALSE),0)</f>
        <v>0</v>
      </c>
      <c r="DF172" s="102">
        <f t="shared" si="1018"/>
        <v>0</v>
      </c>
      <c r="DG172" s="592">
        <f>IF(D172="Sim",HLOOKUP($DH$5,Parametrização!$G$2:$H$4,3,FALSE),0)</f>
        <v>0</v>
      </c>
      <c r="DH172" s="102">
        <f t="shared" si="1019"/>
        <v>0</v>
      </c>
      <c r="DI172" s="102">
        <f t="shared" si="1020"/>
        <v>0</v>
      </c>
      <c r="DK172" s="3" t="str">
        <f t="shared" si="1085"/>
        <v>NA</v>
      </c>
      <c r="DL172" s="2" t="str">
        <f t="shared" si="1086"/>
        <v>NA</v>
      </c>
      <c r="DM172" s="3" t="str">
        <f t="shared" si="1087"/>
        <v>NA</v>
      </c>
      <c r="DN172" s="9" t="str">
        <f t="shared" si="1088"/>
        <v>NA</v>
      </c>
      <c r="DO172" s="637" t="str">
        <f t="shared" si="1089"/>
        <v>NA</v>
      </c>
      <c r="DP172" s="637"/>
      <c r="DQ172" s="3" t="str">
        <f t="shared" si="1090"/>
        <v>NA</v>
      </c>
      <c r="DR172" s="2" t="str">
        <f t="shared" si="1091"/>
        <v>NA</v>
      </c>
      <c r="DS172" s="3" t="str">
        <f t="shared" si="1092"/>
        <v>NA</v>
      </c>
      <c r="DT172" s="9" t="str">
        <f t="shared" si="1021"/>
        <v>NA</v>
      </c>
      <c r="DU172" s="637" t="str">
        <f t="shared" si="1022"/>
        <v>NA</v>
      </c>
      <c r="DV172" s="637"/>
      <c r="DW172" s="682"/>
      <c r="DX172" s="682"/>
      <c r="DY172" s="682"/>
      <c r="DZ172" s="637"/>
      <c r="EA172" s="643"/>
    </row>
    <row r="173" spans="1:131" s="355" customFormat="1" ht="20.100000000000001" customHeight="1" outlineLevel="1" x14ac:dyDescent="0.25">
      <c r="A173" s="356"/>
      <c r="B173" s="355" t="s">
        <v>268</v>
      </c>
      <c r="C173" s="355" t="str">
        <f t="shared" si="1093"/>
        <v>Consumo</v>
      </c>
      <c r="D173" s="355" t="s">
        <v>53</v>
      </c>
      <c r="E173" s="18" t="s">
        <v>38</v>
      </c>
      <c r="F173" s="355" t="s">
        <v>53</v>
      </c>
      <c r="G173" s="357" t="str">
        <f t="shared" si="1094"/>
        <v>Geral</v>
      </c>
      <c r="H173" s="255" t="s">
        <v>377</v>
      </c>
      <c r="I173" s="356" t="str">
        <f t="shared" si="1028"/>
        <v>Sistema</v>
      </c>
      <c r="K173" s="318" t="s">
        <v>2926</v>
      </c>
      <c r="L173" s="749" t="str">
        <f>IF(Padrões!JF114&lt;&gt;"",Padrões!JF114,"")</f>
        <v/>
      </c>
      <c r="M173" s="358" t="str">
        <f t="shared" si="1029"/>
        <v>?</v>
      </c>
      <c r="N173" s="359">
        <f>Padrões!JI114</f>
        <v>0</v>
      </c>
      <c r="O173" s="381" t="str">
        <f t="shared" si="1030"/>
        <v>?</v>
      </c>
      <c r="P173" s="360">
        <f t="shared" si="1031"/>
        <v>0.12</v>
      </c>
      <c r="Q173" s="360" t="str">
        <f t="shared" si="1032"/>
        <v>?</v>
      </c>
      <c r="R173" s="360">
        <f t="shared" si="1033"/>
        <v>0</v>
      </c>
      <c r="S173" s="361">
        <f t="shared" si="1034"/>
        <v>0</v>
      </c>
      <c r="T173" s="362">
        <f t="shared" si="1035"/>
        <v>0</v>
      </c>
      <c r="U173" s="53" t="str" cm="1">
        <f t="array" ref="U173">IFERROR(IF(I173&lt;&gt;"Serviço",IF(AND(mlookup(tbl_DIFAL_data,UFdestino,tbl_DIFAL_UF,O173,tbl_DIFAL_NCM)&lt;&gt;"",C173="Consumo"),"Sim",""),""),"?")</f>
        <v>?</v>
      </c>
      <c r="V173" s="363" t="str">
        <f>IFERROR(IF(I173&lt;&gt;"Serviço",IF(AND(D173="Não",mlookup(tbl_ST_data,UFdestino,tbl_ST_UF,O173,tbl_ST_NCM)&lt;&gt;"",C173="Revenda",CD173="Não"),"Sim",""),""),"?")</f>
        <v>?</v>
      </c>
      <c r="W173" s="364">
        <f t="shared" si="1036"/>
        <v>0</v>
      </c>
      <c r="X173" s="365">
        <f>IF(V173="Sim",mlookup(tbl_ST_data,UFdestino,tbl_ST_UF,O173,tbl_ST_NCM),0)</f>
        <v>0</v>
      </c>
      <c r="Z173" s="355">
        <f t="shared" si="1037"/>
        <v>0</v>
      </c>
      <c r="AA173" s="355">
        <f t="shared" si="1023"/>
        <v>0</v>
      </c>
      <c r="AC173" s="366">
        <f t="shared" si="1095"/>
        <v>1.31243473968765E-2</v>
      </c>
      <c r="AD173" s="366">
        <f t="shared" si="1038"/>
        <v>0.15</v>
      </c>
      <c r="AF173" s="355">
        <f t="shared" si="1039"/>
        <v>0</v>
      </c>
      <c r="AG173" s="355">
        <f t="shared" si="1040"/>
        <v>0</v>
      </c>
      <c r="AI173" s="355">
        <f t="shared" si="1041"/>
        <v>0</v>
      </c>
      <c r="AK173" s="366">
        <f t="shared" si="1096"/>
        <v>0</v>
      </c>
      <c r="AL173" s="355">
        <f t="shared" si="1024"/>
        <v>0</v>
      </c>
      <c r="AM173" s="355">
        <f t="shared" si="1025"/>
        <v>0</v>
      </c>
      <c r="AO173" s="355" t="b">
        <f t="shared" si="1042"/>
        <v>1</v>
      </c>
      <c r="AQ173" s="367">
        <f t="shared" si="1043"/>
        <v>0</v>
      </c>
      <c r="AR173" s="367">
        <f t="shared" si="1026"/>
        <v>0</v>
      </c>
      <c r="AT173" s="367">
        <f t="shared" si="1044"/>
        <v>0</v>
      </c>
      <c r="AU173" s="367">
        <f t="shared" si="1045"/>
        <v>0</v>
      </c>
      <c r="AW173" s="367">
        <f t="shared" si="1046"/>
        <v>0</v>
      </c>
      <c r="AX173" s="367">
        <f t="shared" si="1047"/>
        <v>0</v>
      </c>
      <c r="AY173" s="367">
        <f t="shared" si="1048"/>
        <v>0</v>
      </c>
      <c r="AZ173" s="367">
        <f t="shared" si="1049"/>
        <v>0</v>
      </c>
      <c r="BB173" s="355">
        <f t="shared" si="1050"/>
        <v>0</v>
      </c>
      <c r="BC173" s="355">
        <f t="shared" si="1051"/>
        <v>0</v>
      </c>
      <c r="BD173" s="355">
        <f t="shared" si="1052"/>
        <v>0</v>
      </c>
      <c r="BE173" s="355">
        <f t="shared" si="1053"/>
        <v>0</v>
      </c>
      <c r="BF173" s="355">
        <f t="shared" si="1054"/>
        <v>0</v>
      </c>
      <c r="BH173" s="368">
        <f t="shared" si="1055"/>
        <v>0</v>
      </c>
      <c r="BJ173" s="369">
        <f t="shared" si="1056"/>
        <v>-0.12</v>
      </c>
      <c r="BK173" s="355">
        <f t="shared" si="1057"/>
        <v>0</v>
      </c>
      <c r="BL173" s="355">
        <f t="shared" si="1058"/>
        <v>0</v>
      </c>
      <c r="BN173" s="366">
        <f t="shared" si="1059"/>
        <v>0</v>
      </c>
      <c r="BO173" s="355">
        <f t="shared" si="1060"/>
        <v>0</v>
      </c>
      <c r="BP173" s="355">
        <f t="shared" si="1061"/>
        <v>0</v>
      </c>
      <c r="BQ173" s="355">
        <f t="shared" si="1062"/>
        <v>0</v>
      </c>
      <c r="BS173" s="367">
        <f t="shared" si="1063"/>
        <v>0</v>
      </c>
      <c r="BT173" s="355">
        <f t="shared" si="1064"/>
        <v>0</v>
      </c>
      <c r="BU173" s="355" t="b">
        <f t="shared" si="1027"/>
        <v>1</v>
      </c>
      <c r="BW173" s="355" t="str">
        <f t="shared" si="1065"/>
        <v/>
      </c>
      <c r="BX173" s="355">
        <f t="shared" si="1066"/>
        <v>0</v>
      </c>
      <c r="BY173" s="356">
        <f t="shared" si="1097"/>
        <v>0</v>
      </c>
      <c r="BZ173" s="355">
        <f t="shared" si="1067"/>
        <v>0</v>
      </c>
      <c r="CB173" s="102" t="str">
        <f t="shared" si="1068"/>
        <v>?</v>
      </c>
      <c r="CD173" s="355" t="str">
        <f t="shared" si="1069"/>
        <v>Não</v>
      </c>
      <c r="CE173" s="368">
        <f>ifzero(mlookup(tbl_ICMSinterest_data,UFdestino,tbl_ICMSinterest_ufdest,UForigem,tbl_ICMSinterest_uforig))</f>
        <v>0.12</v>
      </c>
      <c r="CF173" s="368">
        <f>IF(N173&gt;0,IF(I173&lt;&gt;"Serviço",ifzero(mlookup(tbl_ICMSinterno_data,UForigem,tbl_ICMSinterno_UF,O173,tbl_ICMSinterno_NCM),mlookup(tbl_ICMSinterest_data,UForigem,tbl_ICMSinterest_ufdest,UForigem,tbl_ICMSinterest_uforig)),""),0)</f>
        <v>0</v>
      </c>
      <c r="CG173" s="368">
        <f>IF(N173&gt;0,IF(I173&lt;&gt;"Serviço",ifzero(mlookup(tbl_ICMSinterno_data,UFdestino,tbl_ICMSinterno_UF,O173,tbl_ICMSinterno_NCM),mlookup(tbl_ICMSinterest_data,UFdestino,tbl_ICMSinterest_ufdest,UFdestino,tbl_ICMSinterest_uforig)),""),0)</f>
        <v>0</v>
      </c>
      <c r="CI173" s="355">
        <f t="shared" si="1070"/>
        <v>0</v>
      </c>
      <c r="CJ173" s="355">
        <f t="shared" si="1071"/>
        <v>0</v>
      </c>
      <c r="CK173" s="355">
        <f t="shared" si="1072"/>
        <v>0</v>
      </c>
      <c r="CL173" s="355">
        <f t="shared" si="1073"/>
        <v>0</v>
      </c>
      <c r="CN173" s="370">
        <f t="shared" si="1074"/>
        <v>1540</v>
      </c>
      <c r="CO173" s="355">
        <f t="shared" si="1075"/>
        <v>0</v>
      </c>
      <c r="CQ173" s="355" t="b">
        <f t="shared" si="1076"/>
        <v>0</v>
      </c>
      <c r="CR173" s="355" t="b">
        <f t="shared" si="1077"/>
        <v>1</v>
      </c>
      <c r="CS173" s="355" t="b">
        <f t="shared" si="1078"/>
        <v>0</v>
      </c>
      <c r="CU173" s="2">
        <f t="shared" si="1079"/>
        <v>0</v>
      </c>
      <c r="CV173" s="102">
        <f t="shared" si="1080"/>
        <v>0</v>
      </c>
      <c r="CW173" s="102">
        <f t="shared" si="1098"/>
        <v>0</v>
      </c>
      <c r="CX173" s="102">
        <f t="shared" si="1081"/>
        <v>0</v>
      </c>
      <c r="CY173" s="290">
        <f t="shared" si="1082"/>
        <v>0</v>
      </c>
      <c r="CZ173" s="102">
        <f t="shared" ref="CZ173:CZ236" si="1100">CX173*CY173</f>
        <v>0</v>
      </c>
      <c r="DA173" s="290">
        <f t="shared" si="1083"/>
        <v>0</v>
      </c>
      <c r="DB173" s="102">
        <f t="shared" ref="DB173:DB236" si="1101">CX173*DA173</f>
        <v>0</v>
      </c>
      <c r="DC173" s="290">
        <f t="shared" si="1084"/>
        <v>0</v>
      </c>
      <c r="DD173" s="102">
        <f t="shared" si="1099"/>
        <v>0</v>
      </c>
      <c r="DE173" s="592">
        <f>IF(D173="Sim",HLOOKUP($DH$5,Parametrização!$G$2:$H$4,2,FALSE),0)</f>
        <v>0</v>
      </c>
      <c r="DF173" s="102">
        <f t="shared" ref="DF173:DF236" si="1102">(CX173-DD173)*DE173</f>
        <v>0</v>
      </c>
      <c r="DG173" s="592">
        <f>IF(D173="Sim",HLOOKUP($DH$5,Parametrização!$G$2:$H$4,3,FALSE),0)</f>
        <v>0</v>
      </c>
      <c r="DH173" s="102">
        <f t="shared" ref="DH173:DH236" si="1103">(CX173-DD173)*DG173</f>
        <v>0</v>
      </c>
      <c r="DI173" s="102">
        <f t="shared" ref="DI173:DI236" si="1104">CX173-CZ173-DD173-DF173-DH173</f>
        <v>0</v>
      </c>
      <c r="DK173" s="3" t="str">
        <f t="shared" si="1085"/>
        <v>NA</v>
      </c>
      <c r="DL173" s="2" t="str">
        <f t="shared" si="1086"/>
        <v>NA</v>
      </c>
      <c r="DM173" s="3" t="str">
        <f t="shared" si="1087"/>
        <v>NA</v>
      </c>
      <c r="DN173" s="9" t="str">
        <f t="shared" si="1088"/>
        <v>NA</v>
      </c>
      <c r="DO173" s="637" t="str">
        <f t="shared" si="1089"/>
        <v>NA</v>
      </c>
      <c r="DP173" s="637"/>
      <c r="DQ173" s="3" t="str">
        <f t="shared" si="1090"/>
        <v>NA</v>
      </c>
      <c r="DR173" s="2" t="str">
        <f t="shared" si="1091"/>
        <v>NA</v>
      </c>
      <c r="DS173" s="3" t="str">
        <f t="shared" si="1092"/>
        <v>NA</v>
      </c>
      <c r="DT173" s="9" t="str">
        <f t="shared" ref="DT173:DT236" si="1105">IF(CU173&gt;0,DE173,"NA")</f>
        <v>NA</v>
      </c>
      <c r="DU173" s="637" t="str">
        <f t="shared" ref="DU173:DU236" si="1106">IF(CU173&gt;0,DG173,"NA")</f>
        <v>NA</v>
      </c>
      <c r="DV173" s="637"/>
      <c r="DW173" s="682"/>
      <c r="DX173" s="682"/>
      <c r="DY173" s="682"/>
      <c r="DZ173" s="637"/>
      <c r="EA173" s="643"/>
    </row>
    <row r="174" spans="1:131" s="355" customFormat="1" ht="20.100000000000001" customHeight="1" outlineLevel="1" x14ac:dyDescent="0.25">
      <c r="A174" s="356"/>
      <c r="B174" s="355" t="s">
        <v>268</v>
      </c>
      <c r="C174" s="355" t="str">
        <f t="shared" si="1093"/>
        <v>Consumo</v>
      </c>
      <c r="D174" s="355" t="s">
        <v>53</v>
      </c>
      <c r="E174" s="18" t="s">
        <v>38</v>
      </c>
      <c r="F174" s="355" t="s">
        <v>53</v>
      </c>
      <c r="G174" s="357" t="str">
        <f t="shared" si="1094"/>
        <v>Geral</v>
      </c>
      <c r="H174" s="255" t="s">
        <v>377</v>
      </c>
      <c r="I174" s="356" t="str">
        <f t="shared" si="1028"/>
        <v>Sistema</v>
      </c>
      <c r="K174" s="318" t="s">
        <v>2927</v>
      </c>
      <c r="L174" s="749" t="str">
        <f>IF(Padrões!JF115&lt;&gt;"",Padrões!JF115,"")</f>
        <v/>
      </c>
      <c r="M174" s="358" t="str">
        <f t="shared" si="1029"/>
        <v>?</v>
      </c>
      <c r="N174" s="359">
        <f>Padrões!JI115</f>
        <v>0</v>
      </c>
      <c r="O174" s="381" t="str">
        <f t="shared" si="1030"/>
        <v>?</v>
      </c>
      <c r="P174" s="360">
        <f t="shared" si="1031"/>
        <v>0.12</v>
      </c>
      <c r="Q174" s="360" t="str">
        <f t="shared" si="1032"/>
        <v>?</v>
      </c>
      <c r="R174" s="360">
        <f t="shared" si="1033"/>
        <v>0</v>
      </c>
      <c r="S174" s="361">
        <f t="shared" si="1034"/>
        <v>0</v>
      </c>
      <c r="T174" s="362">
        <f t="shared" si="1035"/>
        <v>0</v>
      </c>
      <c r="U174" s="53" t="str" cm="1">
        <f t="array" ref="U174">IFERROR(IF(I174&lt;&gt;"Serviço",IF(AND(mlookup(tbl_DIFAL_data,UFdestino,tbl_DIFAL_UF,O174,tbl_DIFAL_NCM)&lt;&gt;"",C174="Consumo"),"Sim",""),""),"?")</f>
        <v>?</v>
      </c>
      <c r="V174" s="363" t="str">
        <f>IFERROR(IF(I174&lt;&gt;"Serviço",IF(AND(D174="Não",mlookup(tbl_ST_data,UFdestino,tbl_ST_UF,O174,tbl_ST_NCM)&lt;&gt;"",C174="Revenda",CD174="Não"),"Sim",""),""),"?")</f>
        <v>?</v>
      </c>
      <c r="W174" s="364">
        <f t="shared" si="1036"/>
        <v>0</v>
      </c>
      <c r="X174" s="365">
        <f>IF(V174="Sim",mlookup(tbl_ST_data,UFdestino,tbl_ST_UF,O174,tbl_ST_NCM),0)</f>
        <v>0</v>
      </c>
      <c r="Z174" s="355">
        <f t="shared" si="1037"/>
        <v>0</v>
      </c>
      <c r="AA174" s="355">
        <f t="shared" si="1023"/>
        <v>0</v>
      </c>
      <c r="AC174" s="366">
        <f t="shared" si="1095"/>
        <v>1.31243473968765E-2</v>
      </c>
      <c r="AD174" s="366">
        <f t="shared" si="1038"/>
        <v>0.15</v>
      </c>
      <c r="AF174" s="355">
        <f t="shared" si="1039"/>
        <v>0</v>
      </c>
      <c r="AG174" s="355">
        <f t="shared" si="1040"/>
        <v>0</v>
      </c>
      <c r="AI174" s="355">
        <f t="shared" si="1041"/>
        <v>0</v>
      </c>
      <c r="AK174" s="366">
        <f t="shared" si="1096"/>
        <v>0</v>
      </c>
      <c r="AL174" s="355">
        <f t="shared" si="1024"/>
        <v>0</v>
      </c>
      <c r="AM174" s="355">
        <f t="shared" si="1025"/>
        <v>0</v>
      </c>
      <c r="AO174" s="355" t="b">
        <f t="shared" si="1042"/>
        <v>1</v>
      </c>
      <c r="AQ174" s="367">
        <f t="shared" si="1043"/>
        <v>0</v>
      </c>
      <c r="AR174" s="367">
        <f t="shared" si="1026"/>
        <v>0</v>
      </c>
      <c r="AT174" s="367">
        <f t="shared" si="1044"/>
        <v>0</v>
      </c>
      <c r="AU174" s="367">
        <f t="shared" si="1045"/>
        <v>0</v>
      </c>
      <c r="AW174" s="367">
        <f t="shared" si="1046"/>
        <v>0</v>
      </c>
      <c r="AX174" s="367">
        <f t="shared" si="1047"/>
        <v>0</v>
      </c>
      <c r="AY174" s="367">
        <f t="shared" si="1048"/>
        <v>0</v>
      </c>
      <c r="AZ174" s="367">
        <f t="shared" si="1049"/>
        <v>0</v>
      </c>
      <c r="BB174" s="355">
        <f t="shared" si="1050"/>
        <v>0</v>
      </c>
      <c r="BC174" s="355">
        <f t="shared" si="1051"/>
        <v>0</v>
      </c>
      <c r="BD174" s="355">
        <f t="shared" si="1052"/>
        <v>0</v>
      </c>
      <c r="BE174" s="355">
        <f t="shared" si="1053"/>
        <v>0</v>
      </c>
      <c r="BF174" s="355">
        <f t="shared" si="1054"/>
        <v>0</v>
      </c>
      <c r="BH174" s="368">
        <f t="shared" si="1055"/>
        <v>0</v>
      </c>
      <c r="BJ174" s="369">
        <f t="shared" si="1056"/>
        <v>-0.12</v>
      </c>
      <c r="BK174" s="355">
        <f t="shared" si="1057"/>
        <v>0</v>
      </c>
      <c r="BL174" s="355">
        <f t="shared" si="1058"/>
        <v>0</v>
      </c>
      <c r="BN174" s="366">
        <f t="shared" si="1059"/>
        <v>0</v>
      </c>
      <c r="BO174" s="355">
        <f t="shared" si="1060"/>
        <v>0</v>
      </c>
      <c r="BP174" s="355">
        <f t="shared" si="1061"/>
        <v>0</v>
      </c>
      <c r="BQ174" s="355">
        <f t="shared" si="1062"/>
        <v>0</v>
      </c>
      <c r="BS174" s="367">
        <f t="shared" si="1063"/>
        <v>0</v>
      </c>
      <c r="BT174" s="355">
        <f t="shared" si="1064"/>
        <v>0</v>
      </c>
      <c r="BU174" s="355" t="b">
        <f t="shared" si="1027"/>
        <v>1</v>
      </c>
      <c r="BW174" s="355" t="str">
        <f t="shared" si="1065"/>
        <v/>
      </c>
      <c r="BX174" s="355">
        <f t="shared" si="1066"/>
        <v>0</v>
      </c>
      <c r="BY174" s="356">
        <f t="shared" si="1097"/>
        <v>0</v>
      </c>
      <c r="BZ174" s="355">
        <f t="shared" si="1067"/>
        <v>0</v>
      </c>
      <c r="CB174" s="102" t="str">
        <f t="shared" si="1068"/>
        <v>?</v>
      </c>
      <c r="CD174" s="355" t="str">
        <f t="shared" si="1069"/>
        <v>Não</v>
      </c>
      <c r="CE174" s="368">
        <f>ifzero(mlookup(tbl_ICMSinterest_data,UFdestino,tbl_ICMSinterest_ufdest,UForigem,tbl_ICMSinterest_uforig))</f>
        <v>0.12</v>
      </c>
      <c r="CF174" s="368">
        <f>IF(N174&gt;0,IF(I174&lt;&gt;"Serviço",ifzero(mlookup(tbl_ICMSinterno_data,UForigem,tbl_ICMSinterno_UF,O174,tbl_ICMSinterno_NCM),mlookup(tbl_ICMSinterest_data,UForigem,tbl_ICMSinterest_ufdest,UForigem,tbl_ICMSinterest_uforig)),""),0)</f>
        <v>0</v>
      </c>
      <c r="CG174" s="368">
        <f>IF(N174&gt;0,IF(I174&lt;&gt;"Serviço",ifzero(mlookup(tbl_ICMSinterno_data,UFdestino,tbl_ICMSinterno_UF,O174,tbl_ICMSinterno_NCM),mlookup(tbl_ICMSinterest_data,UFdestino,tbl_ICMSinterest_ufdest,UFdestino,tbl_ICMSinterest_uforig)),""),0)</f>
        <v>0</v>
      </c>
      <c r="CI174" s="355">
        <f t="shared" si="1070"/>
        <v>0</v>
      </c>
      <c r="CJ174" s="355">
        <f t="shared" si="1071"/>
        <v>0</v>
      </c>
      <c r="CK174" s="355">
        <f t="shared" si="1072"/>
        <v>0</v>
      </c>
      <c r="CL174" s="355">
        <f t="shared" si="1073"/>
        <v>0</v>
      </c>
      <c r="CN174" s="370">
        <f t="shared" si="1074"/>
        <v>1540</v>
      </c>
      <c r="CO174" s="355">
        <f t="shared" si="1075"/>
        <v>0</v>
      </c>
      <c r="CQ174" s="355" t="b">
        <f t="shared" si="1076"/>
        <v>0</v>
      </c>
      <c r="CR174" s="355" t="b">
        <f t="shared" si="1077"/>
        <v>1</v>
      </c>
      <c r="CS174" s="355" t="b">
        <f t="shared" si="1078"/>
        <v>0</v>
      </c>
      <c r="CU174" s="2">
        <f t="shared" si="1079"/>
        <v>0</v>
      </c>
      <c r="CV174" s="102">
        <f t="shared" si="1080"/>
        <v>0</v>
      </c>
      <c r="CW174" s="102">
        <f t="shared" si="1098"/>
        <v>0</v>
      </c>
      <c r="CX174" s="102">
        <f t="shared" si="1081"/>
        <v>0</v>
      </c>
      <c r="CY174" s="290">
        <f t="shared" si="1082"/>
        <v>0</v>
      </c>
      <c r="CZ174" s="102">
        <f t="shared" si="1100"/>
        <v>0</v>
      </c>
      <c r="DA174" s="290">
        <f t="shared" si="1083"/>
        <v>0</v>
      </c>
      <c r="DB174" s="102">
        <f t="shared" si="1101"/>
        <v>0</v>
      </c>
      <c r="DC174" s="290">
        <f t="shared" si="1084"/>
        <v>0</v>
      </c>
      <c r="DD174" s="102">
        <f t="shared" si="1099"/>
        <v>0</v>
      </c>
      <c r="DE174" s="592">
        <f>IF(D174="Sim",HLOOKUP($DH$5,Parametrização!$G$2:$H$4,2,FALSE),0)</f>
        <v>0</v>
      </c>
      <c r="DF174" s="102">
        <f t="shared" si="1102"/>
        <v>0</v>
      </c>
      <c r="DG174" s="592">
        <f>IF(D174="Sim",HLOOKUP($DH$5,Parametrização!$G$2:$H$4,3,FALSE),0)</f>
        <v>0</v>
      </c>
      <c r="DH174" s="102">
        <f t="shared" si="1103"/>
        <v>0</v>
      </c>
      <c r="DI174" s="102">
        <f t="shared" si="1104"/>
        <v>0</v>
      </c>
      <c r="DK174" s="3" t="str">
        <f t="shared" si="1085"/>
        <v>NA</v>
      </c>
      <c r="DL174" s="2" t="str">
        <f t="shared" si="1086"/>
        <v>NA</v>
      </c>
      <c r="DM174" s="3" t="str">
        <f t="shared" si="1087"/>
        <v>NA</v>
      </c>
      <c r="DN174" s="9" t="str">
        <f t="shared" si="1088"/>
        <v>NA</v>
      </c>
      <c r="DO174" s="637" t="str">
        <f t="shared" si="1089"/>
        <v>NA</v>
      </c>
      <c r="DP174" s="637"/>
      <c r="DQ174" s="3" t="str">
        <f t="shared" si="1090"/>
        <v>NA</v>
      </c>
      <c r="DR174" s="2" t="str">
        <f t="shared" si="1091"/>
        <v>NA</v>
      </c>
      <c r="DS174" s="3" t="str">
        <f t="shared" si="1092"/>
        <v>NA</v>
      </c>
      <c r="DT174" s="9" t="str">
        <f t="shared" si="1105"/>
        <v>NA</v>
      </c>
      <c r="DU174" s="637" t="str">
        <f t="shared" si="1106"/>
        <v>NA</v>
      </c>
      <c r="DV174" s="637"/>
      <c r="DW174" s="682"/>
      <c r="DX174" s="682"/>
      <c r="DY174" s="682"/>
      <c r="DZ174" s="637"/>
      <c r="EA174" s="643"/>
    </row>
    <row r="175" spans="1:131" s="355" customFormat="1" ht="20.100000000000001" customHeight="1" outlineLevel="1" x14ac:dyDescent="0.25">
      <c r="A175" s="356"/>
      <c r="B175" s="355" t="s">
        <v>268</v>
      </c>
      <c r="C175" s="355" t="str">
        <f t="shared" si="1093"/>
        <v>Consumo</v>
      </c>
      <c r="D175" s="355" t="s">
        <v>53</v>
      </c>
      <c r="E175" s="18" t="s">
        <v>38</v>
      </c>
      <c r="F175" s="355" t="s">
        <v>53</v>
      </c>
      <c r="G175" s="357" t="str">
        <f t="shared" si="1094"/>
        <v>Geral</v>
      </c>
      <c r="H175" s="255" t="s">
        <v>377</v>
      </c>
      <c r="I175" s="356" t="str">
        <f t="shared" si="1028"/>
        <v>Sistema</v>
      </c>
      <c r="K175" s="318" t="s">
        <v>2928</v>
      </c>
      <c r="L175" s="749" t="str">
        <f>IF(Padrões!JF116&lt;&gt;"",Padrões!JF116,"")</f>
        <v/>
      </c>
      <c r="M175" s="358" t="str">
        <f t="shared" si="1029"/>
        <v>?</v>
      </c>
      <c r="N175" s="359">
        <f>Padrões!JI116</f>
        <v>0</v>
      </c>
      <c r="O175" s="381" t="str">
        <f t="shared" si="1030"/>
        <v>?</v>
      </c>
      <c r="P175" s="360">
        <f t="shared" si="1031"/>
        <v>0.12</v>
      </c>
      <c r="Q175" s="360" t="str">
        <f t="shared" si="1032"/>
        <v>?</v>
      </c>
      <c r="R175" s="360">
        <f t="shared" si="1033"/>
        <v>0</v>
      </c>
      <c r="S175" s="361">
        <f t="shared" si="1034"/>
        <v>0</v>
      </c>
      <c r="T175" s="362">
        <f t="shared" si="1035"/>
        <v>0</v>
      </c>
      <c r="U175" s="53" t="str" cm="1">
        <f t="array" ref="U175">IFERROR(IF(I175&lt;&gt;"Serviço",IF(AND(mlookup(tbl_DIFAL_data,UFdestino,tbl_DIFAL_UF,O175,tbl_DIFAL_NCM)&lt;&gt;"",C175="Consumo"),"Sim",""),""),"?")</f>
        <v>?</v>
      </c>
      <c r="V175" s="363" t="str">
        <f>IFERROR(IF(I175&lt;&gt;"Serviço",IF(AND(D175="Não",mlookup(tbl_ST_data,UFdestino,tbl_ST_UF,O175,tbl_ST_NCM)&lt;&gt;"",C175="Revenda",CD175="Não"),"Sim",""),""),"?")</f>
        <v>?</v>
      </c>
      <c r="W175" s="364">
        <f t="shared" si="1036"/>
        <v>0</v>
      </c>
      <c r="X175" s="365">
        <f>IF(V175="Sim",mlookup(tbl_ST_data,UFdestino,tbl_ST_UF,O175,tbl_ST_NCM),0)</f>
        <v>0</v>
      </c>
      <c r="Z175" s="355">
        <f t="shared" si="1037"/>
        <v>0</v>
      </c>
      <c r="AA175" s="355">
        <f t="shared" si="1023"/>
        <v>0</v>
      </c>
      <c r="AC175" s="366">
        <f t="shared" si="1095"/>
        <v>1.31243473968765E-2</v>
      </c>
      <c r="AD175" s="366">
        <f t="shared" si="1038"/>
        <v>0.15</v>
      </c>
      <c r="AF175" s="355">
        <f t="shared" si="1039"/>
        <v>0</v>
      </c>
      <c r="AG175" s="355">
        <f t="shared" si="1040"/>
        <v>0</v>
      </c>
      <c r="AI175" s="355">
        <f t="shared" si="1041"/>
        <v>0</v>
      </c>
      <c r="AK175" s="366">
        <f t="shared" si="1096"/>
        <v>0</v>
      </c>
      <c r="AL175" s="355">
        <f t="shared" si="1024"/>
        <v>0</v>
      </c>
      <c r="AM175" s="355">
        <f t="shared" si="1025"/>
        <v>0</v>
      </c>
      <c r="AO175" s="355" t="b">
        <f t="shared" si="1042"/>
        <v>1</v>
      </c>
      <c r="AQ175" s="367">
        <f t="shared" si="1043"/>
        <v>0</v>
      </c>
      <c r="AR175" s="367">
        <f t="shared" si="1026"/>
        <v>0</v>
      </c>
      <c r="AT175" s="367">
        <f t="shared" si="1044"/>
        <v>0</v>
      </c>
      <c r="AU175" s="367">
        <f t="shared" si="1045"/>
        <v>0</v>
      </c>
      <c r="AW175" s="367">
        <f t="shared" si="1046"/>
        <v>0</v>
      </c>
      <c r="AX175" s="367">
        <f t="shared" si="1047"/>
        <v>0</v>
      </c>
      <c r="AY175" s="367">
        <f t="shared" si="1048"/>
        <v>0</v>
      </c>
      <c r="AZ175" s="367">
        <f t="shared" si="1049"/>
        <v>0</v>
      </c>
      <c r="BB175" s="355">
        <f t="shared" si="1050"/>
        <v>0</v>
      </c>
      <c r="BC175" s="355">
        <f t="shared" si="1051"/>
        <v>0</v>
      </c>
      <c r="BD175" s="355">
        <f t="shared" si="1052"/>
        <v>0</v>
      </c>
      <c r="BE175" s="355">
        <f t="shared" si="1053"/>
        <v>0</v>
      </c>
      <c r="BF175" s="355">
        <f t="shared" si="1054"/>
        <v>0</v>
      </c>
      <c r="BH175" s="368">
        <f t="shared" si="1055"/>
        <v>0</v>
      </c>
      <c r="BJ175" s="369">
        <f t="shared" si="1056"/>
        <v>-0.12</v>
      </c>
      <c r="BK175" s="355">
        <f t="shared" si="1057"/>
        <v>0</v>
      </c>
      <c r="BL175" s="355">
        <f t="shared" si="1058"/>
        <v>0</v>
      </c>
      <c r="BN175" s="366">
        <f t="shared" si="1059"/>
        <v>0</v>
      </c>
      <c r="BO175" s="355">
        <f t="shared" si="1060"/>
        <v>0</v>
      </c>
      <c r="BP175" s="355">
        <f t="shared" si="1061"/>
        <v>0</v>
      </c>
      <c r="BQ175" s="355">
        <f t="shared" si="1062"/>
        <v>0</v>
      </c>
      <c r="BS175" s="367">
        <f t="shared" si="1063"/>
        <v>0</v>
      </c>
      <c r="BT175" s="355">
        <f t="shared" si="1064"/>
        <v>0</v>
      </c>
      <c r="BU175" s="355" t="b">
        <f t="shared" si="1027"/>
        <v>1</v>
      </c>
      <c r="BW175" s="355" t="str">
        <f t="shared" si="1065"/>
        <v/>
      </c>
      <c r="BX175" s="355">
        <f t="shared" si="1066"/>
        <v>0</v>
      </c>
      <c r="BY175" s="356">
        <f t="shared" si="1097"/>
        <v>0</v>
      </c>
      <c r="BZ175" s="355">
        <f t="shared" si="1067"/>
        <v>0</v>
      </c>
      <c r="CB175" s="102" t="str">
        <f t="shared" si="1068"/>
        <v>?</v>
      </c>
      <c r="CD175" s="355" t="str">
        <f t="shared" si="1069"/>
        <v>Não</v>
      </c>
      <c r="CE175" s="368">
        <f>ifzero(mlookup(tbl_ICMSinterest_data,UFdestino,tbl_ICMSinterest_ufdest,UForigem,tbl_ICMSinterest_uforig))</f>
        <v>0.12</v>
      </c>
      <c r="CF175" s="368">
        <f>IF(N175&gt;0,IF(I175&lt;&gt;"Serviço",ifzero(mlookup(tbl_ICMSinterno_data,UForigem,tbl_ICMSinterno_UF,O175,tbl_ICMSinterno_NCM),mlookup(tbl_ICMSinterest_data,UForigem,tbl_ICMSinterest_ufdest,UForigem,tbl_ICMSinterest_uforig)),""),0)</f>
        <v>0</v>
      </c>
      <c r="CG175" s="368">
        <f>IF(N175&gt;0,IF(I175&lt;&gt;"Serviço",ifzero(mlookup(tbl_ICMSinterno_data,UFdestino,tbl_ICMSinterno_UF,O175,tbl_ICMSinterno_NCM),mlookup(tbl_ICMSinterest_data,UFdestino,tbl_ICMSinterest_ufdest,UFdestino,tbl_ICMSinterest_uforig)),""),0)</f>
        <v>0</v>
      </c>
      <c r="CI175" s="355">
        <f t="shared" si="1070"/>
        <v>0</v>
      </c>
      <c r="CJ175" s="355">
        <f t="shared" si="1071"/>
        <v>0</v>
      </c>
      <c r="CK175" s="355">
        <f t="shared" si="1072"/>
        <v>0</v>
      </c>
      <c r="CL175" s="355">
        <f t="shared" si="1073"/>
        <v>0</v>
      </c>
      <c r="CN175" s="370">
        <f t="shared" si="1074"/>
        <v>1540</v>
      </c>
      <c r="CO175" s="355">
        <f t="shared" si="1075"/>
        <v>0</v>
      </c>
      <c r="CQ175" s="355" t="b">
        <f t="shared" si="1076"/>
        <v>0</v>
      </c>
      <c r="CR175" s="355" t="b">
        <f t="shared" si="1077"/>
        <v>1</v>
      </c>
      <c r="CS175" s="355" t="b">
        <f t="shared" si="1078"/>
        <v>0</v>
      </c>
      <c r="CU175" s="2">
        <f t="shared" si="1079"/>
        <v>0</v>
      </c>
      <c r="CV175" s="102">
        <f t="shared" si="1080"/>
        <v>0</v>
      </c>
      <c r="CW175" s="102">
        <f t="shared" si="1098"/>
        <v>0</v>
      </c>
      <c r="CX175" s="102">
        <f t="shared" si="1081"/>
        <v>0</v>
      </c>
      <c r="CY175" s="290">
        <f t="shared" si="1082"/>
        <v>0</v>
      </c>
      <c r="CZ175" s="102">
        <f t="shared" si="1100"/>
        <v>0</v>
      </c>
      <c r="DA175" s="290">
        <f t="shared" si="1083"/>
        <v>0</v>
      </c>
      <c r="DB175" s="102">
        <f t="shared" si="1101"/>
        <v>0</v>
      </c>
      <c r="DC175" s="290">
        <f t="shared" si="1084"/>
        <v>0</v>
      </c>
      <c r="DD175" s="102">
        <f t="shared" si="1099"/>
        <v>0</v>
      </c>
      <c r="DE175" s="592">
        <f>IF(D175="Sim",HLOOKUP($DH$5,Parametrização!$G$2:$H$4,2,FALSE),0)</f>
        <v>0</v>
      </c>
      <c r="DF175" s="102">
        <f t="shared" si="1102"/>
        <v>0</v>
      </c>
      <c r="DG175" s="592">
        <f>IF(D175="Sim",HLOOKUP($DH$5,Parametrização!$G$2:$H$4,3,FALSE),0)</f>
        <v>0</v>
      </c>
      <c r="DH175" s="102">
        <f t="shared" si="1103"/>
        <v>0</v>
      </c>
      <c r="DI175" s="102">
        <f t="shared" si="1104"/>
        <v>0</v>
      </c>
      <c r="DK175" s="3" t="str">
        <f t="shared" si="1085"/>
        <v>NA</v>
      </c>
      <c r="DL175" s="2" t="str">
        <f t="shared" si="1086"/>
        <v>NA</v>
      </c>
      <c r="DM175" s="3" t="str">
        <f t="shared" si="1087"/>
        <v>NA</v>
      </c>
      <c r="DN175" s="9" t="str">
        <f t="shared" si="1088"/>
        <v>NA</v>
      </c>
      <c r="DO175" s="637" t="str">
        <f t="shared" si="1089"/>
        <v>NA</v>
      </c>
      <c r="DP175" s="637"/>
      <c r="DQ175" s="3" t="str">
        <f t="shared" si="1090"/>
        <v>NA</v>
      </c>
      <c r="DR175" s="2" t="str">
        <f t="shared" si="1091"/>
        <v>NA</v>
      </c>
      <c r="DS175" s="3" t="str">
        <f t="shared" si="1092"/>
        <v>NA</v>
      </c>
      <c r="DT175" s="9" t="str">
        <f t="shared" si="1105"/>
        <v>NA</v>
      </c>
      <c r="DU175" s="637" t="str">
        <f t="shared" si="1106"/>
        <v>NA</v>
      </c>
      <c r="DV175" s="637"/>
      <c r="DW175" s="682"/>
      <c r="DX175" s="682"/>
      <c r="DY175" s="682"/>
      <c r="DZ175" s="637"/>
      <c r="EA175" s="643"/>
    </row>
    <row r="176" spans="1:131" s="355" customFormat="1" ht="20.100000000000001" customHeight="1" outlineLevel="1" x14ac:dyDescent="0.25">
      <c r="A176" s="356"/>
      <c r="B176" s="355" t="s">
        <v>268</v>
      </c>
      <c r="C176" s="355" t="str">
        <f t="shared" si="1093"/>
        <v>Consumo</v>
      </c>
      <c r="D176" s="355" t="s">
        <v>53</v>
      </c>
      <c r="E176" s="18" t="s">
        <v>38</v>
      </c>
      <c r="F176" s="355" t="s">
        <v>53</v>
      </c>
      <c r="G176" s="357" t="str">
        <f t="shared" si="1094"/>
        <v>Geral</v>
      </c>
      <c r="H176" s="255" t="s">
        <v>377</v>
      </c>
      <c r="I176" s="356" t="str">
        <f t="shared" si="1028"/>
        <v>Sistema</v>
      </c>
      <c r="K176" s="318" t="s">
        <v>2929</v>
      </c>
      <c r="L176" s="749" t="str">
        <f>IF(Padrões!JF117&lt;&gt;"",Padrões!JF117,"")</f>
        <v/>
      </c>
      <c r="M176" s="358" t="str">
        <f t="shared" si="1029"/>
        <v>?</v>
      </c>
      <c r="N176" s="359">
        <f>Padrões!JI117</f>
        <v>0</v>
      </c>
      <c r="O176" s="381" t="str">
        <f t="shared" si="1030"/>
        <v>?</v>
      </c>
      <c r="P176" s="360">
        <f t="shared" si="1031"/>
        <v>0.12</v>
      </c>
      <c r="Q176" s="360" t="str">
        <f t="shared" si="1032"/>
        <v>?</v>
      </c>
      <c r="R176" s="360">
        <f t="shared" si="1033"/>
        <v>0</v>
      </c>
      <c r="S176" s="361">
        <f t="shared" si="1034"/>
        <v>0</v>
      </c>
      <c r="T176" s="362">
        <f t="shared" si="1035"/>
        <v>0</v>
      </c>
      <c r="U176" s="53" t="str" cm="1">
        <f t="array" ref="U176">IFERROR(IF(I176&lt;&gt;"Serviço",IF(AND(mlookup(tbl_DIFAL_data,UFdestino,tbl_DIFAL_UF,O176,tbl_DIFAL_NCM)&lt;&gt;"",C176="Consumo"),"Sim",""),""),"?")</f>
        <v>?</v>
      </c>
      <c r="V176" s="363" t="str">
        <f>IFERROR(IF(I176&lt;&gt;"Serviço",IF(AND(D176="Não",mlookup(tbl_ST_data,UFdestino,tbl_ST_UF,O176,tbl_ST_NCM)&lt;&gt;"",C176="Revenda",CD176="Não"),"Sim",""),""),"?")</f>
        <v>?</v>
      </c>
      <c r="W176" s="364">
        <f t="shared" si="1036"/>
        <v>0</v>
      </c>
      <c r="X176" s="365">
        <f>IF(V176="Sim",mlookup(tbl_ST_data,UFdestino,tbl_ST_UF,O176,tbl_ST_NCM),0)</f>
        <v>0</v>
      </c>
      <c r="Z176" s="355">
        <f t="shared" si="1037"/>
        <v>0</v>
      </c>
      <c r="AA176" s="355">
        <f t="shared" si="1023"/>
        <v>0</v>
      </c>
      <c r="AC176" s="366">
        <f t="shared" si="1095"/>
        <v>1.31243473968765E-2</v>
      </c>
      <c r="AD176" s="366">
        <f t="shared" si="1038"/>
        <v>0.15</v>
      </c>
      <c r="AF176" s="355">
        <f t="shared" si="1039"/>
        <v>0</v>
      </c>
      <c r="AG176" s="355">
        <f t="shared" si="1040"/>
        <v>0</v>
      </c>
      <c r="AI176" s="355">
        <f t="shared" si="1041"/>
        <v>0</v>
      </c>
      <c r="AK176" s="366">
        <f t="shared" si="1096"/>
        <v>0</v>
      </c>
      <c r="AL176" s="355">
        <f t="shared" si="1024"/>
        <v>0</v>
      </c>
      <c r="AM176" s="355">
        <f t="shared" si="1025"/>
        <v>0</v>
      </c>
      <c r="AO176" s="355" t="b">
        <f t="shared" si="1042"/>
        <v>1</v>
      </c>
      <c r="AQ176" s="367">
        <f t="shared" si="1043"/>
        <v>0</v>
      </c>
      <c r="AR176" s="367">
        <f t="shared" si="1026"/>
        <v>0</v>
      </c>
      <c r="AT176" s="367">
        <f t="shared" si="1044"/>
        <v>0</v>
      </c>
      <c r="AU176" s="367">
        <f t="shared" si="1045"/>
        <v>0</v>
      </c>
      <c r="AW176" s="367">
        <f t="shared" si="1046"/>
        <v>0</v>
      </c>
      <c r="AX176" s="367">
        <f t="shared" si="1047"/>
        <v>0</v>
      </c>
      <c r="AY176" s="367">
        <f t="shared" si="1048"/>
        <v>0</v>
      </c>
      <c r="AZ176" s="367">
        <f t="shared" si="1049"/>
        <v>0</v>
      </c>
      <c r="BB176" s="355">
        <f t="shared" si="1050"/>
        <v>0</v>
      </c>
      <c r="BC176" s="355">
        <f t="shared" si="1051"/>
        <v>0</v>
      </c>
      <c r="BD176" s="355">
        <f t="shared" si="1052"/>
        <v>0</v>
      </c>
      <c r="BE176" s="355">
        <f t="shared" si="1053"/>
        <v>0</v>
      </c>
      <c r="BF176" s="355">
        <f t="shared" si="1054"/>
        <v>0</v>
      </c>
      <c r="BH176" s="368">
        <f t="shared" si="1055"/>
        <v>0</v>
      </c>
      <c r="BJ176" s="369">
        <f t="shared" si="1056"/>
        <v>-0.12</v>
      </c>
      <c r="BK176" s="355">
        <f t="shared" si="1057"/>
        <v>0</v>
      </c>
      <c r="BL176" s="355">
        <f t="shared" si="1058"/>
        <v>0</v>
      </c>
      <c r="BN176" s="366">
        <f t="shared" si="1059"/>
        <v>0</v>
      </c>
      <c r="BO176" s="355">
        <f t="shared" si="1060"/>
        <v>0</v>
      </c>
      <c r="BP176" s="355">
        <f t="shared" si="1061"/>
        <v>0</v>
      </c>
      <c r="BQ176" s="355">
        <f t="shared" si="1062"/>
        <v>0</v>
      </c>
      <c r="BS176" s="367">
        <f t="shared" si="1063"/>
        <v>0</v>
      </c>
      <c r="BT176" s="355">
        <f t="shared" si="1064"/>
        <v>0</v>
      </c>
      <c r="BU176" s="355" t="b">
        <f t="shared" si="1027"/>
        <v>1</v>
      </c>
      <c r="BW176" s="355" t="str">
        <f t="shared" si="1065"/>
        <v/>
      </c>
      <c r="BX176" s="355">
        <f t="shared" si="1066"/>
        <v>0</v>
      </c>
      <c r="BY176" s="356">
        <f t="shared" si="1097"/>
        <v>0</v>
      </c>
      <c r="BZ176" s="355">
        <f t="shared" si="1067"/>
        <v>0</v>
      </c>
      <c r="CB176" s="102" t="str">
        <f t="shared" si="1068"/>
        <v>?</v>
      </c>
      <c r="CD176" s="355" t="str">
        <f t="shared" si="1069"/>
        <v>Não</v>
      </c>
      <c r="CE176" s="368">
        <f>ifzero(mlookup(tbl_ICMSinterest_data,UFdestino,tbl_ICMSinterest_ufdest,UForigem,tbl_ICMSinterest_uforig))</f>
        <v>0.12</v>
      </c>
      <c r="CF176" s="368">
        <f>IF(N176&gt;0,IF(I176&lt;&gt;"Serviço",ifzero(mlookup(tbl_ICMSinterno_data,UForigem,tbl_ICMSinterno_UF,O176,tbl_ICMSinterno_NCM),mlookup(tbl_ICMSinterest_data,UForigem,tbl_ICMSinterest_ufdest,UForigem,tbl_ICMSinterest_uforig)),""),0)</f>
        <v>0</v>
      </c>
      <c r="CG176" s="368">
        <f>IF(N176&gt;0,IF(I176&lt;&gt;"Serviço",ifzero(mlookup(tbl_ICMSinterno_data,UFdestino,tbl_ICMSinterno_UF,O176,tbl_ICMSinterno_NCM),mlookup(tbl_ICMSinterest_data,UFdestino,tbl_ICMSinterest_ufdest,UFdestino,tbl_ICMSinterest_uforig)),""),0)</f>
        <v>0</v>
      </c>
      <c r="CI176" s="355">
        <f t="shared" si="1070"/>
        <v>0</v>
      </c>
      <c r="CJ176" s="355">
        <f t="shared" si="1071"/>
        <v>0</v>
      </c>
      <c r="CK176" s="355">
        <f t="shared" si="1072"/>
        <v>0</v>
      </c>
      <c r="CL176" s="355">
        <f t="shared" si="1073"/>
        <v>0</v>
      </c>
      <c r="CN176" s="370">
        <f t="shared" si="1074"/>
        <v>1540</v>
      </c>
      <c r="CO176" s="355">
        <f t="shared" si="1075"/>
        <v>0</v>
      </c>
      <c r="CQ176" s="355" t="b">
        <f t="shared" si="1076"/>
        <v>0</v>
      </c>
      <c r="CR176" s="355" t="b">
        <f t="shared" si="1077"/>
        <v>1</v>
      </c>
      <c r="CS176" s="355" t="b">
        <f t="shared" si="1078"/>
        <v>0</v>
      </c>
      <c r="CU176" s="2">
        <f t="shared" si="1079"/>
        <v>0</v>
      </c>
      <c r="CV176" s="102">
        <f t="shared" si="1080"/>
        <v>0</v>
      </c>
      <c r="CW176" s="102">
        <f t="shared" si="1098"/>
        <v>0</v>
      </c>
      <c r="CX176" s="102">
        <f t="shared" si="1081"/>
        <v>0</v>
      </c>
      <c r="CY176" s="290">
        <f t="shared" si="1082"/>
        <v>0</v>
      </c>
      <c r="CZ176" s="102">
        <f t="shared" si="1100"/>
        <v>0</v>
      </c>
      <c r="DA176" s="290">
        <f t="shared" si="1083"/>
        <v>0</v>
      </c>
      <c r="DB176" s="102">
        <f t="shared" si="1101"/>
        <v>0</v>
      </c>
      <c r="DC176" s="290">
        <f t="shared" si="1084"/>
        <v>0</v>
      </c>
      <c r="DD176" s="102">
        <f t="shared" si="1099"/>
        <v>0</v>
      </c>
      <c r="DE176" s="592">
        <f>IF(D176="Sim",HLOOKUP($DH$5,Parametrização!$G$2:$H$4,2,FALSE),0)</f>
        <v>0</v>
      </c>
      <c r="DF176" s="102">
        <f t="shared" si="1102"/>
        <v>0</v>
      </c>
      <c r="DG176" s="592">
        <f>IF(D176="Sim",HLOOKUP($DH$5,Parametrização!$G$2:$H$4,3,FALSE),0)</f>
        <v>0</v>
      </c>
      <c r="DH176" s="102">
        <f t="shared" si="1103"/>
        <v>0</v>
      </c>
      <c r="DI176" s="102">
        <f t="shared" si="1104"/>
        <v>0</v>
      </c>
      <c r="DK176" s="3" t="str">
        <f t="shared" si="1085"/>
        <v>NA</v>
      </c>
      <c r="DL176" s="2" t="str">
        <f t="shared" si="1086"/>
        <v>NA</v>
      </c>
      <c r="DM176" s="3" t="str">
        <f t="shared" si="1087"/>
        <v>NA</v>
      </c>
      <c r="DN176" s="9" t="str">
        <f t="shared" si="1088"/>
        <v>NA</v>
      </c>
      <c r="DO176" s="637" t="str">
        <f t="shared" si="1089"/>
        <v>NA</v>
      </c>
      <c r="DP176" s="637"/>
      <c r="DQ176" s="3" t="str">
        <f t="shared" si="1090"/>
        <v>NA</v>
      </c>
      <c r="DR176" s="2" t="str">
        <f t="shared" si="1091"/>
        <v>NA</v>
      </c>
      <c r="DS176" s="3" t="str">
        <f t="shared" si="1092"/>
        <v>NA</v>
      </c>
      <c r="DT176" s="9" t="str">
        <f t="shared" si="1105"/>
        <v>NA</v>
      </c>
      <c r="DU176" s="637" t="str">
        <f t="shared" si="1106"/>
        <v>NA</v>
      </c>
      <c r="DV176" s="637"/>
      <c r="DW176" s="682"/>
      <c r="DX176" s="682"/>
      <c r="DY176" s="682"/>
      <c r="DZ176" s="637"/>
      <c r="EA176" s="643"/>
    </row>
    <row r="177" spans="1:131" s="355" customFormat="1" ht="20.100000000000001" customHeight="1" outlineLevel="1" x14ac:dyDescent="0.25">
      <c r="A177" s="356"/>
      <c r="B177" s="355" t="s">
        <v>268</v>
      </c>
      <c r="C177" s="355" t="str">
        <f t="shared" si="1093"/>
        <v>Consumo</v>
      </c>
      <c r="D177" s="355" t="s">
        <v>53</v>
      </c>
      <c r="E177" s="18" t="s">
        <v>38</v>
      </c>
      <c r="F177" s="355" t="s">
        <v>53</v>
      </c>
      <c r="G177" s="357" t="str">
        <f t="shared" si="1094"/>
        <v>Geral</v>
      </c>
      <c r="H177" s="255" t="s">
        <v>377</v>
      </c>
      <c r="I177" s="356" t="str">
        <f t="shared" si="1028"/>
        <v>Sistema</v>
      </c>
      <c r="K177" s="318" t="s">
        <v>2930</v>
      </c>
      <c r="L177" s="749" t="str">
        <f>IF(Padrões!JF118&lt;&gt;"",Padrões!JF118,"")</f>
        <v/>
      </c>
      <c r="M177" s="358" t="str">
        <f t="shared" si="1029"/>
        <v>?</v>
      </c>
      <c r="N177" s="359">
        <f>Padrões!JI118</f>
        <v>0</v>
      </c>
      <c r="O177" s="381" t="str">
        <f t="shared" si="1030"/>
        <v>?</v>
      </c>
      <c r="P177" s="360">
        <f t="shared" si="1031"/>
        <v>0.12</v>
      </c>
      <c r="Q177" s="360" t="str">
        <f t="shared" si="1032"/>
        <v>?</v>
      </c>
      <c r="R177" s="360">
        <f t="shared" si="1033"/>
        <v>0</v>
      </c>
      <c r="S177" s="361">
        <f t="shared" si="1034"/>
        <v>0</v>
      </c>
      <c r="T177" s="362">
        <f t="shared" si="1035"/>
        <v>0</v>
      </c>
      <c r="U177" s="53" t="str" cm="1">
        <f t="array" ref="U177">IFERROR(IF(I177&lt;&gt;"Serviço",IF(AND(mlookup(tbl_DIFAL_data,UFdestino,tbl_DIFAL_UF,O177,tbl_DIFAL_NCM)&lt;&gt;"",C177="Consumo"),"Sim",""),""),"?")</f>
        <v>?</v>
      </c>
      <c r="V177" s="363" t="str">
        <f>IFERROR(IF(I177&lt;&gt;"Serviço",IF(AND(D177="Não",mlookup(tbl_ST_data,UFdestino,tbl_ST_UF,O177,tbl_ST_NCM)&lt;&gt;"",C177="Revenda",CD177="Não"),"Sim",""),""),"?")</f>
        <v>?</v>
      </c>
      <c r="W177" s="364">
        <f t="shared" si="1036"/>
        <v>0</v>
      </c>
      <c r="X177" s="365">
        <f>IF(V177="Sim",mlookup(tbl_ST_data,UFdestino,tbl_ST_UF,O177,tbl_ST_NCM),0)</f>
        <v>0</v>
      </c>
      <c r="Z177" s="355">
        <f t="shared" si="1037"/>
        <v>0</v>
      </c>
      <c r="AA177" s="355">
        <f t="shared" si="1023"/>
        <v>0</v>
      </c>
      <c r="AC177" s="366">
        <f t="shared" si="1095"/>
        <v>1.31243473968765E-2</v>
      </c>
      <c r="AD177" s="366">
        <f t="shared" si="1038"/>
        <v>0.15</v>
      </c>
      <c r="AF177" s="355">
        <f t="shared" si="1039"/>
        <v>0</v>
      </c>
      <c r="AG177" s="355">
        <f t="shared" si="1040"/>
        <v>0</v>
      </c>
      <c r="AI177" s="355">
        <f t="shared" si="1041"/>
        <v>0</v>
      </c>
      <c r="AK177" s="366">
        <f t="shared" si="1096"/>
        <v>0</v>
      </c>
      <c r="AL177" s="355">
        <f t="shared" si="1024"/>
        <v>0</v>
      </c>
      <c r="AM177" s="355">
        <f t="shared" si="1025"/>
        <v>0</v>
      </c>
      <c r="AO177" s="355" t="b">
        <f t="shared" si="1042"/>
        <v>1</v>
      </c>
      <c r="AQ177" s="367">
        <f t="shared" si="1043"/>
        <v>0</v>
      </c>
      <c r="AR177" s="367">
        <f t="shared" si="1026"/>
        <v>0</v>
      </c>
      <c r="AT177" s="367">
        <f t="shared" si="1044"/>
        <v>0</v>
      </c>
      <c r="AU177" s="367">
        <f t="shared" si="1045"/>
        <v>0</v>
      </c>
      <c r="AW177" s="367">
        <f t="shared" si="1046"/>
        <v>0</v>
      </c>
      <c r="AX177" s="367">
        <f t="shared" si="1047"/>
        <v>0</v>
      </c>
      <c r="AY177" s="367">
        <f t="shared" si="1048"/>
        <v>0</v>
      </c>
      <c r="AZ177" s="367">
        <f t="shared" si="1049"/>
        <v>0</v>
      </c>
      <c r="BB177" s="355">
        <f t="shared" si="1050"/>
        <v>0</v>
      </c>
      <c r="BC177" s="355">
        <f t="shared" si="1051"/>
        <v>0</v>
      </c>
      <c r="BD177" s="355">
        <f t="shared" si="1052"/>
        <v>0</v>
      </c>
      <c r="BE177" s="355">
        <f t="shared" si="1053"/>
        <v>0</v>
      </c>
      <c r="BF177" s="355">
        <f t="shared" si="1054"/>
        <v>0</v>
      </c>
      <c r="BH177" s="368">
        <f t="shared" si="1055"/>
        <v>0</v>
      </c>
      <c r="BJ177" s="369">
        <f t="shared" si="1056"/>
        <v>-0.12</v>
      </c>
      <c r="BK177" s="355">
        <f t="shared" si="1057"/>
        <v>0</v>
      </c>
      <c r="BL177" s="355">
        <f t="shared" si="1058"/>
        <v>0</v>
      </c>
      <c r="BN177" s="366">
        <f t="shared" si="1059"/>
        <v>0</v>
      </c>
      <c r="BO177" s="355">
        <f t="shared" si="1060"/>
        <v>0</v>
      </c>
      <c r="BP177" s="355">
        <f t="shared" si="1061"/>
        <v>0</v>
      </c>
      <c r="BQ177" s="355">
        <f t="shared" si="1062"/>
        <v>0</v>
      </c>
      <c r="BS177" s="367">
        <f t="shared" si="1063"/>
        <v>0</v>
      </c>
      <c r="BT177" s="355">
        <f t="shared" si="1064"/>
        <v>0</v>
      </c>
      <c r="BU177" s="355" t="b">
        <f t="shared" si="1027"/>
        <v>1</v>
      </c>
      <c r="BW177" s="355" t="str">
        <f t="shared" si="1065"/>
        <v/>
      </c>
      <c r="BX177" s="355">
        <f t="shared" si="1066"/>
        <v>0</v>
      </c>
      <c r="BY177" s="356">
        <f t="shared" si="1097"/>
        <v>0</v>
      </c>
      <c r="BZ177" s="355">
        <f t="shared" si="1067"/>
        <v>0</v>
      </c>
      <c r="CB177" s="102" t="str">
        <f t="shared" si="1068"/>
        <v>?</v>
      </c>
      <c r="CD177" s="355" t="str">
        <f t="shared" si="1069"/>
        <v>Não</v>
      </c>
      <c r="CE177" s="368">
        <f>ifzero(mlookup(tbl_ICMSinterest_data,UFdestino,tbl_ICMSinterest_ufdest,UForigem,tbl_ICMSinterest_uforig))</f>
        <v>0.12</v>
      </c>
      <c r="CF177" s="368">
        <f>IF(N177&gt;0,IF(I177&lt;&gt;"Serviço",ifzero(mlookup(tbl_ICMSinterno_data,UForigem,tbl_ICMSinterno_UF,O177,tbl_ICMSinterno_NCM),mlookup(tbl_ICMSinterest_data,UForigem,tbl_ICMSinterest_ufdest,UForigem,tbl_ICMSinterest_uforig)),""),0)</f>
        <v>0</v>
      </c>
      <c r="CG177" s="368">
        <f>IF(N177&gt;0,IF(I177&lt;&gt;"Serviço",ifzero(mlookup(tbl_ICMSinterno_data,UFdestino,tbl_ICMSinterno_UF,O177,tbl_ICMSinterno_NCM),mlookup(tbl_ICMSinterest_data,UFdestino,tbl_ICMSinterest_ufdest,UFdestino,tbl_ICMSinterest_uforig)),""),0)</f>
        <v>0</v>
      </c>
      <c r="CI177" s="355">
        <f t="shared" si="1070"/>
        <v>0</v>
      </c>
      <c r="CJ177" s="355">
        <f t="shared" si="1071"/>
        <v>0</v>
      </c>
      <c r="CK177" s="355">
        <f t="shared" si="1072"/>
        <v>0</v>
      </c>
      <c r="CL177" s="355">
        <f t="shared" si="1073"/>
        <v>0</v>
      </c>
      <c r="CN177" s="370">
        <f t="shared" si="1074"/>
        <v>1540</v>
      </c>
      <c r="CO177" s="355">
        <f t="shared" si="1075"/>
        <v>0</v>
      </c>
      <c r="CQ177" s="355" t="b">
        <f t="shared" si="1076"/>
        <v>0</v>
      </c>
      <c r="CR177" s="355" t="b">
        <f t="shared" si="1077"/>
        <v>1</v>
      </c>
      <c r="CS177" s="355" t="b">
        <f t="shared" si="1078"/>
        <v>0</v>
      </c>
      <c r="CU177" s="2">
        <f t="shared" si="1079"/>
        <v>0</v>
      </c>
      <c r="CV177" s="102">
        <f t="shared" si="1080"/>
        <v>0</v>
      </c>
      <c r="CW177" s="102">
        <f t="shared" si="1098"/>
        <v>0</v>
      </c>
      <c r="CX177" s="102">
        <f t="shared" si="1081"/>
        <v>0</v>
      </c>
      <c r="CY177" s="290">
        <f t="shared" si="1082"/>
        <v>0</v>
      </c>
      <c r="CZ177" s="102">
        <f t="shared" si="1100"/>
        <v>0</v>
      </c>
      <c r="DA177" s="290">
        <f t="shared" si="1083"/>
        <v>0</v>
      </c>
      <c r="DB177" s="102">
        <f t="shared" si="1101"/>
        <v>0</v>
      </c>
      <c r="DC177" s="290">
        <f t="shared" si="1084"/>
        <v>0</v>
      </c>
      <c r="DD177" s="102">
        <f t="shared" si="1099"/>
        <v>0</v>
      </c>
      <c r="DE177" s="592">
        <f>IF(D177="Sim",HLOOKUP($DH$5,Parametrização!$G$2:$H$4,2,FALSE),0)</f>
        <v>0</v>
      </c>
      <c r="DF177" s="102">
        <f t="shared" si="1102"/>
        <v>0</v>
      </c>
      <c r="DG177" s="592">
        <f>IF(D177="Sim",HLOOKUP($DH$5,Parametrização!$G$2:$H$4,3,FALSE),0)</f>
        <v>0</v>
      </c>
      <c r="DH177" s="102">
        <f t="shared" si="1103"/>
        <v>0</v>
      </c>
      <c r="DI177" s="102">
        <f t="shared" si="1104"/>
        <v>0</v>
      </c>
      <c r="DK177" s="3" t="str">
        <f t="shared" si="1085"/>
        <v>NA</v>
      </c>
      <c r="DL177" s="2" t="str">
        <f t="shared" si="1086"/>
        <v>NA</v>
      </c>
      <c r="DM177" s="3" t="str">
        <f t="shared" si="1087"/>
        <v>NA</v>
      </c>
      <c r="DN177" s="9" t="str">
        <f t="shared" si="1088"/>
        <v>NA</v>
      </c>
      <c r="DO177" s="637" t="str">
        <f t="shared" si="1089"/>
        <v>NA</v>
      </c>
      <c r="DP177" s="637"/>
      <c r="DQ177" s="3" t="str">
        <f t="shared" si="1090"/>
        <v>NA</v>
      </c>
      <c r="DR177" s="2" t="str">
        <f t="shared" si="1091"/>
        <v>NA</v>
      </c>
      <c r="DS177" s="3" t="str">
        <f t="shared" si="1092"/>
        <v>NA</v>
      </c>
      <c r="DT177" s="9" t="str">
        <f t="shared" si="1105"/>
        <v>NA</v>
      </c>
      <c r="DU177" s="637" t="str">
        <f t="shared" si="1106"/>
        <v>NA</v>
      </c>
      <c r="DV177" s="637"/>
      <c r="DW177" s="682"/>
      <c r="DX177" s="682"/>
      <c r="DY177" s="682"/>
      <c r="DZ177" s="637"/>
      <c r="EA177" s="643"/>
    </row>
    <row r="178" spans="1:131" s="355" customFormat="1" ht="20.100000000000001" customHeight="1" outlineLevel="1" x14ac:dyDescent="0.25">
      <c r="A178" s="356"/>
      <c r="B178" s="355" t="s">
        <v>268</v>
      </c>
      <c r="C178" s="355" t="str">
        <f t="shared" si="1093"/>
        <v>Consumo</v>
      </c>
      <c r="D178" s="355" t="s">
        <v>53</v>
      </c>
      <c r="E178" s="18" t="s">
        <v>38</v>
      </c>
      <c r="F178" s="355" t="s">
        <v>53</v>
      </c>
      <c r="G178" s="357" t="str">
        <f t="shared" si="1094"/>
        <v>Geral</v>
      </c>
      <c r="H178" s="255" t="s">
        <v>377</v>
      </c>
      <c r="I178" s="356" t="str">
        <f t="shared" si="1028"/>
        <v>Sistema</v>
      </c>
      <c r="K178" s="318" t="s">
        <v>2931</v>
      </c>
      <c r="L178" s="749" t="str">
        <f>IF(Padrões!JF119&lt;&gt;"",Padrões!JF119,"")</f>
        <v/>
      </c>
      <c r="M178" s="358" t="str">
        <f t="shared" si="1029"/>
        <v>?</v>
      </c>
      <c r="N178" s="359">
        <f>Padrões!JI119</f>
        <v>0</v>
      </c>
      <c r="O178" s="381" t="str">
        <f t="shared" si="1030"/>
        <v>?</v>
      </c>
      <c r="P178" s="360">
        <f t="shared" si="1031"/>
        <v>0.12</v>
      </c>
      <c r="Q178" s="360" t="str">
        <f t="shared" si="1032"/>
        <v>?</v>
      </c>
      <c r="R178" s="360">
        <f t="shared" si="1033"/>
        <v>0</v>
      </c>
      <c r="S178" s="361">
        <f t="shared" si="1034"/>
        <v>0</v>
      </c>
      <c r="T178" s="362">
        <f t="shared" si="1035"/>
        <v>0</v>
      </c>
      <c r="U178" s="53" t="str" cm="1">
        <f t="array" ref="U178">IFERROR(IF(I178&lt;&gt;"Serviço",IF(AND(mlookup(tbl_DIFAL_data,UFdestino,tbl_DIFAL_UF,O178,tbl_DIFAL_NCM)&lt;&gt;"",C178="Consumo"),"Sim",""),""),"?")</f>
        <v>?</v>
      </c>
      <c r="V178" s="363" t="str">
        <f>IFERROR(IF(I178&lt;&gt;"Serviço",IF(AND(D178="Não",mlookup(tbl_ST_data,UFdestino,tbl_ST_UF,O178,tbl_ST_NCM)&lt;&gt;"",C178="Revenda",CD178="Não"),"Sim",""),""),"?")</f>
        <v>?</v>
      </c>
      <c r="W178" s="364">
        <f t="shared" si="1036"/>
        <v>0</v>
      </c>
      <c r="X178" s="365">
        <f>IF(V178="Sim",mlookup(tbl_ST_data,UFdestino,tbl_ST_UF,O178,tbl_ST_NCM),0)</f>
        <v>0</v>
      </c>
      <c r="Z178" s="355">
        <f t="shared" si="1037"/>
        <v>0</v>
      </c>
      <c r="AA178" s="355">
        <f t="shared" si="1023"/>
        <v>0</v>
      </c>
      <c r="AC178" s="366">
        <f t="shared" si="1095"/>
        <v>1.31243473968765E-2</v>
      </c>
      <c r="AD178" s="366">
        <f t="shared" si="1038"/>
        <v>0.15</v>
      </c>
      <c r="AF178" s="355">
        <f t="shared" si="1039"/>
        <v>0</v>
      </c>
      <c r="AG178" s="355">
        <f t="shared" si="1040"/>
        <v>0</v>
      </c>
      <c r="AI178" s="355">
        <f t="shared" si="1041"/>
        <v>0</v>
      </c>
      <c r="AK178" s="366">
        <f t="shared" si="1096"/>
        <v>0</v>
      </c>
      <c r="AL178" s="355">
        <f t="shared" si="1024"/>
        <v>0</v>
      </c>
      <c r="AM178" s="355">
        <f t="shared" si="1025"/>
        <v>0</v>
      </c>
      <c r="AO178" s="355" t="b">
        <f t="shared" si="1042"/>
        <v>1</v>
      </c>
      <c r="AQ178" s="367">
        <f t="shared" si="1043"/>
        <v>0</v>
      </c>
      <c r="AR178" s="367">
        <f t="shared" si="1026"/>
        <v>0</v>
      </c>
      <c r="AT178" s="367">
        <f t="shared" si="1044"/>
        <v>0</v>
      </c>
      <c r="AU178" s="367">
        <f t="shared" si="1045"/>
        <v>0</v>
      </c>
      <c r="AW178" s="367">
        <f t="shared" si="1046"/>
        <v>0</v>
      </c>
      <c r="AX178" s="367">
        <f t="shared" si="1047"/>
        <v>0</v>
      </c>
      <c r="AY178" s="367">
        <f t="shared" si="1048"/>
        <v>0</v>
      </c>
      <c r="AZ178" s="367">
        <f t="shared" si="1049"/>
        <v>0</v>
      </c>
      <c r="BB178" s="355">
        <f t="shared" si="1050"/>
        <v>0</v>
      </c>
      <c r="BC178" s="355">
        <f t="shared" si="1051"/>
        <v>0</v>
      </c>
      <c r="BD178" s="355">
        <f t="shared" si="1052"/>
        <v>0</v>
      </c>
      <c r="BE178" s="355">
        <f t="shared" si="1053"/>
        <v>0</v>
      </c>
      <c r="BF178" s="355">
        <f t="shared" si="1054"/>
        <v>0</v>
      </c>
      <c r="BH178" s="368">
        <f t="shared" si="1055"/>
        <v>0</v>
      </c>
      <c r="BJ178" s="369">
        <f t="shared" si="1056"/>
        <v>-0.12</v>
      </c>
      <c r="BK178" s="355">
        <f t="shared" si="1057"/>
        <v>0</v>
      </c>
      <c r="BL178" s="355">
        <f t="shared" si="1058"/>
        <v>0</v>
      </c>
      <c r="BN178" s="366">
        <f t="shared" si="1059"/>
        <v>0</v>
      </c>
      <c r="BO178" s="355">
        <f t="shared" si="1060"/>
        <v>0</v>
      </c>
      <c r="BP178" s="355">
        <f t="shared" si="1061"/>
        <v>0</v>
      </c>
      <c r="BQ178" s="355">
        <f t="shared" si="1062"/>
        <v>0</v>
      </c>
      <c r="BS178" s="367">
        <f t="shared" si="1063"/>
        <v>0</v>
      </c>
      <c r="BT178" s="355">
        <f t="shared" si="1064"/>
        <v>0</v>
      </c>
      <c r="BU178" s="355" t="b">
        <f t="shared" si="1027"/>
        <v>1</v>
      </c>
      <c r="BW178" s="355" t="str">
        <f t="shared" si="1065"/>
        <v/>
      </c>
      <c r="BX178" s="355">
        <f t="shared" si="1066"/>
        <v>0</v>
      </c>
      <c r="BY178" s="356">
        <f t="shared" si="1097"/>
        <v>0</v>
      </c>
      <c r="BZ178" s="355">
        <f t="shared" si="1067"/>
        <v>0</v>
      </c>
      <c r="CB178" s="102" t="str">
        <f t="shared" si="1068"/>
        <v>?</v>
      </c>
      <c r="CD178" s="355" t="str">
        <f t="shared" si="1069"/>
        <v>Não</v>
      </c>
      <c r="CE178" s="368">
        <f>ifzero(mlookup(tbl_ICMSinterest_data,UFdestino,tbl_ICMSinterest_ufdest,UForigem,tbl_ICMSinterest_uforig))</f>
        <v>0.12</v>
      </c>
      <c r="CF178" s="368">
        <f>IF(N178&gt;0,IF(I178&lt;&gt;"Serviço",ifzero(mlookup(tbl_ICMSinterno_data,UForigem,tbl_ICMSinterno_UF,O178,tbl_ICMSinterno_NCM),mlookup(tbl_ICMSinterest_data,UForigem,tbl_ICMSinterest_ufdest,UForigem,tbl_ICMSinterest_uforig)),""),0)</f>
        <v>0</v>
      </c>
      <c r="CG178" s="368">
        <f>IF(N178&gt;0,IF(I178&lt;&gt;"Serviço",ifzero(mlookup(tbl_ICMSinterno_data,UFdestino,tbl_ICMSinterno_UF,O178,tbl_ICMSinterno_NCM),mlookup(tbl_ICMSinterest_data,UFdestino,tbl_ICMSinterest_ufdest,UFdestino,tbl_ICMSinterest_uforig)),""),0)</f>
        <v>0</v>
      </c>
      <c r="CI178" s="355">
        <f t="shared" si="1070"/>
        <v>0</v>
      </c>
      <c r="CJ178" s="355">
        <f t="shared" si="1071"/>
        <v>0</v>
      </c>
      <c r="CK178" s="355">
        <f t="shared" si="1072"/>
        <v>0</v>
      </c>
      <c r="CL178" s="355">
        <f t="shared" si="1073"/>
        <v>0</v>
      </c>
      <c r="CN178" s="370">
        <f t="shared" si="1074"/>
        <v>1540</v>
      </c>
      <c r="CO178" s="355">
        <f t="shared" si="1075"/>
        <v>0</v>
      </c>
      <c r="CQ178" s="355" t="b">
        <f t="shared" si="1076"/>
        <v>0</v>
      </c>
      <c r="CR178" s="355" t="b">
        <f t="shared" si="1077"/>
        <v>1</v>
      </c>
      <c r="CS178" s="355" t="b">
        <f t="shared" si="1078"/>
        <v>0</v>
      </c>
      <c r="CU178" s="2">
        <f t="shared" si="1079"/>
        <v>0</v>
      </c>
      <c r="CV178" s="102">
        <f t="shared" si="1080"/>
        <v>0</v>
      </c>
      <c r="CW178" s="102">
        <f t="shared" si="1098"/>
        <v>0</v>
      </c>
      <c r="CX178" s="102">
        <f t="shared" si="1081"/>
        <v>0</v>
      </c>
      <c r="CY178" s="290">
        <f t="shared" si="1082"/>
        <v>0</v>
      </c>
      <c r="CZ178" s="102">
        <f t="shared" si="1100"/>
        <v>0</v>
      </c>
      <c r="DA178" s="290">
        <f t="shared" si="1083"/>
        <v>0</v>
      </c>
      <c r="DB178" s="102">
        <f t="shared" si="1101"/>
        <v>0</v>
      </c>
      <c r="DC178" s="290">
        <f t="shared" si="1084"/>
        <v>0</v>
      </c>
      <c r="DD178" s="102">
        <f t="shared" si="1099"/>
        <v>0</v>
      </c>
      <c r="DE178" s="592">
        <f>IF(D178="Sim",HLOOKUP($DH$5,Parametrização!$G$2:$H$4,2,FALSE),0)</f>
        <v>0</v>
      </c>
      <c r="DF178" s="102">
        <f t="shared" si="1102"/>
        <v>0</v>
      </c>
      <c r="DG178" s="592">
        <f>IF(D178="Sim",HLOOKUP($DH$5,Parametrização!$G$2:$H$4,3,FALSE),0)</f>
        <v>0</v>
      </c>
      <c r="DH178" s="102">
        <f t="shared" si="1103"/>
        <v>0</v>
      </c>
      <c r="DI178" s="102">
        <f t="shared" si="1104"/>
        <v>0</v>
      </c>
      <c r="DK178" s="3" t="str">
        <f t="shared" si="1085"/>
        <v>NA</v>
      </c>
      <c r="DL178" s="2" t="str">
        <f t="shared" si="1086"/>
        <v>NA</v>
      </c>
      <c r="DM178" s="3" t="str">
        <f t="shared" si="1087"/>
        <v>NA</v>
      </c>
      <c r="DN178" s="9" t="str">
        <f t="shared" si="1088"/>
        <v>NA</v>
      </c>
      <c r="DO178" s="637" t="str">
        <f t="shared" si="1089"/>
        <v>NA</v>
      </c>
      <c r="DP178" s="637"/>
      <c r="DQ178" s="3" t="str">
        <f t="shared" si="1090"/>
        <v>NA</v>
      </c>
      <c r="DR178" s="2" t="str">
        <f t="shared" si="1091"/>
        <v>NA</v>
      </c>
      <c r="DS178" s="3" t="str">
        <f t="shared" si="1092"/>
        <v>NA</v>
      </c>
      <c r="DT178" s="9" t="str">
        <f t="shared" si="1105"/>
        <v>NA</v>
      </c>
      <c r="DU178" s="637" t="str">
        <f t="shared" si="1106"/>
        <v>NA</v>
      </c>
      <c r="DV178" s="637"/>
      <c r="DW178" s="682"/>
      <c r="DX178" s="682"/>
      <c r="DY178" s="682"/>
      <c r="DZ178" s="637"/>
      <c r="EA178" s="643"/>
    </row>
    <row r="179" spans="1:131" s="355" customFormat="1" ht="20.100000000000001" customHeight="1" outlineLevel="1" x14ac:dyDescent="0.25">
      <c r="A179" s="356"/>
      <c r="B179" s="355" t="s">
        <v>268</v>
      </c>
      <c r="C179" s="355" t="str">
        <f t="shared" si="1093"/>
        <v>Consumo</v>
      </c>
      <c r="D179" s="355" t="s">
        <v>53</v>
      </c>
      <c r="E179" s="18" t="s">
        <v>38</v>
      </c>
      <c r="F179" s="355" t="s">
        <v>53</v>
      </c>
      <c r="G179" s="357" t="str">
        <f t="shared" si="1094"/>
        <v>Geral</v>
      </c>
      <c r="H179" s="255" t="s">
        <v>377</v>
      </c>
      <c r="I179" s="356" t="str">
        <f t="shared" si="1028"/>
        <v>Sistema</v>
      </c>
      <c r="K179" s="318" t="s">
        <v>2932</v>
      </c>
      <c r="L179" s="749" t="str">
        <f>IF(Padrões!JF120&lt;&gt;"",Padrões!JF120,"")</f>
        <v/>
      </c>
      <c r="M179" s="358" t="str">
        <f t="shared" si="1029"/>
        <v>?</v>
      </c>
      <c r="N179" s="359">
        <f>Padrões!JI120</f>
        <v>0</v>
      </c>
      <c r="O179" s="381" t="str">
        <f t="shared" si="1030"/>
        <v>?</v>
      </c>
      <c r="P179" s="360">
        <f t="shared" si="1031"/>
        <v>0.12</v>
      </c>
      <c r="Q179" s="360" t="str">
        <f t="shared" si="1032"/>
        <v>?</v>
      </c>
      <c r="R179" s="360">
        <f t="shared" si="1033"/>
        <v>0</v>
      </c>
      <c r="S179" s="361">
        <f t="shared" si="1034"/>
        <v>0</v>
      </c>
      <c r="T179" s="362">
        <f t="shared" si="1035"/>
        <v>0</v>
      </c>
      <c r="U179" s="53" t="str" cm="1">
        <f t="array" ref="U179">IFERROR(IF(I179&lt;&gt;"Serviço",IF(AND(mlookup(tbl_DIFAL_data,UFdestino,tbl_DIFAL_UF,O179,tbl_DIFAL_NCM)&lt;&gt;"",C179="Consumo"),"Sim",""),""),"?")</f>
        <v>?</v>
      </c>
      <c r="V179" s="363" t="str">
        <f>IFERROR(IF(I179&lt;&gt;"Serviço",IF(AND(D179="Não",mlookup(tbl_ST_data,UFdestino,tbl_ST_UF,O179,tbl_ST_NCM)&lt;&gt;"",C179="Revenda",CD179="Não"),"Sim",""),""),"?")</f>
        <v>?</v>
      </c>
      <c r="W179" s="364">
        <f t="shared" si="1036"/>
        <v>0</v>
      </c>
      <c r="X179" s="365">
        <f>IF(V179="Sim",mlookup(tbl_ST_data,UFdestino,tbl_ST_UF,O179,tbl_ST_NCM),0)</f>
        <v>0</v>
      </c>
      <c r="Z179" s="355">
        <f t="shared" si="1037"/>
        <v>0</v>
      </c>
      <c r="AA179" s="355">
        <f t="shared" si="1023"/>
        <v>0</v>
      </c>
      <c r="AC179" s="366">
        <f t="shared" si="1095"/>
        <v>1.31243473968765E-2</v>
      </c>
      <c r="AD179" s="366">
        <f t="shared" si="1038"/>
        <v>0.15</v>
      </c>
      <c r="AF179" s="355">
        <f t="shared" si="1039"/>
        <v>0</v>
      </c>
      <c r="AG179" s="355">
        <f t="shared" si="1040"/>
        <v>0</v>
      </c>
      <c r="AI179" s="355">
        <f t="shared" si="1041"/>
        <v>0</v>
      </c>
      <c r="AK179" s="366">
        <f t="shared" si="1096"/>
        <v>0</v>
      </c>
      <c r="AL179" s="355">
        <f t="shared" si="1024"/>
        <v>0</v>
      </c>
      <c r="AM179" s="355">
        <f t="shared" si="1025"/>
        <v>0</v>
      </c>
      <c r="AO179" s="355" t="b">
        <f t="shared" si="1042"/>
        <v>1</v>
      </c>
      <c r="AQ179" s="367">
        <f t="shared" si="1043"/>
        <v>0</v>
      </c>
      <c r="AR179" s="367">
        <f t="shared" si="1026"/>
        <v>0</v>
      </c>
      <c r="AT179" s="367">
        <f t="shared" si="1044"/>
        <v>0</v>
      </c>
      <c r="AU179" s="367">
        <f t="shared" si="1045"/>
        <v>0</v>
      </c>
      <c r="AW179" s="367">
        <f t="shared" si="1046"/>
        <v>0</v>
      </c>
      <c r="AX179" s="367">
        <f t="shared" si="1047"/>
        <v>0</v>
      </c>
      <c r="AY179" s="367">
        <f t="shared" si="1048"/>
        <v>0</v>
      </c>
      <c r="AZ179" s="367">
        <f t="shared" si="1049"/>
        <v>0</v>
      </c>
      <c r="BB179" s="355">
        <f t="shared" si="1050"/>
        <v>0</v>
      </c>
      <c r="BC179" s="355">
        <f t="shared" si="1051"/>
        <v>0</v>
      </c>
      <c r="BD179" s="355">
        <f t="shared" si="1052"/>
        <v>0</v>
      </c>
      <c r="BE179" s="355">
        <f t="shared" si="1053"/>
        <v>0</v>
      </c>
      <c r="BF179" s="355">
        <f t="shared" si="1054"/>
        <v>0</v>
      </c>
      <c r="BH179" s="368">
        <f t="shared" si="1055"/>
        <v>0</v>
      </c>
      <c r="BJ179" s="369">
        <f t="shared" si="1056"/>
        <v>-0.12</v>
      </c>
      <c r="BK179" s="355">
        <f t="shared" si="1057"/>
        <v>0</v>
      </c>
      <c r="BL179" s="355">
        <f t="shared" si="1058"/>
        <v>0</v>
      </c>
      <c r="BN179" s="366">
        <f t="shared" si="1059"/>
        <v>0</v>
      </c>
      <c r="BO179" s="355">
        <f t="shared" si="1060"/>
        <v>0</v>
      </c>
      <c r="BP179" s="355">
        <f t="shared" si="1061"/>
        <v>0</v>
      </c>
      <c r="BQ179" s="355">
        <f t="shared" si="1062"/>
        <v>0</v>
      </c>
      <c r="BS179" s="367">
        <f t="shared" si="1063"/>
        <v>0</v>
      </c>
      <c r="BT179" s="355">
        <f t="shared" si="1064"/>
        <v>0</v>
      </c>
      <c r="BU179" s="355" t="b">
        <f t="shared" si="1027"/>
        <v>1</v>
      </c>
      <c r="BW179" s="355" t="str">
        <f t="shared" si="1065"/>
        <v/>
      </c>
      <c r="BX179" s="355">
        <f t="shared" si="1066"/>
        <v>0</v>
      </c>
      <c r="BY179" s="356">
        <f t="shared" si="1097"/>
        <v>0</v>
      </c>
      <c r="BZ179" s="355">
        <f t="shared" si="1067"/>
        <v>0</v>
      </c>
      <c r="CB179" s="102" t="str">
        <f t="shared" si="1068"/>
        <v>?</v>
      </c>
      <c r="CD179" s="355" t="str">
        <f t="shared" si="1069"/>
        <v>Não</v>
      </c>
      <c r="CE179" s="368">
        <f>ifzero(mlookup(tbl_ICMSinterest_data,UFdestino,tbl_ICMSinterest_ufdest,UForigem,tbl_ICMSinterest_uforig))</f>
        <v>0.12</v>
      </c>
      <c r="CF179" s="368">
        <f>IF(N179&gt;0,IF(I179&lt;&gt;"Serviço",ifzero(mlookup(tbl_ICMSinterno_data,UForigem,tbl_ICMSinterno_UF,O179,tbl_ICMSinterno_NCM),mlookup(tbl_ICMSinterest_data,UForigem,tbl_ICMSinterest_ufdest,UForigem,tbl_ICMSinterest_uforig)),""),0)</f>
        <v>0</v>
      </c>
      <c r="CG179" s="368">
        <f>IF(N179&gt;0,IF(I179&lt;&gt;"Serviço",ifzero(mlookup(tbl_ICMSinterno_data,UFdestino,tbl_ICMSinterno_UF,O179,tbl_ICMSinterno_NCM),mlookup(tbl_ICMSinterest_data,UFdestino,tbl_ICMSinterest_ufdest,UFdestino,tbl_ICMSinterest_uforig)),""),0)</f>
        <v>0</v>
      </c>
      <c r="CI179" s="355">
        <f t="shared" si="1070"/>
        <v>0</v>
      </c>
      <c r="CJ179" s="355">
        <f t="shared" si="1071"/>
        <v>0</v>
      </c>
      <c r="CK179" s="355">
        <f t="shared" si="1072"/>
        <v>0</v>
      </c>
      <c r="CL179" s="355">
        <f t="shared" si="1073"/>
        <v>0</v>
      </c>
      <c r="CN179" s="370">
        <f t="shared" si="1074"/>
        <v>1540</v>
      </c>
      <c r="CO179" s="355">
        <f t="shared" si="1075"/>
        <v>0</v>
      </c>
      <c r="CQ179" s="355" t="b">
        <f t="shared" si="1076"/>
        <v>0</v>
      </c>
      <c r="CR179" s="355" t="b">
        <f t="shared" si="1077"/>
        <v>1</v>
      </c>
      <c r="CS179" s="355" t="b">
        <f t="shared" si="1078"/>
        <v>0</v>
      </c>
      <c r="CU179" s="2">
        <f t="shared" si="1079"/>
        <v>0</v>
      </c>
      <c r="CV179" s="102">
        <f t="shared" si="1080"/>
        <v>0</v>
      </c>
      <c r="CW179" s="102">
        <f t="shared" si="1098"/>
        <v>0</v>
      </c>
      <c r="CX179" s="102">
        <f t="shared" si="1081"/>
        <v>0</v>
      </c>
      <c r="CY179" s="290">
        <f t="shared" si="1082"/>
        <v>0</v>
      </c>
      <c r="CZ179" s="102">
        <f t="shared" si="1100"/>
        <v>0</v>
      </c>
      <c r="DA179" s="290">
        <f t="shared" si="1083"/>
        <v>0</v>
      </c>
      <c r="DB179" s="102">
        <f t="shared" si="1101"/>
        <v>0</v>
      </c>
      <c r="DC179" s="290">
        <f t="shared" si="1084"/>
        <v>0</v>
      </c>
      <c r="DD179" s="102">
        <f t="shared" si="1099"/>
        <v>0</v>
      </c>
      <c r="DE179" s="592">
        <f>IF(D179="Sim",HLOOKUP($DH$5,Parametrização!$G$2:$H$4,2,FALSE),0)</f>
        <v>0</v>
      </c>
      <c r="DF179" s="102">
        <f t="shared" si="1102"/>
        <v>0</v>
      </c>
      <c r="DG179" s="592">
        <f>IF(D179="Sim",HLOOKUP($DH$5,Parametrização!$G$2:$H$4,3,FALSE),0)</f>
        <v>0</v>
      </c>
      <c r="DH179" s="102">
        <f t="shared" si="1103"/>
        <v>0</v>
      </c>
      <c r="DI179" s="102">
        <f t="shared" si="1104"/>
        <v>0</v>
      </c>
      <c r="DK179" s="3" t="str">
        <f t="shared" si="1085"/>
        <v>NA</v>
      </c>
      <c r="DL179" s="2" t="str">
        <f t="shared" si="1086"/>
        <v>NA</v>
      </c>
      <c r="DM179" s="3" t="str">
        <f t="shared" si="1087"/>
        <v>NA</v>
      </c>
      <c r="DN179" s="9" t="str">
        <f t="shared" si="1088"/>
        <v>NA</v>
      </c>
      <c r="DO179" s="637" t="str">
        <f t="shared" si="1089"/>
        <v>NA</v>
      </c>
      <c r="DP179" s="637"/>
      <c r="DQ179" s="3" t="str">
        <f t="shared" si="1090"/>
        <v>NA</v>
      </c>
      <c r="DR179" s="2" t="str">
        <f t="shared" si="1091"/>
        <v>NA</v>
      </c>
      <c r="DS179" s="3" t="str">
        <f t="shared" si="1092"/>
        <v>NA</v>
      </c>
      <c r="DT179" s="9" t="str">
        <f t="shared" si="1105"/>
        <v>NA</v>
      </c>
      <c r="DU179" s="637" t="str">
        <f t="shared" si="1106"/>
        <v>NA</v>
      </c>
      <c r="DV179" s="637"/>
      <c r="DW179" s="682"/>
      <c r="DX179" s="682"/>
      <c r="DY179" s="682"/>
      <c r="DZ179" s="637"/>
      <c r="EA179" s="643"/>
    </row>
    <row r="180" spans="1:131" s="355" customFormat="1" ht="20.100000000000001" customHeight="1" outlineLevel="1" x14ac:dyDescent="0.25">
      <c r="A180" s="356"/>
      <c r="B180" s="355" t="s">
        <v>268</v>
      </c>
      <c r="C180" s="355" t="str">
        <f t="shared" si="1093"/>
        <v>Consumo</v>
      </c>
      <c r="D180" s="355" t="s">
        <v>53</v>
      </c>
      <c r="E180" s="18" t="s">
        <v>38</v>
      </c>
      <c r="F180" s="355" t="s">
        <v>53</v>
      </c>
      <c r="G180" s="357" t="str">
        <f t="shared" si="1094"/>
        <v>Geral</v>
      </c>
      <c r="H180" s="255" t="s">
        <v>377</v>
      </c>
      <c r="I180" s="356" t="str">
        <f t="shared" si="1028"/>
        <v>Sistema</v>
      </c>
      <c r="K180" s="318" t="s">
        <v>2933</v>
      </c>
      <c r="L180" s="749" t="str">
        <f>IF(Padrões!JF121&lt;&gt;"",Padrões!JF121,"")</f>
        <v/>
      </c>
      <c r="M180" s="358" t="str">
        <f t="shared" si="1029"/>
        <v>?</v>
      </c>
      <c r="N180" s="359">
        <f>Padrões!JI121</f>
        <v>0</v>
      </c>
      <c r="O180" s="381" t="str">
        <f t="shared" si="1030"/>
        <v>?</v>
      </c>
      <c r="P180" s="360">
        <f t="shared" si="1031"/>
        <v>0.12</v>
      </c>
      <c r="Q180" s="360" t="str">
        <f t="shared" si="1032"/>
        <v>?</v>
      </c>
      <c r="R180" s="360">
        <f t="shared" si="1033"/>
        <v>0</v>
      </c>
      <c r="S180" s="361">
        <f t="shared" si="1034"/>
        <v>0</v>
      </c>
      <c r="T180" s="362">
        <f t="shared" si="1035"/>
        <v>0</v>
      </c>
      <c r="U180" s="53" t="str" cm="1">
        <f t="array" ref="U180">IFERROR(IF(I180&lt;&gt;"Serviço",IF(AND(mlookup(tbl_DIFAL_data,UFdestino,tbl_DIFAL_UF,O180,tbl_DIFAL_NCM)&lt;&gt;"",C180="Consumo"),"Sim",""),""),"?")</f>
        <v>?</v>
      </c>
      <c r="V180" s="363" t="str">
        <f>IFERROR(IF(I180&lt;&gt;"Serviço",IF(AND(D180="Não",mlookup(tbl_ST_data,UFdestino,tbl_ST_UF,O180,tbl_ST_NCM)&lt;&gt;"",C180="Revenda",CD180="Não"),"Sim",""),""),"?")</f>
        <v>?</v>
      </c>
      <c r="W180" s="364">
        <f t="shared" si="1036"/>
        <v>0</v>
      </c>
      <c r="X180" s="365">
        <f>IF(V180="Sim",mlookup(tbl_ST_data,UFdestino,tbl_ST_UF,O180,tbl_ST_NCM),0)</f>
        <v>0</v>
      </c>
      <c r="Z180" s="355">
        <f t="shared" si="1037"/>
        <v>0</v>
      </c>
      <c r="AA180" s="355">
        <f t="shared" si="1023"/>
        <v>0</v>
      </c>
      <c r="AC180" s="366">
        <f t="shared" si="1095"/>
        <v>1.31243473968765E-2</v>
      </c>
      <c r="AD180" s="366">
        <f t="shared" si="1038"/>
        <v>0.15</v>
      </c>
      <c r="AF180" s="355">
        <f t="shared" si="1039"/>
        <v>0</v>
      </c>
      <c r="AG180" s="355">
        <f t="shared" si="1040"/>
        <v>0</v>
      </c>
      <c r="AI180" s="355">
        <f t="shared" si="1041"/>
        <v>0</v>
      </c>
      <c r="AK180" s="366">
        <f t="shared" si="1096"/>
        <v>0</v>
      </c>
      <c r="AL180" s="355">
        <f t="shared" si="1024"/>
        <v>0</v>
      </c>
      <c r="AM180" s="355">
        <f t="shared" si="1025"/>
        <v>0</v>
      </c>
      <c r="AO180" s="355" t="b">
        <f t="shared" si="1042"/>
        <v>1</v>
      </c>
      <c r="AQ180" s="367">
        <f t="shared" si="1043"/>
        <v>0</v>
      </c>
      <c r="AR180" s="367">
        <f t="shared" si="1026"/>
        <v>0</v>
      </c>
      <c r="AT180" s="367">
        <f t="shared" si="1044"/>
        <v>0</v>
      </c>
      <c r="AU180" s="367">
        <f t="shared" si="1045"/>
        <v>0</v>
      </c>
      <c r="AW180" s="367">
        <f t="shared" si="1046"/>
        <v>0</v>
      </c>
      <c r="AX180" s="367">
        <f t="shared" si="1047"/>
        <v>0</v>
      </c>
      <c r="AY180" s="367">
        <f t="shared" si="1048"/>
        <v>0</v>
      </c>
      <c r="AZ180" s="367">
        <f t="shared" si="1049"/>
        <v>0</v>
      </c>
      <c r="BB180" s="355">
        <f t="shared" si="1050"/>
        <v>0</v>
      </c>
      <c r="BC180" s="355">
        <f t="shared" si="1051"/>
        <v>0</v>
      </c>
      <c r="BD180" s="355">
        <f t="shared" si="1052"/>
        <v>0</v>
      </c>
      <c r="BE180" s="355">
        <f t="shared" si="1053"/>
        <v>0</v>
      </c>
      <c r="BF180" s="355">
        <f t="shared" si="1054"/>
        <v>0</v>
      </c>
      <c r="BH180" s="368">
        <f t="shared" si="1055"/>
        <v>0</v>
      </c>
      <c r="BJ180" s="369">
        <f t="shared" si="1056"/>
        <v>-0.12</v>
      </c>
      <c r="BK180" s="355">
        <f t="shared" si="1057"/>
        <v>0</v>
      </c>
      <c r="BL180" s="355">
        <f t="shared" si="1058"/>
        <v>0</v>
      </c>
      <c r="BN180" s="366">
        <f t="shared" si="1059"/>
        <v>0</v>
      </c>
      <c r="BO180" s="355">
        <f t="shared" si="1060"/>
        <v>0</v>
      </c>
      <c r="BP180" s="355">
        <f t="shared" si="1061"/>
        <v>0</v>
      </c>
      <c r="BQ180" s="355">
        <f t="shared" si="1062"/>
        <v>0</v>
      </c>
      <c r="BS180" s="367">
        <f t="shared" si="1063"/>
        <v>0</v>
      </c>
      <c r="BT180" s="355">
        <f t="shared" si="1064"/>
        <v>0</v>
      </c>
      <c r="BU180" s="355" t="b">
        <f t="shared" si="1027"/>
        <v>1</v>
      </c>
      <c r="BW180" s="355" t="str">
        <f t="shared" si="1065"/>
        <v/>
      </c>
      <c r="BX180" s="355">
        <f t="shared" si="1066"/>
        <v>0</v>
      </c>
      <c r="BY180" s="356">
        <f t="shared" si="1097"/>
        <v>0</v>
      </c>
      <c r="BZ180" s="355">
        <f t="shared" si="1067"/>
        <v>0</v>
      </c>
      <c r="CB180" s="102" t="str">
        <f t="shared" si="1068"/>
        <v>?</v>
      </c>
      <c r="CD180" s="355" t="str">
        <f t="shared" si="1069"/>
        <v>Não</v>
      </c>
      <c r="CE180" s="368">
        <f>ifzero(mlookup(tbl_ICMSinterest_data,UFdestino,tbl_ICMSinterest_ufdest,UForigem,tbl_ICMSinterest_uforig))</f>
        <v>0.12</v>
      </c>
      <c r="CF180" s="368">
        <f>IF(N180&gt;0,IF(I180&lt;&gt;"Serviço",ifzero(mlookup(tbl_ICMSinterno_data,UForigem,tbl_ICMSinterno_UF,O180,tbl_ICMSinterno_NCM),mlookup(tbl_ICMSinterest_data,UForigem,tbl_ICMSinterest_ufdest,UForigem,tbl_ICMSinterest_uforig)),""),0)</f>
        <v>0</v>
      </c>
      <c r="CG180" s="368">
        <f>IF(N180&gt;0,IF(I180&lt;&gt;"Serviço",ifzero(mlookup(tbl_ICMSinterno_data,UFdestino,tbl_ICMSinterno_UF,O180,tbl_ICMSinterno_NCM),mlookup(tbl_ICMSinterest_data,UFdestino,tbl_ICMSinterest_ufdest,UFdestino,tbl_ICMSinterest_uforig)),""),0)</f>
        <v>0</v>
      </c>
      <c r="CI180" s="355">
        <f t="shared" si="1070"/>
        <v>0</v>
      </c>
      <c r="CJ180" s="355">
        <f t="shared" si="1071"/>
        <v>0</v>
      </c>
      <c r="CK180" s="355">
        <f t="shared" si="1072"/>
        <v>0</v>
      </c>
      <c r="CL180" s="355">
        <f t="shared" si="1073"/>
        <v>0</v>
      </c>
      <c r="CN180" s="370">
        <f t="shared" si="1074"/>
        <v>1540</v>
      </c>
      <c r="CO180" s="355">
        <f t="shared" si="1075"/>
        <v>0</v>
      </c>
      <c r="CQ180" s="355" t="b">
        <f t="shared" si="1076"/>
        <v>0</v>
      </c>
      <c r="CR180" s="355" t="b">
        <f t="shared" si="1077"/>
        <v>1</v>
      </c>
      <c r="CS180" s="355" t="b">
        <f t="shared" si="1078"/>
        <v>0</v>
      </c>
      <c r="CU180" s="2">
        <f t="shared" si="1079"/>
        <v>0</v>
      </c>
      <c r="CV180" s="102">
        <f t="shared" si="1080"/>
        <v>0</v>
      </c>
      <c r="CW180" s="102">
        <f t="shared" si="1098"/>
        <v>0</v>
      </c>
      <c r="CX180" s="102">
        <f t="shared" si="1081"/>
        <v>0</v>
      </c>
      <c r="CY180" s="290">
        <f t="shared" si="1082"/>
        <v>0</v>
      </c>
      <c r="CZ180" s="102">
        <f t="shared" si="1100"/>
        <v>0</v>
      </c>
      <c r="DA180" s="290">
        <f t="shared" si="1083"/>
        <v>0</v>
      </c>
      <c r="DB180" s="102">
        <f t="shared" si="1101"/>
        <v>0</v>
      </c>
      <c r="DC180" s="290">
        <f t="shared" si="1084"/>
        <v>0</v>
      </c>
      <c r="DD180" s="102">
        <f t="shared" si="1099"/>
        <v>0</v>
      </c>
      <c r="DE180" s="592">
        <f>IF(D180="Sim",HLOOKUP($DH$5,Parametrização!$G$2:$H$4,2,FALSE),0)</f>
        <v>0</v>
      </c>
      <c r="DF180" s="102">
        <f t="shared" si="1102"/>
        <v>0</v>
      </c>
      <c r="DG180" s="592">
        <f>IF(D180="Sim",HLOOKUP($DH$5,Parametrização!$G$2:$H$4,3,FALSE),0)</f>
        <v>0</v>
      </c>
      <c r="DH180" s="102">
        <f t="shared" si="1103"/>
        <v>0</v>
      </c>
      <c r="DI180" s="102">
        <f t="shared" si="1104"/>
        <v>0</v>
      </c>
      <c r="DK180" s="3" t="str">
        <f t="shared" si="1085"/>
        <v>NA</v>
      </c>
      <c r="DL180" s="2" t="str">
        <f t="shared" si="1086"/>
        <v>NA</v>
      </c>
      <c r="DM180" s="3" t="str">
        <f t="shared" si="1087"/>
        <v>NA</v>
      </c>
      <c r="DN180" s="9" t="str">
        <f t="shared" si="1088"/>
        <v>NA</v>
      </c>
      <c r="DO180" s="637" t="str">
        <f t="shared" si="1089"/>
        <v>NA</v>
      </c>
      <c r="DP180" s="637"/>
      <c r="DQ180" s="3" t="str">
        <f t="shared" si="1090"/>
        <v>NA</v>
      </c>
      <c r="DR180" s="2" t="str">
        <f t="shared" si="1091"/>
        <v>NA</v>
      </c>
      <c r="DS180" s="3" t="str">
        <f t="shared" si="1092"/>
        <v>NA</v>
      </c>
      <c r="DT180" s="9" t="str">
        <f t="shared" si="1105"/>
        <v>NA</v>
      </c>
      <c r="DU180" s="637" t="str">
        <f t="shared" si="1106"/>
        <v>NA</v>
      </c>
      <c r="DV180" s="637"/>
      <c r="DW180" s="682"/>
      <c r="DX180" s="682"/>
      <c r="DY180" s="682"/>
      <c r="DZ180" s="637"/>
      <c r="EA180" s="643"/>
    </row>
    <row r="181" spans="1:131" s="355" customFormat="1" ht="20.100000000000001" customHeight="1" outlineLevel="1" x14ac:dyDescent="0.25">
      <c r="A181" s="356"/>
      <c r="B181" s="355" t="s">
        <v>268</v>
      </c>
      <c r="C181" s="355" t="str">
        <f t="shared" si="1093"/>
        <v>Consumo</v>
      </c>
      <c r="D181" s="355" t="s">
        <v>53</v>
      </c>
      <c r="E181" s="18" t="s">
        <v>38</v>
      </c>
      <c r="F181" s="355" t="s">
        <v>53</v>
      </c>
      <c r="G181" s="357" t="str">
        <f t="shared" si="1094"/>
        <v>Geral</v>
      </c>
      <c r="H181" s="255" t="s">
        <v>377</v>
      </c>
      <c r="I181" s="356" t="str">
        <f t="shared" si="1028"/>
        <v>Sistema</v>
      </c>
      <c r="K181" s="318" t="s">
        <v>2934</v>
      </c>
      <c r="L181" s="749" t="str">
        <f>IF(Padrões!JF122&lt;&gt;"",Padrões!JF122,"")</f>
        <v/>
      </c>
      <c r="M181" s="358" t="str">
        <f t="shared" si="1029"/>
        <v>?</v>
      </c>
      <c r="N181" s="359">
        <f>Padrões!JI122</f>
        <v>0</v>
      </c>
      <c r="O181" s="381" t="str">
        <f t="shared" si="1030"/>
        <v>?</v>
      </c>
      <c r="P181" s="360">
        <f t="shared" si="1031"/>
        <v>0.12</v>
      </c>
      <c r="Q181" s="360" t="str">
        <f t="shared" si="1032"/>
        <v>?</v>
      </c>
      <c r="R181" s="360">
        <f t="shared" si="1033"/>
        <v>0</v>
      </c>
      <c r="S181" s="361">
        <f t="shared" si="1034"/>
        <v>0</v>
      </c>
      <c r="T181" s="362">
        <f t="shared" si="1035"/>
        <v>0</v>
      </c>
      <c r="U181" s="53" t="str" cm="1">
        <f t="array" ref="U181">IFERROR(IF(I181&lt;&gt;"Serviço",IF(AND(mlookup(tbl_DIFAL_data,UFdestino,tbl_DIFAL_UF,O181,tbl_DIFAL_NCM)&lt;&gt;"",C181="Consumo"),"Sim",""),""),"?")</f>
        <v>?</v>
      </c>
      <c r="V181" s="363" t="str">
        <f>IFERROR(IF(I181&lt;&gt;"Serviço",IF(AND(D181="Não",mlookup(tbl_ST_data,UFdestino,tbl_ST_UF,O181,tbl_ST_NCM)&lt;&gt;"",C181="Revenda",CD181="Não"),"Sim",""),""),"?")</f>
        <v>?</v>
      </c>
      <c r="W181" s="364">
        <f t="shared" si="1036"/>
        <v>0</v>
      </c>
      <c r="X181" s="365">
        <f>IF(V181="Sim",mlookup(tbl_ST_data,UFdestino,tbl_ST_UF,O181,tbl_ST_NCM),0)</f>
        <v>0</v>
      </c>
      <c r="Z181" s="355">
        <f t="shared" si="1037"/>
        <v>0</v>
      </c>
      <c r="AA181" s="355">
        <f t="shared" si="1023"/>
        <v>0</v>
      </c>
      <c r="AC181" s="366">
        <f t="shared" si="1095"/>
        <v>1.31243473968765E-2</v>
      </c>
      <c r="AD181" s="366">
        <f t="shared" si="1038"/>
        <v>0.15</v>
      </c>
      <c r="AF181" s="355">
        <f t="shared" si="1039"/>
        <v>0</v>
      </c>
      <c r="AG181" s="355">
        <f t="shared" si="1040"/>
        <v>0</v>
      </c>
      <c r="AI181" s="355">
        <f t="shared" si="1041"/>
        <v>0</v>
      </c>
      <c r="AK181" s="366">
        <f t="shared" si="1096"/>
        <v>0</v>
      </c>
      <c r="AL181" s="355">
        <f t="shared" si="1024"/>
        <v>0</v>
      </c>
      <c r="AM181" s="355">
        <f t="shared" si="1025"/>
        <v>0</v>
      </c>
      <c r="AO181" s="355" t="b">
        <f t="shared" si="1042"/>
        <v>1</v>
      </c>
      <c r="AQ181" s="367">
        <f t="shared" si="1043"/>
        <v>0</v>
      </c>
      <c r="AR181" s="367">
        <f t="shared" si="1026"/>
        <v>0</v>
      </c>
      <c r="AT181" s="367">
        <f t="shared" si="1044"/>
        <v>0</v>
      </c>
      <c r="AU181" s="367">
        <f t="shared" si="1045"/>
        <v>0</v>
      </c>
      <c r="AW181" s="367">
        <f t="shared" si="1046"/>
        <v>0</v>
      </c>
      <c r="AX181" s="367">
        <f t="shared" si="1047"/>
        <v>0</v>
      </c>
      <c r="AY181" s="367">
        <f t="shared" si="1048"/>
        <v>0</v>
      </c>
      <c r="AZ181" s="367">
        <f t="shared" si="1049"/>
        <v>0</v>
      </c>
      <c r="BB181" s="355">
        <f t="shared" si="1050"/>
        <v>0</v>
      </c>
      <c r="BC181" s="355">
        <f t="shared" si="1051"/>
        <v>0</v>
      </c>
      <c r="BD181" s="355">
        <f t="shared" si="1052"/>
        <v>0</v>
      </c>
      <c r="BE181" s="355">
        <f t="shared" si="1053"/>
        <v>0</v>
      </c>
      <c r="BF181" s="355">
        <f t="shared" si="1054"/>
        <v>0</v>
      </c>
      <c r="BH181" s="368">
        <f t="shared" si="1055"/>
        <v>0</v>
      </c>
      <c r="BJ181" s="369">
        <f t="shared" si="1056"/>
        <v>-0.12</v>
      </c>
      <c r="BK181" s="355">
        <f t="shared" si="1057"/>
        <v>0</v>
      </c>
      <c r="BL181" s="355">
        <f t="shared" si="1058"/>
        <v>0</v>
      </c>
      <c r="BN181" s="366">
        <f t="shared" si="1059"/>
        <v>0</v>
      </c>
      <c r="BO181" s="355">
        <f t="shared" si="1060"/>
        <v>0</v>
      </c>
      <c r="BP181" s="355">
        <f t="shared" si="1061"/>
        <v>0</v>
      </c>
      <c r="BQ181" s="355">
        <f t="shared" si="1062"/>
        <v>0</v>
      </c>
      <c r="BS181" s="367">
        <f t="shared" si="1063"/>
        <v>0</v>
      </c>
      <c r="BT181" s="355">
        <f t="shared" si="1064"/>
        <v>0</v>
      </c>
      <c r="BU181" s="355" t="b">
        <f t="shared" si="1027"/>
        <v>1</v>
      </c>
      <c r="BW181" s="355" t="str">
        <f t="shared" si="1065"/>
        <v/>
      </c>
      <c r="BX181" s="355">
        <f t="shared" si="1066"/>
        <v>0</v>
      </c>
      <c r="BY181" s="356">
        <f t="shared" si="1097"/>
        <v>0</v>
      </c>
      <c r="BZ181" s="355">
        <f t="shared" si="1067"/>
        <v>0</v>
      </c>
      <c r="CB181" s="102" t="str">
        <f t="shared" si="1068"/>
        <v>?</v>
      </c>
      <c r="CD181" s="355" t="str">
        <f t="shared" si="1069"/>
        <v>Não</v>
      </c>
      <c r="CE181" s="368">
        <f>ifzero(mlookup(tbl_ICMSinterest_data,UFdestino,tbl_ICMSinterest_ufdest,UForigem,tbl_ICMSinterest_uforig))</f>
        <v>0.12</v>
      </c>
      <c r="CF181" s="368">
        <f>IF(N181&gt;0,IF(I181&lt;&gt;"Serviço",ifzero(mlookup(tbl_ICMSinterno_data,UForigem,tbl_ICMSinterno_UF,O181,tbl_ICMSinterno_NCM),mlookup(tbl_ICMSinterest_data,UForigem,tbl_ICMSinterest_ufdest,UForigem,tbl_ICMSinterest_uforig)),""),0)</f>
        <v>0</v>
      </c>
      <c r="CG181" s="368">
        <f>IF(N181&gt;0,IF(I181&lt;&gt;"Serviço",ifzero(mlookup(tbl_ICMSinterno_data,UFdestino,tbl_ICMSinterno_UF,O181,tbl_ICMSinterno_NCM),mlookup(tbl_ICMSinterest_data,UFdestino,tbl_ICMSinterest_ufdest,UFdestino,tbl_ICMSinterest_uforig)),""),0)</f>
        <v>0</v>
      </c>
      <c r="CI181" s="355">
        <f t="shared" si="1070"/>
        <v>0</v>
      </c>
      <c r="CJ181" s="355">
        <f t="shared" si="1071"/>
        <v>0</v>
      </c>
      <c r="CK181" s="355">
        <f t="shared" si="1072"/>
        <v>0</v>
      </c>
      <c r="CL181" s="355">
        <f t="shared" si="1073"/>
        <v>0</v>
      </c>
      <c r="CN181" s="370">
        <f t="shared" si="1074"/>
        <v>1540</v>
      </c>
      <c r="CO181" s="355">
        <f t="shared" si="1075"/>
        <v>0</v>
      </c>
      <c r="CQ181" s="355" t="b">
        <f t="shared" si="1076"/>
        <v>0</v>
      </c>
      <c r="CR181" s="355" t="b">
        <f t="shared" si="1077"/>
        <v>1</v>
      </c>
      <c r="CS181" s="355" t="b">
        <f t="shared" si="1078"/>
        <v>0</v>
      </c>
      <c r="CU181" s="2">
        <f t="shared" si="1079"/>
        <v>0</v>
      </c>
      <c r="CV181" s="102">
        <f t="shared" si="1080"/>
        <v>0</v>
      </c>
      <c r="CW181" s="102">
        <f t="shared" si="1098"/>
        <v>0</v>
      </c>
      <c r="CX181" s="102">
        <f t="shared" si="1081"/>
        <v>0</v>
      </c>
      <c r="CY181" s="290">
        <f t="shared" si="1082"/>
        <v>0</v>
      </c>
      <c r="CZ181" s="102">
        <f t="shared" si="1100"/>
        <v>0</v>
      </c>
      <c r="DA181" s="290">
        <f t="shared" si="1083"/>
        <v>0</v>
      </c>
      <c r="DB181" s="102">
        <f t="shared" si="1101"/>
        <v>0</v>
      </c>
      <c r="DC181" s="290">
        <f t="shared" si="1084"/>
        <v>0</v>
      </c>
      <c r="DD181" s="102">
        <f t="shared" si="1099"/>
        <v>0</v>
      </c>
      <c r="DE181" s="592">
        <f>IF(D181="Sim",HLOOKUP($DH$5,Parametrização!$G$2:$H$4,2,FALSE),0)</f>
        <v>0</v>
      </c>
      <c r="DF181" s="102">
        <f t="shared" si="1102"/>
        <v>0</v>
      </c>
      <c r="DG181" s="592">
        <f>IF(D181="Sim",HLOOKUP($DH$5,Parametrização!$G$2:$H$4,3,FALSE),0)</f>
        <v>0</v>
      </c>
      <c r="DH181" s="102">
        <f t="shared" si="1103"/>
        <v>0</v>
      </c>
      <c r="DI181" s="102">
        <f t="shared" si="1104"/>
        <v>0</v>
      </c>
      <c r="DK181" s="3" t="str">
        <f t="shared" si="1085"/>
        <v>NA</v>
      </c>
      <c r="DL181" s="2" t="str">
        <f t="shared" si="1086"/>
        <v>NA</v>
      </c>
      <c r="DM181" s="3" t="str">
        <f t="shared" si="1087"/>
        <v>NA</v>
      </c>
      <c r="DN181" s="9" t="str">
        <f t="shared" si="1088"/>
        <v>NA</v>
      </c>
      <c r="DO181" s="637" t="str">
        <f t="shared" si="1089"/>
        <v>NA</v>
      </c>
      <c r="DP181" s="637"/>
      <c r="DQ181" s="3" t="str">
        <f t="shared" si="1090"/>
        <v>NA</v>
      </c>
      <c r="DR181" s="2" t="str">
        <f t="shared" si="1091"/>
        <v>NA</v>
      </c>
      <c r="DS181" s="3" t="str">
        <f t="shared" si="1092"/>
        <v>NA</v>
      </c>
      <c r="DT181" s="9" t="str">
        <f t="shared" si="1105"/>
        <v>NA</v>
      </c>
      <c r="DU181" s="637" t="str">
        <f t="shared" si="1106"/>
        <v>NA</v>
      </c>
      <c r="DV181" s="637"/>
      <c r="DW181" s="682"/>
      <c r="DX181" s="682"/>
      <c r="DY181" s="682"/>
      <c r="DZ181" s="637"/>
      <c r="EA181" s="643"/>
    </row>
    <row r="182" spans="1:131" s="355" customFormat="1" ht="20.100000000000001" customHeight="1" outlineLevel="1" x14ac:dyDescent="0.25">
      <c r="A182" s="356"/>
      <c r="B182" s="355" t="s">
        <v>268</v>
      </c>
      <c r="C182" s="355" t="str">
        <f t="shared" si="1093"/>
        <v>Consumo</v>
      </c>
      <c r="D182" s="355" t="s">
        <v>53</v>
      </c>
      <c r="E182" s="18" t="s">
        <v>38</v>
      </c>
      <c r="F182" s="355" t="s">
        <v>53</v>
      </c>
      <c r="G182" s="357" t="str">
        <f t="shared" si="1094"/>
        <v>Geral</v>
      </c>
      <c r="H182" s="255" t="s">
        <v>377</v>
      </c>
      <c r="I182" s="356" t="str">
        <f t="shared" si="1028"/>
        <v>Sistema</v>
      </c>
      <c r="K182" s="318" t="s">
        <v>2935</v>
      </c>
      <c r="L182" s="749" t="str">
        <f>IF(Padrões!JF123&lt;&gt;"",Padrões!JF123,"")</f>
        <v/>
      </c>
      <c r="M182" s="358" t="str">
        <f t="shared" si="1029"/>
        <v>?</v>
      </c>
      <c r="N182" s="359">
        <f>Padrões!JI123</f>
        <v>0</v>
      </c>
      <c r="O182" s="381" t="str">
        <f t="shared" si="1030"/>
        <v>?</v>
      </c>
      <c r="P182" s="360">
        <f t="shared" si="1031"/>
        <v>0.12</v>
      </c>
      <c r="Q182" s="360" t="str">
        <f t="shared" si="1032"/>
        <v>?</v>
      </c>
      <c r="R182" s="360">
        <f t="shared" si="1033"/>
        <v>0</v>
      </c>
      <c r="S182" s="361">
        <f t="shared" si="1034"/>
        <v>0</v>
      </c>
      <c r="T182" s="362">
        <f t="shared" si="1035"/>
        <v>0</v>
      </c>
      <c r="U182" s="53" t="str" cm="1">
        <f t="array" ref="U182">IFERROR(IF(I182&lt;&gt;"Serviço",IF(AND(mlookup(tbl_DIFAL_data,UFdestino,tbl_DIFAL_UF,O182,tbl_DIFAL_NCM)&lt;&gt;"",C182="Consumo"),"Sim",""),""),"?")</f>
        <v>?</v>
      </c>
      <c r="V182" s="363" t="str">
        <f>IFERROR(IF(I182&lt;&gt;"Serviço",IF(AND(D182="Não",mlookup(tbl_ST_data,UFdestino,tbl_ST_UF,O182,tbl_ST_NCM)&lt;&gt;"",C182="Revenda",CD182="Não"),"Sim",""),""),"?")</f>
        <v>?</v>
      </c>
      <c r="W182" s="364">
        <f t="shared" si="1036"/>
        <v>0</v>
      </c>
      <c r="X182" s="365">
        <f>IF(V182="Sim",mlookup(tbl_ST_data,UFdestino,tbl_ST_UF,O182,tbl_ST_NCM),0)</f>
        <v>0</v>
      </c>
      <c r="Z182" s="355">
        <f t="shared" si="1037"/>
        <v>0</v>
      </c>
      <c r="AA182" s="355">
        <f t="shared" ref="AA182:AA245" si="1107">Z182*N182</f>
        <v>0</v>
      </c>
      <c r="AC182" s="366">
        <f t="shared" si="1095"/>
        <v>1.31243473968765E-2</v>
      </c>
      <c r="AD182" s="366">
        <f t="shared" si="1038"/>
        <v>0.15</v>
      </c>
      <c r="AF182" s="355">
        <f t="shared" si="1039"/>
        <v>0</v>
      </c>
      <c r="AG182" s="355">
        <f t="shared" si="1040"/>
        <v>0</v>
      </c>
      <c r="AI182" s="355">
        <f t="shared" si="1041"/>
        <v>0</v>
      </c>
      <c r="AK182" s="366">
        <f t="shared" si="1096"/>
        <v>0</v>
      </c>
      <c r="AL182" s="355">
        <f t="shared" ref="AL182:AL245" si="1108">AM182*AK182</f>
        <v>0</v>
      </c>
      <c r="AM182" s="355">
        <f t="shared" ref="AM182:AM245" si="1109">AI182/(1-AK182)</f>
        <v>0</v>
      </c>
      <c r="AO182" s="355" t="b">
        <f t="shared" si="1042"/>
        <v>1</v>
      </c>
      <c r="AQ182" s="367">
        <f t="shared" si="1043"/>
        <v>0</v>
      </c>
      <c r="AR182" s="367">
        <f t="shared" ref="AR182:AR245" si="1110">AM182</f>
        <v>0</v>
      </c>
      <c r="AT182" s="367">
        <f t="shared" si="1044"/>
        <v>0</v>
      </c>
      <c r="AU182" s="367">
        <f t="shared" si="1045"/>
        <v>0</v>
      </c>
      <c r="AW182" s="367">
        <f t="shared" si="1046"/>
        <v>0</v>
      </c>
      <c r="AX182" s="367">
        <f t="shared" si="1047"/>
        <v>0</v>
      </c>
      <c r="AY182" s="367">
        <f t="shared" si="1048"/>
        <v>0</v>
      </c>
      <c r="AZ182" s="367">
        <f t="shared" si="1049"/>
        <v>0</v>
      </c>
      <c r="BB182" s="355">
        <f t="shared" si="1050"/>
        <v>0</v>
      </c>
      <c r="BC182" s="355">
        <f t="shared" si="1051"/>
        <v>0</v>
      </c>
      <c r="BD182" s="355">
        <f t="shared" si="1052"/>
        <v>0</v>
      </c>
      <c r="BE182" s="355">
        <f t="shared" si="1053"/>
        <v>0</v>
      </c>
      <c r="BF182" s="355">
        <f t="shared" si="1054"/>
        <v>0</v>
      </c>
      <c r="BH182" s="368">
        <f t="shared" si="1055"/>
        <v>0</v>
      </c>
      <c r="BJ182" s="369">
        <f t="shared" si="1056"/>
        <v>-0.12</v>
      </c>
      <c r="BK182" s="355">
        <f t="shared" si="1057"/>
        <v>0</v>
      </c>
      <c r="BL182" s="355">
        <f t="shared" si="1058"/>
        <v>0</v>
      </c>
      <c r="BN182" s="366">
        <f t="shared" si="1059"/>
        <v>0</v>
      </c>
      <c r="BO182" s="355">
        <f t="shared" si="1060"/>
        <v>0</v>
      </c>
      <c r="BP182" s="355">
        <f t="shared" si="1061"/>
        <v>0</v>
      </c>
      <c r="BQ182" s="355">
        <f t="shared" si="1062"/>
        <v>0</v>
      </c>
      <c r="BS182" s="367">
        <f t="shared" si="1063"/>
        <v>0</v>
      </c>
      <c r="BT182" s="355">
        <f t="shared" si="1064"/>
        <v>0</v>
      </c>
      <c r="BU182" s="355" t="b">
        <f t="shared" ref="BU182:BU245" si="1111">IF(ABS(BT182-BS182-SUM(BB182:BF182))&lt;0.01,TRUE,FALSE)</f>
        <v>1</v>
      </c>
      <c r="BW182" s="355" t="str">
        <f t="shared" si="1065"/>
        <v/>
      </c>
      <c r="BX182" s="355">
        <f t="shared" si="1066"/>
        <v>0</v>
      </c>
      <c r="BY182" s="356">
        <f t="shared" si="1097"/>
        <v>0</v>
      </c>
      <c r="BZ182" s="355">
        <f t="shared" si="1067"/>
        <v>0</v>
      </c>
      <c r="CB182" s="102" t="str">
        <f t="shared" si="1068"/>
        <v>?</v>
      </c>
      <c r="CD182" s="355" t="str">
        <f t="shared" si="1069"/>
        <v>Não</v>
      </c>
      <c r="CE182" s="368">
        <f>ifzero(mlookup(tbl_ICMSinterest_data,UFdestino,tbl_ICMSinterest_ufdest,UForigem,tbl_ICMSinterest_uforig))</f>
        <v>0.12</v>
      </c>
      <c r="CF182" s="368">
        <f>IF(N182&gt;0,IF(I182&lt;&gt;"Serviço",ifzero(mlookup(tbl_ICMSinterno_data,UForigem,tbl_ICMSinterno_UF,O182,tbl_ICMSinterno_NCM),mlookup(tbl_ICMSinterest_data,UForigem,tbl_ICMSinterest_ufdest,UForigem,tbl_ICMSinterest_uforig)),""),0)</f>
        <v>0</v>
      </c>
      <c r="CG182" s="368">
        <f>IF(N182&gt;0,IF(I182&lt;&gt;"Serviço",ifzero(mlookup(tbl_ICMSinterno_data,UFdestino,tbl_ICMSinterno_UF,O182,tbl_ICMSinterno_NCM),mlookup(tbl_ICMSinterest_data,UFdestino,tbl_ICMSinterest_ufdest,UFdestino,tbl_ICMSinterest_uforig)),""),0)</f>
        <v>0</v>
      </c>
      <c r="CI182" s="355">
        <f t="shared" si="1070"/>
        <v>0</v>
      </c>
      <c r="CJ182" s="355">
        <f t="shared" si="1071"/>
        <v>0</v>
      </c>
      <c r="CK182" s="355">
        <f t="shared" si="1072"/>
        <v>0</v>
      </c>
      <c r="CL182" s="355">
        <f t="shared" si="1073"/>
        <v>0</v>
      </c>
      <c r="CN182" s="370">
        <f t="shared" si="1074"/>
        <v>1540</v>
      </c>
      <c r="CO182" s="355">
        <f t="shared" si="1075"/>
        <v>0</v>
      </c>
      <c r="CQ182" s="355" t="b">
        <f t="shared" si="1076"/>
        <v>0</v>
      </c>
      <c r="CR182" s="355" t="b">
        <f t="shared" si="1077"/>
        <v>1</v>
      </c>
      <c r="CS182" s="355" t="b">
        <f t="shared" si="1078"/>
        <v>0</v>
      </c>
      <c r="CU182" s="2">
        <f t="shared" si="1079"/>
        <v>0</v>
      </c>
      <c r="CV182" s="102">
        <f t="shared" si="1080"/>
        <v>0</v>
      </c>
      <c r="CW182" s="102">
        <f t="shared" si="1098"/>
        <v>0</v>
      </c>
      <c r="CX182" s="102">
        <f t="shared" si="1081"/>
        <v>0</v>
      </c>
      <c r="CY182" s="290">
        <f t="shared" si="1082"/>
        <v>0</v>
      </c>
      <c r="CZ182" s="102">
        <f t="shared" si="1100"/>
        <v>0</v>
      </c>
      <c r="DA182" s="290">
        <f t="shared" si="1083"/>
        <v>0</v>
      </c>
      <c r="DB182" s="102">
        <f t="shared" si="1101"/>
        <v>0</v>
      </c>
      <c r="DC182" s="290">
        <f t="shared" si="1084"/>
        <v>0</v>
      </c>
      <c r="DD182" s="102">
        <f t="shared" si="1099"/>
        <v>0</v>
      </c>
      <c r="DE182" s="592">
        <f>IF(D182="Sim",HLOOKUP($DH$5,Parametrização!$G$2:$H$4,2,FALSE),0)</f>
        <v>0</v>
      </c>
      <c r="DF182" s="102">
        <f t="shared" si="1102"/>
        <v>0</v>
      </c>
      <c r="DG182" s="592">
        <f>IF(D182="Sim",HLOOKUP($DH$5,Parametrização!$G$2:$H$4,3,FALSE),0)</f>
        <v>0</v>
      </c>
      <c r="DH182" s="102">
        <f t="shared" si="1103"/>
        <v>0</v>
      </c>
      <c r="DI182" s="102">
        <f t="shared" si="1104"/>
        <v>0</v>
      </c>
      <c r="DK182" s="3" t="str">
        <f t="shared" si="1085"/>
        <v>NA</v>
      </c>
      <c r="DL182" s="2" t="str">
        <f t="shared" si="1086"/>
        <v>NA</v>
      </c>
      <c r="DM182" s="3" t="str">
        <f t="shared" si="1087"/>
        <v>NA</v>
      </c>
      <c r="DN182" s="9" t="str">
        <f t="shared" si="1088"/>
        <v>NA</v>
      </c>
      <c r="DO182" s="637" t="str">
        <f t="shared" si="1089"/>
        <v>NA</v>
      </c>
      <c r="DP182" s="637"/>
      <c r="DQ182" s="3" t="str">
        <f t="shared" si="1090"/>
        <v>NA</v>
      </c>
      <c r="DR182" s="2" t="str">
        <f t="shared" si="1091"/>
        <v>NA</v>
      </c>
      <c r="DS182" s="3" t="str">
        <f t="shared" si="1092"/>
        <v>NA</v>
      </c>
      <c r="DT182" s="9" t="str">
        <f t="shared" si="1105"/>
        <v>NA</v>
      </c>
      <c r="DU182" s="637" t="str">
        <f t="shared" si="1106"/>
        <v>NA</v>
      </c>
      <c r="DV182" s="637"/>
      <c r="DW182" s="682"/>
      <c r="DX182" s="682"/>
      <c r="DY182" s="682"/>
      <c r="DZ182" s="637"/>
      <c r="EA182" s="643"/>
    </row>
    <row r="183" spans="1:131" s="355" customFormat="1" ht="20.100000000000001" customHeight="1" outlineLevel="1" x14ac:dyDescent="0.25">
      <c r="A183" s="356"/>
      <c r="B183" s="355" t="s">
        <v>268</v>
      </c>
      <c r="C183" s="355" t="str">
        <f t="shared" si="1093"/>
        <v>Consumo</v>
      </c>
      <c r="D183" s="355" t="s">
        <v>53</v>
      </c>
      <c r="E183" s="18" t="s">
        <v>38</v>
      </c>
      <c r="F183" s="355" t="s">
        <v>53</v>
      </c>
      <c r="G183" s="357" t="str">
        <f t="shared" si="1094"/>
        <v>Geral</v>
      </c>
      <c r="H183" s="255" t="s">
        <v>377</v>
      </c>
      <c r="I183" s="356" t="str">
        <f t="shared" si="1028"/>
        <v>Sistema</v>
      </c>
      <c r="K183" s="318" t="s">
        <v>2936</v>
      </c>
      <c r="L183" s="749" t="str">
        <f>IF(Padrões!JF124&lt;&gt;"",Padrões!JF124,"")</f>
        <v/>
      </c>
      <c r="M183" s="358" t="str">
        <f t="shared" si="1029"/>
        <v>?</v>
      </c>
      <c r="N183" s="359">
        <f>Padrões!JI124</f>
        <v>0</v>
      </c>
      <c r="O183" s="381" t="str">
        <f t="shared" si="1030"/>
        <v>?</v>
      </c>
      <c r="P183" s="360">
        <f t="shared" si="1031"/>
        <v>0.12</v>
      </c>
      <c r="Q183" s="360" t="str">
        <f t="shared" si="1032"/>
        <v>?</v>
      </c>
      <c r="R183" s="360">
        <f t="shared" si="1033"/>
        <v>0</v>
      </c>
      <c r="S183" s="361">
        <f t="shared" si="1034"/>
        <v>0</v>
      </c>
      <c r="T183" s="362">
        <f t="shared" si="1035"/>
        <v>0</v>
      </c>
      <c r="U183" s="53" t="str" cm="1">
        <f t="array" ref="U183">IFERROR(IF(I183&lt;&gt;"Serviço",IF(AND(mlookup(tbl_DIFAL_data,UFdestino,tbl_DIFAL_UF,O183,tbl_DIFAL_NCM)&lt;&gt;"",C183="Consumo"),"Sim",""),""),"?")</f>
        <v>?</v>
      </c>
      <c r="V183" s="363" t="str">
        <f>IFERROR(IF(I183&lt;&gt;"Serviço",IF(AND(D183="Não",mlookup(tbl_ST_data,UFdestino,tbl_ST_UF,O183,tbl_ST_NCM)&lt;&gt;"",C183="Revenda",CD183="Não"),"Sim",""),""),"?")</f>
        <v>?</v>
      </c>
      <c r="W183" s="364">
        <f t="shared" si="1036"/>
        <v>0</v>
      </c>
      <c r="X183" s="365">
        <f>IF(V183="Sim",mlookup(tbl_ST_data,UFdestino,tbl_ST_UF,O183,tbl_ST_NCM),0)</f>
        <v>0</v>
      </c>
      <c r="Z183" s="355">
        <f t="shared" si="1037"/>
        <v>0</v>
      </c>
      <c r="AA183" s="355">
        <f t="shared" si="1107"/>
        <v>0</v>
      </c>
      <c r="AC183" s="366">
        <f t="shared" si="1095"/>
        <v>1.31243473968765E-2</v>
      </c>
      <c r="AD183" s="366">
        <f t="shared" si="1038"/>
        <v>0.15</v>
      </c>
      <c r="AF183" s="355">
        <f t="shared" si="1039"/>
        <v>0</v>
      </c>
      <c r="AG183" s="355">
        <f t="shared" si="1040"/>
        <v>0</v>
      </c>
      <c r="AI183" s="355">
        <f t="shared" si="1041"/>
        <v>0</v>
      </c>
      <c r="AK183" s="366">
        <f t="shared" si="1096"/>
        <v>0</v>
      </c>
      <c r="AL183" s="355">
        <f t="shared" si="1108"/>
        <v>0</v>
      </c>
      <c r="AM183" s="355">
        <f t="shared" si="1109"/>
        <v>0</v>
      </c>
      <c r="AO183" s="355" t="b">
        <f t="shared" si="1042"/>
        <v>1</v>
      </c>
      <c r="AQ183" s="367">
        <f t="shared" si="1043"/>
        <v>0</v>
      </c>
      <c r="AR183" s="367">
        <f t="shared" si="1110"/>
        <v>0</v>
      </c>
      <c r="AT183" s="367">
        <f t="shared" si="1044"/>
        <v>0</v>
      </c>
      <c r="AU183" s="367">
        <f t="shared" si="1045"/>
        <v>0</v>
      </c>
      <c r="AW183" s="367">
        <f t="shared" si="1046"/>
        <v>0</v>
      </c>
      <c r="AX183" s="367">
        <f t="shared" si="1047"/>
        <v>0</v>
      </c>
      <c r="AY183" s="367">
        <f t="shared" si="1048"/>
        <v>0</v>
      </c>
      <c r="AZ183" s="367">
        <f t="shared" si="1049"/>
        <v>0</v>
      </c>
      <c r="BB183" s="355">
        <f t="shared" si="1050"/>
        <v>0</v>
      </c>
      <c r="BC183" s="355">
        <f t="shared" si="1051"/>
        <v>0</v>
      </c>
      <c r="BD183" s="355">
        <f t="shared" si="1052"/>
        <v>0</v>
      </c>
      <c r="BE183" s="355">
        <f t="shared" si="1053"/>
        <v>0</v>
      </c>
      <c r="BF183" s="355">
        <f t="shared" si="1054"/>
        <v>0</v>
      </c>
      <c r="BH183" s="368">
        <f t="shared" si="1055"/>
        <v>0</v>
      </c>
      <c r="BJ183" s="369">
        <f t="shared" si="1056"/>
        <v>-0.12</v>
      </c>
      <c r="BK183" s="355">
        <f t="shared" si="1057"/>
        <v>0</v>
      </c>
      <c r="BL183" s="355">
        <f t="shared" si="1058"/>
        <v>0</v>
      </c>
      <c r="BN183" s="366">
        <f t="shared" si="1059"/>
        <v>0</v>
      </c>
      <c r="BO183" s="355">
        <f t="shared" si="1060"/>
        <v>0</v>
      </c>
      <c r="BP183" s="355">
        <f t="shared" si="1061"/>
        <v>0</v>
      </c>
      <c r="BQ183" s="355">
        <f t="shared" si="1062"/>
        <v>0</v>
      </c>
      <c r="BS183" s="367">
        <f t="shared" si="1063"/>
        <v>0</v>
      </c>
      <c r="BT183" s="355">
        <f t="shared" si="1064"/>
        <v>0</v>
      </c>
      <c r="BU183" s="355" t="b">
        <f t="shared" si="1111"/>
        <v>1</v>
      </c>
      <c r="BW183" s="355" t="str">
        <f t="shared" si="1065"/>
        <v/>
      </c>
      <c r="BX183" s="355">
        <f t="shared" si="1066"/>
        <v>0</v>
      </c>
      <c r="BY183" s="356">
        <f t="shared" si="1097"/>
        <v>0</v>
      </c>
      <c r="BZ183" s="355">
        <f t="shared" si="1067"/>
        <v>0</v>
      </c>
      <c r="CB183" s="102" t="str">
        <f t="shared" si="1068"/>
        <v>?</v>
      </c>
      <c r="CD183" s="355" t="str">
        <f t="shared" si="1069"/>
        <v>Não</v>
      </c>
      <c r="CE183" s="368">
        <f>ifzero(mlookup(tbl_ICMSinterest_data,UFdestino,tbl_ICMSinterest_ufdest,UForigem,tbl_ICMSinterest_uforig))</f>
        <v>0.12</v>
      </c>
      <c r="CF183" s="368">
        <f>IF(N183&gt;0,IF(I183&lt;&gt;"Serviço",ifzero(mlookup(tbl_ICMSinterno_data,UForigem,tbl_ICMSinterno_UF,O183,tbl_ICMSinterno_NCM),mlookup(tbl_ICMSinterest_data,UForigem,tbl_ICMSinterest_ufdest,UForigem,tbl_ICMSinterest_uforig)),""),0)</f>
        <v>0</v>
      </c>
      <c r="CG183" s="368">
        <f>IF(N183&gt;0,IF(I183&lt;&gt;"Serviço",ifzero(mlookup(tbl_ICMSinterno_data,UFdestino,tbl_ICMSinterno_UF,O183,tbl_ICMSinterno_NCM),mlookup(tbl_ICMSinterest_data,UFdestino,tbl_ICMSinterest_ufdest,UFdestino,tbl_ICMSinterest_uforig)),""),0)</f>
        <v>0</v>
      </c>
      <c r="CI183" s="355">
        <f t="shared" si="1070"/>
        <v>0</v>
      </c>
      <c r="CJ183" s="355">
        <f t="shared" si="1071"/>
        <v>0</v>
      </c>
      <c r="CK183" s="355">
        <f t="shared" si="1072"/>
        <v>0</v>
      </c>
      <c r="CL183" s="355">
        <f t="shared" si="1073"/>
        <v>0</v>
      </c>
      <c r="CN183" s="370">
        <f t="shared" si="1074"/>
        <v>1540</v>
      </c>
      <c r="CO183" s="355">
        <f t="shared" si="1075"/>
        <v>0</v>
      </c>
      <c r="CQ183" s="355" t="b">
        <f t="shared" si="1076"/>
        <v>0</v>
      </c>
      <c r="CR183" s="355" t="b">
        <f t="shared" si="1077"/>
        <v>1</v>
      </c>
      <c r="CS183" s="355" t="b">
        <f t="shared" si="1078"/>
        <v>0</v>
      </c>
      <c r="CU183" s="2">
        <f t="shared" si="1079"/>
        <v>0</v>
      </c>
      <c r="CV183" s="102">
        <f t="shared" si="1080"/>
        <v>0</v>
      </c>
      <c r="CW183" s="102">
        <f t="shared" si="1098"/>
        <v>0</v>
      </c>
      <c r="CX183" s="102">
        <f t="shared" si="1081"/>
        <v>0</v>
      </c>
      <c r="CY183" s="290">
        <f t="shared" si="1082"/>
        <v>0</v>
      </c>
      <c r="CZ183" s="102">
        <f t="shared" si="1100"/>
        <v>0</v>
      </c>
      <c r="DA183" s="290">
        <f t="shared" si="1083"/>
        <v>0</v>
      </c>
      <c r="DB183" s="102">
        <f t="shared" si="1101"/>
        <v>0</v>
      </c>
      <c r="DC183" s="290">
        <f t="shared" si="1084"/>
        <v>0</v>
      </c>
      <c r="DD183" s="102">
        <f t="shared" si="1099"/>
        <v>0</v>
      </c>
      <c r="DE183" s="592">
        <f>IF(D183="Sim",HLOOKUP($DH$5,Parametrização!$G$2:$H$4,2,FALSE),0)</f>
        <v>0</v>
      </c>
      <c r="DF183" s="102">
        <f t="shared" si="1102"/>
        <v>0</v>
      </c>
      <c r="DG183" s="592">
        <f>IF(D183="Sim",HLOOKUP($DH$5,Parametrização!$G$2:$H$4,3,FALSE),0)</f>
        <v>0</v>
      </c>
      <c r="DH183" s="102">
        <f t="shared" si="1103"/>
        <v>0</v>
      </c>
      <c r="DI183" s="102">
        <f t="shared" si="1104"/>
        <v>0</v>
      </c>
      <c r="DK183" s="3" t="str">
        <f t="shared" si="1085"/>
        <v>NA</v>
      </c>
      <c r="DL183" s="2" t="str">
        <f t="shared" si="1086"/>
        <v>NA</v>
      </c>
      <c r="DM183" s="3" t="str">
        <f t="shared" si="1087"/>
        <v>NA</v>
      </c>
      <c r="DN183" s="9" t="str">
        <f t="shared" si="1088"/>
        <v>NA</v>
      </c>
      <c r="DO183" s="637" t="str">
        <f t="shared" si="1089"/>
        <v>NA</v>
      </c>
      <c r="DP183" s="637"/>
      <c r="DQ183" s="3" t="str">
        <f t="shared" si="1090"/>
        <v>NA</v>
      </c>
      <c r="DR183" s="2" t="str">
        <f t="shared" si="1091"/>
        <v>NA</v>
      </c>
      <c r="DS183" s="3" t="str">
        <f t="shared" si="1092"/>
        <v>NA</v>
      </c>
      <c r="DT183" s="9" t="str">
        <f t="shared" si="1105"/>
        <v>NA</v>
      </c>
      <c r="DU183" s="637" t="str">
        <f t="shared" si="1106"/>
        <v>NA</v>
      </c>
      <c r="DV183" s="637"/>
      <c r="DW183" s="682"/>
      <c r="DX183" s="682"/>
      <c r="DY183" s="682"/>
      <c r="DZ183" s="637"/>
      <c r="EA183" s="643"/>
    </row>
    <row r="184" spans="1:131" s="355" customFormat="1" ht="20.100000000000001" customHeight="1" outlineLevel="1" x14ac:dyDescent="0.25">
      <c r="A184" s="356"/>
      <c r="B184" s="355" t="s">
        <v>268</v>
      </c>
      <c r="C184" s="355" t="str">
        <f t="shared" si="1093"/>
        <v>Consumo</v>
      </c>
      <c r="D184" s="355" t="s">
        <v>53</v>
      </c>
      <c r="E184" s="18" t="s">
        <v>38</v>
      </c>
      <c r="F184" s="355" t="s">
        <v>53</v>
      </c>
      <c r="G184" s="357" t="str">
        <f t="shared" si="1094"/>
        <v>Geral</v>
      </c>
      <c r="H184" s="255" t="s">
        <v>377</v>
      </c>
      <c r="I184" s="356" t="str">
        <f t="shared" si="1028"/>
        <v>Sistema</v>
      </c>
      <c r="K184" s="318" t="s">
        <v>2937</v>
      </c>
      <c r="L184" s="749" t="str">
        <f>IF(Padrões!JF125&lt;&gt;"",Padrões!JF125,"")</f>
        <v/>
      </c>
      <c r="M184" s="358" t="str">
        <f t="shared" si="1029"/>
        <v>?</v>
      </c>
      <c r="N184" s="359">
        <f>Padrões!JI125</f>
        <v>0</v>
      </c>
      <c r="O184" s="381" t="str">
        <f t="shared" si="1030"/>
        <v>?</v>
      </c>
      <c r="P184" s="360">
        <f t="shared" si="1031"/>
        <v>0.12</v>
      </c>
      <c r="Q184" s="360" t="str">
        <f t="shared" si="1032"/>
        <v>?</v>
      </c>
      <c r="R184" s="360">
        <f t="shared" si="1033"/>
        <v>0</v>
      </c>
      <c r="S184" s="361">
        <f t="shared" si="1034"/>
        <v>0</v>
      </c>
      <c r="T184" s="362">
        <f t="shared" si="1035"/>
        <v>0</v>
      </c>
      <c r="U184" s="53" t="str" cm="1">
        <f t="array" ref="U184">IFERROR(IF(I184&lt;&gt;"Serviço",IF(AND(mlookup(tbl_DIFAL_data,UFdestino,tbl_DIFAL_UF,O184,tbl_DIFAL_NCM)&lt;&gt;"",C184="Consumo"),"Sim",""),""),"?")</f>
        <v>?</v>
      </c>
      <c r="V184" s="363" t="str">
        <f>IFERROR(IF(I184&lt;&gt;"Serviço",IF(AND(D184="Não",mlookup(tbl_ST_data,UFdestino,tbl_ST_UF,O184,tbl_ST_NCM)&lt;&gt;"",C184="Revenda",CD184="Não"),"Sim",""),""),"?")</f>
        <v>?</v>
      </c>
      <c r="W184" s="364">
        <f t="shared" si="1036"/>
        <v>0</v>
      </c>
      <c r="X184" s="365">
        <f>IF(V184="Sim",mlookup(tbl_ST_data,UFdestino,tbl_ST_UF,O184,tbl_ST_NCM),0)</f>
        <v>0</v>
      </c>
      <c r="Z184" s="355">
        <f t="shared" si="1037"/>
        <v>0</v>
      </c>
      <c r="AA184" s="355">
        <f t="shared" si="1107"/>
        <v>0</v>
      </c>
      <c r="AC184" s="366">
        <f t="shared" si="1095"/>
        <v>1.31243473968765E-2</v>
      </c>
      <c r="AD184" s="366">
        <f t="shared" si="1038"/>
        <v>0.15</v>
      </c>
      <c r="AF184" s="355">
        <f t="shared" si="1039"/>
        <v>0</v>
      </c>
      <c r="AG184" s="355">
        <f t="shared" si="1040"/>
        <v>0</v>
      </c>
      <c r="AI184" s="355">
        <f t="shared" si="1041"/>
        <v>0</v>
      </c>
      <c r="AK184" s="366">
        <f t="shared" si="1096"/>
        <v>0</v>
      </c>
      <c r="AL184" s="355">
        <f t="shared" si="1108"/>
        <v>0</v>
      </c>
      <c r="AM184" s="355">
        <f t="shared" si="1109"/>
        <v>0</v>
      </c>
      <c r="AO184" s="355" t="b">
        <f t="shared" si="1042"/>
        <v>1</v>
      </c>
      <c r="AQ184" s="367">
        <f t="shared" si="1043"/>
        <v>0</v>
      </c>
      <c r="AR184" s="367">
        <f t="shared" si="1110"/>
        <v>0</v>
      </c>
      <c r="AT184" s="367">
        <f t="shared" si="1044"/>
        <v>0</v>
      </c>
      <c r="AU184" s="367">
        <f t="shared" si="1045"/>
        <v>0</v>
      </c>
      <c r="AW184" s="367">
        <f t="shared" si="1046"/>
        <v>0</v>
      </c>
      <c r="AX184" s="367">
        <f t="shared" si="1047"/>
        <v>0</v>
      </c>
      <c r="AY184" s="367">
        <f t="shared" si="1048"/>
        <v>0</v>
      </c>
      <c r="AZ184" s="367">
        <f t="shared" si="1049"/>
        <v>0</v>
      </c>
      <c r="BB184" s="355">
        <f t="shared" si="1050"/>
        <v>0</v>
      </c>
      <c r="BC184" s="355">
        <f t="shared" si="1051"/>
        <v>0</v>
      </c>
      <c r="BD184" s="355">
        <f t="shared" si="1052"/>
        <v>0</v>
      </c>
      <c r="BE184" s="355">
        <f t="shared" si="1053"/>
        <v>0</v>
      </c>
      <c r="BF184" s="355">
        <f t="shared" si="1054"/>
        <v>0</v>
      </c>
      <c r="BH184" s="368">
        <f t="shared" si="1055"/>
        <v>0</v>
      </c>
      <c r="BJ184" s="369">
        <f t="shared" si="1056"/>
        <v>-0.12</v>
      </c>
      <c r="BK184" s="355">
        <f t="shared" si="1057"/>
        <v>0</v>
      </c>
      <c r="BL184" s="355">
        <f t="shared" si="1058"/>
        <v>0</v>
      </c>
      <c r="BN184" s="366">
        <f t="shared" si="1059"/>
        <v>0</v>
      </c>
      <c r="BO184" s="355">
        <f t="shared" si="1060"/>
        <v>0</v>
      </c>
      <c r="BP184" s="355">
        <f t="shared" si="1061"/>
        <v>0</v>
      </c>
      <c r="BQ184" s="355">
        <f t="shared" si="1062"/>
        <v>0</v>
      </c>
      <c r="BS184" s="367">
        <f t="shared" si="1063"/>
        <v>0</v>
      </c>
      <c r="BT184" s="355">
        <f t="shared" si="1064"/>
        <v>0</v>
      </c>
      <c r="BU184" s="355" t="b">
        <f t="shared" si="1111"/>
        <v>1</v>
      </c>
      <c r="BW184" s="355" t="str">
        <f t="shared" si="1065"/>
        <v/>
      </c>
      <c r="BX184" s="355">
        <f t="shared" si="1066"/>
        <v>0</v>
      </c>
      <c r="BY184" s="356">
        <f t="shared" si="1097"/>
        <v>0</v>
      </c>
      <c r="BZ184" s="355">
        <f t="shared" si="1067"/>
        <v>0</v>
      </c>
      <c r="CB184" s="102" t="str">
        <f t="shared" si="1068"/>
        <v>?</v>
      </c>
      <c r="CD184" s="355" t="str">
        <f t="shared" si="1069"/>
        <v>Não</v>
      </c>
      <c r="CE184" s="368">
        <f>ifzero(mlookup(tbl_ICMSinterest_data,UFdestino,tbl_ICMSinterest_ufdest,UForigem,tbl_ICMSinterest_uforig))</f>
        <v>0.12</v>
      </c>
      <c r="CF184" s="368">
        <f>IF(N184&gt;0,IF(I184&lt;&gt;"Serviço",ifzero(mlookup(tbl_ICMSinterno_data,UForigem,tbl_ICMSinterno_UF,O184,tbl_ICMSinterno_NCM),mlookup(tbl_ICMSinterest_data,UForigem,tbl_ICMSinterest_ufdest,UForigem,tbl_ICMSinterest_uforig)),""),0)</f>
        <v>0</v>
      </c>
      <c r="CG184" s="368">
        <f>IF(N184&gt;0,IF(I184&lt;&gt;"Serviço",ifzero(mlookup(tbl_ICMSinterno_data,UFdestino,tbl_ICMSinterno_UF,O184,tbl_ICMSinterno_NCM),mlookup(tbl_ICMSinterest_data,UFdestino,tbl_ICMSinterest_ufdest,UFdestino,tbl_ICMSinterest_uforig)),""),0)</f>
        <v>0</v>
      </c>
      <c r="CI184" s="355">
        <f t="shared" si="1070"/>
        <v>0</v>
      </c>
      <c r="CJ184" s="355">
        <f t="shared" si="1071"/>
        <v>0</v>
      </c>
      <c r="CK184" s="355">
        <f t="shared" si="1072"/>
        <v>0</v>
      </c>
      <c r="CL184" s="355">
        <f t="shared" si="1073"/>
        <v>0</v>
      </c>
      <c r="CN184" s="370">
        <f t="shared" si="1074"/>
        <v>1540</v>
      </c>
      <c r="CO184" s="355">
        <f t="shared" si="1075"/>
        <v>0</v>
      </c>
      <c r="CQ184" s="355" t="b">
        <f t="shared" si="1076"/>
        <v>0</v>
      </c>
      <c r="CR184" s="355" t="b">
        <f t="shared" si="1077"/>
        <v>1</v>
      </c>
      <c r="CS184" s="355" t="b">
        <f t="shared" si="1078"/>
        <v>0</v>
      </c>
      <c r="CU184" s="2">
        <f t="shared" si="1079"/>
        <v>0</v>
      </c>
      <c r="CV184" s="102">
        <f t="shared" si="1080"/>
        <v>0</v>
      </c>
      <c r="CW184" s="102">
        <f t="shared" si="1098"/>
        <v>0</v>
      </c>
      <c r="CX184" s="102">
        <f t="shared" si="1081"/>
        <v>0</v>
      </c>
      <c r="CY184" s="290">
        <f t="shared" si="1082"/>
        <v>0</v>
      </c>
      <c r="CZ184" s="102">
        <f t="shared" si="1100"/>
        <v>0</v>
      </c>
      <c r="DA184" s="290">
        <f t="shared" si="1083"/>
        <v>0</v>
      </c>
      <c r="DB184" s="102">
        <f t="shared" si="1101"/>
        <v>0</v>
      </c>
      <c r="DC184" s="290">
        <f t="shared" si="1084"/>
        <v>0</v>
      </c>
      <c r="DD184" s="102">
        <f t="shared" si="1099"/>
        <v>0</v>
      </c>
      <c r="DE184" s="592">
        <f>IF(D184="Sim",HLOOKUP($DH$5,Parametrização!$G$2:$H$4,2,FALSE),0)</f>
        <v>0</v>
      </c>
      <c r="DF184" s="102">
        <f t="shared" si="1102"/>
        <v>0</v>
      </c>
      <c r="DG184" s="592">
        <f>IF(D184="Sim",HLOOKUP($DH$5,Parametrização!$G$2:$H$4,3,FALSE),0)</f>
        <v>0</v>
      </c>
      <c r="DH184" s="102">
        <f t="shared" si="1103"/>
        <v>0</v>
      </c>
      <c r="DI184" s="102">
        <f t="shared" si="1104"/>
        <v>0</v>
      </c>
      <c r="DK184" s="3" t="str">
        <f t="shared" si="1085"/>
        <v>NA</v>
      </c>
      <c r="DL184" s="2" t="str">
        <f t="shared" si="1086"/>
        <v>NA</v>
      </c>
      <c r="DM184" s="3" t="str">
        <f t="shared" si="1087"/>
        <v>NA</v>
      </c>
      <c r="DN184" s="9" t="str">
        <f t="shared" si="1088"/>
        <v>NA</v>
      </c>
      <c r="DO184" s="637" t="str">
        <f t="shared" si="1089"/>
        <v>NA</v>
      </c>
      <c r="DP184" s="637"/>
      <c r="DQ184" s="3" t="str">
        <f t="shared" si="1090"/>
        <v>NA</v>
      </c>
      <c r="DR184" s="2" t="str">
        <f t="shared" si="1091"/>
        <v>NA</v>
      </c>
      <c r="DS184" s="3" t="str">
        <f t="shared" si="1092"/>
        <v>NA</v>
      </c>
      <c r="DT184" s="9" t="str">
        <f t="shared" si="1105"/>
        <v>NA</v>
      </c>
      <c r="DU184" s="637" t="str">
        <f t="shared" si="1106"/>
        <v>NA</v>
      </c>
      <c r="DV184" s="637"/>
      <c r="DW184" s="682"/>
      <c r="DX184" s="682"/>
      <c r="DY184" s="682"/>
      <c r="DZ184" s="637"/>
      <c r="EA184" s="643"/>
    </row>
    <row r="185" spans="1:131" s="355" customFormat="1" ht="20.100000000000001" customHeight="1" outlineLevel="1" x14ac:dyDescent="0.25">
      <c r="A185" s="356"/>
      <c r="B185" s="355" t="s">
        <v>268</v>
      </c>
      <c r="C185" s="355" t="str">
        <f t="shared" si="1093"/>
        <v>Consumo</v>
      </c>
      <c r="D185" s="355" t="s">
        <v>53</v>
      </c>
      <c r="E185" s="18" t="s">
        <v>38</v>
      </c>
      <c r="F185" s="355" t="s">
        <v>53</v>
      </c>
      <c r="G185" s="357" t="str">
        <f t="shared" si="1094"/>
        <v>Geral</v>
      </c>
      <c r="H185" s="255" t="s">
        <v>377</v>
      </c>
      <c r="I185" s="356" t="str">
        <f t="shared" si="1028"/>
        <v>Sistema</v>
      </c>
      <c r="K185" s="318" t="s">
        <v>2938</v>
      </c>
      <c r="L185" s="749" t="str">
        <f>IF(Padrões!JF126&lt;&gt;"",Padrões!JF126,"")</f>
        <v/>
      </c>
      <c r="M185" s="358" t="str">
        <f t="shared" si="1029"/>
        <v>?</v>
      </c>
      <c r="N185" s="359">
        <f>Padrões!JI126</f>
        <v>0</v>
      </c>
      <c r="O185" s="381" t="str">
        <f t="shared" si="1030"/>
        <v>?</v>
      </c>
      <c r="P185" s="360">
        <f t="shared" si="1031"/>
        <v>0.12</v>
      </c>
      <c r="Q185" s="360" t="str">
        <f t="shared" si="1032"/>
        <v>?</v>
      </c>
      <c r="R185" s="360">
        <f t="shared" si="1033"/>
        <v>0</v>
      </c>
      <c r="S185" s="361">
        <f t="shared" si="1034"/>
        <v>0</v>
      </c>
      <c r="T185" s="362">
        <f t="shared" si="1035"/>
        <v>0</v>
      </c>
      <c r="U185" s="53" t="str" cm="1">
        <f t="array" ref="U185">IFERROR(IF(I185&lt;&gt;"Serviço",IF(AND(mlookup(tbl_DIFAL_data,UFdestino,tbl_DIFAL_UF,O185,tbl_DIFAL_NCM)&lt;&gt;"",C185="Consumo"),"Sim",""),""),"?")</f>
        <v>?</v>
      </c>
      <c r="V185" s="363" t="str">
        <f>IFERROR(IF(I185&lt;&gt;"Serviço",IF(AND(D185="Não",mlookup(tbl_ST_data,UFdestino,tbl_ST_UF,O185,tbl_ST_NCM)&lt;&gt;"",C185="Revenda",CD185="Não"),"Sim",""),""),"?")</f>
        <v>?</v>
      </c>
      <c r="W185" s="364">
        <f t="shared" si="1036"/>
        <v>0</v>
      </c>
      <c r="X185" s="365">
        <f>IF(V185="Sim",mlookup(tbl_ST_data,UFdestino,tbl_ST_UF,O185,tbl_ST_NCM),0)</f>
        <v>0</v>
      </c>
      <c r="Z185" s="355">
        <f t="shared" si="1037"/>
        <v>0</v>
      </c>
      <c r="AA185" s="355">
        <f t="shared" si="1107"/>
        <v>0</v>
      </c>
      <c r="AC185" s="366">
        <f t="shared" si="1095"/>
        <v>1.31243473968765E-2</v>
      </c>
      <c r="AD185" s="366">
        <f t="shared" si="1038"/>
        <v>0.15</v>
      </c>
      <c r="AF185" s="355">
        <f t="shared" si="1039"/>
        <v>0</v>
      </c>
      <c r="AG185" s="355">
        <f t="shared" si="1040"/>
        <v>0</v>
      </c>
      <c r="AI185" s="355">
        <f t="shared" si="1041"/>
        <v>0</v>
      </c>
      <c r="AK185" s="366">
        <f t="shared" si="1096"/>
        <v>0</v>
      </c>
      <c r="AL185" s="355">
        <f t="shared" si="1108"/>
        <v>0</v>
      </c>
      <c r="AM185" s="355">
        <f t="shared" si="1109"/>
        <v>0</v>
      </c>
      <c r="AO185" s="355" t="b">
        <f t="shared" si="1042"/>
        <v>1</v>
      </c>
      <c r="AQ185" s="367">
        <f t="shared" si="1043"/>
        <v>0</v>
      </c>
      <c r="AR185" s="367">
        <f t="shared" si="1110"/>
        <v>0</v>
      </c>
      <c r="AT185" s="367">
        <f t="shared" si="1044"/>
        <v>0</v>
      </c>
      <c r="AU185" s="367">
        <f t="shared" si="1045"/>
        <v>0</v>
      </c>
      <c r="AW185" s="367">
        <f t="shared" si="1046"/>
        <v>0</v>
      </c>
      <c r="AX185" s="367">
        <f t="shared" si="1047"/>
        <v>0</v>
      </c>
      <c r="AY185" s="367">
        <f t="shared" si="1048"/>
        <v>0</v>
      </c>
      <c r="AZ185" s="367">
        <f t="shared" si="1049"/>
        <v>0</v>
      </c>
      <c r="BB185" s="355">
        <f t="shared" si="1050"/>
        <v>0</v>
      </c>
      <c r="BC185" s="355">
        <f t="shared" si="1051"/>
        <v>0</v>
      </c>
      <c r="BD185" s="355">
        <f t="shared" si="1052"/>
        <v>0</v>
      </c>
      <c r="BE185" s="355">
        <f t="shared" si="1053"/>
        <v>0</v>
      </c>
      <c r="BF185" s="355">
        <f t="shared" si="1054"/>
        <v>0</v>
      </c>
      <c r="BH185" s="368">
        <f t="shared" si="1055"/>
        <v>0</v>
      </c>
      <c r="BJ185" s="369">
        <f t="shared" si="1056"/>
        <v>-0.12</v>
      </c>
      <c r="BK185" s="355">
        <f t="shared" si="1057"/>
        <v>0</v>
      </c>
      <c r="BL185" s="355">
        <f t="shared" si="1058"/>
        <v>0</v>
      </c>
      <c r="BN185" s="366">
        <f t="shared" si="1059"/>
        <v>0</v>
      </c>
      <c r="BO185" s="355">
        <f t="shared" si="1060"/>
        <v>0</v>
      </c>
      <c r="BP185" s="355">
        <f t="shared" si="1061"/>
        <v>0</v>
      </c>
      <c r="BQ185" s="355">
        <f t="shared" si="1062"/>
        <v>0</v>
      </c>
      <c r="BS185" s="367">
        <f t="shared" si="1063"/>
        <v>0</v>
      </c>
      <c r="BT185" s="355">
        <f t="shared" si="1064"/>
        <v>0</v>
      </c>
      <c r="BU185" s="355" t="b">
        <f t="shared" si="1111"/>
        <v>1</v>
      </c>
      <c r="BW185" s="355" t="str">
        <f t="shared" si="1065"/>
        <v/>
      </c>
      <c r="BX185" s="355">
        <f t="shared" si="1066"/>
        <v>0</v>
      </c>
      <c r="BY185" s="356">
        <f t="shared" si="1097"/>
        <v>0</v>
      </c>
      <c r="BZ185" s="355">
        <f t="shared" si="1067"/>
        <v>0</v>
      </c>
      <c r="CB185" s="102" t="str">
        <f t="shared" si="1068"/>
        <v>?</v>
      </c>
      <c r="CD185" s="355" t="str">
        <f t="shared" si="1069"/>
        <v>Não</v>
      </c>
      <c r="CE185" s="368">
        <f>ifzero(mlookup(tbl_ICMSinterest_data,UFdestino,tbl_ICMSinterest_ufdest,UForigem,tbl_ICMSinterest_uforig))</f>
        <v>0.12</v>
      </c>
      <c r="CF185" s="368">
        <f>IF(N185&gt;0,IF(I185&lt;&gt;"Serviço",ifzero(mlookup(tbl_ICMSinterno_data,UForigem,tbl_ICMSinterno_UF,O185,tbl_ICMSinterno_NCM),mlookup(tbl_ICMSinterest_data,UForigem,tbl_ICMSinterest_ufdest,UForigem,tbl_ICMSinterest_uforig)),""),0)</f>
        <v>0</v>
      </c>
      <c r="CG185" s="368">
        <f>IF(N185&gt;0,IF(I185&lt;&gt;"Serviço",ifzero(mlookup(tbl_ICMSinterno_data,UFdestino,tbl_ICMSinterno_UF,O185,tbl_ICMSinterno_NCM),mlookup(tbl_ICMSinterest_data,UFdestino,tbl_ICMSinterest_ufdest,UFdestino,tbl_ICMSinterest_uforig)),""),0)</f>
        <v>0</v>
      </c>
      <c r="CI185" s="355">
        <f t="shared" si="1070"/>
        <v>0</v>
      </c>
      <c r="CJ185" s="355">
        <f t="shared" si="1071"/>
        <v>0</v>
      </c>
      <c r="CK185" s="355">
        <f t="shared" si="1072"/>
        <v>0</v>
      </c>
      <c r="CL185" s="355">
        <f t="shared" si="1073"/>
        <v>0</v>
      </c>
      <c r="CN185" s="370">
        <f t="shared" si="1074"/>
        <v>1540</v>
      </c>
      <c r="CO185" s="355">
        <f t="shared" si="1075"/>
        <v>0</v>
      </c>
      <c r="CQ185" s="355" t="b">
        <f t="shared" si="1076"/>
        <v>0</v>
      </c>
      <c r="CR185" s="355" t="b">
        <f t="shared" si="1077"/>
        <v>1</v>
      </c>
      <c r="CS185" s="355" t="b">
        <f t="shared" si="1078"/>
        <v>0</v>
      </c>
      <c r="CU185" s="2">
        <f t="shared" si="1079"/>
        <v>0</v>
      </c>
      <c r="CV185" s="102">
        <f t="shared" si="1080"/>
        <v>0</v>
      </c>
      <c r="CW185" s="102">
        <f t="shared" si="1098"/>
        <v>0</v>
      </c>
      <c r="CX185" s="102">
        <f t="shared" si="1081"/>
        <v>0</v>
      </c>
      <c r="CY185" s="290">
        <f t="shared" si="1082"/>
        <v>0</v>
      </c>
      <c r="CZ185" s="102">
        <f t="shared" si="1100"/>
        <v>0</v>
      </c>
      <c r="DA185" s="290">
        <f t="shared" si="1083"/>
        <v>0</v>
      </c>
      <c r="DB185" s="102">
        <f t="shared" si="1101"/>
        <v>0</v>
      </c>
      <c r="DC185" s="290">
        <f t="shared" si="1084"/>
        <v>0</v>
      </c>
      <c r="DD185" s="102">
        <f t="shared" si="1099"/>
        <v>0</v>
      </c>
      <c r="DE185" s="592">
        <f>IF(D185="Sim",HLOOKUP($DH$5,Parametrização!$G$2:$H$4,2,FALSE),0)</f>
        <v>0</v>
      </c>
      <c r="DF185" s="102">
        <f t="shared" si="1102"/>
        <v>0</v>
      </c>
      <c r="DG185" s="592">
        <f>IF(D185="Sim",HLOOKUP($DH$5,Parametrização!$G$2:$H$4,3,FALSE),0)</f>
        <v>0</v>
      </c>
      <c r="DH185" s="102">
        <f t="shared" si="1103"/>
        <v>0</v>
      </c>
      <c r="DI185" s="102">
        <f t="shared" si="1104"/>
        <v>0</v>
      </c>
      <c r="DK185" s="3" t="str">
        <f t="shared" si="1085"/>
        <v>NA</v>
      </c>
      <c r="DL185" s="2" t="str">
        <f t="shared" si="1086"/>
        <v>NA</v>
      </c>
      <c r="DM185" s="3" t="str">
        <f t="shared" si="1087"/>
        <v>NA</v>
      </c>
      <c r="DN185" s="9" t="str">
        <f t="shared" si="1088"/>
        <v>NA</v>
      </c>
      <c r="DO185" s="637" t="str">
        <f t="shared" si="1089"/>
        <v>NA</v>
      </c>
      <c r="DP185" s="637"/>
      <c r="DQ185" s="3" t="str">
        <f t="shared" si="1090"/>
        <v>NA</v>
      </c>
      <c r="DR185" s="2" t="str">
        <f t="shared" si="1091"/>
        <v>NA</v>
      </c>
      <c r="DS185" s="3" t="str">
        <f t="shared" si="1092"/>
        <v>NA</v>
      </c>
      <c r="DT185" s="9" t="str">
        <f t="shared" si="1105"/>
        <v>NA</v>
      </c>
      <c r="DU185" s="637" t="str">
        <f t="shared" si="1106"/>
        <v>NA</v>
      </c>
      <c r="DV185" s="637"/>
      <c r="DW185" s="682"/>
      <c r="DX185" s="682"/>
      <c r="DY185" s="682"/>
      <c r="DZ185" s="637"/>
      <c r="EA185" s="643"/>
    </row>
    <row r="186" spans="1:131" s="355" customFormat="1" ht="20.100000000000001" customHeight="1" outlineLevel="1" x14ac:dyDescent="0.25">
      <c r="A186" s="356"/>
      <c r="B186" s="355" t="s">
        <v>268</v>
      </c>
      <c r="C186" s="355" t="str">
        <f t="shared" si="1093"/>
        <v>Consumo</v>
      </c>
      <c r="D186" s="355" t="s">
        <v>53</v>
      </c>
      <c r="E186" s="18" t="s">
        <v>38</v>
      </c>
      <c r="F186" s="355" t="s">
        <v>53</v>
      </c>
      <c r="G186" s="357" t="str">
        <f t="shared" si="1094"/>
        <v>Geral</v>
      </c>
      <c r="H186" s="255" t="s">
        <v>377</v>
      </c>
      <c r="I186" s="356" t="str">
        <f t="shared" si="1028"/>
        <v>Sistema</v>
      </c>
      <c r="K186" s="318" t="s">
        <v>2939</v>
      </c>
      <c r="L186" s="749" t="str">
        <f>IF(Padrões!JF127&lt;&gt;"",Padrões!JF127,"")</f>
        <v/>
      </c>
      <c r="M186" s="358" t="str">
        <f t="shared" si="1029"/>
        <v>?</v>
      </c>
      <c r="N186" s="359">
        <f>Padrões!JI127</f>
        <v>0</v>
      </c>
      <c r="O186" s="381" t="str">
        <f t="shared" si="1030"/>
        <v>?</v>
      </c>
      <c r="P186" s="360">
        <f t="shared" si="1031"/>
        <v>0.12</v>
      </c>
      <c r="Q186" s="360" t="str">
        <f t="shared" si="1032"/>
        <v>?</v>
      </c>
      <c r="R186" s="360">
        <f t="shared" si="1033"/>
        <v>0</v>
      </c>
      <c r="S186" s="361">
        <f t="shared" si="1034"/>
        <v>0</v>
      </c>
      <c r="T186" s="362">
        <f t="shared" si="1035"/>
        <v>0</v>
      </c>
      <c r="U186" s="53" t="str" cm="1">
        <f t="array" ref="U186">IFERROR(IF(I186&lt;&gt;"Serviço",IF(AND(mlookup(tbl_DIFAL_data,UFdestino,tbl_DIFAL_UF,O186,tbl_DIFAL_NCM)&lt;&gt;"",C186="Consumo"),"Sim",""),""),"?")</f>
        <v>?</v>
      </c>
      <c r="V186" s="363" t="str">
        <f>IFERROR(IF(I186&lt;&gt;"Serviço",IF(AND(D186="Não",mlookup(tbl_ST_data,UFdestino,tbl_ST_UF,O186,tbl_ST_NCM)&lt;&gt;"",C186="Revenda",CD186="Não"),"Sim",""),""),"?")</f>
        <v>?</v>
      </c>
      <c r="W186" s="364">
        <f t="shared" si="1036"/>
        <v>0</v>
      </c>
      <c r="X186" s="365">
        <f>IF(V186="Sim",mlookup(tbl_ST_data,UFdestino,tbl_ST_UF,O186,tbl_ST_NCM),0)</f>
        <v>0</v>
      </c>
      <c r="Z186" s="355">
        <f t="shared" si="1037"/>
        <v>0</v>
      </c>
      <c r="AA186" s="355">
        <f t="shared" si="1107"/>
        <v>0</v>
      </c>
      <c r="AC186" s="366">
        <f t="shared" si="1095"/>
        <v>1.31243473968765E-2</v>
      </c>
      <c r="AD186" s="366">
        <f t="shared" si="1038"/>
        <v>0.15</v>
      </c>
      <c r="AF186" s="355">
        <f t="shared" si="1039"/>
        <v>0</v>
      </c>
      <c r="AG186" s="355">
        <f t="shared" si="1040"/>
        <v>0</v>
      </c>
      <c r="AI186" s="355">
        <f t="shared" si="1041"/>
        <v>0</v>
      </c>
      <c r="AK186" s="366">
        <f t="shared" si="1096"/>
        <v>0</v>
      </c>
      <c r="AL186" s="355">
        <f t="shared" si="1108"/>
        <v>0</v>
      </c>
      <c r="AM186" s="355">
        <f t="shared" si="1109"/>
        <v>0</v>
      </c>
      <c r="AO186" s="355" t="b">
        <f t="shared" si="1042"/>
        <v>1</v>
      </c>
      <c r="AQ186" s="367">
        <f t="shared" si="1043"/>
        <v>0</v>
      </c>
      <c r="AR186" s="367">
        <f t="shared" si="1110"/>
        <v>0</v>
      </c>
      <c r="AT186" s="367">
        <f t="shared" si="1044"/>
        <v>0</v>
      </c>
      <c r="AU186" s="367">
        <f t="shared" si="1045"/>
        <v>0</v>
      </c>
      <c r="AW186" s="367">
        <f t="shared" si="1046"/>
        <v>0</v>
      </c>
      <c r="AX186" s="367">
        <f t="shared" si="1047"/>
        <v>0</v>
      </c>
      <c r="AY186" s="367">
        <f t="shared" si="1048"/>
        <v>0</v>
      </c>
      <c r="AZ186" s="367">
        <f t="shared" si="1049"/>
        <v>0</v>
      </c>
      <c r="BB186" s="355">
        <f t="shared" si="1050"/>
        <v>0</v>
      </c>
      <c r="BC186" s="355">
        <f t="shared" si="1051"/>
        <v>0</v>
      </c>
      <c r="BD186" s="355">
        <f t="shared" si="1052"/>
        <v>0</v>
      </c>
      <c r="BE186" s="355">
        <f t="shared" si="1053"/>
        <v>0</v>
      </c>
      <c r="BF186" s="355">
        <f t="shared" si="1054"/>
        <v>0</v>
      </c>
      <c r="BH186" s="368">
        <f t="shared" si="1055"/>
        <v>0</v>
      </c>
      <c r="BJ186" s="369">
        <f t="shared" si="1056"/>
        <v>-0.12</v>
      </c>
      <c r="BK186" s="355">
        <f t="shared" si="1057"/>
        <v>0</v>
      </c>
      <c r="BL186" s="355">
        <f t="shared" si="1058"/>
        <v>0</v>
      </c>
      <c r="BN186" s="366">
        <f t="shared" si="1059"/>
        <v>0</v>
      </c>
      <c r="BO186" s="355">
        <f t="shared" si="1060"/>
        <v>0</v>
      </c>
      <c r="BP186" s="355">
        <f t="shared" si="1061"/>
        <v>0</v>
      </c>
      <c r="BQ186" s="355">
        <f t="shared" si="1062"/>
        <v>0</v>
      </c>
      <c r="BS186" s="367">
        <f t="shared" si="1063"/>
        <v>0</v>
      </c>
      <c r="BT186" s="355">
        <f t="shared" si="1064"/>
        <v>0</v>
      </c>
      <c r="BU186" s="355" t="b">
        <f t="shared" si="1111"/>
        <v>1</v>
      </c>
      <c r="BW186" s="355" t="str">
        <f t="shared" si="1065"/>
        <v/>
      </c>
      <c r="BX186" s="355">
        <f t="shared" si="1066"/>
        <v>0</v>
      </c>
      <c r="BY186" s="356">
        <f t="shared" si="1097"/>
        <v>0</v>
      </c>
      <c r="BZ186" s="355">
        <f t="shared" si="1067"/>
        <v>0</v>
      </c>
      <c r="CB186" s="102" t="str">
        <f t="shared" si="1068"/>
        <v>?</v>
      </c>
      <c r="CD186" s="355" t="str">
        <f t="shared" si="1069"/>
        <v>Não</v>
      </c>
      <c r="CE186" s="368">
        <f>ifzero(mlookup(tbl_ICMSinterest_data,UFdestino,tbl_ICMSinterest_ufdest,UForigem,tbl_ICMSinterest_uforig))</f>
        <v>0.12</v>
      </c>
      <c r="CF186" s="368">
        <f>IF(N186&gt;0,IF(I186&lt;&gt;"Serviço",ifzero(mlookup(tbl_ICMSinterno_data,UForigem,tbl_ICMSinterno_UF,O186,tbl_ICMSinterno_NCM),mlookup(tbl_ICMSinterest_data,UForigem,tbl_ICMSinterest_ufdest,UForigem,tbl_ICMSinterest_uforig)),""),0)</f>
        <v>0</v>
      </c>
      <c r="CG186" s="368">
        <f>IF(N186&gt;0,IF(I186&lt;&gt;"Serviço",ifzero(mlookup(tbl_ICMSinterno_data,UFdestino,tbl_ICMSinterno_UF,O186,tbl_ICMSinterno_NCM),mlookup(tbl_ICMSinterest_data,UFdestino,tbl_ICMSinterest_ufdest,UFdestino,tbl_ICMSinterest_uforig)),""),0)</f>
        <v>0</v>
      </c>
      <c r="CI186" s="355">
        <f t="shared" si="1070"/>
        <v>0</v>
      </c>
      <c r="CJ186" s="355">
        <f t="shared" si="1071"/>
        <v>0</v>
      </c>
      <c r="CK186" s="355">
        <f t="shared" si="1072"/>
        <v>0</v>
      </c>
      <c r="CL186" s="355">
        <f t="shared" si="1073"/>
        <v>0</v>
      </c>
      <c r="CN186" s="370">
        <f t="shared" si="1074"/>
        <v>1540</v>
      </c>
      <c r="CO186" s="355">
        <f t="shared" si="1075"/>
        <v>0</v>
      </c>
      <c r="CQ186" s="355" t="b">
        <f t="shared" si="1076"/>
        <v>0</v>
      </c>
      <c r="CR186" s="355" t="b">
        <f t="shared" si="1077"/>
        <v>1</v>
      </c>
      <c r="CS186" s="355" t="b">
        <f t="shared" si="1078"/>
        <v>0</v>
      </c>
      <c r="CU186" s="2">
        <f t="shared" si="1079"/>
        <v>0</v>
      </c>
      <c r="CV186" s="102">
        <f t="shared" si="1080"/>
        <v>0</v>
      </c>
      <c r="CW186" s="102">
        <f t="shared" si="1098"/>
        <v>0</v>
      </c>
      <c r="CX186" s="102">
        <f t="shared" si="1081"/>
        <v>0</v>
      </c>
      <c r="CY186" s="290">
        <f t="shared" si="1082"/>
        <v>0</v>
      </c>
      <c r="CZ186" s="102">
        <f t="shared" si="1100"/>
        <v>0</v>
      </c>
      <c r="DA186" s="290">
        <f t="shared" si="1083"/>
        <v>0</v>
      </c>
      <c r="DB186" s="102">
        <f t="shared" si="1101"/>
        <v>0</v>
      </c>
      <c r="DC186" s="290">
        <f t="shared" si="1084"/>
        <v>0</v>
      </c>
      <c r="DD186" s="102">
        <f t="shared" si="1099"/>
        <v>0</v>
      </c>
      <c r="DE186" s="592">
        <f>IF(D186="Sim",HLOOKUP($DH$5,Parametrização!$G$2:$H$4,2,FALSE),0)</f>
        <v>0</v>
      </c>
      <c r="DF186" s="102">
        <f t="shared" si="1102"/>
        <v>0</v>
      </c>
      <c r="DG186" s="592">
        <f>IF(D186="Sim",HLOOKUP($DH$5,Parametrização!$G$2:$H$4,3,FALSE),0)</f>
        <v>0</v>
      </c>
      <c r="DH186" s="102">
        <f t="shared" si="1103"/>
        <v>0</v>
      </c>
      <c r="DI186" s="102">
        <f t="shared" si="1104"/>
        <v>0</v>
      </c>
      <c r="DK186" s="3" t="str">
        <f t="shared" si="1085"/>
        <v>NA</v>
      </c>
      <c r="DL186" s="2" t="str">
        <f t="shared" si="1086"/>
        <v>NA</v>
      </c>
      <c r="DM186" s="3" t="str">
        <f t="shared" si="1087"/>
        <v>NA</v>
      </c>
      <c r="DN186" s="9" t="str">
        <f t="shared" si="1088"/>
        <v>NA</v>
      </c>
      <c r="DO186" s="637" t="str">
        <f t="shared" si="1089"/>
        <v>NA</v>
      </c>
      <c r="DP186" s="637"/>
      <c r="DQ186" s="3" t="str">
        <f t="shared" si="1090"/>
        <v>NA</v>
      </c>
      <c r="DR186" s="2" t="str">
        <f t="shared" si="1091"/>
        <v>NA</v>
      </c>
      <c r="DS186" s="3" t="str">
        <f t="shared" si="1092"/>
        <v>NA</v>
      </c>
      <c r="DT186" s="9" t="str">
        <f t="shared" si="1105"/>
        <v>NA</v>
      </c>
      <c r="DU186" s="637" t="str">
        <f t="shared" si="1106"/>
        <v>NA</v>
      </c>
      <c r="DV186" s="637"/>
      <c r="DW186" s="682"/>
      <c r="DX186" s="682"/>
      <c r="DY186" s="682"/>
      <c r="DZ186" s="637"/>
      <c r="EA186" s="643"/>
    </row>
    <row r="187" spans="1:131" s="355" customFormat="1" ht="20.100000000000001" customHeight="1" outlineLevel="1" x14ac:dyDescent="0.25">
      <c r="A187" s="356"/>
      <c r="B187" s="355" t="s">
        <v>268</v>
      </c>
      <c r="C187" s="355" t="str">
        <f t="shared" si="1093"/>
        <v>Consumo</v>
      </c>
      <c r="D187" s="355" t="s">
        <v>53</v>
      </c>
      <c r="E187" s="18" t="s">
        <v>38</v>
      </c>
      <c r="F187" s="355" t="s">
        <v>53</v>
      </c>
      <c r="G187" s="357" t="str">
        <f t="shared" si="1094"/>
        <v>Geral</v>
      </c>
      <c r="H187" s="255" t="s">
        <v>377</v>
      </c>
      <c r="I187" s="356" t="str">
        <f t="shared" si="1028"/>
        <v>Sistema</v>
      </c>
      <c r="K187" s="318" t="s">
        <v>2940</v>
      </c>
      <c r="L187" s="749" t="str">
        <f>IF(Padrões!JF128&lt;&gt;"",Padrões!JF128,"")</f>
        <v/>
      </c>
      <c r="M187" s="358" t="str">
        <f t="shared" si="1029"/>
        <v>?</v>
      </c>
      <c r="N187" s="359">
        <f>Padrões!JI128</f>
        <v>0</v>
      </c>
      <c r="O187" s="381" t="str">
        <f t="shared" si="1030"/>
        <v>?</v>
      </c>
      <c r="P187" s="360">
        <f t="shared" si="1031"/>
        <v>0.12</v>
      </c>
      <c r="Q187" s="360" t="str">
        <f t="shared" si="1032"/>
        <v>?</v>
      </c>
      <c r="R187" s="360">
        <f t="shared" si="1033"/>
        <v>0</v>
      </c>
      <c r="S187" s="361">
        <f t="shared" si="1034"/>
        <v>0</v>
      </c>
      <c r="T187" s="362">
        <f t="shared" si="1035"/>
        <v>0</v>
      </c>
      <c r="U187" s="53" t="str" cm="1">
        <f t="array" ref="U187">IFERROR(IF(I187&lt;&gt;"Serviço",IF(AND(mlookup(tbl_DIFAL_data,UFdestino,tbl_DIFAL_UF,O187,tbl_DIFAL_NCM)&lt;&gt;"",C187="Consumo"),"Sim",""),""),"?")</f>
        <v>?</v>
      </c>
      <c r="V187" s="363" t="str">
        <f>IFERROR(IF(I187&lt;&gt;"Serviço",IF(AND(D187="Não",mlookup(tbl_ST_data,UFdestino,tbl_ST_UF,O187,tbl_ST_NCM)&lt;&gt;"",C187="Revenda",CD187="Não"),"Sim",""),""),"?")</f>
        <v>?</v>
      </c>
      <c r="W187" s="364">
        <f t="shared" si="1036"/>
        <v>0</v>
      </c>
      <c r="X187" s="365">
        <f>IF(V187="Sim",mlookup(tbl_ST_data,UFdestino,tbl_ST_UF,O187,tbl_ST_NCM),0)</f>
        <v>0</v>
      </c>
      <c r="Z187" s="355">
        <f t="shared" si="1037"/>
        <v>0</v>
      </c>
      <c r="AA187" s="355">
        <f t="shared" si="1107"/>
        <v>0</v>
      </c>
      <c r="AC187" s="366">
        <f t="shared" si="1095"/>
        <v>1.31243473968765E-2</v>
      </c>
      <c r="AD187" s="366">
        <f t="shared" si="1038"/>
        <v>0.15</v>
      </c>
      <c r="AF187" s="355">
        <f t="shared" si="1039"/>
        <v>0</v>
      </c>
      <c r="AG187" s="355">
        <f t="shared" si="1040"/>
        <v>0</v>
      </c>
      <c r="AI187" s="355">
        <f t="shared" si="1041"/>
        <v>0</v>
      </c>
      <c r="AK187" s="366">
        <f t="shared" si="1096"/>
        <v>0</v>
      </c>
      <c r="AL187" s="355">
        <f t="shared" si="1108"/>
        <v>0</v>
      </c>
      <c r="AM187" s="355">
        <f t="shared" si="1109"/>
        <v>0</v>
      </c>
      <c r="AO187" s="355" t="b">
        <f t="shared" si="1042"/>
        <v>1</v>
      </c>
      <c r="AQ187" s="367">
        <f t="shared" si="1043"/>
        <v>0</v>
      </c>
      <c r="AR187" s="367">
        <f t="shared" si="1110"/>
        <v>0</v>
      </c>
      <c r="AT187" s="367">
        <f t="shared" si="1044"/>
        <v>0</v>
      </c>
      <c r="AU187" s="367">
        <f t="shared" si="1045"/>
        <v>0</v>
      </c>
      <c r="AW187" s="367">
        <f t="shared" si="1046"/>
        <v>0</v>
      </c>
      <c r="AX187" s="367">
        <f t="shared" si="1047"/>
        <v>0</v>
      </c>
      <c r="AY187" s="367">
        <f t="shared" si="1048"/>
        <v>0</v>
      </c>
      <c r="AZ187" s="367">
        <f t="shared" si="1049"/>
        <v>0</v>
      </c>
      <c r="BB187" s="355">
        <f t="shared" si="1050"/>
        <v>0</v>
      </c>
      <c r="BC187" s="355">
        <f t="shared" si="1051"/>
        <v>0</v>
      </c>
      <c r="BD187" s="355">
        <f t="shared" si="1052"/>
        <v>0</v>
      </c>
      <c r="BE187" s="355">
        <f t="shared" si="1053"/>
        <v>0</v>
      </c>
      <c r="BF187" s="355">
        <f t="shared" si="1054"/>
        <v>0</v>
      </c>
      <c r="BH187" s="368">
        <f t="shared" si="1055"/>
        <v>0</v>
      </c>
      <c r="BJ187" s="369">
        <f t="shared" si="1056"/>
        <v>-0.12</v>
      </c>
      <c r="BK187" s="355">
        <f t="shared" si="1057"/>
        <v>0</v>
      </c>
      <c r="BL187" s="355">
        <f t="shared" si="1058"/>
        <v>0</v>
      </c>
      <c r="BN187" s="366">
        <f t="shared" si="1059"/>
        <v>0</v>
      </c>
      <c r="BO187" s="355">
        <f t="shared" si="1060"/>
        <v>0</v>
      </c>
      <c r="BP187" s="355">
        <f t="shared" si="1061"/>
        <v>0</v>
      </c>
      <c r="BQ187" s="355">
        <f t="shared" si="1062"/>
        <v>0</v>
      </c>
      <c r="BS187" s="367">
        <f t="shared" si="1063"/>
        <v>0</v>
      </c>
      <c r="BT187" s="355">
        <f t="shared" si="1064"/>
        <v>0</v>
      </c>
      <c r="BU187" s="355" t="b">
        <f t="shared" si="1111"/>
        <v>1</v>
      </c>
      <c r="BW187" s="355" t="str">
        <f t="shared" si="1065"/>
        <v/>
      </c>
      <c r="BX187" s="355">
        <f t="shared" si="1066"/>
        <v>0</v>
      </c>
      <c r="BY187" s="356">
        <f t="shared" si="1097"/>
        <v>0</v>
      </c>
      <c r="BZ187" s="355">
        <f t="shared" si="1067"/>
        <v>0</v>
      </c>
      <c r="CB187" s="102" t="str">
        <f t="shared" si="1068"/>
        <v>?</v>
      </c>
      <c r="CD187" s="355" t="str">
        <f t="shared" si="1069"/>
        <v>Não</v>
      </c>
      <c r="CE187" s="368">
        <f>ifzero(mlookup(tbl_ICMSinterest_data,UFdestino,tbl_ICMSinterest_ufdest,UForigem,tbl_ICMSinterest_uforig))</f>
        <v>0.12</v>
      </c>
      <c r="CF187" s="368">
        <f>IF(N187&gt;0,IF(I187&lt;&gt;"Serviço",ifzero(mlookup(tbl_ICMSinterno_data,UForigem,tbl_ICMSinterno_UF,O187,tbl_ICMSinterno_NCM),mlookup(tbl_ICMSinterest_data,UForigem,tbl_ICMSinterest_ufdest,UForigem,tbl_ICMSinterest_uforig)),""),0)</f>
        <v>0</v>
      </c>
      <c r="CG187" s="368">
        <f>IF(N187&gt;0,IF(I187&lt;&gt;"Serviço",ifzero(mlookup(tbl_ICMSinterno_data,UFdestino,tbl_ICMSinterno_UF,O187,tbl_ICMSinterno_NCM),mlookup(tbl_ICMSinterest_data,UFdestino,tbl_ICMSinterest_ufdest,UFdestino,tbl_ICMSinterest_uforig)),""),0)</f>
        <v>0</v>
      </c>
      <c r="CI187" s="355">
        <f t="shared" si="1070"/>
        <v>0</v>
      </c>
      <c r="CJ187" s="355">
        <f t="shared" si="1071"/>
        <v>0</v>
      </c>
      <c r="CK187" s="355">
        <f t="shared" si="1072"/>
        <v>0</v>
      </c>
      <c r="CL187" s="355">
        <f t="shared" si="1073"/>
        <v>0</v>
      </c>
      <c r="CN187" s="370">
        <f t="shared" si="1074"/>
        <v>1540</v>
      </c>
      <c r="CO187" s="355">
        <f t="shared" si="1075"/>
        <v>0</v>
      </c>
      <c r="CQ187" s="355" t="b">
        <f t="shared" si="1076"/>
        <v>0</v>
      </c>
      <c r="CR187" s="355" t="b">
        <f t="shared" si="1077"/>
        <v>1</v>
      </c>
      <c r="CS187" s="355" t="b">
        <f t="shared" si="1078"/>
        <v>0</v>
      </c>
      <c r="CU187" s="2">
        <f t="shared" si="1079"/>
        <v>0</v>
      </c>
      <c r="CV187" s="102">
        <f t="shared" si="1080"/>
        <v>0</v>
      </c>
      <c r="CW187" s="102">
        <f t="shared" si="1098"/>
        <v>0</v>
      </c>
      <c r="CX187" s="102">
        <f t="shared" si="1081"/>
        <v>0</v>
      </c>
      <c r="CY187" s="290">
        <f t="shared" si="1082"/>
        <v>0</v>
      </c>
      <c r="CZ187" s="102">
        <f t="shared" si="1100"/>
        <v>0</v>
      </c>
      <c r="DA187" s="290">
        <f t="shared" si="1083"/>
        <v>0</v>
      </c>
      <c r="DB187" s="102">
        <f t="shared" si="1101"/>
        <v>0</v>
      </c>
      <c r="DC187" s="290">
        <f t="shared" si="1084"/>
        <v>0</v>
      </c>
      <c r="DD187" s="102">
        <f t="shared" si="1099"/>
        <v>0</v>
      </c>
      <c r="DE187" s="592">
        <f>IF(D187="Sim",HLOOKUP($DH$5,Parametrização!$G$2:$H$4,2,FALSE),0)</f>
        <v>0</v>
      </c>
      <c r="DF187" s="102">
        <f t="shared" si="1102"/>
        <v>0</v>
      </c>
      <c r="DG187" s="592">
        <f>IF(D187="Sim",HLOOKUP($DH$5,Parametrização!$G$2:$H$4,3,FALSE),0)</f>
        <v>0</v>
      </c>
      <c r="DH187" s="102">
        <f t="shared" si="1103"/>
        <v>0</v>
      </c>
      <c r="DI187" s="102">
        <f t="shared" si="1104"/>
        <v>0</v>
      </c>
      <c r="DK187" s="3" t="str">
        <f t="shared" si="1085"/>
        <v>NA</v>
      </c>
      <c r="DL187" s="2" t="str">
        <f t="shared" si="1086"/>
        <v>NA</v>
      </c>
      <c r="DM187" s="3" t="str">
        <f t="shared" si="1087"/>
        <v>NA</v>
      </c>
      <c r="DN187" s="9" t="str">
        <f t="shared" si="1088"/>
        <v>NA</v>
      </c>
      <c r="DO187" s="637" t="str">
        <f t="shared" si="1089"/>
        <v>NA</v>
      </c>
      <c r="DP187" s="637"/>
      <c r="DQ187" s="3" t="str">
        <f t="shared" si="1090"/>
        <v>NA</v>
      </c>
      <c r="DR187" s="2" t="str">
        <f t="shared" si="1091"/>
        <v>NA</v>
      </c>
      <c r="DS187" s="3" t="str">
        <f t="shared" si="1092"/>
        <v>NA</v>
      </c>
      <c r="DT187" s="9" t="str">
        <f t="shared" si="1105"/>
        <v>NA</v>
      </c>
      <c r="DU187" s="637" t="str">
        <f t="shared" si="1106"/>
        <v>NA</v>
      </c>
      <c r="DV187" s="637"/>
      <c r="DW187" s="682"/>
      <c r="DX187" s="682"/>
      <c r="DY187" s="682"/>
      <c r="DZ187" s="637"/>
      <c r="EA187" s="643"/>
    </row>
    <row r="188" spans="1:131" s="355" customFormat="1" ht="20.100000000000001" customHeight="1" outlineLevel="1" x14ac:dyDescent="0.25">
      <c r="A188" s="356"/>
      <c r="B188" s="355" t="s">
        <v>268</v>
      </c>
      <c r="C188" s="355" t="str">
        <f t="shared" si="1093"/>
        <v>Consumo</v>
      </c>
      <c r="D188" s="355" t="s">
        <v>53</v>
      </c>
      <c r="E188" s="18" t="s">
        <v>38</v>
      </c>
      <c r="F188" s="355" t="s">
        <v>53</v>
      </c>
      <c r="G188" s="357" t="str">
        <f t="shared" si="1094"/>
        <v>Geral</v>
      </c>
      <c r="H188" s="255" t="s">
        <v>377</v>
      </c>
      <c r="I188" s="356" t="str">
        <f t="shared" si="1028"/>
        <v>Sistema</v>
      </c>
      <c r="K188" s="318" t="s">
        <v>2941</v>
      </c>
      <c r="L188" s="749" t="str">
        <f>IF(Padrões!JF129&lt;&gt;"",Padrões!JF129,"")</f>
        <v/>
      </c>
      <c r="M188" s="358" t="str">
        <f t="shared" si="1029"/>
        <v>?</v>
      </c>
      <c r="N188" s="359">
        <f>Padrões!JI129</f>
        <v>0</v>
      </c>
      <c r="O188" s="381" t="str">
        <f t="shared" si="1030"/>
        <v>?</v>
      </c>
      <c r="P188" s="360">
        <f t="shared" si="1031"/>
        <v>0.12</v>
      </c>
      <c r="Q188" s="360" t="str">
        <f t="shared" si="1032"/>
        <v>?</v>
      </c>
      <c r="R188" s="360">
        <f t="shared" si="1033"/>
        <v>0</v>
      </c>
      <c r="S188" s="361">
        <f t="shared" si="1034"/>
        <v>0</v>
      </c>
      <c r="T188" s="362">
        <f t="shared" si="1035"/>
        <v>0</v>
      </c>
      <c r="U188" s="53" t="str" cm="1">
        <f t="array" ref="U188">IFERROR(IF(I188&lt;&gt;"Serviço",IF(AND(mlookup(tbl_DIFAL_data,UFdestino,tbl_DIFAL_UF,O188,tbl_DIFAL_NCM)&lt;&gt;"",C188="Consumo"),"Sim",""),""),"?")</f>
        <v>?</v>
      </c>
      <c r="V188" s="363" t="str">
        <f>IFERROR(IF(I188&lt;&gt;"Serviço",IF(AND(D188="Não",mlookup(tbl_ST_data,UFdestino,tbl_ST_UF,O188,tbl_ST_NCM)&lt;&gt;"",C188="Revenda",CD188="Não"),"Sim",""),""),"?")</f>
        <v>?</v>
      </c>
      <c r="W188" s="364">
        <f t="shared" si="1036"/>
        <v>0</v>
      </c>
      <c r="X188" s="365">
        <f>IF(V188="Sim",mlookup(tbl_ST_data,UFdestino,tbl_ST_UF,O188,tbl_ST_NCM),0)</f>
        <v>0</v>
      </c>
      <c r="Z188" s="355">
        <f t="shared" si="1037"/>
        <v>0</v>
      </c>
      <c r="AA188" s="355">
        <f t="shared" si="1107"/>
        <v>0</v>
      </c>
      <c r="AC188" s="366">
        <f t="shared" si="1095"/>
        <v>1.31243473968765E-2</v>
      </c>
      <c r="AD188" s="366">
        <f t="shared" si="1038"/>
        <v>0.15</v>
      </c>
      <c r="AF188" s="355">
        <f t="shared" si="1039"/>
        <v>0</v>
      </c>
      <c r="AG188" s="355">
        <f t="shared" si="1040"/>
        <v>0</v>
      </c>
      <c r="AI188" s="355">
        <f t="shared" si="1041"/>
        <v>0</v>
      </c>
      <c r="AK188" s="366">
        <f t="shared" si="1096"/>
        <v>0</v>
      </c>
      <c r="AL188" s="355">
        <f t="shared" si="1108"/>
        <v>0</v>
      </c>
      <c r="AM188" s="355">
        <f t="shared" si="1109"/>
        <v>0</v>
      </c>
      <c r="AO188" s="355" t="b">
        <f t="shared" si="1042"/>
        <v>1</v>
      </c>
      <c r="AQ188" s="367">
        <f t="shared" si="1043"/>
        <v>0</v>
      </c>
      <c r="AR188" s="367">
        <f t="shared" si="1110"/>
        <v>0</v>
      </c>
      <c r="AT188" s="367">
        <f t="shared" si="1044"/>
        <v>0</v>
      </c>
      <c r="AU188" s="367">
        <f t="shared" si="1045"/>
        <v>0</v>
      </c>
      <c r="AW188" s="367">
        <f t="shared" si="1046"/>
        <v>0</v>
      </c>
      <c r="AX188" s="367">
        <f t="shared" si="1047"/>
        <v>0</v>
      </c>
      <c r="AY188" s="367">
        <f t="shared" si="1048"/>
        <v>0</v>
      </c>
      <c r="AZ188" s="367">
        <f t="shared" si="1049"/>
        <v>0</v>
      </c>
      <c r="BB188" s="355">
        <f t="shared" si="1050"/>
        <v>0</v>
      </c>
      <c r="BC188" s="355">
        <f t="shared" si="1051"/>
        <v>0</v>
      </c>
      <c r="BD188" s="355">
        <f t="shared" si="1052"/>
        <v>0</v>
      </c>
      <c r="BE188" s="355">
        <f t="shared" si="1053"/>
        <v>0</v>
      </c>
      <c r="BF188" s="355">
        <f t="shared" si="1054"/>
        <v>0</v>
      </c>
      <c r="BH188" s="368">
        <f t="shared" si="1055"/>
        <v>0</v>
      </c>
      <c r="BJ188" s="369">
        <f t="shared" si="1056"/>
        <v>-0.12</v>
      </c>
      <c r="BK188" s="355">
        <f t="shared" si="1057"/>
        <v>0</v>
      </c>
      <c r="BL188" s="355">
        <f t="shared" si="1058"/>
        <v>0</v>
      </c>
      <c r="BN188" s="366">
        <f t="shared" si="1059"/>
        <v>0</v>
      </c>
      <c r="BO188" s="355">
        <f t="shared" si="1060"/>
        <v>0</v>
      </c>
      <c r="BP188" s="355">
        <f t="shared" si="1061"/>
        <v>0</v>
      </c>
      <c r="BQ188" s="355">
        <f t="shared" si="1062"/>
        <v>0</v>
      </c>
      <c r="BS188" s="367">
        <f t="shared" si="1063"/>
        <v>0</v>
      </c>
      <c r="BT188" s="355">
        <f t="shared" si="1064"/>
        <v>0</v>
      </c>
      <c r="BU188" s="355" t="b">
        <f t="shared" si="1111"/>
        <v>1</v>
      </c>
      <c r="BW188" s="355" t="str">
        <f t="shared" si="1065"/>
        <v/>
      </c>
      <c r="BX188" s="355">
        <f t="shared" si="1066"/>
        <v>0</v>
      </c>
      <c r="BY188" s="356">
        <f t="shared" si="1097"/>
        <v>0</v>
      </c>
      <c r="BZ188" s="355">
        <f t="shared" si="1067"/>
        <v>0</v>
      </c>
      <c r="CB188" s="102" t="str">
        <f t="shared" si="1068"/>
        <v>?</v>
      </c>
      <c r="CD188" s="355" t="str">
        <f t="shared" si="1069"/>
        <v>Não</v>
      </c>
      <c r="CE188" s="368">
        <f>ifzero(mlookup(tbl_ICMSinterest_data,UFdestino,tbl_ICMSinterest_ufdest,UForigem,tbl_ICMSinterest_uforig))</f>
        <v>0.12</v>
      </c>
      <c r="CF188" s="368">
        <f>IF(N188&gt;0,IF(I188&lt;&gt;"Serviço",ifzero(mlookup(tbl_ICMSinterno_data,UForigem,tbl_ICMSinterno_UF,O188,tbl_ICMSinterno_NCM),mlookup(tbl_ICMSinterest_data,UForigem,tbl_ICMSinterest_ufdest,UForigem,tbl_ICMSinterest_uforig)),""),0)</f>
        <v>0</v>
      </c>
      <c r="CG188" s="368">
        <f>IF(N188&gt;0,IF(I188&lt;&gt;"Serviço",ifzero(mlookup(tbl_ICMSinterno_data,UFdestino,tbl_ICMSinterno_UF,O188,tbl_ICMSinterno_NCM),mlookup(tbl_ICMSinterest_data,UFdestino,tbl_ICMSinterest_ufdest,UFdestino,tbl_ICMSinterest_uforig)),""),0)</f>
        <v>0</v>
      </c>
      <c r="CI188" s="355">
        <f t="shared" si="1070"/>
        <v>0</v>
      </c>
      <c r="CJ188" s="355">
        <f t="shared" si="1071"/>
        <v>0</v>
      </c>
      <c r="CK188" s="355">
        <f t="shared" si="1072"/>
        <v>0</v>
      </c>
      <c r="CL188" s="355">
        <f t="shared" si="1073"/>
        <v>0</v>
      </c>
      <c r="CN188" s="370">
        <f t="shared" si="1074"/>
        <v>1540</v>
      </c>
      <c r="CO188" s="355">
        <f t="shared" si="1075"/>
        <v>0</v>
      </c>
      <c r="CQ188" s="355" t="b">
        <f t="shared" si="1076"/>
        <v>0</v>
      </c>
      <c r="CR188" s="355" t="b">
        <f t="shared" si="1077"/>
        <v>1</v>
      </c>
      <c r="CS188" s="355" t="b">
        <f t="shared" si="1078"/>
        <v>0</v>
      </c>
      <c r="CU188" s="2">
        <f t="shared" si="1079"/>
        <v>0</v>
      </c>
      <c r="CV188" s="102">
        <f t="shared" si="1080"/>
        <v>0</v>
      </c>
      <c r="CW188" s="102">
        <f t="shared" si="1098"/>
        <v>0</v>
      </c>
      <c r="CX188" s="102">
        <f t="shared" si="1081"/>
        <v>0</v>
      </c>
      <c r="CY188" s="290">
        <f t="shared" si="1082"/>
        <v>0</v>
      </c>
      <c r="CZ188" s="102">
        <f t="shared" si="1100"/>
        <v>0</v>
      </c>
      <c r="DA188" s="290">
        <f t="shared" si="1083"/>
        <v>0</v>
      </c>
      <c r="DB188" s="102">
        <f t="shared" si="1101"/>
        <v>0</v>
      </c>
      <c r="DC188" s="290">
        <f t="shared" si="1084"/>
        <v>0</v>
      </c>
      <c r="DD188" s="102">
        <f t="shared" si="1099"/>
        <v>0</v>
      </c>
      <c r="DE188" s="592">
        <f>IF(D188="Sim",HLOOKUP($DH$5,Parametrização!$G$2:$H$4,2,FALSE),0)</f>
        <v>0</v>
      </c>
      <c r="DF188" s="102">
        <f t="shared" si="1102"/>
        <v>0</v>
      </c>
      <c r="DG188" s="592">
        <f>IF(D188="Sim",HLOOKUP($DH$5,Parametrização!$G$2:$H$4,3,FALSE),0)</f>
        <v>0</v>
      </c>
      <c r="DH188" s="102">
        <f t="shared" si="1103"/>
        <v>0</v>
      </c>
      <c r="DI188" s="102">
        <f t="shared" si="1104"/>
        <v>0</v>
      </c>
      <c r="DK188" s="3" t="str">
        <f t="shared" si="1085"/>
        <v>NA</v>
      </c>
      <c r="DL188" s="2" t="str">
        <f t="shared" si="1086"/>
        <v>NA</v>
      </c>
      <c r="DM188" s="3" t="str">
        <f t="shared" si="1087"/>
        <v>NA</v>
      </c>
      <c r="DN188" s="9" t="str">
        <f t="shared" si="1088"/>
        <v>NA</v>
      </c>
      <c r="DO188" s="637" t="str">
        <f t="shared" si="1089"/>
        <v>NA</v>
      </c>
      <c r="DP188" s="637"/>
      <c r="DQ188" s="3" t="str">
        <f t="shared" si="1090"/>
        <v>NA</v>
      </c>
      <c r="DR188" s="2" t="str">
        <f t="shared" si="1091"/>
        <v>NA</v>
      </c>
      <c r="DS188" s="3" t="str">
        <f t="shared" si="1092"/>
        <v>NA</v>
      </c>
      <c r="DT188" s="9" t="str">
        <f t="shared" si="1105"/>
        <v>NA</v>
      </c>
      <c r="DU188" s="637" t="str">
        <f t="shared" si="1106"/>
        <v>NA</v>
      </c>
      <c r="DV188" s="637"/>
      <c r="DW188" s="682"/>
      <c r="DX188" s="682"/>
      <c r="DY188" s="682"/>
      <c r="DZ188" s="637"/>
      <c r="EA188" s="643"/>
    </row>
    <row r="189" spans="1:131" s="355" customFormat="1" ht="20.100000000000001" customHeight="1" outlineLevel="1" x14ac:dyDescent="0.25">
      <c r="A189" s="356"/>
      <c r="B189" s="355" t="s">
        <v>268</v>
      </c>
      <c r="C189" s="355" t="str">
        <f t="shared" si="1093"/>
        <v>Consumo</v>
      </c>
      <c r="D189" s="355" t="s">
        <v>53</v>
      </c>
      <c r="E189" s="18" t="s">
        <v>38</v>
      </c>
      <c r="F189" s="355" t="s">
        <v>53</v>
      </c>
      <c r="G189" s="357" t="str">
        <f t="shared" si="1094"/>
        <v>Geral</v>
      </c>
      <c r="H189" s="255" t="s">
        <v>377</v>
      </c>
      <c r="I189" s="356" t="str">
        <f t="shared" si="1028"/>
        <v>Sistema</v>
      </c>
      <c r="K189" s="318" t="s">
        <v>2942</v>
      </c>
      <c r="L189" s="749" t="str">
        <f>IF(Padrões!JF130&lt;&gt;"",Padrões!JF130,"")</f>
        <v/>
      </c>
      <c r="M189" s="358" t="str">
        <f t="shared" si="1029"/>
        <v>?</v>
      </c>
      <c r="N189" s="359">
        <f>Padrões!JI130</f>
        <v>0</v>
      </c>
      <c r="O189" s="381" t="str">
        <f t="shared" si="1030"/>
        <v>?</v>
      </c>
      <c r="P189" s="360">
        <f t="shared" si="1031"/>
        <v>0.12</v>
      </c>
      <c r="Q189" s="360" t="str">
        <f t="shared" si="1032"/>
        <v>?</v>
      </c>
      <c r="R189" s="360">
        <f t="shared" si="1033"/>
        <v>0</v>
      </c>
      <c r="S189" s="361">
        <f t="shared" si="1034"/>
        <v>0</v>
      </c>
      <c r="T189" s="362">
        <f t="shared" si="1035"/>
        <v>0</v>
      </c>
      <c r="U189" s="53" t="str" cm="1">
        <f t="array" ref="U189">IFERROR(IF(I189&lt;&gt;"Serviço",IF(AND(mlookup(tbl_DIFAL_data,UFdestino,tbl_DIFAL_UF,O189,tbl_DIFAL_NCM)&lt;&gt;"",C189="Consumo"),"Sim",""),""),"?")</f>
        <v>?</v>
      </c>
      <c r="V189" s="363" t="str">
        <f>IFERROR(IF(I189&lt;&gt;"Serviço",IF(AND(D189="Não",mlookup(tbl_ST_data,UFdestino,tbl_ST_UF,O189,tbl_ST_NCM)&lt;&gt;"",C189="Revenda",CD189="Não"),"Sim",""),""),"?")</f>
        <v>?</v>
      </c>
      <c r="W189" s="364">
        <f t="shared" si="1036"/>
        <v>0</v>
      </c>
      <c r="X189" s="365">
        <f>IF(V189="Sim",mlookup(tbl_ST_data,UFdestino,tbl_ST_UF,O189,tbl_ST_NCM),0)</f>
        <v>0</v>
      </c>
      <c r="Z189" s="355">
        <f t="shared" si="1037"/>
        <v>0</v>
      </c>
      <c r="AA189" s="355">
        <f t="shared" si="1107"/>
        <v>0</v>
      </c>
      <c r="AC189" s="366">
        <f t="shared" si="1095"/>
        <v>1.31243473968765E-2</v>
      </c>
      <c r="AD189" s="366">
        <f t="shared" si="1038"/>
        <v>0.15</v>
      </c>
      <c r="AF189" s="355">
        <f t="shared" si="1039"/>
        <v>0</v>
      </c>
      <c r="AG189" s="355">
        <f t="shared" si="1040"/>
        <v>0</v>
      </c>
      <c r="AI189" s="355">
        <f t="shared" si="1041"/>
        <v>0</v>
      </c>
      <c r="AK189" s="366">
        <f t="shared" si="1096"/>
        <v>0</v>
      </c>
      <c r="AL189" s="355">
        <f t="shared" si="1108"/>
        <v>0</v>
      </c>
      <c r="AM189" s="355">
        <f t="shared" si="1109"/>
        <v>0</v>
      </c>
      <c r="AO189" s="355" t="b">
        <f t="shared" si="1042"/>
        <v>1</v>
      </c>
      <c r="AQ189" s="367">
        <f t="shared" si="1043"/>
        <v>0</v>
      </c>
      <c r="AR189" s="367">
        <f t="shared" si="1110"/>
        <v>0</v>
      </c>
      <c r="AT189" s="367">
        <f t="shared" si="1044"/>
        <v>0</v>
      </c>
      <c r="AU189" s="367">
        <f t="shared" si="1045"/>
        <v>0</v>
      </c>
      <c r="AW189" s="367">
        <f t="shared" si="1046"/>
        <v>0</v>
      </c>
      <c r="AX189" s="367">
        <f t="shared" si="1047"/>
        <v>0</v>
      </c>
      <c r="AY189" s="367">
        <f t="shared" si="1048"/>
        <v>0</v>
      </c>
      <c r="AZ189" s="367">
        <f t="shared" si="1049"/>
        <v>0</v>
      </c>
      <c r="BB189" s="355">
        <f t="shared" si="1050"/>
        <v>0</v>
      </c>
      <c r="BC189" s="355">
        <f t="shared" si="1051"/>
        <v>0</v>
      </c>
      <c r="BD189" s="355">
        <f t="shared" si="1052"/>
        <v>0</v>
      </c>
      <c r="BE189" s="355">
        <f t="shared" si="1053"/>
        <v>0</v>
      </c>
      <c r="BF189" s="355">
        <f t="shared" si="1054"/>
        <v>0</v>
      </c>
      <c r="BH189" s="368">
        <f t="shared" si="1055"/>
        <v>0</v>
      </c>
      <c r="BJ189" s="369">
        <f t="shared" si="1056"/>
        <v>-0.12</v>
      </c>
      <c r="BK189" s="355">
        <f t="shared" si="1057"/>
        <v>0</v>
      </c>
      <c r="BL189" s="355">
        <f t="shared" si="1058"/>
        <v>0</v>
      </c>
      <c r="BN189" s="366">
        <f t="shared" si="1059"/>
        <v>0</v>
      </c>
      <c r="BO189" s="355">
        <f t="shared" si="1060"/>
        <v>0</v>
      </c>
      <c r="BP189" s="355">
        <f t="shared" si="1061"/>
        <v>0</v>
      </c>
      <c r="BQ189" s="355">
        <f t="shared" si="1062"/>
        <v>0</v>
      </c>
      <c r="BS189" s="367">
        <f t="shared" si="1063"/>
        <v>0</v>
      </c>
      <c r="BT189" s="355">
        <f t="shared" si="1064"/>
        <v>0</v>
      </c>
      <c r="BU189" s="355" t="b">
        <f t="shared" si="1111"/>
        <v>1</v>
      </c>
      <c r="BW189" s="355" t="str">
        <f t="shared" si="1065"/>
        <v/>
      </c>
      <c r="BX189" s="355">
        <f t="shared" si="1066"/>
        <v>0</v>
      </c>
      <c r="BY189" s="356">
        <f t="shared" si="1097"/>
        <v>0</v>
      </c>
      <c r="BZ189" s="355">
        <f t="shared" si="1067"/>
        <v>0</v>
      </c>
      <c r="CB189" s="102" t="str">
        <f t="shared" si="1068"/>
        <v>?</v>
      </c>
      <c r="CD189" s="355" t="str">
        <f t="shared" si="1069"/>
        <v>Não</v>
      </c>
      <c r="CE189" s="368">
        <f>ifzero(mlookup(tbl_ICMSinterest_data,UFdestino,tbl_ICMSinterest_ufdest,UForigem,tbl_ICMSinterest_uforig))</f>
        <v>0.12</v>
      </c>
      <c r="CF189" s="368">
        <f>IF(N189&gt;0,IF(I189&lt;&gt;"Serviço",ifzero(mlookup(tbl_ICMSinterno_data,UForigem,tbl_ICMSinterno_UF,O189,tbl_ICMSinterno_NCM),mlookup(tbl_ICMSinterest_data,UForigem,tbl_ICMSinterest_ufdest,UForigem,tbl_ICMSinterest_uforig)),""),0)</f>
        <v>0</v>
      </c>
      <c r="CG189" s="368">
        <f>IF(N189&gt;0,IF(I189&lt;&gt;"Serviço",ifzero(mlookup(tbl_ICMSinterno_data,UFdestino,tbl_ICMSinterno_UF,O189,tbl_ICMSinterno_NCM),mlookup(tbl_ICMSinterest_data,UFdestino,tbl_ICMSinterest_ufdest,UFdestino,tbl_ICMSinterest_uforig)),""),0)</f>
        <v>0</v>
      </c>
      <c r="CI189" s="355">
        <f t="shared" si="1070"/>
        <v>0</v>
      </c>
      <c r="CJ189" s="355">
        <f t="shared" si="1071"/>
        <v>0</v>
      </c>
      <c r="CK189" s="355">
        <f t="shared" si="1072"/>
        <v>0</v>
      </c>
      <c r="CL189" s="355">
        <f t="shared" si="1073"/>
        <v>0</v>
      </c>
      <c r="CN189" s="370">
        <f t="shared" si="1074"/>
        <v>1540</v>
      </c>
      <c r="CO189" s="355">
        <f t="shared" si="1075"/>
        <v>0</v>
      </c>
      <c r="CQ189" s="355" t="b">
        <f t="shared" si="1076"/>
        <v>0</v>
      </c>
      <c r="CR189" s="355" t="b">
        <f t="shared" si="1077"/>
        <v>1</v>
      </c>
      <c r="CS189" s="355" t="b">
        <f t="shared" si="1078"/>
        <v>0</v>
      </c>
      <c r="CU189" s="2">
        <f t="shared" si="1079"/>
        <v>0</v>
      </c>
      <c r="CV189" s="102">
        <f t="shared" si="1080"/>
        <v>0</v>
      </c>
      <c r="CW189" s="102">
        <f t="shared" si="1098"/>
        <v>0</v>
      </c>
      <c r="CX189" s="102">
        <f t="shared" si="1081"/>
        <v>0</v>
      </c>
      <c r="CY189" s="290">
        <f t="shared" si="1082"/>
        <v>0</v>
      </c>
      <c r="CZ189" s="102">
        <f t="shared" si="1100"/>
        <v>0</v>
      </c>
      <c r="DA189" s="290">
        <f t="shared" si="1083"/>
        <v>0</v>
      </c>
      <c r="DB189" s="102">
        <f t="shared" si="1101"/>
        <v>0</v>
      </c>
      <c r="DC189" s="290">
        <f t="shared" si="1084"/>
        <v>0</v>
      </c>
      <c r="DD189" s="102">
        <f t="shared" si="1099"/>
        <v>0</v>
      </c>
      <c r="DE189" s="592">
        <f>IF(D189="Sim",HLOOKUP($DH$5,Parametrização!$G$2:$H$4,2,FALSE),0)</f>
        <v>0</v>
      </c>
      <c r="DF189" s="102">
        <f t="shared" si="1102"/>
        <v>0</v>
      </c>
      <c r="DG189" s="592">
        <f>IF(D189="Sim",HLOOKUP($DH$5,Parametrização!$G$2:$H$4,3,FALSE),0)</f>
        <v>0</v>
      </c>
      <c r="DH189" s="102">
        <f t="shared" si="1103"/>
        <v>0</v>
      </c>
      <c r="DI189" s="102">
        <f t="shared" si="1104"/>
        <v>0</v>
      </c>
      <c r="DK189" s="3" t="str">
        <f t="shared" si="1085"/>
        <v>NA</v>
      </c>
      <c r="DL189" s="2" t="str">
        <f t="shared" si="1086"/>
        <v>NA</v>
      </c>
      <c r="DM189" s="3" t="str">
        <f t="shared" si="1087"/>
        <v>NA</v>
      </c>
      <c r="DN189" s="9" t="str">
        <f t="shared" si="1088"/>
        <v>NA</v>
      </c>
      <c r="DO189" s="637" t="str">
        <f t="shared" si="1089"/>
        <v>NA</v>
      </c>
      <c r="DP189" s="637"/>
      <c r="DQ189" s="3" t="str">
        <f t="shared" si="1090"/>
        <v>NA</v>
      </c>
      <c r="DR189" s="2" t="str">
        <f t="shared" si="1091"/>
        <v>NA</v>
      </c>
      <c r="DS189" s="3" t="str">
        <f t="shared" si="1092"/>
        <v>NA</v>
      </c>
      <c r="DT189" s="9" t="str">
        <f t="shared" si="1105"/>
        <v>NA</v>
      </c>
      <c r="DU189" s="637" t="str">
        <f t="shared" si="1106"/>
        <v>NA</v>
      </c>
      <c r="DV189" s="637"/>
      <c r="DW189" s="682"/>
      <c r="DX189" s="682"/>
      <c r="DY189" s="682"/>
      <c r="DZ189" s="637"/>
      <c r="EA189" s="643"/>
    </row>
    <row r="190" spans="1:131" s="355" customFormat="1" ht="20.100000000000001" customHeight="1" outlineLevel="1" x14ac:dyDescent="0.25">
      <c r="A190" s="356"/>
      <c r="B190" s="355" t="s">
        <v>268</v>
      </c>
      <c r="C190" s="355" t="str">
        <f t="shared" si="1093"/>
        <v>Consumo</v>
      </c>
      <c r="D190" s="355" t="s">
        <v>53</v>
      </c>
      <c r="E190" s="18" t="s">
        <v>38</v>
      </c>
      <c r="F190" s="355" t="s">
        <v>53</v>
      </c>
      <c r="G190" s="357" t="str">
        <f t="shared" si="1094"/>
        <v>Geral</v>
      </c>
      <c r="H190" s="255" t="s">
        <v>377</v>
      </c>
      <c r="I190" s="356" t="str">
        <f t="shared" si="1028"/>
        <v>Sistema</v>
      </c>
      <c r="K190" s="318" t="s">
        <v>2943</v>
      </c>
      <c r="L190" s="749" t="str">
        <f>IF(Padrões!JF131&lt;&gt;"",Padrões!JF131,"")</f>
        <v/>
      </c>
      <c r="M190" s="358" t="str">
        <f t="shared" si="1029"/>
        <v>?</v>
      </c>
      <c r="N190" s="359">
        <f>Padrões!JI131</f>
        <v>0</v>
      </c>
      <c r="O190" s="381" t="str">
        <f t="shared" si="1030"/>
        <v>?</v>
      </c>
      <c r="P190" s="360">
        <f t="shared" si="1031"/>
        <v>0.12</v>
      </c>
      <c r="Q190" s="360" t="str">
        <f t="shared" si="1032"/>
        <v>?</v>
      </c>
      <c r="R190" s="360">
        <f t="shared" si="1033"/>
        <v>0</v>
      </c>
      <c r="S190" s="361">
        <f t="shared" si="1034"/>
        <v>0</v>
      </c>
      <c r="T190" s="362">
        <f t="shared" si="1035"/>
        <v>0</v>
      </c>
      <c r="U190" s="53" t="str" cm="1">
        <f t="array" ref="U190">IFERROR(IF(I190&lt;&gt;"Serviço",IF(AND(mlookup(tbl_DIFAL_data,UFdestino,tbl_DIFAL_UF,O190,tbl_DIFAL_NCM)&lt;&gt;"",C190="Consumo"),"Sim",""),""),"?")</f>
        <v>?</v>
      </c>
      <c r="V190" s="363" t="str">
        <f>IFERROR(IF(I190&lt;&gt;"Serviço",IF(AND(D190="Não",mlookup(tbl_ST_data,UFdestino,tbl_ST_UF,O190,tbl_ST_NCM)&lt;&gt;"",C190="Revenda",CD190="Não"),"Sim",""),""),"?")</f>
        <v>?</v>
      </c>
      <c r="W190" s="364">
        <f t="shared" si="1036"/>
        <v>0</v>
      </c>
      <c r="X190" s="365">
        <f>IF(V190="Sim",mlookup(tbl_ST_data,UFdestino,tbl_ST_UF,O190,tbl_ST_NCM),0)</f>
        <v>0</v>
      </c>
      <c r="Z190" s="355">
        <f t="shared" si="1037"/>
        <v>0</v>
      </c>
      <c r="AA190" s="355">
        <f t="shared" si="1107"/>
        <v>0</v>
      </c>
      <c r="AC190" s="366">
        <f t="shared" si="1095"/>
        <v>1.31243473968765E-2</v>
      </c>
      <c r="AD190" s="366">
        <f t="shared" si="1038"/>
        <v>0.15</v>
      </c>
      <c r="AF190" s="355">
        <f t="shared" si="1039"/>
        <v>0</v>
      </c>
      <c r="AG190" s="355">
        <f t="shared" si="1040"/>
        <v>0</v>
      </c>
      <c r="AI190" s="355">
        <f t="shared" si="1041"/>
        <v>0</v>
      </c>
      <c r="AK190" s="366">
        <f t="shared" si="1096"/>
        <v>0</v>
      </c>
      <c r="AL190" s="355">
        <f t="shared" si="1108"/>
        <v>0</v>
      </c>
      <c r="AM190" s="355">
        <f t="shared" si="1109"/>
        <v>0</v>
      </c>
      <c r="AO190" s="355" t="b">
        <f t="shared" si="1042"/>
        <v>1</v>
      </c>
      <c r="AQ190" s="367">
        <f t="shared" si="1043"/>
        <v>0</v>
      </c>
      <c r="AR190" s="367">
        <f t="shared" si="1110"/>
        <v>0</v>
      </c>
      <c r="AT190" s="367">
        <f t="shared" si="1044"/>
        <v>0</v>
      </c>
      <c r="AU190" s="367">
        <f t="shared" si="1045"/>
        <v>0</v>
      </c>
      <c r="AW190" s="367">
        <f t="shared" si="1046"/>
        <v>0</v>
      </c>
      <c r="AX190" s="367">
        <f t="shared" si="1047"/>
        <v>0</v>
      </c>
      <c r="AY190" s="367">
        <f t="shared" si="1048"/>
        <v>0</v>
      </c>
      <c r="AZ190" s="367">
        <f t="shared" si="1049"/>
        <v>0</v>
      </c>
      <c r="BB190" s="355">
        <f t="shared" si="1050"/>
        <v>0</v>
      </c>
      <c r="BC190" s="355">
        <f t="shared" si="1051"/>
        <v>0</v>
      </c>
      <c r="BD190" s="355">
        <f t="shared" si="1052"/>
        <v>0</v>
      </c>
      <c r="BE190" s="355">
        <f t="shared" si="1053"/>
        <v>0</v>
      </c>
      <c r="BF190" s="355">
        <f t="shared" si="1054"/>
        <v>0</v>
      </c>
      <c r="BH190" s="368">
        <f t="shared" si="1055"/>
        <v>0</v>
      </c>
      <c r="BJ190" s="369">
        <f t="shared" si="1056"/>
        <v>-0.12</v>
      </c>
      <c r="BK190" s="355">
        <f t="shared" si="1057"/>
        <v>0</v>
      </c>
      <c r="BL190" s="355">
        <f t="shared" si="1058"/>
        <v>0</v>
      </c>
      <c r="BN190" s="366">
        <f t="shared" si="1059"/>
        <v>0</v>
      </c>
      <c r="BO190" s="355">
        <f t="shared" si="1060"/>
        <v>0</v>
      </c>
      <c r="BP190" s="355">
        <f t="shared" si="1061"/>
        <v>0</v>
      </c>
      <c r="BQ190" s="355">
        <f t="shared" si="1062"/>
        <v>0</v>
      </c>
      <c r="BS190" s="367">
        <f t="shared" si="1063"/>
        <v>0</v>
      </c>
      <c r="BT190" s="355">
        <f t="shared" si="1064"/>
        <v>0</v>
      </c>
      <c r="BU190" s="355" t="b">
        <f t="shared" si="1111"/>
        <v>1</v>
      </c>
      <c r="BW190" s="355" t="str">
        <f t="shared" si="1065"/>
        <v/>
      </c>
      <c r="BX190" s="355">
        <f t="shared" si="1066"/>
        <v>0</v>
      </c>
      <c r="BY190" s="356">
        <f t="shared" si="1097"/>
        <v>0</v>
      </c>
      <c r="BZ190" s="355">
        <f t="shared" si="1067"/>
        <v>0</v>
      </c>
      <c r="CB190" s="102" t="str">
        <f t="shared" si="1068"/>
        <v>?</v>
      </c>
      <c r="CD190" s="355" t="str">
        <f t="shared" si="1069"/>
        <v>Não</v>
      </c>
      <c r="CE190" s="368">
        <f>ifzero(mlookup(tbl_ICMSinterest_data,UFdestino,tbl_ICMSinterest_ufdest,UForigem,tbl_ICMSinterest_uforig))</f>
        <v>0.12</v>
      </c>
      <c r="CF190" s="368">
        <f>IF(N190&gt;0,IF(I190&lt;&gt;"Serviço",ifzero(mlookup(tbl_ICMSinterno_data,UForigem,tbl_ICMSinterno_UF,O190,tbl_ICMSinterno_NCM),mlookup(tbl_ICMSinterest_data,UForigem,tbl_ICMSinterest_ufdest,UForigem,tbl_ICMSinterest_uforig)),""),0)</f>
        <v>0</v>
      </c>
      <c r="CG190" s="368">
        <f>IF(N190&gt;0,IF(I190&lt;&gt;"Serviço",ifzero(mlookup(tbl_ICMSinterno_data,UFdestino,tbl_ICMSinterno_UF,O190,tbl_ICMSinterno_NCM),mlookup(tbl_ICMSinterest_data,UFdestino,tbl_ICMSinterest_ufdest,UFdestino,tbl_ICMSinterest_uforig)),""),0)</f>
        <v>0</v>
      </c>
      <c r="CI190" s="355">
        <f t="shared" si="1070"/>
        <v>0</v>
      </c>
      <c r="CJ190" s="355">
        <f t="shared" si="1071"/>
        <v>0</v>
      </c>
      <c r="CK190" s="355">
        <f t="shared" si="1072"/>
        <v>0</v>
      </c>
      <c r="CL190" s="355">
        <f t="shared" si="1073"/>
        <v>0</v>
      </c>
      <c r="CN190" s="370">
        <f t="shared" si="1074"/>
        <v>1540</v>
      </c>
      <c r="CO190" s="355">
        <f t="shared" si="1075"/>
        <v>0</v>
      </c>
      <c r="CQ190" s="355" t="b">
        <f t="shared" si="1076"/>
        <v>0</v>
      </c>
      <c r="CR190" s="355" t="b">
        <f t="shared" si="1077"/>
        <v>1</v>
      </c>
      <c r="CS190" s="355" t="b">
        <f t="shared" si="1078"/>
        <v>0</v>
      </c>
      <c r="CU190" s="2">
        <f t="shared" si="1079"/>
        <v>0</v>
      </c>
      <c r="CV190" s="102">
        <f t="shared" si="1080"/>
        <v>0</v>
      </c>
      <c r="CW190" s="102">
        <f t="shared" si="1098"/>
        <v>0</v>
      </c>
      <c r="CX190" s="102">
        <f t="shared" si="1081"/>
        <v>0</v>
      </c>
      <c r="CY190" s="290">
        <f t="shared" si="1082"/>
        <v>0</v>
      </c>
      <c r="CZ190" s="102">
        <f t="shared" si="1100"/>
        <v>0</v>
      </c>
      <c r="DA190" s="290">
        <f t="shared" si="1083"/>
        <v>0</v>
      </c>
      <c r="DB190" s="102">
        <f t="shared" si="1101"/>
        <v>0</v>
      </c>
      <c r="DC190" s="290">
        <f t="shared" si="1084"/>
        <v>0</v>
      </c>
      <c r="DD190" s="102">
        <f t="shared" si="1099"/>
        <v>0</v>
      </c>
      <c r="DE190" s="592">
        <f>IF(D190="Sim",HLOOKUP($DH$5,Parametrização!$G$2:$H$4,2,FALSE),0)</f>
        <v>0</v>
      </c>
      <c r="DF190" s="102">
        <f t="shared" si="1102"/>
        <v>0</v>
      </c>
      <c r="DG190" s="592">
        <f>IF(D190="Sim",HLOOKUP($DH$5,Parametrização!$G$2:$H$4,3,FALSE),0)</f>
        <v>0</v>
      </c>
      <c r="DH190" s="102">
        <f t="shared" si="1103"/>
        <v>0</v>
      </c>
      <c r="DI190" s="102">
        <f t="shared" si="1104"/>
        <v>0</v>
      </c>
      <c r="DK190" s="3" t="str">
        <f t="shared" si="1085"/>
        <v>NA</v>
      </c>
      <c r="DL190" s="2" t="str">
        <f t="shared" si="1086"/>
        <v>NA</v>
      </c>
      <c r="DM190" s="3" t="str">
        <f t="shared" si="1087"/>
        <v>NA</v>
      </c>
      <c r="DN190" s="9" t="str">
        <f t="shared" si="1088"/>
        <v>NA</v>
      </c>
      <c r="DO190" s="637" t="str">
        <f t="shared" si="1089"/>
        <v>NA</v>
      </c>
      <c r="DP190" s="637"/>
      <c r="DQ190" s="3" t="str">
        <f t="shared" si="1090"/>
        <v>NA</v>
      </c>
      <c r="DR190" s="2" t="str">
        <f t="shared" si="1091"/>
        <v>NA</v>
      </c>
      <c r="DS190" s="3" t="str">
        <f t="shared" si="1092"/>
        <v>NA</v>
      </c>
      <c r="DT190" s="9" t="str">
        <f t="shared" si="1105"/>
        <v>NA</v>
      </c>
      <c r="DU190" s="637" t="str">
        <f t="shared" si="1106"/>
        <v>NA</v>
      </c>
      <c r="DV190" s="637"/>
      <c r="DW190" s="682"/>
      <c r="DX190" s="682"/>
      <c r="DY190" s="682"/>
      <c r="DZ190" s="637"/>
      <c r="EA190" s="643"/>
    </row>
    <row r="191" spans="1:131" s="355" customFormat="1" ht="20.100000000000001" customHeight="1" outlineLevel="1" x14ac:dyDescent="0.25">
      <c r="A191" s="356"/>
      <c r="B191" s="355" t="s">
        <v>268</v>
      </c>
      <c r="C191" s="355" t="str">
        <f t="shared" si="1093"/>
        <v>Consumo</v>
      </c>
      <c r="D191" s="355" t="s">
        <v>53</v>
      </c>
      <c r="E191" s="18" t="s">
        <v>38</v>
      </c>
      <c r="F191" s="355" t="s">
        <v>53</v>
      </c>
      <c r="G191" s="357" t="str">
        <f t="shared" si="1094"/>
        <v>Geral</v>
      </c>
      <c r="H191" s="255" t="s">
        <v>377</v>
      </c>
      <c r="I191" s="356" t="str">
        <f t="shared" ref="I191:I254" si="1112">std_tiponcm</f>
        <v>Sistema</v>
      </c>
      <c r="K191" s="318" t="s">
        <v>2944</v>
      </c>
      <c r="L191" s="749" t="str">
        <f>IF(Padrões!JF132&lt;&gt;"",Padrões!JF132,"")</f>
        <v/>
      </c>
      <c r="M191" s="358" t="str">
        <f t="shared" ref="M191:M264" si="1113">IFERROR(IFERROR(VLOOKUP(L191,tbl_materiais,COLUMN(head_mat_descricao)-COLUMN(head_mat_item)+1,FALSE),VLOOKUP(L191,tbl_servicos,COLUMN(head_serv_descricao)-COLUMN(head_serv_item)+1,FALSE)),"?")</f>
        <v>?</v>
      </c>
      <c r="N191" s="359">
        <f>Padrões!JI132</f>
        <v>0</v>
      </c>
      <c r="O191" s="381" t="str">
        <f t="shared" ref="O191:O254" si="1114">IF(CQ191,std_ncm,IF(I191="Serviço","NA",IF(I191="Material",IFERROR(VLOOKUP(L191,tbl_materiais,COLUMN(head_mat_NCM)-COLUMN(head_mat_item)+1,FALSE),"?"),IFERROR(VLOOKUP(I191,tbl_TipoLinha,2,FALSE),"?"))))</f>
        <v>?</v>
      </c>
      <c r="P191" s="360">
        <f t="shared" ref="P191:P254" si="1115">IF(AND(D191="Não",I191&lt;&gt;"Serviço",CD191="Não"),IFERROR(IF(flag_interestadual,CE191,IF(CF191,CF191,CE191)),"?"),0)</f>
        <v>0.12</v>
      </c>
      <c r="Q191" s="360" t="str">
        <f t="shared" ref="Q191:Q254" si="1116">IF(AND(D191="Não",I191&lt;&gt;"Serviço"),IF(I191="Material",IFERROR(VLOOKUP(L191,tbl_materiais,COLUMN(head_mat_IPI)-COLUMN(head_mat_item)+1,FALSE),"?"),IFERROR(VLOOKUP(O191,tbl_NCM_info,COLUMN(head_porNCM_IPI)-COLUMN(head_porNCM_NCM)+1,FALSE),"?")),0)</f>
        <v>?</v>
      </c>
      <c r="R191" s="360">
        <f t="shared" ref="R191:R254" si="1117">IF(AND(D191="Não",I191="Serviço"),IFERROR(VLOOKUP(CB191,tbl_ISS,5,FALSE),"?"),0)</f>
        <v>0</v>
      </c>
      <c r="S191" s="361">
        <f t="shared" ref="S191:S254" si="1118">IF(D191="Não",IF(reidi="Sim",0,IF(B191="Real",pis_naocum,pis_cum)),0)</f>
        <v>0</v>
      </c>
      <c r="T191" s="362">
        <f t="shared" ref="T191:T254" si="1119">IF(D191="Não",IF(reidi="Sim",0,IF(B191="Real",cofins_naocum,cofins_cum)),0)</f>
        <v>0</v>
      </c>
      <c r="U191" s="53" t="str" cm="1">
        <f t="array" ref="U191">IFERROR(IF(I191&lt;&gt;"Serviço",IF(AND(mlookup(tbl_DIFAL_data,UFdestino,tbl_DIFAL_UF,O191,tbl_DIFAL_NCM)&lt;&gt;"",C191="Consumo"),"Sim",""),""),"?")</f>
        <v>?</v>
      </c>
      <c r="V191" s="363" t="str">
        <f>IFERROR(IF(I191&lt;&gt;"Serviço",IF(AND(D191="Não",mlookup(tbl_ST_data,UFdestino,tbl_ST_UF,O191,tbl_ST_NCM)&lt;&gt;"",C191="Revenda",CD191="Não"),"Sim",""),""),"?")</f>
        <v>?</v>
      </c>
      <c r="W191" s="364">
        <f t="shared" ref="W191:W254" si="1120">IF(OR(U191="Sim",V191="Sim"),CG191,0)</f>
        <v>0</v>
      </c>
      <c r="X191" s="365">
        <f>IF(V191="Sim",mlookup(tbl_ST_data,UFdestino,tbl_ST_UF,O191,tbl_ST_NCM),0)</f>
        <v>0</v>
      </c>
      <c r="Z191" s="355">
        <f t="shared" ref="Z191:Z254" si="1121">IF(AND(N191&gt;0,CQ191=FALSE),IFERROR(VLOOKUP(L191,tbl_servicos,COLUMN(head_serv_CL)-COLUMN(head_serv_item)+1,FALSE),IF(D191="Sim",0,IF(B191="Real",VLOOKUP(L191,tbl_materiais,COLUMN(head_mat_CLreal)-COLUMN(head_mat_item)+1,FALSE),VLOOKUP(L191,tbl_materiais,COLUMN(head_mat_CLpresumido)-COLUMN(head_mat_item)+1,FALSE)))),0)</f>
        <v>0</v>
      </c>
      <c r="AA191" s="355">
        <f t="shared" si="1107"/>
        <v>0</v>
      </c>
      <c r="AC191" s="366">
        <f t="shared" si="1095"/>
        <v>1.31243473968765E-2</v>
      </c>
      <c r="AD191" s="366">
        <f t="shared" ref="AD191:AD254" si="1122">IF(F191="Sim",0,VLOOKUP(E191,tbl_mb,2,FALSE))</f>
        <v>0.15</v>
      </c>
      <c r="AF191" s="355">
        <f t="shared" ref="AF191:AF254" si="1123">AI191*AC191</f>
        <v>0</v>
      </c>
      <c r="AG191" s="355">
        <f t="shared" ref="AG191:AG254" si="1124">AI191*AD191</f>
        <v>0</v>
      </c>
      <c r="AI191" s="355">
        <f t="shared" ref="AI191:AI254" si="1125">AA191/(1-AC191-AD191)</f>
        <v>0</v>
      </c>
      <c r="AK191" s="366">
        <f t="shared" si="1096"/>
        <v>0</v>
      </c>
      <c r="AL191" s="355">
        <f t="shared" si="1108"/>
        <v>0</v>
      </c>
      <c r="AM191" s="355">
        <f t="shared" si="1109"/>
        <v>0</v>
      </c>
      <c r="AO191" s="355" t="b">
        <f t="shared" ref="AO191:AO254" si="1126">IF(ABS(SUM(AA191,AF191:AG191,AL191)-AM191)&lt;0.01,TRUE,FALSE)</f>
        <v>1</v>
      </c>
      <c r="AQ191" s="367">
        <f t="shared" ref="AQ191:AQ254" si="1127">IFERROR(AR191/N191,0)</f>
        <v>0</v>
      </c>
      <c r="AR191" s="367">
        <f t="shared" si="1110"/>
        <v>0</v>
      </c>
      <c r="AT191" s="367">
        <f t="shared" ref="AT191:AT254" si="1128">IFERROR(AU191/N191,0)</f>
        <v>0</v>
      </c>
      <c r="AU191" s="367">
        <f t="shared" ref="AU191:AU254" si="1129">IF(AND(N191&gt;0,CQ191=FALSE),IF(C191="Consumo",AR191*(1+Q191)/(1-P191*(1+Q191)-R191-S191-T191),AR191*(1+Q191)/(1-P191-R191-S191-T191)),0)</f>
        <v>0</v>
      </c>
      <c r="AW191" s="367">
        <f t="shared" ref="AW191:AW254" si="1130">IF(AU191&gt;0,AU191/(1+Q191),0)</f>
        <v>0</v>
      </c>
      <c r="AX191" s="367">
        <f t="shared" ref="AX191:AX254" si="1131">IF(AU191&gt;0,IF(C191="Consumo",AW191-AU191*P191,AW191*(1-P191)),0)</f>
        <v>0</v>
      </c>
      <c r="AY191" s="367">
        <f t="shared" ref="AY191:AY254" si="1132">AX191-AW191*R191</f>
        <v>0</v>
      </c>
      <c r="AZ191" s="367">
        <f t="shared" ref="AZ191:AZ254" si="1133">AY191-AW191*(S191+T191)</f>
        <v>0</v>
      </c>
      <c r="BB191" s="355">
        <f t="shared" ref="BB191:BB254" si="1134">IF(AW191&gt;0,AW191*Q191,0)</f>
        <v>0</v>
      </c>
      <c r="BC191" s="355">
        <f t="shared" ref="BC191:BC254" si="1135">IF(AW191&gt;0,IF(C191="Consumo",AU191*P191,AW191*P191),0)</f>
        <v>0</v>
      </c>
      <c r="BD191" s="355">
        <f t="shared" ref="BD191:BD254" si="1136">AW191*R191</f>
        <v>0</v>
      </c>
      <c r="BE191" s="355">
        <f t="shared" ref="BE191:BE254" si="1137">AW191*S191</f>
        <v>0</v>
      </c>
      <c r="BF191" s="355">
        <f t="shared" ref="BF191:BF254" si="1138">AW191*T191</f>
        <v>0</v>
      </c>
      <c r="BH191" s="368">
        <f t="shared" ref="BH191:BH254" si="1139">W191</f>
        <v>0</v>
      </c>
      <c r="BJ191" s="369">
        <f t="shared" ref="BJ191:BJ254" si="1140">IF(AND(U191&lt;&gt;"",C191="Consumo"),BH191-P191,0)</f>
        <v>-0.12</v>
      </c>
      <c r="BK191" s="355">
        <f t="shared" ref="BK191:BK254" si="1141">BJ191*AU191</f>
        <v>0</v>
      </c>
      <c r="BL191" s="355">
        <f t="shared" ref="BL191:BL254" si="1142">AU191+BK191</f>
        <v>0</v>
      </c>
      <c r="BN191" s="366">
        <f t="shared" ref="BN191:BN254" si="1143">X191</f>
        <v>0</v>
      </c>
      <c r="BO191" s="355">
        <f t="shared" ref="BO191:BO254" si="1144">AU191*(1+BN191)</f>
        <v>0</v>
      </c>
      <c r="BP191" s="355">
        <f t="shared" ref="BP191:BP254" si="1145">IF(AND(V191&lt;&gt;"",C191="Revenda"),BO191*BH191-BC191,0)</f>
        <v>0</v>
      </c>
      <c r="BQ191" s="355">
        <f t="shared" ref="BQ191:BQ254" si="1146">AU191+BP191</f>
        <v>0</v>
      </c>
      <c r="BS191" s="367">
        <f t="shared" ref="BS191:BS254" si="1147">AU191-SUM(BB191:BF191)</f>
        <v>0</v>
      </c>
      <c r="BT191" s="355">
        <f t="shared" ref="BT191:BT254" si="1148">AR191+SUM(BB191:BF191)</f>
        <v>0</v>
      </c>
      <c r="BU191" s="355" t="b">
        <f t="shared" si="1111"/>
        <v>1</v>
      </c>
      <c r="BW191" s="355" t="str">
        <f t="shared" ref="BW191:BW254" si="1149">IF(AND(N191&gt;0,CQ191=FALSE),IF(D191="Sim","Fat. Direto",VLOOKUP(CB191,tbl_IRPJaux,2,FALSE)),"")</f>
        <v/>
      </c>
      <c r="BX191" s="355">
        <f t="shared" ref="BX191:BX254" si="1150">IF(AND(BW191&lt;&gt;"NA",D191="Não"),MAX(BL191,BQ191),0)</f>
        <v>0</v>
      </c>
      <c r="BY191" s="356">
        <f t="shared" si="1097"/>
        <v>0</v>
      </c>
      <c r="BZ191" s="355">
        <f t="shared" ref="BZ191:BZ254" si="1151">IF(BX191&gt;0,AA191*BY191+AG191*recuperavel_MB_ir_real+AF191*recuperavel_coberturas_ir_real+SUM(BB191:BF191,BK191,BP191),0)</f>
        <v>0</v>
      </c>
      <c r="CB191" s="102" t="str">
        <f t="shared" ref="CB191:CB254" si="1152">IFERROR(VLOOKUP(L191,tbl_materiais,COLUMN(head_mat_WBS)-COLUMN(head_mat_item)+1,FALSE),IFERROR(VLOOKUP(L191,tbl_servicos,COLUMN(head_serv_WBS)-COLUMN(head_serv_item)+1,FALSE),"?"))</f>
        <v>?</v>
      </c>
      <c r="CD191" s="355" t="str">
        <f t="shared" ref="CD191:CD254" si="1153">IFERROR(VLOOKUP(L191,tbl_materiais,COLUMN(head_mat_st)-COLUMN(head_mat_item)+1,FALSE),"Não")</f>
        <v>Não</v>
      </c>
      <c r="CE191" s="368">
        <f>ifzero(mlookup(tbl_ICMSinterest_data,UFdestino,tbl_ICMSinterest_ufdest,UForigem,tbl_ICMSinterest_uforig))</f>
        <v>0.12</v>
      </c>
      <c r="CF191" s="368">
        <f>IF(N191&gt;0,IF(I191&lt;&gt;"Serviço",ifzero(mlookup(tbl_ICMSinterno_data,UForigem,tbl_ICMSinterno_UF,O191,tbl_ICMSinterno_NCM),mlookup(tbl_ICMSinterest_data,UForigem,tbl_ICMSinterest_ufdest,UForigem,tbl_ICMSinterest_uforig)),""),0)</f>
        <v>0</v>
      </c>
      <c r="CG191" s="368">
        <f>IF(N191&gt;0,IF(I191&lt;&gt;"Serviço",ifzero(mlookup(tbl_ICMSinterno_data,UFdestino,tbl_ICMSinterno_UF,O191,tbl_ICMSinterno_NCM),mlookup(tbl_ICMSinterest_data,UFdestino,tbl_ICMSinterest_ufdest,UFdestino,tbl_ICMSinterest_uforig)),""),0)</f>
        <v>0</v>
      </c>
      <c r="CI191" s="355">
        <f t="shared" ref="CI191:CI254" si="1154">IFERROR(IF(AND(I191&lt;&gt;"Serviço",D191="Não"),N191*VLOOKUP(L191,tbl_materiais,COLUMN(head_mat_credito_ICMS)-COLUMN(head_mat_item)+1,FALSE),0),0)</f>
        <v>0</v>
      </c>
      <c r="CJ191" s="355">
        <f t="shared" ref="CJ191:CJ254" si="1155">IFERROR(IF(AND(I191&lt;&gt;"Serviço",D191="Não"),N191*VLOOKUP(L191,tbl_materiais,COLUMN(head_mat_credito_IPI)-COLUMN(head_mat_item)+1,FALSE),0),0)</f>
        <v>0</v>
      </c>
      <c r="CK191" s="355">
        <f t="shared" ref="CK191:CK254" si="1156">IFERROR(IF(AND(I191&lt;&gt;"Serviço",D191="Não",B191="Real"),N191*VLOOKUP(L191,tbl_materiais,COLUMN(head_mat_credito_PIS)-COLUMN(head_mat_item)+1,FALSE),0),0)</f>
        <v>0</v>
      </c>
      <c r="CL191" s="355">
        <f t="shared" ref="CL191:CL254" si="1157">IFERROR(IF(AND(I191&lt;&gt;"Serviço",D191="Não",B191="Real"),N191*VLOOKUP(L191,tbl_materiais,COLUMN(head_mat_credito_COFINS)-COLUMN(head_mat_item)+1,FALSE),0),0)</f>
        <v>0</v>
      </c>
      <c r="CN191" s="370">
        <f t="shared" ref="CN191:CN254" si="1158">IFERROR(SUMIF(serv_col_item,"="&amp;L191,serv_col_totalhh),0)</f>
        <v>1540</v>
      </c>
      <c r="CO191" s="355">
        <f t="shared" ref="CO191:CO254" si="1159">IFERROR(SUMIF(serv_col_item,"="&amp;L191,serv_col_gdv),0)</f>
        <v>0</v>
      </c>
      <c r="CQ191" s="355" t="b">
        <f t="shared" ref="CQ191:CQ254" si="1160">IF(N191&gt;0,IF(ISERROR(HLOOKUP(L191,std_tbl4,1,FALSE)),FALSE,TRUE),FALSE)</f>
        <v>0</v>
      </c>
      <c r="CR191" s="355" t="b">
        <f t="shared" ref="CR191:CR254" si="1161">IF(AND(CQ191,I191&lt;&gt;std_tiponcm),FALSE,TRUE)</f>
        <v>1</v>
      </c>
      <c r="CS191" s="355" t="b">
        <f t="shared" ref="CS191:CS254" si="1162">IF(AND(CQ191,D191="Sim"),TRUE,FALSE)</f>
        <v>0</v>
      </c>
      <c r="CU191" s="2">
        <f t="shared" ref="CU191:CU254" si="1163">IF(D191="Sim",VLOOKUP(L191,tbl_materiais,COLUMN(head_mat_fatdir)-COLUMN(head_mat_item)+1,FALSE),0)</f>
        <v>0</v>
      </c>
      <c r="CV191" s="102">
        <f t="shared" ref="CV191:CV254" si="1164">CU191*N191</f>
        <v>0</v>
      </c>
      <c r="CW191" s="102">
        <f t="shared" si="1098"/>
        <v>0</v>
      </c>
      <c r="CX191" s="102">
        <f t="shared" ref="CX191:CX254" si="1165">CV191/(1-AK191)</f>
        <v>0</v>
      </c>
      <c r="CY191" s="290">
        <f t="shared" ref="CY191:CY254" si="1166">IF(D191="Sim",VLOOKUP(L191,tbl_materiais,COLUMN(head_mat_ICMS_input)-COLUMN(head_mat_item)+1,FALSE),0)</f>
        <v>0</v>
      </c>
      <c r="CZ191" s="102">
        <f t="shared" si="1100"/>
        <v>0</v>
      </c>
      <c r="DA191" s="290">
        <f t="shared" ref="DA191:DA254" si="1167">IF(D191="Sim",VLOOKUP(L191,tbl_materiais,COLUMN(head_mat_ISS_input)-COLUMN(head_mat_item)+1,FALSE),0)</f>
        <v>0</v>
      </c>
      <c r="DB191" s="102">
        <f t="shared" si="1101"/>
        <v>0</v>
      </c>
      <c r="DC191" s="290">
        <f t="shared" ref="DC191:DC254" si="1168">IF(D191="Sim",VLOOKUP(L191,tbl_materiais,COLUMN(head_mat_IPI_input)-COLUMN(head_mat_item)+1,FALSE),0)</f>
        <v>0</v>
      </c>
      <c r="DD191" s="102">
        <f t="shared" si="1099"/>
        <v>0</v>
      </c>
      <c r="DE191" s="592">
        <f>IF(D191="Sim",HLOOKUP($DH$5,Parametrização!$G$2:$H$4,2,FALSE),0)</f>
        <v>0</v>
      </c>
      <c r="DF191" s="102">
        <f t="shared" si="1102"/>
        <v>0</v>
      </c>
      <c r="DG191" s="592">
        <f>IF(D191="Sim",HLOOKUP($DH$5,Parametrização!$G$2:$H$4,3,FALSE),0)</f>
        <v>0</v>
      </c>
      <c r="DH191" s="102">
        <f t="shared" si="1103"/>
        <v>0</v>
      </c>
      <c r="DI191" s="102">
        <f t="shared" si="1104"/>
        <v>0</v>
      </c>
      <c r="DK191" s="3" t="str">
        <f t="shared" ref="DK191:DK254" si="1169">IF(AND(I191&lt;&gt;"Serviço",Z191&gt;0),P191,"NA")</f>
        <v>NA</v>
      </c>
      <c r="DL191" s="2" t="str">
        <f t="shared" ref="DL191:DL254" si="1170">IF(AND(I191="Serviço",Z191&gt;0),R191,"NA")</f>
        <v>NA</v>
      </c>
      <c r="DM191" s="3" t="str">
        <f t="shared" ref="DM191:DM254" si="1171">IF(AND(I191&lt;&gt;"Serviço",Z191&gt;0),Q191,"NA")</f>
        <v>NA</v>
      </c>
      <c r="DN191" s="9" t="str">
        <f t="shared" ref="DN191:DN254" si="1172">IF(Z191&gt;0,S191,"NA")</f>
        <v>NA</v>
      </c>
      <c r="DO191" s="637" t="str">
        <f t="shared" ref="DO191:DO254" si="1173">IF(Z191&gt;0,T191,"NA")</f>
        <v>NA</v>
      </c>
      <c r="DP191" s="637"/>
      <c r="DQ191" s="3" t="str">
        <f t="shared" ref="DQ191:DQ254" si="1174">IF(AND(I191&lt;&gt;"Serviço",CU191&gt;0),CY191,"NA")</f>
        <v>NA</v>
      </c>
      <c r="DR191" s="2" t="str">
        <f t="shared" ref="DR191:DR254" si="1175">IF(AND(I191="Serviço",CU191&gt;0),DA191,"NA")</f>
        <v>NA</v>
      </c>
      <c r="DS191" s="3" t="str">
        <f t="shared" ref="DS191:DS254" si="1176">IF(AND(I191&lt;&gt;"Serviço",CU191&gt;0),DC191,"NA")</f>
        <v>NA</v>
      </c>
      <c r="DT191" s="9" t="str">
        <f t="shared" si="1105"/>
        <v>NA</v>
      </c>
      <c r="DU191" s="637" t="str">
        <f t="shared" si="1106"/>
        <v>NA</v>
      </c>
      <c r="DV191" s="637"/>
      <c r="DW191" s="682"/>
      <c r="DX191" s="682"/>
      <c r="DY191" s="682"/>
      <c r="DZ191" s="637"/>
      <c r="EA191" s="643"/>
    </row>
    <row r="192" spans="1:131" s="355" customFormat="1" ht="20.100000000000001" customHeight="1" outlineLevel="1" x14ac:dyDescent="0.25">
      <c r="A192" s="356"/>
      <c r="B192" s="355" t="s">
        <v>268</v>
      </c>
      <c r="C192" s="355" t="str">
        <f t="shared" si="1093"/>
        <v>Consumo</v>
      </c>
      <c r="D192" s="355" t="s">
        <v>53</v>
      </c>
      <c r="E192" s="18" t="s">
        <v>38</v>
      </c>
      <c r="F192" s="355" t="s">
        <v>53</v>
      </c>
      <c r="G192" s="357" t="str">
        <f t="shared" si="1094"/>
        <v>Geral</v>
      </c>
      <c r="H192" s="255" t="s">
        <v>377</v>
      </c>
      <c r="I192" s="356" t="str">
        <f t="shared" si="1112"/>
        <v>Sistema</v>
      </c>
      <c r="K192" s="318" t="s">
        <v>2945</v>
      </c>
      <c r="L192" s="749" t="str">
        <f>IF(Padrões!JF133&lt;&gt;"",Padrões!JF133,"")</f>
        <v/>
      </c>
      <c r="M192" s="358" t="str">
        <f t="shared" si="1113"/>
        <v>?</v>
      </c>
      <c r="N192" s="359">
        <f>Padrões!JI133</f>
        <v>0</v>
      </c>
      <c r="O192" s="381" t="str">
        <f t="shared" si="1114"/>
        <v>?</v>
      </c>
      <c r="P192" s="360">
        <f t="shared" si="1115"/>
        <v>0.12</v>
      </c>
      <c r="Q192" s="360" t="str">
        <f t="shared" si="1116"/>
        <v>?</v>
      </c>
      <c r="R192" s="360">
        <f t="shared" si="1117"/>
        <v>0</v>
      </c>
      <c r="S192" s="361">
        <f t="shared" si="1118"/>
        <v>0</v>
      </c>
      <c r="T192" s="362">
        <f t="shared" si="1119"/>
        <v>0</v>
      </c>
      <c r="U192" s="53" t="str" cm="1">
        <f t="array" ref="U192">IFERROR(IF(I192&lt;&gt;"Serviço",IF(AND(mlookup(tbl_DIFAL_data,UFdestino,tbl_DIFAL_UF,O192,tbl_DIFAL_NCM)&lt;&gt;"",C192="Consumo"),"Sim",""),""),"?")</f>
        <v>?</v>
      </c>
      <c r="V192" s="363" t="str">
        <f>IFERROR(IF(I192&lt;&gt;"Serviço",IF(AND(D192="Não",mlookup(tbl_ST_data,UFdestino,tbl_ST_UF,O192,tbl_ST_NCM)&lt;&gt;"",C192="Revenda",CD192="Não"),"Sim",""),""),"?")</f>
        <v>?</v>
      </c>
      <c r="W192" s="364">
        <f t="shared" si="1120"/>
        <v>0</v>
      </c>
      <c r="X192" s="365">
        <f>IF(V192="Sim",mlookup(tbl_ST_data,UFdestino,tbl_ST_UF,O192,tbl_ST_NCM),0)</f>
        <v>0</v>
      </c>
      <c r="Z192" s="355">
        <f t="shared" si="1121"/>
        <v>0</v>
      </c>
      <c r="AA192" s="355">
        <f t="shared" si="1107"/>
        <v>0</v>
      </c>
      <c r="AC192" s="366">
        <f t="shared" si="1095"/>
        <v>1.31243473968765E-2</v>
      </c>
      <c r="AD192" s="366">
        <f t="shared" si="1122"/>
        <v>0.15</v>
      </c>
      <c r="AF192" s="355">
        <f t="shared" si="1123"/>
        <v>0</v>
      </c>
      <c r="AG192" s="355">
        <f t="shared" si="1124"/>
        <v>0</v>
      </c>
      <c r="AI192" s="355">
        <f t="shared" si="1125"/>
        <v>0</v>
      </c>
      <c r="AK192" s="366">
        <f t="shared" si="1096"/>
        <v>0</v>
      </c>
      <c r="AL192" s="355">
        <f t="shared" si="1108"/>
        <v>0</v>
      </c>
      <c r="AM192" s="355">
        <f t="shared" si="1109"/>
        <v>0</v>
      </c>
      <c r="AO192" s="355" t="b">
        <f t="shared" si="1126"/>
        <v>1</v>
      </c>
      <c r="AQ192" s="367">
        <f t="shared" si="1127"/>
        <v>0</v>
      </c>
      <c r="AR192" s="367">
        <f t="shared" si="1110"/>
        <v>0</v>
      </c>
      <c r="AT192" s="367">
        <f t="shared" si="1128"/>
        <v>0</v>
      </c>
      <c r="AU192" s="367">
        <f t="shared" si="1129"/>
        <v>0</v>
      </c>
      <c r="AW192" s="367">
        <f t="shared" si="1130"/>
        <v>0</v>
      </c>
      <c r="AX192" s="367">
        <f t="shared" si="1131"/>
        <v>0</v>
      </c>
      <c r="AY192" s="367">
        <f t="shared" si="1132"/>
        <v>0</v>
      </c>
      <c r="AZ192" s="367">
        <f t="shared" si="1133"/>
        <v>0</v>
      </c>
      <c r="BB192" s="355">
        <f t="shared" si="1134"/>
        <v>0</v>
      </c>
      <c r="BC192" s="355">
        <f t="shared" si="1135"/>
        <v>0</v>
      </c>
      <c r="BD192" s="355">
        <f t="shared" si="1136"/>
        <v>0</v>
      </c>
      <c r="BE192" s="355">
        <f t="shared" si="1137"/>
        <v>0</v>
      </c>
      <c r="BF192" s="355">
        <f t="shared" si="1138"/>
        <v>0</v>
      </c>
      <c r="BH192" s="368">
        <f t="shared" si="1139"/>
        <v>0</v>
      </c>
      <c r="BJ192" s="369">
        <f t="shared" si="1140"/>
        <v>-0.12</v>
      </c>
      <c r="BK192" s="355">
        <f t="shared" si="1141"/>
        <v>0</v>
      </c>
      <c r="BL192" s="355">
        <f t="shared" si="1142"/>
        <v>0</v>
      </c>
      <c r="BN192" s="366">
        <f t="shared" si="1143"/>
        <v>0</v>
      </c>
      <c r="BO192" s="355">
        <f t="shared" si="1144"/>
        <v>0</v>
      </c>
      <c r="BP192" s="355">
        <f t="shared" si="1145"/>
        <v>0</v>
      </c>
      <c r="BQ192" s="355">
        <f t="shared" si="1146"/>
        <v>0</v>
      </c>
      <c r="BS192" s="367">
        <f t="shared" si="1147"/>
        <v>0</v>
      </c>
      <c r="BT192" s="355">
        <f t="shared" si="1148"/>
        <v>0</v>
      </c>
      <c r="BU192" s="355" t="b">
        <f t="shared" si="1111"/>
        <v>1</v>
      </c>
      <c r="BW192" s="355" t="str">
        <f t="shared" si="1149"/>
        <v/>
      </c>
      <c r="BX192" s="355">
        <f t="shared" si="1150"/>
        <v>0</v>
      </c>
      <c r="BY192" s="356">
        <f t="shared" si="1097"/>
        <v>0</v>
      </c>
      <c r="BZ192" s="355">
        <f t="shared" si="1151"/>
        <v>0</v>
      </c>
      <c r="CB192" s="102" t="str">
        <f t="shared" si="1152"/>
        <v>?</v>
      </c>
      <c r="CD192" s="355" t="str">
        <f t="shared" si="1153"/>
        <v>Não</v>
      </c>
      <c r="CE192" s="368">
        <f>ifzero(mlookup(tbl_ICMSinterest_data,UFdestino,tbl_ICMSinterest_ufdest,UForigem,tbl_ICMSinterest_uforig))</f>
        <v>0.12</v>
      </c>
      <c r="CF192" s="368">
        <f>IF(N192&gt;0,IF(I192&lt;&gt;"Serviço",ifzero(mlookup(tbl_ICMSinterno_data,UForigem,tbl_ICMSinterno_UF,O192,tbl_ICMSinterno_NCM),mlookup(tbl_ICMSinterest_data,UForigem,tbl_ICMSinterest_ufdest,UForigem,tbl_ICMSinterest_uforig)),""),0)</f>
        <v>0</v>
      </c>
      <c r="CG192" s="368">
        <f>IF(N192&gt;0,IF(I192&lt;&gt;"Serviço",ifzero(mlookup(tbl_ICMSinterno_data,UFdestino,tbl_ICMSinterno_UF,O192,tbl_ICMSinterno_NCM),mlookup(tbl_ICMSinterest_data,UFdestino,tbl_ICMSinterest_ufdest,UFdestino,tbl_ICMSinterest_uforig)),""),0)</f>
        <v>0</v>
      </c>
      <c r="CI192" s="355">
        <f t="shared" si="1154"/>
        <v>0</v>
      </c>
      <c r="CJ192" s="355">
        <f t="shared" si="1155"/>
        <v>0</v>
      </c>
      <c r="CK192" s="355">
        <f t="shared" si="1156"/>
        <v>0</v>
      </c>
      <c r="CL192" s="355">
        <f t="shared" si="1157"/>
        <v>0</v>
      </c>
      <c r="CN192" s="370">
        <f t="shared" si="1158"/>
        <v>1540</v>
      </c>
      <c r="CO192" s="355">
        <f t="shared" si="1159"/>
        <v>0</v>
      </c>
      <c r="CQ192" s="355" t="b">
        <f t="shared" si="1160"/>
        <v>0</v>
      </c>
      <c r="CR192" s="355" t="b">
        <f t="shared" si="1161"/>
        <v>1</v>
      </c>
      <c r="CS192" s="355" t="b">
        <f t="shared" si="1162"/>
        <v>0</v>
      </c>
      <c r="CU192" s="2">
        <f t="shared" si="1163"/>
        <v>0</v>
      </c>
      <c r="CV192" s="102">
        <f t="shared" si="1164"/>
        <v>0</v>
      </c>
      <c r="CW192" s="102">
        <f t="shared" si="1098"/>
        <v>0</v>
      </c>
      <c r="CX192" s="102">
        <f t="shared" si="1165"/>
        <v>0</v>
      </c>
      <c r="CY192" s="290">
        <f t="shared" si="1166"/>
        <v>0</v>
      </c>
      <c r="CZ192" s="102">
        <f t="shared" si="1100"/>
        <v>0</v>
      </c>
      <c r="DA192" s="290">
        <f t="shared" si="1167"/>
        <v>0</v>
      </c>
      <c r="DB192" s="102">
        <f t="shared" si="1101"/>
        <v>0</v>
      </c>
      <c r="DC192" s="290">
        <f t="shared" si="1168"/>
        <v>0</v>
      </c>
      <c r="DD192" s="102">
        <f t="shared" si="1099"/>
        <v>0</v>
      </c>
      <c r="DE192" s="592">
        <f>IF(D192="Sim",HLOOKUP($DH$5,Parametrização!$G$2:$H$4,2,FALSE),0)</f>
        <v>0</v>
      </c>
      <c r="DF192" s="102">
        <f t="shared" si="1102"/>
        <v>0</v>
      </c>
      <c r="DG192" s="592">
        <f>IF(D192="Sim",HLOOKUP($DH$5,Parametrização!$G$2:$H$4,3,FALSE),0)</f>
        <v>0</v>
      </c>
      <c r="DH192" s="102">
        <f t="shared" si="1103"/>
        <v>0</v>
      </c>
      <c r="DI192" s="102">
        <f t="shared" si="1104"/>
        <v>0</v>
      </c>
      <c r="DK192" s="3" t="str">
        <f t="shared" si="1169"/>
        <v>NA</v>
      </c>
      <c r="DL192" s="2" t="str">
        <f t="shared" si="1170"/>
        <v>NA</v>
      </c>
      <c r="DM192" s="3" t="str">
        <f t="shared" si="1171"/>
        <v>NA</v>
      </c>
      <c r="DN192" s="9" t="str">
        <f t="shared" si="1172"/>
        <v>NA</v>
      </c>
      <c r="DO192" s="637" t="str">
        <f t="shared" si="1173"/>
        <v>NA</v>
      </c>
      <c r="DP192" s="637"/>
      <c r="DQ192" s="3" t="str">
        <f t="shared" si="1174"/>
        <v>NA</v>
      </c>
      <c r="DR192" s="2" t="str">
        <f t="shared" si="1175"/>
        <v>NA</v>
      </c>
      <c r="DS192" s="3" t="str">
        <f t="shared" si="1176"/>
        <v>NA</v>
      </c>
      <c r="DT192" s="9" t="str">
        <f t="shared" si="1105"/>
        <v>NA</v>
      </c>
      <c r="DU192" s="637" t="str">
        <f t="shared" si="1106"/>
        <v>NA</v>
      </c>
      <c r="DV192" s="637"/>
      <c r="DW192" s="682"/>
      <c r="DX192" s="682"/>
      <c r="DY192" s="682"/>
      <c r="DZ192" s="637"/>
      <c r="EA192" s="643"/>
    </row>
    <row r="193" spans="1:131" s="355" customFormat="1" ht="20.100000000000001" customHeight="1" outlineLevel="1" x14ac:dyDescent="0.25">
      <c r="A193" s="356"/>
      <c r="B193" s="355" t="s">
        <v>268</v>
      </c>
      <c r="C193" s="355" t="str">
        <f t="shared" ref="C193:C256" si="1177">$C$63</f>
        <v>Consumo</v>
      </c>
      <c r="D193" s="355" t="s">
        <v>53</v>
      </c>
      <c r="E193" s="18" t="s">
        <v>38</v>
      </c>
      <c r="F193" s="355" t="s">
        <v>53</v>
      </c>
      <c r="G193" s="357" t="str">
        <f t="shared" ref="G193:G256" si="1178">$G$63</f>
        <v>Geral</v>
      </c>
      <c r="H193" s="255" t="s">
        <v>377</v>
      </c>
      <c r="I193" s="356" t="str">
        <f t="shared" si="1112"/>
        <v>Sistema</v>
      </c>
      <c r="K193" s="318" t="s">
        <v>2946</v>
      </c>
      <c r="L193" s="749" t="str">
        <f>IF(Padrões!JF134&lt;&gt;"",Padrões!JF134,"")</f>
        <v/>
      </c>
      <c r="M193" s="358" t="str">
        <f t="shared" si="1113"/>
        <v>?</v>
      </c>
      <c r="N193" s="359">
        <f>Padrões!JI134</f>
        <v>0</v>
      </c>
      <c r="O193" s="381" t="str">
        <f t="shared" si="1114"/>
        <v>?</v>
      </c>
      <c r="P193" s="360">
        <f t="shared" si="1115"/>
        <v>0.12</v>
      </c>
      <c r="Q193" s="360" t="str">
        <f t="shared" si="1116"/>
        <v>?</v>
      </c>
      <c r="R193" s="360">
        <f t="shared" si="1117"/>
        <v>0</v>
      </c>
      <c r="S193" s="361">
        <f t="shared" si="1118"/>
        <v>0</v>
      </c>
      <c r="T193" s="362">
        <f t="shared" si="1119"/>
        <v>0</v>
      </c>
      <c r="U193" s="53" t="str" cm="1">
        <f t="array" ref="U193">IFERROR(IF(I193&lt;&gt;"Serviço",IF(AND(mlookup(tbl_DIFAL_data,UFdestino,tbl_DIFAL_UF,O193,tbl_DIFAL_NCM)&lt;&gt;"",C193="Consumo"),"Sim",""),""),"?")</f>
        <v>?</v>
      </c>
      <c r="V193" s="363" t="str">
        <f>IFERROR(IF(I193&lt;&gt;"Serviço",IF(AND(D193="Não",mlookup(tbl_ST_data,UFdestino,tbl_ST_UF,O193,tbl_ST_NCM)&lt;&gt;"",C193="Revenda",CD193="Não"),"Sim",""),""),"?")</f>
        <v>?</v>
      </c>
      <c r="W193" s="364">
        <f t="shared" si="1120"/>
        <v>0</v>
      </c>
      <c r="X193" s="365">
        <f>IF(V193="Sim",mlookup(tbl_ST_data,UFdestino,tbl_ST_UF,O193,tbl_ST_NCM),0)</f>
        <v>0</v>
      </c>
      <c r="Z193" s="355">
        <f t="shared" si="1121"/>
        <v>0</v>
      </c>
      <c r="AA193" s="355">
        <f t="shared" si="1107"/>
        <v>0</v>
      </c>
      <c r="AC193" s="366">
        <f t="shared" si="1095"/>
        <v>1.31243473968765E-2</v>
      </c>
      <c r="AD193" s="366">
        <f t="shared" si="1122"/>
        <v>0.15</v>
      </c>
      <c r="AF193" s="355">
        <f t="shared" si="1123"/>
        <v>0</v>
      </c>
      <c r="AG193" s="355">
        <f t="shared" si="1124"/>
        <v>0</v>
      </c>
      <c r="AI193" s="355">
        <f t="shared" si="1125"/>
        <v>0</v>
      </c>
      <c r="AK193" s="366">
        <f t="shared" si="1096"/>
        <v>0</v>
      </c>
      <c r="AL193" s="355">
        <f t="shared" si="1108"/>
        <v>0</v>
      </c>
      <c r="AM193" s="355">
        <f t="shared" si="1109"/>
        <v>0</v>
      </c>
      <c r="AO193" s="355" t="b">
        <f t="shared" si="1126"/>
        <v>1</v>
      </c>
      <c r="AQ193" s="367">
        <f t="shared" si="1127"/>
        <v>0</v>
      </c>
      <c r="AR193" s="367">
        <f t="shared" si="1110"/>
        <v>0</v>
      </c>
      <c r="AT193" s="367">
        <f t="shared" si="1128"/>
        <v>0</v>
      </c>
      <c r="AU193" s="367">
        <f t="shared" si="1129"/>
        <v>0</v>
      </c>
      <c r="AW193" s="367">
        <f t="shared" si="1130"/>
        <v>0</v>
      </c>
      <c r="AX193" s="367">
        <f t="shared" si="1131"/>
        <v>0</v>
      </c>
      <c r="AY193" s="367">
        <f t="shared" si="1132"/>
        <v>0</v>
      </c>
      <c r="AZ193" s="367">
        <f t="shared" si="1133"/>
        <v>0</v>
      </c>
      <c r="BB193" s="355">
        <f t="shared" si="1134"/>
        <v>0</v>
      </c>
      <c r="BC193" s="355">
        <f t="shared" si="1135"/>
        <v>0</v>
      </c>
      <c r="BD193" s="355">
        <f t="shared" si="1136"/>
        <v>0</v>
      </c>
      <c r="BE193" s="355">
        <f t="shared" si="1137"/>
        <v>0</v>
      </c>
      <c r="BF193" s="355">
        <f t="shared" si="1138"/>
        <v>0</v>
      </c>
      <c r="BH193" s="368">
        <f t="shared" si="1139"/>
        <v>0</v>
      </c>
      <c r="BJ193" s="369">
        <f t="shared" si="1140"/>
        <v>-0.12</v>
      </c>
      <c r="BK193" s="355">
        <f t="shared" si="1141"/>
        <v>0</v>
      </c>
      <c r="BL193" s="355">
        <f t="shared" si="1142"/>
        <v>0</v>
      </c>
      <c r="BN193" s="366">
        <f t="shared" si="1143"/>
        <v>0</v>
      </c>
      <c r="BO193" s="355">
        <f t="shared" si="1144"/>
        <v>0</v>
      </c>
      <c r="BP193" s="355">
        <f t="shared" si="1145"/>
        <v>0</v>
      </c>
      <c r="BQ193" s="355">
        <f t="shared" si="1146"/>
        <v>0</v>
      </c>
      <c r="BS193" s="367">
        <f t="shared" si="1147"/>
        <v>0</v>
      </c>
      <c r="BT193" s="355">
        <f t="shared" si="1148"/>
        <v>0</v>
      </c>
      <c r="BU193" s="355" t="b">
        <f t="shared" si="1111"/>
        <v>1</v>
      </c>
      <c r="BW193" s="355" t="str">
        <f t="shared" si="1149"/>
        <v/>
      </c>
      <c r="BX193" s="355">
        <f t="shared" si="1150"/>
        <v>0</v>
      </c>
      <c r="BY193" s="356">
        <f t="shared" si="1097"/>
        <v>0</v>
      </c>
      <c r="BZ193" s="355">
        <f t="shared" si="1151"/>
        <v>0</v>
      </c>
      <c r="CB193" s="102" t="str">
        <f t="shared" si="1152"/>
        <v>?</v>
      </c>
      <c r="CD193" s="355" t="str">
        <f t="shared" si="1153"/>
        <v>Não</v>
      </c>
      <c r="CE193" s="368">
        <f>ifzero(mlookup(tbl_ICMSinterest_data,UFdestino,tbl_ICMSinterest_ufdest,UForigem,tbl_ICMSinterest_uforig))</f>
        <v>0.12</v>
      </c>
      <c r="CF193" s="368">
        <f>IF(N193&gt;0,IF(I193&lt;&gt;"Serviço",ifzero(mlookup(tbl_ICMSinterno_data,UForigem,tbl_ICMSinterno_UF,O193,tbl_ICMSinterno_NCM),mlookup(tbl_ICMSinterest_data,UForigem,tbl_ICMSinterest_ufdest,UForigem,tbl_ICMSinterest_uforig)),""),0)</f>
        <v>0</v>
      </c>
      <c r="CG193" s="368">
        <f>IF(N193&gt;0,IF(I193&lt;&gt;"Serviço",ifzero(mlookup(tbl_ICMSinterno_data,UFdestino,tbl_ICMSinterno_UF,O193,tbl_ICMSinterno_NCM),mlookup(tbl_ICMSinterest_data,UFdestino,tbl_ICMSinterest_ufdest,UFdestino,tbl_ICMSinterest_uforig)),""),0)</f>
        <v>0</v>
      </c>
      <c r="CI193" s="355">
        <f t="shared" si="1154"/>
        <v>0</v>
      </c>
      <c r="CJ193" s="355">
        <f t="shared" si="1155"/>
        <v>0</v>
      </c>
      <c r="CK193" s="355">
        <f t="shared" si="1156"/>
        <v>0</v>
      </c>
      <c r="CL193" s="355">
        <f t="shared" si="1157"/>
        <v>0</v>
      </c>
      <c r="CN193" s="370">
        <f t="shared" si="1158"/>
        <v>1540</v>
      </c>
      <c r="CO193" s="355">
        <f t="shared" si="1159"/>
        <v>0</v>
      </c>
      <c r="CQ193" s="355" t="b">
        <f t="shared" si="1160"/>
        <v>0</v>
      </c>
      <c r="CR193" s="355" t="b">
        <f t="shared" si="1161"/>
        <v>1</v>
      </c>
      <c r="CS193" s="355" t="b">
        <f t="shared" si="1162"/>
        <v>0</v>
      </c>
      <c r="CU193" s="2">
        <f t="shared" si="1163"/>
        <v>0</v>
      </c>
      <c r="CV193" s="102">
        <f t="shared" si="1164"/>
        <v>0</v>
      </c>
      <c r="CW193" s="102">
        <f t="shared" si="1098"/>
        <v>0</v>
      </c>
      <c r="CX193" s="102">
        <f t="shared" si="1165"/>
        <v>0</v>
      </c>
      <c r="CY193" s="290">
        <f t="shared" si="1166"/>
        <v>0</v>
      </c>
      <c r="CZ193" s="102">
        <f t="shared" si="1100"/>
        <v>0</v>
      </c>
      <c r="DA193" s="290">
        <f t="shared" si="1167"/>
        <v>0</v>
      </c>
      <c r="DB193" s="102">
        <f t="shared" si="1101"/>
        <v>0</v>
      </c>
      <c r="DC193" s="290">
        <f t="shared" si="1168"/>
        <v>0</v>
      </c>
      <c r="DD193" s="102">
        <f t="shared" si="1099"/>
        <v>0</v>
      </c>
      <c r="DE193" s="592">
        <f>IF(D193="Sim",HLOOKUP($DH$5,Parametrização!$G$2:$H$4,2,FALSE),0)</f>
        <v>0</v>
      </c>
      <c r="DF193" s="102">
        <f t="shared" si="1102"/>
        <v>0</v>
      </c>
      <c r="DG193" s="592">
        <f>IF(D193="Sim",HLOOKUP($DH$5,Parametrização!$G$2:$H$4,3,FALSE),0)</f>
        <v>0</v>
      </c>
      <c r="DH193" s="102">
        <f t="shared" si="1103"/>
        <v>0</v>
      </c>
      <c r="DI193" s="102">
        <f t="shared" si="1104"/>
        <v>0</v>
      </c>
      <c r="DK193" s="3" t="str">
        <f t="shared" si="1169"/>
        <v>NA</v>
      </c>
      <c r="DL193" s="2" t="str">
        <f t="shared" si="1170"/>
        <v>NA</v>
      </c>
      <c r="DM193" s="3" t="str">
        <f t="shared" si="1171"/>
        <v>NA</v>
      </c>
      <c r="DN193" s="9" t="str">
        <f t="shared" si="1172"/>
        <v>NA</v>
      </c>
      <c r="DO193" s="637" t="str">
        <f t="shared" si="1173"/>
        <v>NA</v>
      </c>
      <c r="DP193" s="637"/>
      <c r="DQ193" s="3" t="str">
        <f t="shared" si="1174"/>
        <v>NA</v>
      </c>
      <c r="DR193" s="2" t="str">
        <f t="shared" si="1175"/>
        <v>NA</v>
      </c>
      <c r="DS193" s="3" t="str">
        <f t="shared" si="1176"/>
        <v>NA</v>
      </c>
      <c r="DT193" s="9" t="str">
        <f t="shared" si="1105"/>
        <v>NA</v>
      </c>
      <c r="DU193" s="637" t="str">
        <f t="shared" si="1106"/>
        <v>NA</v>
      </c>
      <c r="DV193" s="637"/>
      <c r="DW193" s="682"/>
      <c r="DX193" s="682"/>
      <c r="DY193" s="682"/>
      <c r="DZ193" s="637"/>
      <c r="EA193" s="643"/>
    </row>
    <row r="194" spans="1:131" s="355" customFormat="1" ht="20.100000000000001" customHeight="1" outlineLevel="1" x14ac:dyDescent="0.25">
      <c r="A194" s="356"/>
      <c r="B194" s="355" t="s">
        <v>268</v>
      </c>
      <c r="C194" s="355" t="str">
        <f t="shared" si="1177"/>
        <v>Consumo</v>
      </c>
      <c r="D194" s="355" t="s">
        <v>53</v>
      </c>
      <c r="E194" s="18" t="s">
        <v>38</v>
      </c>
      <c r="F194" s="355" t="s">
        <v>53</v>
      </c>
      <c r="G194" s="357" t="str">
        <f t="shared" si="1178"/>
        <v>Geral</v>
      </c>
      <c r="H194" s="255" t="s">
        <v>377</v>
      </c>
      <c r="I194" s="356" t="str">
        <f t="shared" si="1112"/>
        <v>Sistema</v>
      </c>
      <c r="K194" s="318" t="s">
        <v>2947</v>
      </c>
      <c r="L194" s="749" t="str">
        <f>IF(Padrões!JF135&lt;&gt;"",Padrões!JF135,"")</f>
        <v/>
      </c>
      <c r="M194" s="358" t="str">
        <f t="shared" si="1113"/>
        <v>?</v>
      </c>
      <c r="N194" s="359">
        <f>Padrões!JI135</f>
        <v>0</v>
      </c>
      <c r="O194" s="381" t="str">
        <f t="shared" si="1114"/>
        <v>?</v>
      </c>
      <c r="P194" s="360">
        <f t="shared" si="1115"/>
        <v>0.12</v>
      </c>
      <c r="Q194" s="360" t="str">
        <f t="shared" si="1116"/>
        <v>?</v>
      </c>
      <c r="R194" s="360">
        <f t="shared" si="1117"/>
        <v>0</v>
      </c>
      <c r="S194" s="361">
        <f t="shared" si="1118"/>
        <v>0</v>
      </c>
      <c r="T194" s="362">
        <f t="shared" si="1119"/>
        <v>0</v>
      </c>
      <c r="U194" s="53" t="str" cm="1">
        <f t="array" ref="U194">IFERROR(IF(I194&lt;&gt;"Serviço",IF(AND(mlookup(tbl_DIFAL_data,UFdestino,tbl_DIFAL_UF,O194,tbl_DIFAL_NCM)&lt;&gt;"",C194="Consumo"),"Sim",""),""),"?")</f>
        <v>?</v>
      </c>
      <c r="V194" s="363" t="str">
        <f>IFERROR(IF(I194&lt;&gt;"Serviço",IF(AND(D194="Não",mlookup(tbl_ST_data,UFdestino,tbl_ST_UF,O194,tbl_ST_NCM)&lt;&gt;"",C194="Revenda",CD194="Não"),"Sim",""),""),"?")</f>
        <v>?</v>
      </c>
      <c r="W194" s="364">
        <f t="shared" si="1120"/>
        <v>0</v>
      </c>
      <c r="X194" s="365">
        <f>IF(V194="Sim",mlookup(tbl_ST_data,UFdestino,tbl_ST_UF,O194,tbl_ST_NCM),0)</f>
        <v>0</v>
      </c>
      <c r="Z194" s="355">
        <f t="shared" si="1121"/>
        <v>0</v>
      </c>
      <c r="AA194" s="355">
        <f t="shared" si="1107"/>
        <v>0</v>
      </c>
      <c r="AC194" s="366">
        <f t="shared" si="1095"/>
        <v>1.31243473968765E-2</v>
      </c>
      <c r="AD194" s="366">
        <f t="shared" si="1122"/>
        <v>0.15</v>
      </c>
      <c r="AF194" s="355">
        <f t="shared" si="1123"/>
        <v>0</v>
      </c>
      <c r="AG194" s="355">
        <f t="shared" si="1124"/>
        <v>0</v>
      </c>
      <c r="AI194" s="355">
        <f t="shared" si="1125"/>
        <v>0</v>
      </c>
      <c r="AK194" s="366">
        <f t="shared" si="1096"/>
        <v>0</v>
      </c>
      <c r="AL194" s="355">
        <f t="shared" si="1108"/>
        <v>0</v>
      </c>
      <c r="AM194" s="355">
        <f t="shared" si="1109"/>
        <v>0</v>
      </c>
      <c r="AO194" s="355" t="b">
        <f t="shared" si="1126"/>
        <v>1</v>
      </c>
      <c r="AQ194" s="367">
        <f t="shared" si="1127"/>
        <v>0</v>
      </c>
      <c r="AR194" s="367">
        <f t="shared" si="1110"/>
        <v>0</v>
      </c>
      <c r="AT194" s="367">
        <f t="shared" si="1128"/>
        <v>0</v>
      </c>
      <c r="AU194" s="367">
        <f t="shared" si="1129"/>
        <v>0</v>
      </c>
      <c r="AW194" s="367">
        <f t="shared" si="1130"/>
        <v>0</v>
      </c>
      <c r="AX194" s="367">
        <f t="shared" si="1131"/>
        <v>0</v>
      </c>
      <c r="AY194" s="367">
        <f t="shared" si="1132"/>
        <v>0</v>
      </c>
      <c r="AZ194" s="367">
        <f t="shared" si="1133"/>
        <v>0</v>
      </c>
      <c r="BB194" s="355">
        <f t="shared" si="1134"/>
        <v>0</v>
      </c>
      <c r="BC194" s="355">
        <f t="shared" si="1135"/>
        <v>0</v>
      </c>
      <c r="BD194" s="355">
        <f t="shared" si="1136"/>
        <v>0</v>
      </c>
      <c r="BE194" s="355">
        <f t="shared" si="1137"/>
        <v>0</v>
      </c>
      <c r="BF194" s="355">
        <f t="shared" si="1138"/>
        <v>0</v>
      </c>
      <c r="BH194" s="368">
        <f t="shared" si="1139"/>
        <v>0</v>
      </c>
      <c r="BJ194" s="369">
        <f t="shared" si="1140"/>
        <v>-0.12</v>
      </c>
      <c r="BK194" s="355">
        <f t="shared" si="1141"/>
        <v>0</v>
      </c>
      <c r="BL194" s="355">
        <f t="shared" si="1142"/>
        <v>0</v>
      </c>
      <c r="BN194" s="366">
        <f t="shared" si="1143"/>
        <v>0</v>
      </c>
      <c r="BO194" s="355">
        <f t="shared" si="1144"/>
        <v>0</v>
      </c>
      <c r="BP194" s="355">
        <f t="shared" si="1145"/>
        <v>0</v>
      </c>
      <c r="BQ194" s="355">
        <f t="shared" si="1146"/>
        <v>0</v>
      </c>
      <c r="BS194" s="367">
        <f t="shared" si="1147"/>
        <v>0</v>
      </c>
      <c r="BT194" s="355">
        <f t="shared" si="1148"/>
        <v>0</v>
      </c>
      <c r="BU194" s="355" t="b">
        <f t="shared" si="1111"/>
        <v>1</v>
      </c>
      <c r="BW194" s="355" t="str">
        <f t="shared" si="1149"/>
        <v/>
      </c>
      <c r="BX194" s="355">
        <f t="shared" si="1150"/>
        <v>0</v>
      </c>
      <c r="BY194" s="356">
        <f t="shared" si="1097"/>
        <v>0</v>
      </c>
      <c r="BZ194" s="355">
        <f t="shared" si="1151"/>
        <v>0</v>
      </c>
      <c r="CB194" s="102" t="str">
        <f t="shared" si="1152"/>
        <v>?</v>
      </c>
      <c r="CD194" s="355" t="str">
        <f t="shared" si="1153"/>
        <v>Não</v>
      </c>
      <c r="CE194" s="368">
        <f>ifzero(mlookup(tbl_ICMSinterest_data,UFdestino,tbl_ICMSinterest_ufdest,UForigem,tbl_ICMSinterest_uforig))</f>
        <v>0.12</v>
      </c>
      <c r="CF194" s="368">
        <f>IF(N194&gt;0,IF(I194&lt;&gt;"Serviço",ifzero(mlookup(tbl_ICMSinterno_data,UForigem,tbl_ICMSinterno_UF,O194,tbl_ICMSinterno_NCM),mlookup(tbl_ICMSinterest_data,UForigem,tbl_ICMSinterest_ufdest,UForigem,tbl_ICMSinterest_uforig)),""),0)</f>
        <v>0</v>
      </c>
      <c r="CG194" s="368">
        <f>IF(N194&gt;0,IF(I194&lt;&gt;"Serviço",ifzero(mlookup(tbl_ICMSinterno_data,UFdestino,tbl_ICMSinterno_UF,O194,tbl_ICMSinterno_NCM),mlookup(tbl_ICMSinterest_data,UFdestino,tbl_ICMSinterest_ufdest,UFdestino,tbl_ICMSinterest_uforig)),""),0)</f>
        <v>0</v>
      </c>
      <c r="CI194" s="355">
        <f t="shared" si="1154"/>
        <v>0</v>
      </c>
      <c r="CJ194" s="355">
        <f t="shared" si="1155"/>
        <v>0</v>
      </c>
      <c r="CK194" s="355">
        <f t="shared" si="1156"/>
        <v>0</v>
      </c>
      <c r="CL194" s="355">
        <f t="shared" si="1157"/>
        <v>0</v>
      </c>
      <c r="CN194" s="370">
        <f t="shared" si="1158"/>
        <v>1540</v>
      </c>
      <c r="CO194" s="355">
        <f t="shared" si="1159"/>
        <v>0</v>
      </c>
      <c r="CQ194" s="355" t="b">
        <f t="shared" si="1160"/>
        <v>0</v>
      </c>
      <c r="CR194" s="355" t="b">
        <f t="shared" si="1161"/>
        <v>1</v>
      </c>
      <c r="CS194" s="355" t="b">
        <f t="shared" si="1162"/>
        <v>0</v>
      </c>
      <c r="CU194" s="2">
        <f t="shared" si="1163"/>
        <v>0</v>
      </c>
      <c r="CV194" s="102">
        <f t="shared" si="1164"/>
        <v>0</v>
      </c>
      <c r="CW194" s="102">
        <f t="shared" si="1098"/>
        <v>0</v>
      </c>
      <c r="CX194" s="102">
        <f t="shared" si="1165"/>
        <v>0</v>
      </c>
      <c r="CY194" s="290">
        <f t="shared" si="1166"/>
        <v>0</v>
      </c>
      <c r="CZ194" s="102">
        <f t="shared" si="1100"/>
        <v>0</v>
      </c>
      <c r="DA194" s="290">
        <f t="shared" si="1167"/>
        <v>0</v>
      </c>
      <c r="DB194" s="102">
        <f t="shared" si="1101"/>
        <v>0</v>
      </c>
      <c r="DC194" s="290">
        <f t="shared" si="1168"/>
        <v>0</v>
      </c>
      <c r="DD194" s="102">
        <f t="shared" si="1099"/>
        <v>0</v>
      </c>
      <c r="DE194" s="592">
        <f>IF(D194="Sim",HLOOKUP($DH$5,Parametrização!$G$2:$H$4,2,FALSE),0)</f>
        <v>0</v>
      </c>
      <c r="DF194" s="102">
        <f t="shared" si="1102"/>
        <v>0</v>
      </c>
      <c r="DG194" s="592">
        <f>IF(D194="Sim",HLOOKUP($DH$5,Parametrização!$G$2:$H$4,3,FALSE),0)</f>
        <v>0</v>
      </c>
      <c r="DH194" s="102">
        <f t="shared" si="1103"/>
        <v>0</v>
      </c>
      <c r="DI194" s="102">
        <f t="shared" si="1104"/>
        <v>0</v>
      </c>
      <c r="DK194" s="3" t="str">
        <f t="shared" si="1169"/>
        <v>NA</v>
      </c>
      <c r="DL194" s="2" t="str">
        <f t="shared" si="1170"/>
        <v>NA</v>
      </c>
      <c r="DM194" s="3" t="str">
        <f t="shared" si="1171"/>
        <v>NA</v>
      </c>
      <c r="DN194" s="9" t="str">
        <f t="shared" si="1172"/>
        <v>NA</v>
      </c>
      <c r="DO194" s="637" t="str">
        <f t="shared" si="1173"/>
        <v>NA</v>
      </c>
      <c r="DP194" s="637"/>
      <c r="DQ194" s="3" t="str">
        <f t="shared" si="1174"/>
        <v>NA</v>
      </c>
      <c r="DR194" s="2" t="str">
        <f t="shared" si="1175"/>
        <v>NA</v>
      </c>
      <c r="DS194" s="3" t="str">
        <f t="shared" si="1176"/>
        <v>NA</v>
      </c>
      <c r="DT194" s="9" t="str">
        <f t="shared" si="1105"/>
        <v>NA</v>
      </c>
      <c r="DU194" s="637" t="str">
        <f t="shared" si="1106"/>
        <v>NA</v>
      </c>
      <c r="DV194" s="637"/>
      <c r="DW194" s="682"/>
      <c r="DX194" s="682"/>
      <c r="DY194" s="682"/>
      <c r="DZ194" s="637"/>
      <c r="EA194" s="643"/>
    </row>
    <row r="195" spans="1:131" s="355" customFormat="1" ht="20.100000000000001" customHeight="1" outlineLevel="1" x14ac:dyDescent="0.25">
      <c r="A195" s="356"/>
      <c r="B195" s="355" t="s">
        <v>268</v>
      </c>
      <c r="C195" s="355" t="str">
        <f t="shared" si="1177"/>
        <v>Consumo</v>
      </c>
      <c r="D195" s="355" t="s">
        <v>53</v>
      </c>
      <c r="E195" s="18" t="s">
        <v>38</v>
      </c>
      <c r="F195" s="355" t="s">
        <v>53</v>
      </c>
      <c r="G195" s="357" t="str">
        <f t="shared" si="1178"/>
        <v>Geral</v>
      </c>
      <c r="H195" s="255" t="s">
        <v>377</v>
      </c>
      <c r="I195" s="356" t="str">
        <f t="shared" si="1112"/>
        <v>Sistema</v>
      </c>
      <c r="K195" s="318" t="s">
        <v>2948</v>
      </c>
      <c r="L195" s="749" t="str">
        <f>IF(Padrões!JF136&lt;&gt;"",Padrões!JF136,"")</f>
        <v/>
      </c>
      <c r="M195" s="358" t="str">
        <f t="shared" si="1113"/>
        <v>?</v>
      </c>
      <c r="N195" s="359">
        <f>Padrões!JI136</f>
        <v>0</v>
      </c>
      <c r="O195" s="381" t="str">
        <f t="shared" si="1114"/>
        <v>?</v>
      </c>
      <c r="P195" s="360">
        <f t="shared" si="1115"/>
        <v>0.12</v>
      </c>
      <c r="Q195" s="360" t="str">
        <f t="shared" si="1116"/>
        <v>?</v>
      </c>
      <c r="R195" s="360">
        <f t="shared" si="1117"/>
        <v>0</v>
      </c>
      <c r="S195" s="361">
        <f t="shared" si="1118"/>
        <v>0</v>
      </c>
      <c r="T195" s="362">
        <f t="shared" si="1119"/>
        <v>0</v>
      </c>
      <c r="U195" s="53" t="str" cm="1">
        <f t="array" ref="U195">IFERROR(IF(I195&lt;&gt;"Serviço",IF(AND(mlookup(tbl_DIFAL_data,UFdestino,tbl_DIFAL_UF,O195,tbl_DIFAL_NCM)&lt;&gt;"",C195="Consumo"),"Sim",""),""),"?")</f>
        <v>?</v>
      </c>
      <c r="V195" s="363" t="str">
        <f>IFERROR(IF(I195&lt;&gt;"Serviço",IF(AND(D195="Não",mlookup(tbl_ST_data,UFdestino,tbl_ST_UF,O195,tbl_ST_NCM)&lt;&gt;"",C195="Revenda",CD195="Não"),"Sim",""),""),"?")</f>
        <v>?</v>
      </c>
      <c r="W195" s="364">
        <f t="shared" si="1120"/>
        <v>0</v>
      </c>
      <c r="X195" s="365">
        <f>IF(V195="Sim",mlookup(tbl_ST_data,UFdestino,tbl_ST_UF,O195,tbl_ST_NCM),0)</f>
        <v>0</v>
      </c>
      <c r="Z195" s="355">
        <f t="shared" si="1121"/>
        <v>0</v>
      </c>
      <c r="AA195" s="355">
        <f t="shared" si="1107"/>
        <v>0</v>
      </c>
      <c r="AC195" s="366">
        <f t="shared" si="1095"/>
        <v>1.31243473968765E-2</v>
      </c>
      <c r="AD195" s="366">
        <f t="shared" si="1122"/>
        <v>0.15</v>
      </c>
      <c r="AF195" s="355">
        <f t="shared" si="1123"/>
        <v>0</v>
      </c>
      <c r="AG195" s="355">
        <f t="shared" si="1124"/>
        <v>0</v>
      </c>
      <c r="AI195" s="355">
        <f t="shared" si="1125"/>
        <v>0</v>
      </c>
      <c r="AK195" s="366">
        <f t="shared" si="1096"/>
        <v>0</v>
      </c>
      <c r="AL195" s="355">
        <f t="shared" si="1108"/>
        <v>0</v>
      </c>
      <c r="AM195" s="355">
        <f t="shared" si="1109"/>
        <v>0</v>
      </c>
      <c r="AO195" s="355" t="b">
        <f t="shared" si="1126"/>
        <v>1</v>
      </c>
      <c r="AQ195" s="367">
        <f t="shared" si="1127"/>
        <v>0</v>
      </c>
      <c r="AR195" s="367">
        <f t="shared" si="1110"/>
        <v>0</v>
      </c>
      <c r="AT195" s="367">
        <f t="shared" si="1128"/>
        <v>0</v>
      </c>
      <c r="AU195" s="367">
        <f t="shared" si="1129"/>
        <v>0</v>
      </c>
      <c r="AW195" s="367">
        <f t="shared" si="1130"/>
        <v>0</v>
      </c>
      <c r="AX195" s="367">
        <f t="shared" si="1131"/>
        <v>0</v>
      </c>
      <c r="AY195" s="367">
        <f t="shared" si="1132"/>
        <v>0</v>
      </c>
      <c r="AZ195" s="367">
        <f t="shared" si="1133"/>
        <v>0</v>
      </c>
      <c r="BB195" s="355">
        <f t="shared" si="1134"/>
        <v>0</v>
      </c>
      <c r="BC195" s="355">
        <f t="shared" si="1135"/>
        <v>0</v>
      </c>
      <c r="BD195" s="355">
        <f t="shared" si="1136"/>
        <v>0</v>
      </c>
      <c r="BE195" s="355">
        <f t="shared" si="1137"/>
        <v>0</v>
      </c>
      <c r="BF195" s="355">
        <f t="shared" si="1138"/>
        <v>0</v>
      </c>
      <c r="BH195" s="368">
        <f t="shared" si="1139"/>
        <v>0</v>
      </c>
      <c r="BJ195" s="369">
        <f t="shared" si="1140"/>
        <v>-0.12</v>
      </c>
      <c r="BK195" s="355">
        <f t="shared" si="1141"/>
        <v>0</v>
      </c>
      <c r="BL195" s="355">
        <f t="shared" si="1142"/>
        <v>0</v>
      </c>
      <c r="BN195" s="366">
        <f t="shared" si="1143"/>
        <v>0</v>
      </c>
      <c r="BO195" s="355">
        <f t="shared" si="1144"/>
        <v>0</v>
      </c>
      <c r="BP195" s="355">
        <f t="shared" si="1145"/>
        <v>0</v>
      </c>
      <c r="BQ195" s="355">
        <f t="shared" si="1146"/>
        <v>0</v>
      </c>
      <c r="BS195" s="367">
        <f t="shared" si="1147"/>
        <v>0</v>
      </c>
      <c r="BT195" s="355">
        <f t="shared" si="1148"/>
        <v>0</v>
      </c>
      <c r="BU195" s="355" t="b">
        <f t="shared" si="1111"/>
        <v>1</v>
      </c>
      <c r="BW195" s="355" t="str">
        <f t="shared" si="1149"/>
        <v/>
      </c>
      <c r="BX195" s="355">
        <f t="shared" si="1150"/>
        <v>0</v>
      </c>
      <c r="BY195" s="356">
        <f t="shared" si="1097"/>
        <v>0</v>
      </c>
      <c r="BZ195" s="355">
        <f t="shared" si="1151"/>
        <v>0</v>
      </c>
      <c r="CB195" s="102" t="str">
        <f t="shared" si="1152"/>
        <v>?</v>
      </c>
      <c r="CD195" s="355" t="str">
        <f t="shared" si="1153"/>
        <v>Não</v>
      </c>
      <c r="CE195" s="368">
        <f>ifzero(mlookup(tbl_ICMSinterest_data,UFdestino,tbl_ICMSinterest_ufdest,UForigem,tbl_ICMSinterest_uforig))</f>
        <v>0.12</v>
      </c>
      <c r="CF195" s="368">
        <f>IF(N195&gt;0,IF(I195&lt;&gt;"Serviço",ifzero(mlookup(tbl_ICMSinterno_data,UForigem,tbl_ICMSinterno_UF,O195,tbl_ICMSinterno_NCM),mlookup(tbl_ICMSinterest_data,UForigem,tbl_ICMSinterest_ufdest,UForigem,tbl_ICMSinterest_uforig)),""),0)</f>
        <v>0</v>
      </c>
      <c r="CG195" s="368">
        <f>IF(N195&gt;0,IF(I195&lt;&gt;"Serviço",ifzero(mlookup(tbl_ICMSinterno_data,UFdestino,tbl_ICMSinterno_UF,O195,tbl_ICMSinterno_NCM),mlookup(tbl_ICMSinterest_data,UFdestino,tbl_ICMSinterest_ufdest,UFdestino,tbl_ICMSinterest_uforig)),""),0)</f>
        <v>0</v>
      </c>
      <c r="CI195" s="355">
        <f t="shared" si="1154"/>
        <v>0</v>
      </c>
      <c r="CJ195" s="355">
        <f t="shared" si="1155"/>
        <v>0</v>
      </c>
      <c r="CK195" s="355">
        <f t="shared" si="1156"/>
        <v>0</v>
      </c>
      <c r="CL195" s="355">
        <f t="shared" si="1157"/>
        <v>0</v>
      </c>
      <c r="CN195" s="370">
        <f t="shared" si="1158"/>
        <v>1540</v>
      </c>
      <c r="CO195" s="355">
        <f t="shared" si="1159"/>
        <v>0</v>
      </c>
      <c r="CQ195" s="355" t="b">
        <f t="shared" si="1160"/>
        <v>0</v>
      </c>
      <c r="CR195" s="355" t="b">
        <f t="shared" si="1161"/>
        <v>1</v>
      </c>
      <c r="CS195" s="355" t="b">
        <f t="shared" si="1162"/>
        <v>0</v>
      </c>
      <c r="CU195" s="2">
        <f t="shared" si="1163"/>
        <v>0</v>
      </c>
      <c r="CV195" s="102">
        <f t="shared" si="1164"/>
        <v>0</v>
      </c>
      <c r="CW195" s="102">
        <f t="shared" si="1098"/>
        <v>0</v>
      </c>
      <c r="CX195" s="102">
        <f t="shared" si="1165"/>
        <v>0</v>
      </c>
      <c r="CY195" s="290">
        <f t="shared" si="1166"/>
        <v>0</v>
      </c>
      <c r="CZ195" s="102">
        <f t="shared" si="1100"/>
        <v>0</v>
      </c>
      <c r="DA195" s="290">
        <f t="shared" si="1167"/>
        <v>0</v>
      </c>
      <c r="DB195" s="102">
        <f t="shared" si="1101"/>
        <v>0</v>
      </c>
      <c r="DC195" s="290">
        <f t="shared" si="1168"/>
        <v>0</v>
      </c>
      <c r="DD195" s="102">
        <f t="shared" si="1099"/>
        <v>0</v>
      </c>
      <c r="DE195" s="592">
        <f>IF(D195="Sim",HLOOKUP($DH$5,Parametrização!$G$2:$H$4,2,FALSE),0)</f>
        <v>0</v>
      </c>
      <c r="DF195" s="102">
        <f t="shared" si="1102"/>
        <v>0</v>
      </c>
      <c r="DG195" s="592">
        <f>IF(D195="Sim",HLOOKUP($DH$5,Parametrização!$G$2:$H$4,3,FALSE),0)</f>
        <v>0</v>
      </c>
      <c r="DH195" s="102">
        <f t="shared" si="1103"/>
        <v>0</v>
      </c>
      <c r="DI195" s="102">
        <f t="shared" si="1104"/>
        <v>0</v>
      </c>
      <c r="DK195" s="3" t="str">
        <f t="shared" si="1169"/>
        <v>NA</v>
      </c>
      <c r="DL195" s="2" t="str">
        <f t="shared" si="1170"/>
        <v>NA</v>
      </c>
      <c r="DM195" s="3" t="str">
        <f t="shared" si="1171"/>
        <v>NA</v>
      </c>
      <c r="DN195" s="9" t="str">
        <f t="shared" si="1172"/>
        <v>NA</v>
      </c>
      <c r="DO195" s="637" t="str">
        <f t="shared" si="1173"/>
        <v>NA</v>
      </c>
      <c r="DP195" s="637"/>
      <c r="DQ195" s="3" t="str">
        <f t="shared" si="1174"/>
        <v>NA</v>
      </c>
      <c r="DR195" s="2" t="str">
        <f t="shared" si="1175"/>
        <v>NA</v>
      </c>
      <c r="DS195" s="3" t="str">
        <f t="shared" si="1176"/>
        <v>NA</v>
      </c>
      <c r="DT195" s="9" t="str">
        <f t="shared" si="1105"/>
        <v>NA</v>
      </c>
      <c r="DU195" s="637" t="str">
        <f t="shared" si="1106"/>
        <v>NA</v>
      </c>
      <c r="DV195" s="637"/>
      <c r="DW195" s="682"/>
      <c r="DX195" s="682"/>
      <c r="DY195" s="682"/>
      <c r="DZ195" s="637"/>
      <c r="EA195" s="643"/>
    </row>
    <row r="196" spans="1:131" s="355" customFormat="1" ht="20.100000000000001" customHeight="1" outlineLevel="1" x14ac:dyDescent="0.25">
      <c r="A196" s="356"/>
      <c r="B196" s="355" t="s">
        <v>268</v>
      </c>
      <c r="C196" s="355" t="str">
        <f t="shared" si="1177"/>
        <v>Consumo</v>
      </c>
      <c r="D196" s="355" t="s">
        <v>53</v>
      </c>
      <c r="E196" s="18" t="s">
        <v>38</v>
      </c>
      <c r="F196" s="355" t="s">
        <v>53</v>
      </c>
      <c r="G196" s="357" t="str">
        <f t="shared" si="1178"/>
        <v>Geral</v>
      </c>
      <c r="H196" s="255" t="s">
        <v>377</v>
      </c>
      <c r="I196" s="356" t="str">
        <f t="shared" si="1112"/>
        <v>Sistema</v>
      </c>
      <c r="K196" s="318" t="s">
        <v>2949</v>
      </c>
      <c r="L196" s="749" t="str">
        <f>IF(Padrões!JF137&lt;&gt;"",Padrões!JF137,"")</f>
        <v/>
      </c>
      <c r="M196" s="358" t="str">
        <f t="shared" si="1113"/>
        <v>?</v>
      </c>
      <c r="N196" s="359">
        <f>Padrões!JI137</f>
        <v>0</v>
      </c>
      <c r="O196" s="381" t="str">
        <f t="shared" si="1114"/>
        <v>?</v>
      </c>
      <c r="P196" s="360">
        <f t="shared" si="1115"/>
        <v>0.12</v>
      </c>
      <c r="Q196" s="360" t="str">
        <f t="shared" si="1116"/>
        <v>?</v>
      </c>
      <c r="R196" s="360">
        <f t="shared" si="1117"/>
        <v>0</v>
      </c>
      <c r="S196" s="361">
        <f t="shared" si="1118"/>
        <v>0</v>
      </c>
      <c r="T196" s="362">
        <f t="shared" si="1119"/>
        <v>0</v>
      </c>
      <c r="U196" s="53" t="str" cm="1">
        <f t="array" ref="U196">IFERROR(IF(I196&lt;&gt;"Serviço",IF(AND(mlookup(tbl_DIFAL_data,UFdestino,tbl_DIFAL_UF,O196,tbl_DIFAL_NCM)&lt;&gt;"",C196="Consumo"),"Sim",""),""),"?")</f>
        <v>?</v>
      </c>
      <c r="V196" s="363" t="str">
        <f>IFERROR(IF(I196&lt;&gt;"Serviço",IF(AND(D196="Não",mlookup(tbl_ST_data,UFdestino,tbl_ST_UF,O196,tbl_ST_NCM)&lt;&gt;"",C196="Revenda",CD196="Não"),"Sim",""),""),"?")</f>
        <v>?</v>
      </c>
      <c r="W196" s="364">
        <f t="shared" si="1120"/>
        <v>0</v>
      </c>
      <c r="X196" s="365">
        <f>IF(V196="Sim",mlookup(tbl_ST_data,UFdestino,tbl_ST_UF,O196,tbl_ST_NCM),0)</f>
        <v>0</v>
      </c>
      <c r="Z196" s="355">
        <f t="shared" si="1121"/>
        <v>0</v>
      </c>
      <c r="AA196" s="355">
        <f t="shared" si="1107"/>
        <v>0</v>
      </c>
      <c r="AC196" s="366">
        <f t="shared" ref="AC196:AC259" si="1179">cobertura_pc</f>
        <v>1.31243473968765E-2</v>
      </c>
      <c r="AD196" s="366">
        <f t="shared" si="1122"/>
        <v>0.15</v>
      </c>
      <c r="AF196" s="355">
        <f t="shared" si="1123"/>
        <v>0</v>
      </c>
      <c r="AG196" s="355">
        <f t="shared" si="1124"/>
        <v>0</v>
      </c>
      <c r="AI196" s="355">
        <f t="shared" si="1125"/>
        <v>0</v>
      </c>
      <c r="AK196" s="366">
        <f t="shared" ref="AK196:AK259" si="1180">mn_pc</f>
        <v>0</v>
      </c>
      <c r="AL196" s="355">
        <f t="shared" si="1108"/>
        <v>0</v>
      </c>
      <c r="AM196" s="355">
        <f t="shared" si="1109"/>
        <v>0</v>
      </c>
      <c r="AO196" s="355" t="b">
        <f t="shared" si="1126"/>
        <v>1</v>
      </c>
      <c r="AQ196" s="367">
        <f t="shared" si="1127"/>
        <v>0</v>
      </c>
      <c r="AR196" s="367">
        <f t="shared" si="1110"/>
        <v>0</v>
      </c>
      <c r="AT196" s="367">
        <f t="shared" si="1128"/>
        <v>0</v>
      </c>
      <c r="AU196" s="367">
        <f t="shared" si="1129"/>
        <v>0</v>
      </c>
      <c r="AW196" s="367">
        <f t="shared" si="1130"/>
        <v>0</v>
      </c>
      <c r="AX196" s="367">
        <f t="shared" si="1131"/>
        <v>0</v>
      </c>
      <c r="AY196" s="367">
        <f t="shared" si="1132"/>
        <v>0</v>
      </c>
      <c r="AZ196" s="367">
        <f t="shared" si="1133"/>
        <v>0</v>
      </c>
      <c r="BB196" s="355">
        <f t="shared" si="1134"/>
        <v>0</v>
      </c>
      <c r="BC196" s="355">
        <f t="shared" si="1135"/>
        <v>0</v>
      </c>
      <c r="BD196" s="355">
        <f t="shared" si="1136"/>
        <v>0</v>
      </c>
      <c r="BE196" s="355">
        <f t="shared" si="1137"/>
        <v>0</v>
      </c>
      <c r="BF196" s="355">
        <f t="shared" si="1138"/>
        <v>0</v>
      </c>
      <c r="BH196" s="368">
        <f t="shared" si="1139"/>
        <v>0</v>
      </c>
      <c r="BJ196" s="369">
        <f t="shared" si="1140"/>
        <v>-0.12</v>
      </c>
      <c r="BK196" s="355">
        <f t="shared" si="1141"/>
        <v>0</v>
      </c>
      <c r="BL196" s="355">
        <f t="shared" si="1142"/>
        <v>0</v>
      </c>
      <c r="BN196" s="366">
        <f t="shared" si="1143"/>
        <v>0</v>
      </c>
      <c r="BO196" s="355">
        <f t="shared" si="1144"/>
        <v>0</v>
      </c>
      <c r="BP196" s="355">
        <f t="shared" si="1145"/>
        <v>0</v>
      </c>
      <c r="BQ196" s="355">
        <f t="shared" si="1146"/>
        <v>0</v>
      </c>
      <c r="BS196" s="367">
        <f t="shared" si="1147"/>
        <v>0</v>
      </c>
      <c r="BT196" s="355">
        <f t="shared" si="1148"/>
        <v>0</v>
      </c>
      <c r="BU196" s="355" t="b">
        <f t="shared" si="1111"/>
        <v>1</v>
      </c>
      <c r="BW196" s="355" t="str">
        <f t="shared" si="1149"/>
        <v/>
      </c>
      <c r="BX196" s="355">
        <f t="shared" si="1150"/>
        <v>0</v>
      </c>
      <c r="BY196" s="356">
        <f t="shared" si="1097"/>
        <v>0</v>
      </c>
      <c r="BZ196" s="355">
        <f t="shared" si="1151"/>
        <v>0</v>
      </c>
      <c r="CB196" s="102" t="str">
        <f t="shared" si="1152"/>
        <v>?</v>
      </c>
      <c r="CD196" s="355" t="str">
        <f t="shared" si="1153"/>
        <v>Não</v>
      </c>
      <c r="CE196" s="368">
        <f>ifzero(mlookup(tbl_ICMSinterest_data,UFdestino,tbl_ICMSinterest_ufdest,UForigem,tbl_ICMSinterest_uforig))</f>
        <v>0.12</v>
      </c>
      <c r="CF196" s="368">
        <f>IF(N196&gt;0,IF(I196&lt;&gt;"Serviço",ifzero(mlookup(tbl_ICMSinterno_data,UForigem,tbl_ICMSinterno_UF,O196,tbl_ICMSinterno_NCM),mlookup(tbl_ICMSinterest_data,UForigem,tbl_ICMSinterest_ufdest,UForigem,tbl_ICMSinterest_uforig)),""),0)</f>
        <v>0</v>
      </c>
      <c r="CG196" s="368">
        <f>IF(N196&gt;0,IF(I196&lt;&gt;"Serviço",ifzero(mlookup(tbl_ICMSinterno_data,UFdestino,tbl_ICMSinterno_UF,O196,tbl_ICMSinterno_NCM),mlookup(tbl_ICMSinterest_data,UFdestino,tbl_ICMSinterest_ufdest,UFdestino,tbl_ICMSinterest_uforig)),""),0)</f>
        <v>0</v>
      </c>
      <c r="CI196" s="355">
        <f t="shared" si="1154"/>
        <v>0</v>
      </c>
      <c r="CJ196" s="355">
        <f t="shared" si="1155"/>
        <v>0</v>
      </c>
      <c r="CK196" s="355">
        <f t="shared" si="1156"/>
        <v>0</v>
      </c>
      <c r="CL196" s="355">
        <f t="shared" si="1157"/>
        <v>0</v>
      </c>
      <c r="CN196" s="370">
        <f t="shared" si="1158"/>
        <v>1540</v>
      </c>
      <c r="CO196" s="355">
        <f t="shared" si="1159"/>
        <v>0</v>
      </c>
      <c r="CQ196" s="355" t="b">
        <f t="shared" si="1160"/>
        <v>0</v>
      </c>
      <c r="CR196" s="355" t="b">
        <f t="shared" si="1161"/>
        <v>1</v>
      </c>
      <c r="CS196" s="355" t="b">
        <f t="shared" si="1162"/>
        <v>0</v>
      </c>
      <c r="CU196" s="2">
        <f t="shared" si="1163"/>
        <v>0</v>
      </c>
      <c r="CV196" s="102">
        <f t="shared" si="1164"/>
        <v>0</v>
      </c>
      <c r="CW196" s="102">
        <f t="shared" si="1098"/>
        <v>0</v>
      </c>
      <c r="CX196" s="102">
        <f t="shared" si="1165"/>
        <v>0</v>
      </c>
      <c r="CY196" s="290">
        <f t="shared" si="1166"/>
        <v>0</v>
      </c>
      <c r="CZ196" s="102">
        <f t="shared" si="1100"/>
        <v>0</v>
      </c>
      <c r="DA196" s="290">
        <f t="shared" si="1167"/>
        <v>0</v>
      </c>
      <c r="DB196" s="102">
        <f t="shared" si="1101"/>
        <v>0</v>
      </c>
      <c r="DC196" s="290">
        <f t="shared" si="1168"/>
        <v>0</v>
      </c>
      <c r="DD196" s="102">
        <f t="shared" si="1099"/>
        <v>0</v>
      </c>
      <c r="DE196" s="592">
        <f>IF(D196="Sim",HLOOKUP($DH$5,Parametrização!$G$2:$H$4,2,FALSE),0)</f>
        <v>0</v>
      </c>
      <c r="DF196" s="102">
        <f t="shared" si="1102"/>
        <v>0</v>
      </c>
      <c r="DG196" s="592">
        <f>IF(D196="Sim",HLOOKUP($DH$5,Parametrização!$G$2:$H$4,3,FALSE),0)</f>
        <v>0</v>
      </c>
      <c r="DH196" s="102">
        <f t="shared" si="1103"/>
        <v>0</v>
      </c>
      <c r="DI196" s="102">
        <f t="shared" si="1104"/>
        <v>0</v>
      </c>
      <c r="DK196" s="3" t="str">
        <f t="shared" si="1169"/>
        <v>NA</v>
      </c>
      <c r="DL196" s="2" t="str">
        <f t="shared" si="1170"/>
        <v>NA</v>
      </c>
      <c r="DM196" s="3" t="str">
        <f t="shared" si="1171"/>
        <v>NA</v>
      </c>
      <c r="DN196" s="9" t="str">
        <f t="shared" si="1172"/>
        <v>NA</v>
      </c>
      <c r="DO196" s="637" t="str">
        <f t="shared" si="1173"/>
        <v>NA</v>
      </c>
      <c r="DP196" s="637"/>
      <c r="DQ196" s="3" t="str">
        <f t="shared" si="1174"/>
        <v>NA</v>
      </c>
      <c r="DR196" s="2" t="str">
        <f t="shared" si="1175"/>
        <v>NA</v>
      </c>
      <c r="DS196" s="3" t="str">
        <f t="shared" si="1176"/>
        <v>NA</v>
      </c>
      <c r="DT196" s="9" t="str">
        <f t="shared" si="1105"/>
        <v>NA</v>
      </c>
      <c r="DU196" s="637" t="str">
        <f t="shared" si="1106"/>
        <v>NA</v>
      </c>
      <c r="DV196" s="637"/>
      <c r="DW196" s="682"/>
      <c r="DX196" s="682"/>
      <c r="DY196" s="682"/>
      <c r="DZ196" s="637"/>
      <c r="EA196" s="643"/>
    </row>
    <row r="197" spans="1:131" s="355" customFormat="1" ht="20.100000000000001" customHeight="1" outlineLevel="1" x14ac:dyDescent="0.25">
      <c r="A197" s="356"/>
      <c r="B197" s="355" t="s">
        <v>268</v>
      </c>
      <c r="C197" s="355" t="str">
        <f t="shared" si="1177"/>
        <v>Consumo</v>
      </c>
      <c r="D197" s="355" t="s">
        <v>53</v>
      </c>
      <c r="E197" s="18" t="s">
        <v>38</v>
      </c>
      <c r="F197" s="355" t="s">
        <v>53</v>
      </c>
      <c r="G197" s="357" t="str">
        <f t="shared" si="1178"/>
        <v>Geral</v>
      </c>
      <c r="H197" s="255" t="s">
        <v>377</v>
      </c>
      <c r="I197" s="356" t="str">
        <f t="shared" si="1112"/>
        <v>Sistema</v>
      </c>
      <c r="K197" s="318" t="s">
        <v>2950</v>
      </c>
      <c r="L197" s="749" t="str">
        <f>IF(Padrões!JF138&lt;&gt;"",Padrões!JF138,"")</f>
        <v/>
      </c>
      <c r="M197" s="358" t="str">
        <f t="shared" si="1113"/>
        <v>?</v>
      </c>
      <c r="N197" s="359">
        <f>Padrões!JI138</f>
        <v>0</v>
      </c>
      <c r="O197" s="381" t="str">
        <f t="shared" si="1114"/>
        <v>?</v>
      </c>
      <c r="P197" s="360">
        <f t="shared" si="1115"/>
        <v>0.12</v>
      </c>
      <c r="Q197" s="360" t="str">
        <f t="shared" si="1116"/>
        <v>?</v>
      </c>
      <c r="R197" s="360">
        <f t="shared" si="1117"/>
        <v>0</v>
      </c>
      <c r="S197" s="361">
        <f t="shared" si="1118"/>
        <v>0</v>
      </c>
      <c r="T197" s="362">
        <f t="shared" si="1119"/>
        <v>0</v>
      </c>
      <c r="U197" s="53" t="str" cm="1">
        <f t="array" ref="U197">IFERROR(IF(I197&lt;&gt;"Serviço",IF(AND(mlookup(tbl_DIFAL_data,UFdestino,tbl_DIFAL_UF,O197,tbl_DIFAL_NCM)&lt;&gt;"",C197="Consumo"),"Sim",""),""),"?")</f>
        <v>?</v>
      </c>
      <c r="V197" s="363" t="str">
        <f>IFERROR(IF(I197&lt;&gt;"Serviço",IF(AND(D197="Não",mlookup(tbl_ST_data,UFdestino,tbl_ST_UF,O197,tbl_ST_NCM)&lt;&gt;"",C197="Revenda",CD197="Não"),"Sim",""),""),"?")</f>
        <v>?</v>
      </c>
      <c r="W197" s="364">
        <f t="shared" si="1120"/>
        <v>0</v>
      </c>
      <c r="X197" s="365">
        <f>IF(V197="Sim",mlookup(tbl_ST_data,UFdestino,tbl_ST_UF,O197,tbl_ST_NCM),0)</f>
        <v>0</v>
      </c>
      <c r="Z197" s="355">
        <f t="shared" si="1121"/>
        <v>0</v>
      </c>
      <c r="AA197" s="355">
        <f t="shared" si="1107"/>
        <v>0</v>
      </c>
      <c r="AC197" s="366">
        <f t="shared" si="1179"/>
        <v>1.31243473968765E-2</v>
      </c>
      <c r="AD197" s="366">
        <f t="shared" si="1122"/>
        <v>0.15</v>
      </c>
      <c r="AF197" s="355">
        <f t="shared" si="1123"/>
        <v>0</v>
      </c>
      <c r="AG197" s="355">
        <f t="shared" si="1124"/>
        <v>0</v>
      </c>
      <c r="AI197" s="355">
        <f t="shared" si="1125"/>
        <v>0</v>
      </c>
      <c r="AK197" s="366">
        <f t="shared" si="1180"/>
        <v>0</v>
      </c>
      <c r="AL197" s="355">
        <f t="shared" si="1108"/>
        <v>0</v>
      </c>
      <c r="AM197" s="355">
        <f t="shared" si="1109"/>
        <v>0</v>
      </c>
      <c r="AO197" s="355" t="b">
        <f t="shared" si="1126"/>
        <v>1</v>
      </c>
      <c r="AQ197" s="367">
        <f t="shared" si="1127"/>
        <v>0</v>
      </c>
      <c r="AR197" s="367">
        <f t="shared" si="1110"/>
        <v>0</v>
      </c>
      <c r="AT197" s="367">
        <f t="shared" si="1128"/>
        <v>0</v>
      </c>
      <c r="AU197" s="367">
        <f t="shared" si="1129"/>
        <v>0</v>
      </c>
      <c r="AW197" s="367">
        <f t="shared" si="1130"/>
        <v>0</v>
      </c>
      <c r="AX197" s="367">
        <f t="shared" si="1131"/>
        <v>0</v>
      </c>
      <c r="AY197" s="367">
        <f t="shared" si="1132"/>
        <v>0</v>
      </c>
      <c r="AZ197" s="367">
        <f t="shared" si="1133"/>
        <v>0</v>
      </c>
      <c r="BB197" s="355">
        <f t="shared" si="1134"/>
        <v>0</v>
      </c>
      <c r="BC197" s="355">
        <f t="shared" si="1135"/>
        <v>0</v>
      </c>
      <c r="BD197" s="355">
        <f t="shared" si="1136"/>
        <v>0</v>
      </c>
      <c r="BE197" s="355">
        <f t="shared" si="1137"/>
        <v>0</v>
      </c>
      <c r="BF197" s="355">
        <f t="shared" si="1138"/>
        <v>0</v>
      </c>
      <c r="BH197" s="368">
        <f t="shared" si="1139"/>
        <v>0</v>
      </c>
      <c r="BJ197" s="369">
        <f t="shared" si="1140"/>
        <v>-0.12</v>
      </c>
      <c r="BK197" s="355">
        <f t="shared" si="1141"/>
        <v>0</v>
      </c>
      <c r="BL197" s="355">
        <f t="shared" si="1142"/>
        <v>0</v>
      </c>
      <c r="BN197" s="366">
        <f t="shared" si="1143"/>
        <v>0</v>
      </c>
      <c r="BO197" s="355">
        <f t="shared" si="1144"/>
        <v>0</v>
      </c>
      <c r="BP197" s="355">
        <f t="shared" si="1145"/>
        <v>0</v>
      </c>
      <c r="BQ197" s="355">
        <f t="shared" si="1146"/>
        <v>0</v>
      </c>
      <c r="BS197" s="367">
        <f t="shared" si="1147"/>
        <v>0</v>
      </c>
      <c r="BT197" s="355">
        <f t="shared" si="1148"/>
        <v>0</v>
      </c>
      <c r="BU197" s="355" t="b">
        <f t="shared" si="1111"/>
        <v>1</v>
      </c>
      <c r="BW197" s="355" t="str">
        <f t="shared" si="1149"/>
        <v/>
      </c>
      <c r="BX197" s="355">
        <f t="shared" si="1150"/>
        <v>0</v>
      </c>
      <c r="BY197" s="356">
        <f t="shared" si="1097"/>
        <v>0</v>
      </c>
      <c r="BZ197" s="355">
        <f t="shared" si="1151"/>
        <v>0</v>
      </c>
      <c r="CB197" s="102" t="str">
        <f t="shared" si="1152"/>
        <v>?</v>
      </c>
      <c r="CD197" s="355" t="str">
        <f t="shared" si="1153"/>
        <v>Não</v>
      </c>
      <c r="CE197" s="368">
        <f>ifzero(mlookup(tbl_ICMSinterest_data,UFdestino,tbl_ICMSinterest_ufdest,UForigem,tbl_ICMSinterest_uforig))</f>
        <v>0.12</v>
      </c>
      <c r="CF197" s="368">
        <f>IF(N197&gt;0,IF(I197&lt;&gt;"Serviço",ifzero(mlookup(tbl_ICMSinterno_data,UForigem,tbl_ICMSinterno_UF,O197,tbl_ICMSinterno_NCM),mlookup(tbl_ICMSinterest_data,UForigem,tbl_ICMSinterest_ufdest,UForigem,tbl_ICMSinterest_uforig)),""),0)</f>
        <v>0</v>
      </c>
      <c r="CG197" s="368">
        <f>IF(N197&gt;0,IF(I197&lt;&gt;"Serviço",ifzero(mlookup(tbl_ICMSinterno_data,UFdestino,tbl_ICMSinterno_UF,O197,tbl_ICMSinterno_NCM),mlookup(tbl_ICMSinterest_data,UFdestino,tbl_ICMSinterest_ufdest,UFdestino,tbl_ICMSinterest_uforig)),""),0)</f>
        <v>0</v>
      </c>
      <c r="CI197" s="355">
        <f t="shared" si="1154"/>
        <v>0</v>
      </c>
      <c r="CJ197" s="355">
        <f t="shared" si="1155"/>
        <v>0</v>
      </c>
      <c r="CK197" s="355">
        <f t="shared" si="1156"/>
        <v>0</v>
      </c>
      <c r="CL197" s="355">
        <f t="shared" si="1157"/>
        <v>0</v>
      </c>
      <c r="CN197" s="370">
        <f t="shared" si="1158"/>
        <v>1540</v>
      </c>
      <c r="CO197" s="355">
        <f t="shared" si="1159"/>
        <v>0</v>
      </c>
      <c r="CQ197" s="355" t="b">
        <f t="shared" si="1160"/>
        <v>0</v>
      </c>
      <c r="CR197" s="355" t="b">
        <f t="shared" si="1161"/>
        <v>1</v>
      </c>
      <c r="CS197" s="355" t="b">
        <f t="shared" si="1162"/>
        <v>0</v>
      </c>
      <c r="CU197" s="2">
        <f t="shared" si="1163"/>
        <v>0</v>
      </c>
      <c r="CV197" s="102">
        <f t="shared" si="1164"/>
        <v>0</v>
      </c>
      <c r="CW197" s="102">
        <f t="shared" si="1098"/>
        <v>0</v>
      </c>
      <c r="CX197" s="102">
        <f t="shared" si="1165"/>
        <v>0</v>
      </c>
      <c r="CY197" s="290">
        <f t="shared" si="1166"/>
        <v>0</v>
      </c>
      <c r="CZ197" s="102">
        <f t="shared" si="1100"/>
        <v>0</v>
      </c>
      <c r="DA197" s="290">
        <f t="shared" si="1167"/>
        <v>0</v>
      </c>
      <c r="DB197" s="102">
        <f t="shared" si="1101"/>
        <v>0</v>
      </c>
      <c r="DC197" s="290">
        <f t="shared" si="1168"/>
        <v>0</v>
      </c>
      <c r="DD197" s="102">
        <f t="shared" si="1099"/>
        <v>0</v>
      </c>
      <c r="DE197" s="592">
        <f>IF(D197="Sim",HLOOKUP($DH$5,Parametrização!$G$2:$H$4,2,FALSE),0)</f>
        <v>0</v>
      </c>
      <c r="DF197" s="102">
        <f t="shared" si="1102"/>
        <v>0</v>
      </c>
      <c r="DG197" s="592">
        <f>IF(D197="Sim",HLOOKUP($DH$5,Parametrização!$G$2:$H$4,3,FALSE),0)</f>
        <v>0</v>
      </c>
      <c r="DH197" s="102">
        <f t="shared" si="1103"/>
        <v>0</v>
      </c>
      <c r="DI197" s="102">
        <f t="shared" si="1104"/>
        <v>0</v>
      </c>
      <c r="DK197" s="3" t="str">
        <f t="shared" si="1169"/>
        <v>NA</v>
      </c>
      <c r="DL197" s="2" t="str">
        <f t="shared" si="1170"/>
        <v>NA</v>
      </c>
      <c r="DM197" s="3" t="str">
        <f t="shared" si="1171"/>
        <v>NA</v>
      </c>
      <c r="DN197" s="9" t="str">
        <f t="shared" si="1172"/>
        <v>NA</v>
      </c>
      <c r="DO197" s="637" t="str">
        <f t="shared" si="1173"/>
        <v>NA</v>
      </c>
      <c r="DP197" s="637"/>
      <c r="DQ197" s="3" t="str">
        <f t="shared" si="1174"/>
        <v>NA</v>
      </c>
      <c r="DR197" s="2" t="str">
        <f t="shared" si="1175"/>
        <v>NA</v>
      </c>
      <c r="DS197" s="3" t="str">
        <f t="shared" si="1176"/>
        <v>NA</v>
      </c>
      <c r="DT197" s="9" t="str">
        <f t="shared" si="1105"/>
        <v>NA</v>
      </c>
      <c r="DU197" s="637" t="str">
        <f t="shared" si="1106"/>
        <v>NA</v>
      </c>
      <c r="DV197" s="637"/>
      <c r="DW197" s="682"/>
      <c r="DX197" s="682"/>
      <c r="DY197" s="682"/>
      <c r="DZ197" s="637"/>
      <c r="EA197" s="643"/>
    </row>
    <row r="198" spans="1:131" s="355" customFormat="1" ht="20.100000000000001" customHeight="1" outlineLevel="1" x14ac:dyDescent="0.25">
      <c r="A198" s="356"/>
      <c r="B198" s="355" t="s">
        <v>268</v>
      </c>
      <c r="C198" s="355" t="str">
        <f t="shared" si="1177"/>
        <v>Consumo</v>
      </c>
      <c r="D198" s="355" t="s">
        <v>53</v>
      </c>
      <c r="E198" s="18" t="s">
        <v>38</v>
      </c>
      <c r="F198" s="355" t="s">
        <v>53</v>
      </c>
      <c r="G198" s="357" t="str">
        <f t="shared" si="1178"/>
        <v>Geral</v>
      </c>
      <c r="H198" s="255" t="s">
        <v>377</v>
      </c>
      <c r="I198" s="356" t="str">
        <f t="shared" si="1112"/>
        <v>Sistema</v>
      </c>
      <c r="K198" s="318" t="s">
        <v>2951</v>
      </c>
      <c r="L198" s="749" t="str">
        <f>IF(Padrões!JF139&lt;&gt;"",Padrões!JF139,"")</f>
        <v/>
      </c>
      <c r="M198" s="358" t="str">
        <f t="shared" si="1113"/>
        <v>?</v>
      </c>
      <c r="N198" s="359">
        <f>Padrões!JI139</f>
        <v>0</v>
      </c>
      <c r="O198" s="381" t="str">
        <f t="shared" si="1114"/>
        <v>?</v>
      </c>
      <c r="P198" s="360">
        <f t="shared" si="1115"/>
        <v>0.12</v>
      </c>
      <c r="Q198" s="360" t="str">
        <f t="shared" si="1116"/>
        <v>?</v>
      </c>
      <c r="R198" s="360">
        <f t="shared" si="1117"/>
        <v>0</v>
      </c>
      <c r="S198" s="361">
        <f t="shared" si="1118"/>
        <v>0</v>
      </c>
      <c r="T198" s="362">
        <f t="shared" si="1119"/>
        <v>0</v>
      </c>
      <c r="U198" s="53" t="str" cm="1">
        <f t="array" ref="U198">IFERROR(IF(I198&lt;&gt;"Serviço",IF(AND(mlookup(tbl_DIFAL_data,UFdestino,tbl_DIFAL_UF,O198,tbl_DIFAL_NCM)&lt;&gt;"",C198="Consumo"),"Sim",""),""),"?")</f>
        <v>?</v>
      </c>
      <c r="V198" s="363" t="str">
        <f>IFERROR(IF(I198&lt;&gt;"Serviço",IF(AND(D198="Não",mlookup(tbl_ST_data,UFdestino,tbl_ST_UF,O198,tbl_ST_NCM)&lt;&gt;"",C198="Revenda",CD198="Não"),"Sim",""),""),"?")</f>
        <v>?</v>
      </c>
      <c r="W198" s="364">
        <f t="shared" si="1120"/>
        <v>0</v>
      </c>
      <c r="X198" s="365">
        <f>IF(V198="Sim",mlookup(tbl_ST_data,UFdestino,tbl_ST_UF,O198,tbl_ST_NCM),0)</f>
        <v>0</v>
      </c>
      <c r="Z198" s="355">
        <f t="shared" si="1121"/>
        <v>0</v>
      </c>
      <c r="AA198" s="355">
        <f t="shared" si="1107"/>
        <v>0</v>
      </c>
      <c r="AC198" s="366">
        <f t="shared" si="1179"/>
        <v>1.31243473968765E-2</v>
      </c>
      <c r="AD198" s="366">
        <f t="shared" si="1122"/>
        <v>0.15</v>
      </c>
      <c r="AF198" s="355">
        <f t="shared" si="1123"/>
        <v>0</v>
      </c>
      <c r="AG198" s="355">
        <f t="shared" si="1124"/>
        <v>0</v>
      </c>
      <c r="AI198" s="355">
        <f t="shared" si="1125"/>
        <v>0</v>
      </c>
      <c r="AK198" s="366">
        <f t="shared" si="1180"/>
        <v>0</v>
      </c>
      <c r="AL198" s="355">
        <f t="shared" si="1108"/>
        <v>0</v>
      </c>
      <c r="AM198" s="355">
        <f t="shared" si="1109"/>
        <v>0</v>
      </c>
      <c r="AO198" s="355" t="b">
        <f t="shared" si="1126"/>
        <v>1</v>
      </c>
      <c r="AQ198" s="367">
        <f t="shared" si="1127"/>
        <v>0</v>
      </c>
      <c r="AR198" s="367">
        <f t="shared" si="1110"/>
        <v>0</v>
      </c>
      <c r="AT198" s="367">
        <f t="shared" si="1128"/>
        <v>0</v>
      </c>
      <c r="AU198" s="367">
        <f t="shared" si="1129"/>
        <v>0</v>
      </c>
      <c r="AW198" s="367">
        <f t="shared" si="1130"/>
        <v>0</v>
      </c>
      <c r="AX198" s="367">
        <f t="shared" si="1131"/>
        <v>0</v>
      </c>
      <c r="AY198" s="367">
        <f t="shared" si="1132"/>
        <v>0</v>
      </c>
      <c r="AZ198" s="367">
        <f t="shared" si="1133"/>
        <v>0</v>
      </c>
      <c r="BB198" s="355">
        <f t="shared" si="1134"/>
        <v>0</v>
      </c>
      <c r="BC198" s="355">
        <f t="shared" si="1135"/>
        <v>0</v>
      </c>
      <c r="BD198" s="355">
        <f t="shared" si="1136"/>
        <v>0</v>
      </c>
      <c r="BE198" s="355">
        <f t="shared" si="1137"/>
        <v>0</v>
      </c>
      <c r="BF198" s="355">
        <f t="shared" si="1138"/>
        <v>0</v>
      </c>
      <c r="BH198" s="368">
        <f t="shared" si="1139"/>
        <v>0</v>
      </c>
      <c r="BJ198" s="369">
        <f t="shared" si="1140"/>
        <v>-0.12</v>
      </c>
      <c r="BK198" s="355">
        <f t="shared" si="1141"/>
        <v>0</v>
      </c>
      <c r="BL198" s="355">
        <f t="shared" si="1142"/>
        <v>0</v>
      </c>
      <c r="BN198" s="366">
        <f t="shared" si="1143"/>
        <v>0</v>
      </c>
      <c r="BO198" s="355">
        <f t="shared" si="1144"/>
        <v>0</v>
      </c>
      <c r="BP198" s="355">
        <f t="shared" si="1145"/>
        <v>0</v>
      </c>
      <c r="BQ198" s="355">
        <f t="shared" si="1146"/>
        <v>0</v>
      </c>
      <c r="BS198" s="367">
        <f t="shared" si="1147"/>
        <v>0</v>
      </c>
      <c r="BT198" s="355">
        <f t="shared" si="1148"/>
        <v>0</v>
      </c>
      <c r="BU198" s="355" t="b">
        <f t="shared" si="1111"/>
        <v>1</v>
      </c>
      <c r="BW198" s="355" t="str">
        <f t="shared" si="1149"/>
        <v/>
      </c>
      <c r="BX198" s="355">
        <f t="shared" si="1150"/>
        <v>0</v>
      </c>
      <c r="BY198" s="356">
        <f t="shared" ref="BY198:BY261" si="1181">IF(BX198&gt;0,VLOOKUP(CB198,tbl_IRPJaux,3,FALSE),0)</f>
        <v>0</v>
      </c>
      <c r="BZ198" s="355">
        <f t="shared" si="1151"/>
        <v>0</v>
      </c>
      <c r="CB198" s="102" t="str">
        <f t="shared" si="1152"/>
        <v>?</v>
      </c>
      <c r="CD198" s="355" t="str">
        <f t="shared" si="1153"/>
        <v>Não</v>
      </c>
      <c r="CE198" s="368">
        <f>ifzero(mlookup(tbl_ICMSinterest_data,UFdestino,tbl_ICMSinterest_ufdest,UForigem,tbl_ICMSinterest_uforig))</f>
        <v>0.12</v>
      </c>
      <c r="CF198" s="368">
        <f>IF(N198&gt;0,IF(I198&lt;&gt;"Serviço",ifzero(mlookup(tbl_ICMSinterno_data,UForigem,tbl_ICMSinterno_UF,O198,tbl_ICMSinterno_NCM),mlookup(tbl_ICMSinterest_data,UForigem,tbl_ICMSinterest_ufdest,UForigem,tbl_ICMSinterest_uforig)),""),0)</f>
        <v>0</v>
      </c>
      <c r="CG198" s="368">
        <f>IF(N198&gt;0,IF(I198&lt;&gt;"Serviço",ifzero(mlookup(tbl_ICMSinterno_data,UFdestino,tbl_ICMSinterno_UF,O198,tbl_ICMSinterno_NCM),mlookup(tbl_ICMSinterest_data,UFdestino,tbl_ICMSinterest_ufdest,UFdestino,tbl_ICMSinterest_uforig)),""),0)</f>
        <v>0</v>
      </c>
      <c r="CI198" s="355">
        <f t="shared" si="1154"/>
        <v>0</v>
      </c>
      <c r="CJ198" s="355">
        <f t="shared" si="1155"/>
        <v>0</v>
      </c>
      <c r="CK198" s="355">
        <f t="shared" si="1156"/>
        <v>0</v>
      </c>
      <c r="CL198" s="355">
        <f t="shared" si="1157"/>
        <v>0</v>
      </c>
      <c r="CN198" s="370">
        <f t="shared" si="1158"/>
        <v>1540</v>
      </c>
      <c r="CO198" s="355">
        <f t="shared" si="1159"/>
        <v>0</v>
      </c>
      <c r="CQ198" s="355" t="b">
        <f t="shared" si="1160"/>
        <v>0</v>
      </c>
      <c r="CR198" s="355" t="b">
        <f t="shared" si="1161"/>
        <v>1</v>
      </c>
      <c r="CS198" s="355" t="b">
        <f t="shared" si="1162"/>
        <v>0</v>
      </c>
      <c r="CU198" s="2">
        <f t="shared" si="1163"/>
        <v>0</v>
      </c>
      <c r="CV198" s="102">
        <f t="shared" si="1164"/>
        <v>0</v>
      </c>
      <c r="CW198" s="102">
        <f t="shared" si="1098"/>
        <v>0</v>
      </c>
      <c r="CX198" s="102">
        <f t="shared" si="1165"/>
        <v>0</v>
      </c>
      <c r="CY198" s="290">
        <f t="shared" si="1166"/>
        <v>0</v>
      </c>
      <c r="CZ198" s="102">
        <f t="shared" si="1100"/>
        <v>0</v>
      </c>
      <c r="DA198" s="290">
        <f t="shared" si="1167"/>
        <v>0</v>
      </c>
      <c r="DB198" s="102">
        <f t="shared" si="1101"/>
        <v>0</v>
      </c>
      <c r="DC198" s="290">
        <f t="shared" si="1168"/>
        <v>0</v>
      </c>
      <c r="DD198" s="102">
        <f t="shared" si="1099"/>
        <v>0</v>
      </c>
      <c r="DE198" s="592">
        <f>IF(D198="Sim",HLOOKUP($DH$5,Parametrização!$G$2:$H$4,2,FALSE),0)</f>
        <v>0</v>
      </c>
      <c r="DF198" s="102">
        <f t="shared" si="1102"/>
        <v>0</v>
      </c>
      <c r="DG198" s="592">
        <f>IF(D198="Sim",HLOOKUP($DH$5,Parametrização!$G$2:$H$4,3,FALSE),0)</f>
        <v>0</v>
      </c>
      <c r="DH198" s="102">
        <f t="shared" si="1103"/>
        <v>0</v>
      </c>
      <c r="DI198" s="102">
        <f t="shared" si="1104"/>
        <v>0</v>
      </c>
      <c r="DK198" s="3" t="str">
        <f t="shared" si="1169"/>
        <v>NA</v>
      </c>
      <c r="DL198" s="2" t="str">
        <f t="shared" si="1170"/>
        <v>NA</v>
      </c>
      <c r="DM198" s="3" t="str">
        <f t="shared" si="1171"/>
        <v>NA</v>
      </c>
      <c r="DN198" s="9" t="str">
        <f t="shared" si="1172"/>
        <v>NA</v>
      </c>
      <c r="DO198" s="637" t="str">
        <f t="shared" si="1173"/>
        <v>NA</v>
      </c>
      <c r="DP198" s="637"/>
      <c r="DQ198" s="3" t="str">
        <f t="shared" si="1174"/>
        <v>NA</v>
      </c>
      <c r="DR198" s="2" t="str">
        <f t="shared" si="1175"/>
        <v>NA</v>
      </c>
      <c r="DS198" s="3" t="str">
        <f t="shared" si="1176"/>
        <v>NA</v>
      </c>
      <c r="DT198" s="9" t="str">
        <f t="shared" si="1105"/>
        <v>NA</v>
      </c>
      <c r="DU198" s="637" t="str">
        <f t="shared" si="1106"/>
        <v>NA</v>
      </c>
      <c r="DV198" s="637"/>
      <c r="DW198" s="682"/>
      <c r="DX198" s="682"/>
      <c r="DY198" s="682"/>
      <c r="DZ198" s="637"/>
      <c r="EA198" s="643"/>
    </row>
    <row r="199" spans="1:131" s="355" customFormat="1" ht="20.100000000000001" customHeight="1" outlineLevel="1" x14ac:dyDescent="0.25">
      <c r="A199" s="356"/>
      <c r="B199" s="355" t="s">
        <v>268</v>
      </c>
      <c r="C199" s="355" t="str">
        <f t="shared" si="1177"/>
        <v>Consumo</v>
      </c>
      <c r="D199" s="355" t="s">
        <v>53</v>
      </c>
      <c r="E199" s="18" t="s">
        <v>38</v>
      </c>
      <c r="F199" s="355" t="s">
        <v>53</v>
      </c>
      <c r="G199" s="357" t="str">
        <f t="shared" si="1178"/>
        <v>Geral</v>
      </c>
      <c r="H199" s="255" t="s">
        <v>377</v>
      </c>
      <c r="I199" s="356" t="str">
        <f t="shared" si="1112"/>
        <v>Sistema</v>
      </c>
      <c r="K199" s="318" t="s">
        <v>2952</v>
      </c>
      <c r="L199" s="749" t="str">
        <f>IF(Padrões!JF140&lt;&gt;"",Padrões!JF140,"")</f>
        <v/>
      </c>
      <c r="M199" s="358" t="str">
        <f t="shared" si="1113"/>
        <v>?</v>
      </c>
      <c r="N199" s="359">
        <f>Padrões!JI140</f>
        <v>0</v>
      </c>
      <c r="O199" s="381" t="str">
        <f t="shared" si="1114"/>
        <v>?</v>
      </c>
      <c r="P199" s="360">
        <f t="shared" si="1115"/>
        <v>0.12</v>
      </c>
      <c r="Q199" s="360" t="str">
        <f t="shared" si="1116"/>
        <v>?</v>
      </c>
      <c r="R199" s="360">
        <f t="shared" si="1117"/>
        <v>0</v>
      </c>
      <c r="S199" s="361">
        <f t="shared" si="1118"/>
        <v>0</v>
      </c>
      <c r="T199" s="362">
        <f t="shared" si="1119"/>
        <v>0</v>
      </c>
      <c r="U199" s="53" t="str" cm="1">
        <f t="array" ref="U199">IFERROR(IF(I199&lt;&gt;"Serviço",IF(AND(mlookup(tbl_DIFAL_data,UFdestino,tbl_DIFAL_UF,O199,tbl_DIFAL_NCM)&lt;&gt;"",C199="Consumo"),"Sim",""),""),"?")</f>
        <v>?</v>
      </c>
      <c r="V199" s="363" t="str">
        <f>IFERROR(IF(I199&lt;&gt;"Serviço",IF(AND(D199="Não",mlookup(tbl_ST_data,UFdestino,tbl_ST_UF,O199,tbl_ST_NCM)&lt;&gt;"",C199="Revenda",CD199="Não"),"Sim",""),""),"?")</f>
        <v>?</v>
      </c>
      <c r="W199" s="364">
        <f t="shared" si="1120"/>
        <v>0</v>
      </c>
      <c r="X199" s="365">
        <f>IF(V199="Sim",mlookup(tbl_ST_data,UFdestino,tbl_ST_UF,O199,tbl_ST_NCM),0)</f>
        <v>0</v>
      </c>
      <c r="Z199" s="355">
        <f t="shared" si="1121"/>
        <v>0</v>
      </c>
      <c r="AA199" s="355">
        <f t="shared" si="1107"/>
        <v>0</v>
      </c>
      <c r="AC199" s="366">
        <f t="shared" si="1179"/>
        <v>1.31243473968765E-2</v>
      </c>
      <c r="AD199" s="366">
        <f t="shared" si="1122"/>
        <v>0.15</v>
      </c>
      <c r="AF199" s="355">
        <f t="shared" si="1123"/>
        <v>0</v>
      </c>
      <c r="AG199" s="355">
        <f t="shared" si="1124"/>
        <v>0</v>
      </c>
      <c r="AI199" s="355">
        <f t="shared" si="1125"/>
        <v>0</v>
      </c>
      <c r="AK199" s="366">
        <f t="shared" si="1180"/>
        <v>0</v>
      </c>
      <c r="AL199" s="355">
        <f t="shared" si="1108"/>
        <v>0</v>
      </c>
      <c r="AM199" s="355">
        <f t="shared" si="1109"/>
        <v>0</v>
      </c>
      <c r="AO199" s="355" t="b">
        <f t="shared" si="1126"/>
        <v>1</v>
      </c>
      <c r="AQ199" s="367">
        <f t="shared" si="1127"/>
        <v>0</v>
      </c>
      <c r="AR199" s="367">
        <f t="shared" si="1110"/>
        <v>0</v>
      </c>
      <c r="AT199" s="367">
        <f t="shared" si="1128"/>
        <v>0</v>
      </c>
      <c r="AU199" s="367">
        <f t="shared" si="1129"/>
        <v>0</v>
      </c>
      <c r="AW199" s="367">
        <f t="shared" si="1130"/>
        <v>0</v>
      </c>
      <c r="AX199" s="367">
        <f t="shared" si="1131"/>
        <v>0</v>
      </c>
      <c r="AY199" s="367">
        <f t="shared" si="1132"/>
        <v>0</v>
      </c>
      <c r="AZ199" s="367">
        <f t="shared" si="1133"/>
        <v>0</v>
      </c>
      <c r="BB199" s="355">
        <f t="shared" si="1134"/>
        <v>0</v>
      </c>
      <c r="BC199" s="355">
        <f t="shared" si="1135"/>
        <v>0</v>
      </c>
      <c r="BD199" s="355">
        <f t="shared" si="1136"/>
        <v>0</v>
      </c>
      <c r="BE199" s="355">
        <f t="shared" si="1137"/>
        <v>0</v>
      </c>
      <c r="BF199" s="355">
        <f t="shared" si="1138"/>
        <v>0</v>
      </c>
      <c r="BH199" s="368">
        <f t="shared" si="1139"/>
        <v>0</v>
      </c>
      <c r="BJ199" s="369">
        <f t="shared" si="1140"/>
        <v>-0.12</v>
      </c>
      <c r="BK199" s="355">
        <f t="shared" si="1141"/>
        <v>0</v>
      </c>
      <c r="BL199" s="355">
        <f t="shared" si="1142"/>
        <v>0</v>
      </c>
      <c r="BN199" s="366">
        <f t="shared" si="1143"/>
        <v>0</v>
      </c>
      <c r="BO199" s="355">
        <f t="shared" si="1144"/>
        <v>0</v>
      </c>
      <c r="BP199" s="355">
        <f t="shared" si="1145"/>
        <v>0</v>
      </c>
      <c r="BQ199" s="355">
        <f t="shared" si="1146"/>
        <v>0</v>
      </c>
      <c r="BS199" s="367">
        <f t="shared" si="1147"/>
        <v>0</v>
      </c>
      <c r="BT199" s="355">
        <f t="shared" si="1148"/>
        <v>0</v>
      </c>
      <c r="BU199" s="355" t="b">
        <f t="shared" si="1111"/>
        <v>1</v>
      </c>
      <c r="BW199" s="355" t="str">
        <f t="shared" si="1149"/>
        <v/>
      </c>
      <c r="BX199" s="355">
        <f t="shared" si="1150"/>
        <v>0</v>
      </c>
      <c r="BY199" s="356">
        <f t="shared" si="1181"/>
        <v>0</v>
      </c>
      <c r="BZ199" s="355">
        <f t="shared" si="1151"/>
        <v>0</v>
      </c>
      <c r="CB199" s="102" t="str">
        <f t="shared" si="1152"/>
        <v>?</v>
      </c>
      <c r="CD199" s="355" t="str">
        <f t="shared" si="1153"/>
        <v>Não</v>
      </c>
      <c r="CE199" s="368">
        <f>ifzero(mlookup(tbl_ICMSinterest_data,UFdestino,tbl_ICMSinterest_ufdest,UForigem,tbl_ICMSinterest_uforig))</f>
        <v>0.12</v>
      </c>
      <c r="CF199" s="368">
        <f>IF(N199&gt;0,IF(I199&lt;&gt;"Serviço",ifzero(mlookup(tbl_ICMSinterno_data,UForigem,tbl_ICMSinterno_UF,O199,tbl_ICMSinterno_NCM),mlookup(tbl_ICMSinterest_data,UForigem,tbl_ICMSinterest_ufdest,UForigem,tbl_ICMSinterest_uforig)),""),0)</f>
        <v>0</v>
      </c>
      <c r="CG199" s="368">
        <f>IF(N199&gt;0,IF(I199&lt;&gt;"Serviço",ifzero(mlookup(tbl_ICMSinterno_data,UFdestino,tbl_ICMSinterno_UF,O199,tbl_ICMSinterno_NCM),mlookup(tbl_ICMSinterest_data,UFdestino,tbl_ICMSinterest_ufdest,UFdestino,tbl_ICMSinterest_uforig)),""),0)</f>
        <v>0</v>
      </c>
      <c r="CI199" s="355">
        <f t="shared" si="1154"/>
        <v>0</v>
      </c>
      <c r="CJ199" s="355">
        <f t="shared" si="1155"/>
        <v>0</v>
      </c>
      <c r="CK199" s="355">
        <f t="shared" si="1156"/>
        <v>0</v>
      </c>
      <c r="CL199" s="355">
        <f t="shared" si="1157"/>
        <v>0</v>
      </c>
      <c r="CN199" s="370">
        <f t="shared" si="1158"/>
        <v>1540</v>
      </c>
      <c r="CO199" s="355">
        <f t="shared" si="1159"/>
        <v>0</v>
      </c>
      <c r="CQ199" s="355" t="b">
        <f t="shared" si="1160"/>
        <v>0</v>
      </c>
      <c r="CR199" s="355" t="b">
        <f t="shared" si="1161"/>
        <v>1</v>
      </c>
      <c r="CS199" s="355" t="b">
        <f t="shared" si="1162"/>
        <v>0</v>
      </c>
      <c r="CU199" s="2">
        <f t="shared" si="1163"/>
        <v>0</v>
      </c>
      <c r="CV199" s="102">
        <f t="shared" si="1164"/>
        <v>0</v>
      </c>
      <c r="CW199" s="102">
        <f t="shared" si="1098"/>
        <v>0</v>
      </c>
      <c r="CX199" s="102">
        <f t="shared" si="1165"/>
        <v>0</v>
      </c>
      <c r="CY199" s="290">
        <f t="shared" si="1166"/>
        <v>0</v>
      </c>
      <c r="CZ199" s="102">
        <f t="shared" si="1100"/>
        <v>0</v>
      </c>
      <c r="DA199" s="290">
        <f t="shared" si="1167"/>
        <v>0</v>
      </c>
      <c r="DB199" s="102">
        <f t="shared" si="1101"/>
        <v>0</v>
      </c>
      <c r="DC199" s="290">
        <f t="shared" si="1168"/>
        <v>0</v>
      </c>
      <c r="DD199" s="102">
        <f t="shared" si="1099"/>
        <v>0</v>
      </c>
      <c r="DE199" s="592">
        <f>IF(D199="Sim",HLOOKUP($DH$5,Parametrização!$G$2:$H$4,2,FALSE),0)</f>
        <v>0</v>
      </c>
      <c r="DF199" s="102">
        <f t="shared" si="1102"/>
        <v>0</v>
      </c>
      <c r="DG199" s="592">
        <f>IF(D199="Sim",HLOOKUP($DH$5,Parametrização!$G$2:$H$4,3,FALSE),0)</f>
        <v>0</v>
      </c>
      <c r="DH199" s="102">
        <f t="shared" si="1103"/>
        <v>0</v>
      </c>
      <c r="DI199" s="102">
        <f t="shared" si="1104"/>
        <v>0</v>
      </c>
      <c r="DK199" s="3" t="str">
        <f t="shared" si="1169"/>
        <v>NA</v>
      </c>
      <c r="DL199" s="2" t="str">
        <f t="shared" si="1170"/>
        <v>NA</v>
      </c>
      <c r="DM199" s="3" t="str">
        <f t="shared" si="1171"/>
        <v>NA</v>
      </c>
      <c r="DN199" s="9" t="str">
        <f t="shared" si="1172"/>
        <v>NA</v>
      </c>
      <c r="DO199" s="637" t="str">
        <f t="shared" si="1173"/>
        <v>NA</v>
      </c>
      <c r="DP199" s="637"/>
      <c r="DQ199" s="3" t="str">
        <f t="shared" si="1174"/>
        <v>NA</v>
      </c>
      <c r="DR199" s="2" t="str">
        <f t="shared" si="1175"/>
        <v>NA</v>
      </c>
      <c r="DS199" s="3" t="str">
        <f t="shared" si="1176"/>
        <v>NA</v>
      </c>
      <c r="DT199" s="9" t="str">
        <f t="shared" si="1105"/>
        <v>NA</v>
      </c>
      <c r="DU199" s="637" t="str">
        <f t="shared" si="1106"/>
        <v>NA</v>
      </c>
      <c r="DV199" s="637"/>
      <c r="DW199" s="682"/>
      <c r="DX199" s="682"/>
      <c r="DY199" s="682"/>
      <c r="DZ199" s="637"/>
      <c r="EA199" s="643"/>
    </row>
    <row r="200" spans="1:131" s="355" customFormat="1" ht="20.100000000000001" customHeight="1" outlineLevel="1" x14ac:dyDescent="0.25">
      <c r="A200" s="356"/>
      <c r="B200" s="355" t="s">
        <v>268</v>
      </c>
      <c r="C200" s="355" t="str">
        <f t="shared" si="1177"/>
        <v>Consumo</v>
      </c>
      <c r="D200" s="355" t="s">
        <v>53</v>
      </c>
      <c r="E200" s="18" t="s">
        <v>38</v>
      </c>
      <c r="F200" s="355" t="s">
        <v>53</v>
      </c>
      <c r="G200" s="357" t="str">
        <f t="shared" si="1178"/>
        <v>Geral</v>
      </c>
      <c r="H200" s="255" t="s">
        <v>377</v>
      </c>
      <c r="I200" s="356" t="str">
        <f t="shared" si="1112"/>
        <v>Sistema</v>
      </c>
      <c r="K200" s="318" t="s">
        <v>2953</v>
      </c>
      <c r="L200" s="749" t="str">
        <f>IF(Padrões!JF141&lt;&gt;"",Padrões!JF141,"")</f>
        <v/>
      </c>
      <c r="M200" s="358" t="str">
        <f t="shared" si="1113"/>
        <v>?</v>
      </c>
      <c r="N200" s="359">
        <f>Padrões!JI141</f>
        <v>0</v>
      </c>
      <c r="O200" s="381" t="str">
        <f t="shared" si="1114"/>
        <v>?</v>
      </c>
      <c r="P200" s="360">
        <f t="shared" si="1115"/>
        <v>0.12</v>
      </c>
      <c r="Q200" s="360" t="str">
        <f t="shared" si="1116"/>
        <v>?</v>
      </c>
      <c r="R200" s="360">
        <f t="shared" si="1117"/>
        <v>0</v>
      </c>
      <c r="S200" s="361">
        <f t="shared" si="1118"/>
        <v>0</v>
      </c>
      <c r="T200" s="362">
        <f t="shared" si="1119"/>
        <v>0</v>
      </c>
      <c r="U200" s="53" t="str" cm="1">
        <f t="array" ref="U200">IFERROR(IF(I200&lt;&gt;"Serviço",IF(AND(mlookup(tbl_DIFAL_data,UFdestino,tbl_DIFAL_UF,O200,tbl_DIFAL_NCM)&lt;&gt;"",C200="Consumo"),"Sim",""),""),"?")</f>
        <v>?</v>
      </c>
      <c r="V200" s="363" t="str">
        <f>IFERROR(IF(I200&lt;&gt;"Serviço",IF(AND(D200="Não",mlookup(tbl_ST_data,UFdestino,tbl_ST_UF,O200,tbl_ST_NCM)&lt;&gt;"",C200="Revenda",CD200="Não"),"Sim",""),""),"?")</f>
        <v>?</v>
      </c>
      <c r="W200" s="364">
        <f t="shared" si="1120"/>
        <v>0</v>
      </c>
      <c r="X200" s="365">
        <f>IF(V200="Sim",mlookup(tbl_ST_data,UFdestino,tbl_ST_UF,O200,tbl_ST_NCM),0)</f>
        <v>0</v>
      </c>
      <c r="Z200" s="355">
        <f t="shared" si="1121"/>
        <v>0</v>
      </c>
      <c r="AA200" s="355">
        <f t="shared" si="1107"/>
        <v>0</v>
      </c>
      <c r="AC200" s="366">
        <f t="shared" si="1179"/>
        <v>1.31243473968765E-2</v>
      </c>
      <c r="AD200" s="366">
        <f t="shared" si="1122"/>
        <v>0.15</v>
      </c>
      <c r="AF200" s="355">
        <f t="shared" si="1123"/>
        <v>0</v>
      </c>
      <c r="AG200" s="355">
        <f t="shared" si="1124"/>
        <v>0</v>
      </c>
      <c r="AI200" s="355">
        <f t="shared" si="1125"/>
        <v>0</v>
      </c>
      <c r="AK200" s="366">
        <f t="shared" si="1180"/>
        <v>0</v>
      </c>
      <c r="AL200" s="355">
        <f t="shared" si="1108"/>
        <v>0</v>
      </c>
      <c r="AM200" s="355">
        <f t="shared" si="1109"/>
        <v>0</v>
      </c>
      <c r="AO200" s="355" t="b">
        <f t="shared" si="1126"/>
        <v>1</v>
      </c>
      <c r="AQ200" s="367">
        <f t="shared" si="1127"/>
        <v>0</v>
      </c>
      <c r="AR200" s="367">
        <f t="shared" si="1110"/>
        <v>0</v>
      </c>
      <c r="AT200" s="367">
        <f t="shared" si="1128"/>
        <v>0</v>
      </c>
      <c r="AU200" s="367">
        <f t="shared" si="1129"/>
        <v>0</v>
      </c>
      <c r="AW200" s="367">
        <f t="shared" si="1130"/>
        <v>0</v>
      </c>
      <c r="AX200" s="367">
        <f t="shared" si="1131"/>
        <v>0</v>
      </c>
      <c r="AY200" s="367">
        <f t="shared" si="1132"/>
        <v>0</v>
      </c>
      <c r="AZ200" s="367">
        <f t="shared" si="1133"/>
        <v>0</v>
      </c>
      <c r="BB200" s="355">
        <f t="shared" si="1134"/>
        <v>0</v>
      </c>
      <c r="BC200" s="355">
        <f t="shared" si="1135"/>
        <v>0</v>
      </c>
      <c r="BD200" s="355">
        <f t="shared" si="1136"/>
        <v>0</v>
      </c>
      <c r="BE200" s="355">
        <f t="shared" si="1137"/>
        <v>0</v>
      </c>
      <c r="BF200" s="355">
        <f t="shared" si="1138"/>
        <v>0</v>
      </c>
      <c r="BH200" s="368">
        <f t="shared" si="1139"/>
        <v>0</v>
      </c>
      <c r="BJ200" s="369">
        <f t="shared" si="1140"/>
        <v>-0.12</v>
      </c>
      <c r="BK200" s="355">
        <f t="shared" si="1141"/>
        <v>0</v>
      </c>
      <c r="BL200" s="355">
        <f t="shared" si="1142"/>
        <v>0</v>
      </c>
      <c r="BN200" s="366">
        <f t="shared" si="1143"/>
        <v>0</v>
      </c>
      <c r="BO200" s="355">
        <f t="shared" si="1144"/>
        <v>0</v>
      </c>
      <c r="BP200" s="355">
        <f t="shared" si="1145"/>
        <v>0</v>
      </c>
      <c r="BQ200" s="355">
        <f t="shared" si="1146"/>
        <v>0</v>
      </c>
      <c r="BS200" s="367">
        <f t="shared" si="1147"/>
        <v>0</v>
      </c>
      <c r="BT200" s="355">
        <f t="shared" si="1148"/>
        <v>0</v>
      </c>
      <c r="BU200" s="355" t="b">
        <f t="shared" si="1111"/>
        <v>1</v>
      </c>
      <c r="BW200" s="355" t="str">
        <f t="shared" si="1149"/>
        <v/>
      </c>
      <c r="BX200" s="355">
        <f t="shared" si="1150"/>
        <v>0</v>
      </c>
      <c r="BY200" s="356">
        <f t="shared" si="1181"/>
        <v>0</v>
      </c>
      <c r="BZ200" s="355">
        <f t="shared" si="1151"/>
        <v>0</v>
      </c>
      <c r="CB200" s="102" t="str">
        <f t="shared" si="1152"/>
        <v>?</v>
      </c>
      <c r="CD200" s="355" t="str">
        <f t="shared" si="1153"/>
        <v>Não</v>
      </c>
      <c r="CE200" s="368">
        <f>ifzero(mlookup(tbl_ICMSinterest_data,UFdestino,tbl_ICMSinterest_ufdest,UForigem,tbl_ICMSinterest_uforig))</f>
        <v>0.12</v>
      </c>
      <c r="CF200" s="368">
        <f>IF(N200&gt;0,IF(I200&lt;&gt;"Serviço",ifzero(mlookup(tbl_ICMSinterno_data,UForigem,tbl_ICMSinterno_UF,O200,tbl_ICMSinterno_NCM),mlookup(tbl_ICMSinterest_data,UForigem,tbl_ICMSinterest_ufdest,UForigem,tbl_ICMSinterest_uforig)),""),0)</f>
        <v>0</v>
      </c>
      <c r="CG200" s="368">
        <f>IF(N200&gt;0,IF(I200&lt;&gt;"Serviço",ifzero(mlookup(tbl_ICMSinterno_data,UFdestino,tbl_ICMSinterno_UF,O200,tbl_ICMSinterno_NCM),mlookup(tbl_ICMSinterest_data,UFdestino,tbl_ICMSinterest_ufdest,UFdestino,tbl_ICMSinterest_uforig)),""),0)</f>
        <v>0</v>
      </c>
      <c r="CI200" s="355">
        <f t="shared" si="1154"/>
        <v>0</v>
      </c>
      <c r="CJ200" s="355">
        <f t="shared" si="1155"/>
        <v>0</v>
      </c>
      <c r="CK200" s="355">
        <f t="shared" si="1156"/>
        <v>0</v>
      </c>
      <c r="CL200" s="355">
        <f t="shared" si="1157"/>
        <v>0</v>
      </c>
      <c r="CN200" s="370">
        <f t="shared" si="1158"/>
        <v>1540</v>
      </c>
      <c r="CO200" s="355">
        <f t="shared" si="1159"/>
        <v>0</v>
      </c>
      <c r="CQ200" s="355" t="b">
        <f t="shared" si="1160"/>
        <v>0</v>
      </c>
      <c r="CR200" s="355" t="b">
        <f t="shared" si="1161"/>
        <v>1</v>
      </c>
      <c r="CS200" s="355" t="b">
        <f t="shared" si="1162"/>
        <v>0</v>
      </c>
      <c r="CU200" s="2">
        <f t="shared" si="1163"/>
        <v>0</v>
      </c>
      <c r="CV200" s="102">
        <f t="shared" si="1164"/>
        <v>0</v>
      </c>
      <c r="CW200" s="102">
        <f t="shared" si="1098"/>
        <v>0</v>
      </c>
      <c r="CX200" s="102">
        <f t="shared" si="1165"/>
        <v>0</v>
      </c>
      <c r="CY200" s="290">
        <f t="shared" si="1166"/>
        <v>0</v>
      </c>
      <c r="CZ200" s="102">
        <f t="shared" si="1100"/>
        <v>0</v>
      </c>
      <c r="DA200" s="290">
        <f t="shared" si="1167"/>
        <v>0</v>
      </c>
      <c r="DB200" s="102">
        <f t="shared" si="1101"/>
        <v>0</v>
      </c>
      <c r="DC200" s="290">
        <f t="shared" si="1168"/>
        <v>0</v>
      </c>
      <c r="DD200" s="102">
        <f t="shared" si="1099"/>
        <v>0</v>
      </c>
      <c r="DE200" s="592">
        <f>IF(D200="Sim",HLOOKUP($DH$5,Parametrização!$G$2:$H$4,2,FALSE),0)</f>
        <v>0</v>
      </c>
      <c r="DF200" s="102">
        <f t="shared" si="1102"/>
        <v>0</v>
      </c>
      <c r="DG200" s="592">
        <f>IF(D200="Sim",HLOOKUP($DH$5,Parametrização!$G$2:$H$4,3,FALSE),0)</f>
        <v>0</v>
      </c>
      <c r="DH200" s="102">
        <f t="shared" si="1103"/>
        <v>0</v>
      </c>
      <c r="DI200" s="102">
        <f t="shared" si="1104"/>
        <v>0</v>
      </c>
      <c r="DK200" s="3" t="str">
        <f t="shared" si="1169"/>
        <v>NA</v>
      </c>
      <c r="DL200" s="2" t="str">
        <f t="shared" si="1170"/>
        <v>NA</v>
      </c>
      <c r="DM200" s="3" t="str">
        <f t="shared" si="1171"/>
        <v>NA</v>
      </c>
      <c r="DN200" s="9" t="str">
        <f t="shared" si="1172"/>
        <v>NA</v>
      </c>
      <c r="DO200" s="637" t="str">
        <f t="shared" si="1173"/>
        <v>NA</v>
      </c>
      <c r="DP200" s="637"/>
      <c r="DQ200" s="3" t="str">
        <f t="shared" si="1174"/>
        <v>NA</v>
      </c>
      <c r="DR200" s="2" t="str">
        <f t="shared" si="1175"/>
        <v>NA</v>
      </c>
      <c r="DS200" s="3" t="str">
        <f t="shared" si="1176"/>
        <v>NA</v>
      </c>
      <c r="DT200" s="9" t="str">
        <f t="shared" si="1105"/>
        <v>NA</v>
      </c>
      <c r="DU200" s="637" t="str">
        <f t="shared" si="1106"/>
        <v>NA</v>
      </c>
      <c r="DV200" s="637"/>
      <c r="DW200" s="682"/>
      <c r="DX200" s="682"/>
      <c r="DY200" s="682"/>
      <c r="DZ200" s="637"/>
      <c r="EA200" s="643"/>
    </row>
    <row r="201" spans="1:131" s="355" customFormat="1" ht="20.100000000000001" customHeight="1" outlineLevel="1" x14ac:dyDescent="0.25">
      <c r="A201" s="356"/>
      <c r="B201" s="355" t="s">
        <v>268</v>
      </c>
      <c r="C201" s="355" t="str">
        <f t="shared" si="1177"/>
        <v>Consumo</v>
      </c>
      <c r="D201" s="355" t="s">
        <v>53</v>
      </c>
      <c r="E201" s="18" t="s">
        <v>38</v>
      </c>
      <c r="F201" s="355" t="s">
        <v>53</v>
      </c>
      <c r="G201" s="357" t="str">
        <f t="shared" si="1178"/>
        <v>Geral</v>
      </c>
      <c r="H201" s="255" t="s">
        <v>377</v>
      </c>
      <c r="I201" s="356" t="str">
        <f t="shared" si="1112"/>
        <v>Sistema</v>
      </c>
      <c r="K201" s="318" t="s">
        <v>2954</v>
      </c>
      <c r="L201" s="749" t="str">
        <f>IF(Padrões!JF142&lt;&gt;"",Padrões!JF142,"")</f>
        <v/>
      </c>
      <c r="M201" s="358" t="str">
        <f t="shared" si="1113"/>
        <v>?</v>
      </c>
      <c r="N201" s="359">
        <f>Padrões!JI142</f>
        <v>0</v>
      </c>
      <c r="O201" s="381" t="str">
        <f t="shared" si="1114"/>
        <v>?</v>
      </c>
      <c r="P201" s="360">
        <f t="shared" si="1115"/>
        <v>0.12</v>
      </c>
      <c r="Q201" s="360" t="str">
        <f t="shared" si="1116"/>
        <v>?</v>
      </c>
      <c r="R201" s="360">
        <f t="shared" si="1117"/>
        <v>0</v>
      </c>
      <c r="S201" s="361">
        <f t="shared" si="1118"/>
        <v>0</v>
      </c>
      <c r="T201" s="362">
        <f t="shared" si="1119"/>
        <v>0</v>
      </c>
      <c r="U201" s="53" t="str" cm="1">
        <f t="array" ref="U201">IFERROR(IF(I201&lt;&gt;"Serviço",IF(AND(mlookup(tbl_DIFAL_data,UFdestino,tbl_DIFAL_UF,O201,tbl_DIFAL_NCM)&lt;&gt;"",C201="Consumo"),"Sim",""),""),"?")</f>
        <v>?</v>
      </c>
      <c r="V201" s="363" t="str">
        <f>IFERROR(IF(I201&lt;&gt;"Serviço",IF(AND(D201="Não",mlookup(tbl_ST_data,UFdestino,tbl_ST_UF,O201,tbl_ST_NCM)&lt;&gt;"",C201="Revenda",CD201="Não"),"Sim",""),""),"?")</f>
        <v>?</v>
      </c>
      <c r="W201" s="364">
        <f t="shared" si="1120"/>
        <v>0</v>
      </c>
      <c r="X201" s="365">
        <f>IF(V201="Sim",mlookup(tbl_ST_data,UFdestino,tbl_ST_UF,O201,tbl_ST_NCM),0)</f>
        <v>0</v>
      </c>
      <c r="Z201" s="355">
        <f t="shared" si="1121"/>
        <v>0</v>
      </c>
      <c r="AA201" s="355">
        <f t="shared" si="1107"/>
        <v>0</v>
      </c>
      <c r="AC201" s="366">
        <f t="shared" si="1179"/>
        <v>1.31243473968765E-2</v>
      </c>
      <c r="AD201" s="366">
        <f t="shared" si="1122"/>
        <v>0.15</v>
      </c>
      <c r="AF201" s="355">
        <f t="shared" si="1123"/>
        <v>0</v>
      </c>
      <c r="AG201" s="355">
        <f t="shared" si="1124"/>
        <v>0</v>
      </c>
      <c r="AI201" s="355">
        <f t="shared" si="1125"/>
        <v>0</v>
      </c>
      <c r="AK201" s="366">
        <f t="shared" si="1180"/>
        <v>0</v>
      </c>
      <c r="AL201" s="355">
        <f t="shared" si="1108"/>
        <v>0</v>
      </c>
      <c r="AM201" s="355">
        <f t="shared" si="1109"/>
        <v>0</v>
      </c>
      <c r="AO201" s="355" t="b">
        <f t="shared" si="1126"/>
        <v>1</v>
      </c>
      <c r="AQ201" s="367">
        <f t="shared" si="1127"/>
        <v>0</v>
      </c>
      <c r="AR201" s="367">
        <f t="shared" si="1110"/>
        <v>0</v>
      </c>
      <c r="AT201" s="367">
        <f t="shared" si="1128"/>
        <v>0</v>
      </c>
      <c r="AU201" s="367">
        <f t="shared" si="1129"/>
        <v>0</v>
      </c>
      <c r="AW201" s="367">
        <f t="shared" si="1130"/>
        <v>0</v>
      </c>
      <c r="AX201" s="367">
        <f t="shared" si="1131"/>
        <v>0</v>
      </c>
      <c r="AY201" s="367">
        <f t="shared" si="1132"/>
        <v>0</v>
      </c>
      <c r="AZ201" s="367">
        <f t="shared" si="1133"/>
        <v>0</v>
      </c>
      <c r="BB201" s="355">
        <f t="shared" si="1134"/>
        <v>0</v>
      </c>
      <c r="BC201" s="355">
        <f t="shared" si="1135"/>
        <v>0</v>
      </c>
      <c r="BD201" s="355">
        <f t="shared" si="1136"/>
        <v>0</v>
      </c>
      <c r="BE201" s="355">
        <f t="shared" si="1137"/>
        <v>0</v>
      </c>
      <c r="BF201" s="355">
        <f t="shared" si="1138"/>
        <v>0</v>
      </c>
      <c r="BH201" s="368">
        <f t="shared" si="1139"/>
        <v>0</v>
      </c>
      <c r="BJ201" s="369">
        <f t="shared" si="1140"/>
        <v>-0.12</v>
      </c>
      <c r="BK201" s="355">
        <f t="shared" si="1141"/>
        <v>0</v>
      </c>
      <c r="BL201" s="355">
        <f t="shared" si="1142"/>
        <v>0</v>
      </c>
      <c r="BN201" s="366">
        <f t="shared" si="1143"/>
        <v>0</v>
      </c>
      <c r="BO201" s="355">
        <f t="shared" si="1144"/>
        <v>0</v>
      </c>
      <c r="BP201" s="355">
        <f t="shared" si="1145"/>
        <v>0</v>
      </c>
      <c r="BQ201" s="355">
        <f t="shared" si="1146"/>
        <v>0</v>
      </c>
      <c r="BS201" s="367">
        <f t="shared" si="1147"/>
        <v>0</v>
      </c>
      <c r="BT201" s="355">
        <f t="shared" si="1148"/>
        <v>0</v>
      </c>
      <c r="BU201" s="355" t="b">
        <f t="shared" si="1111"/>
        <v>1</v>
      </c>
      <c r="BW201" s="355" t="str">
        <f t="shared" si="1149"/>
        <v/>
      </c>
      <c r="BX201" s="355">
        <f t="shared" si="1150"/>
        <v>0</v>
      </c>
      <c r="BY201" s="356">
        <f t="shared" si="1181"/>
        <v>0</v>
      </c>
      <c r="BZ201" s="355">
        <f t="shared" si="1151"/>
        <v>0</v>
      </c>
      <c r="CB201" s="102" t="str">
        <f t="shared" si="1152"/>
        <v>?</v>
      </c>
      <c r="CD201" s="355" t="str">
        <f t="shared" si="1153"/>
        <v>Não</v>
      </c>
      <c r="CE201" s="368">
        <f>ifzero(mlookup(tbl_ICMSinterest_data,UFdestino,tbl_ICMSinterest_ufdest,UForigem,tbl_ICMSinterest_uforig))</f>
        <v>0.12</v>
      </c>
      <c r="CF201" s="368">
        <f>IF(N201&gt;0,IF(I201&lt;&gt;"Serviço",ifzero(mlookup(tbl_ICMSinterno_data,UForigem,tbl_ICMSinterno_UF,O201,tbl_ICMSinterno_NCM),mlookup(tbl_ICMSinterest_data,UForigem,tbl_ICMSinterest_ufdest,UForigem,tbl_ICMSinterest_uforig)),""),0)</f>
        <v>0</v>
      </c>
      <c r="CG201" s="368">
        <f>IF(N201&gt;0,IF(I201&lt;&gt;"Serviço",ifzero(mlookup(tbl_ICMSinterno_data,UFdestino,tbl_ICMSinterno_UF,O201,tbl_ICMSinterno_NCM),mlookup(tbl_ICMSinterest_data,UFdestino,tbl_ICMSinterest_ufdest,UFdestino,tbl_ICMSinterest_uforig)),""),0)</f>
        <v>0</v>
      </c>
      <c r="CI201" s="355">
        <f t="shared" si="1154"/>
        <v>0</v>
      </c>
      <c r="CJ201" s="355">
        <f t="shared" si="1155"/>
        <v>0</v>
      </c>
      <c r="CK201" s="355">
        <f t="shared" si="1156"/>
        <v>0</v>
      </c>
      <c r="CL201" s="355">
        <f t="shared" si="1157"/>
        <v>0</v>
      </c>
      <c r="CN201" s="370">
        <f t="shared" si="1158"/>
        <v>1540</v>
      </c>
      <c r="CO201" s="355">
        <f t="shared" si="1159"/>
        <v>0</v>
      </c>
      <c r="CQ201" s="355" t="b">
        <f t="shared" si="1160"/>
        <v>0</v>
      </c>
      <c r="CR201" s="355" t="b">
        <f t="shared" si="1161"/>
        <v>1</v>
      </c>
      <c r="CS201" s="355" t="b">
        <f t="shared" si="1162"/>
        <v>0</v>
      </c>
      <c r="CU201" s="2">
        <f t="shared" si="1163"/>
        <v>0</v>
      </c>
      <c r="CV201" s="102">
        <f t="shared" si="1164"/>
        <v>0</v>
      </c>
      <c r="CW201" s="102">
        <f t="shared" si="1098"/>
        <v>0</v>
      </c>
      <c r="CX201" s="102">
        <f t="shared" si="1165"/>
        <v>0</v>
      </c>
      <c r="CY201" s="290">
        <f t="shared" si="1166"/>
        <v>0</v>
      </c>
      <c r="CZ201" s="102">
        <f t="shared" si="1100"/>
        <v>0</v>
      </c>
      <c r="DA201" s="290">
        <f t="shared" si="1167"/>
        <v>0</v>
      </c>
      <c r="DB201" s="102">
        <f t="shared" si="1101"/>
        <v>0</v>
      </c>
      <c r="DC201" s="290">
        <f t="shared" si="1168"/>
        <v>0</v>
      </c>
      <c r="DD201" s="102">
        <f t="shared" si="1099"/>
        <v>0</v>
      </c>
      <c r="DE201" s="592">
        <f>IF(D201="Sim",HLOOKUP($DH$5,Parametrização!$G$2:$H$4,2,FALSE),0)</f>
        <v>0</v>
      </c>
      <c r="DF201" s="102">
        <f t="shared" si="1102"/>
        <v>0</v>
      </c>
      <c r="DG201" s="592">
        <f>IF(D201="Sim",HLOOKUP($DH$5,Parametrização!$G$2:$H$4,3,FALSE),0)</f>
        <v>0</v>
      </c>
      <c r="DH201" s="102">
        <f t="shared" si="1103"/>
        <v>0</v>
      </c>
      <c r="DI201" s="102">
        <f t="shared" si="1104"/>
        <v>0</v>
      </c>
      <c r="DK201" s="3" t="str">
        <f t="shared" si="1169"/>
        <v>NA</v>
      </c>
      <c r="DL201" s="2" t="str">
        <f t="shared" si="1170"/>
        <v>NA</v>
      </c>
      <c r="DM201" s="3" t="str">
        <f t="shared" si="1171"/>
        <v>NA</v>
      </c>
      <c r="DN201" s="9" t="str">
        <f t="shared" si="1172"/>
        <v>NA</v>
      </c>
      <c r="DO201" s="637" t="str">
        <f t="shared" si="1173"/>
        <v>NA</v>
      </c>
      <c r="DP201" s="637"/>
      <c r="DQ201" s="3" t="str">
        <f t="shared" si="1174"/>
        <v>NA</v>
      </c>
      <c r="DR201" s="2" t="str">
        <f t="shared" si="1175"/>
        <v>NA</v>
      </c>
      <c r="DS201" s="3" t="str">
        <f t="shared" si="1176"/>
        <v>NA</v>
      </c>
      <c r="DT201" s="9" t="str">
        <f t="shared" si="1105"/>
        <v>NA</v>
      </c>
      <c r="DU201" s="637" t="str">
        <f t="shared" si="1106"/>
        <v>NA</v>
      </c>
      <c r="DV201" s="637"/>
      <c r="DW201" s="682"/>
      <c r="DX201" s="682"/>
      <c r="DY201" s="682"/>
      <c r="DZ201" s="637"/>
      <c r="EA201" s="643"/>
    </row>
    <row r="202" spans="1:131" s="355" customFormat="1" ht="20.100000000000001" customHeight="1" outlineLevel="1" x14ac:dyDescent="0.25">
      <c r="A202" s="356"/>
      <c r="B202" s="355" t="s">
        <v>268</v>
      </c>
      <c r="C202" s="355" t="str">
        <f t="shared" si="1177"/>
        <v>Consumo</v>
      </c>
      <c r="D202" s="355" t="s">
        <v>53</v>
      </c>
      <c r="E202" s="18" t="s">
        <v>38</v>
      </c>
      <c r="F202" s="355" t="s">
        <v>53</v>
      </c>
      <c r="G202" s="357" t="str">
        <f t="shared" si="1178"/>
        <v>Geral</v>
      </c>
      <c r="H202" s="255" t="s">
        <v>377</v>
      </c>
      <c r="I202" s="356" t="str">
        <f t="shared" si="1112"/>
        <v>Sistema</v>
      </c>
      <c r="K202" s="318" t="s">
        <v>2955</v>
      </c>
      <c r="L202" s="749" t="str">
        <f>IF(Padrões!JF143&lt;&gt;"",Padrões!JF143,"")</f>
        <v/>
      </c>
      <c r="M202" s="358" t="str">
        <f t="shared" si="1113"/>
        <v>?</v>
      </c>
      <c r="N202" s="359">
        <f>Padrões!JI143</f>
        <v>0</v>
      </c>
      <c r="O202" s="381" t="str">
        <f t="shared" si="1114"/>
        <v>?</v>
      </c>
      <c r="P202" s="360">
        <f t="shared" si="1115"/>
        <v>0.12</v>
      </c>
      <c r="Q202" s="360" t="str">
        <f t="shared" si="1116"/>
        <v>?</v>
      </c>
      <c r="R202" s="360">
        <f t="shared" si="1117"/>
        <v>0</v>
      </c>
      <c r="S202" s="361">
        <f t="shared" si="1118"/>
        <v>0</v>
      </c>
      <c r="T202" s="362">
        <f t="shared" si="1119"/>
        <v>0</v>
      </c>
      <c r="U202" s="53" t="str" cm="1">
        <f t="array" ref="U202">IFERROR(IF(I202&lt;&gt;"Serviço",IF(AND(mlookup(tbl_DIFAL_data,UFdestino,tbl_DIFAL_UF,O202,tbl_DIFAL_NCM)&lt;&gt;"",C202="Consumo"),"Sim",""),""),"?")</f>
        <v>?</v>
      </c>
      <c r="V202" s="363" t="str">
        <f>IFERROR(IF(I202&lt;&gt;"Serviço",IF(AND(D202="Não",mlookup(tbl_ST_data,UFdestino,tbl_ST_UF,O202,tbl_ST_NCM)&lt;&gt;"",C202="Revenda",CD202="Não"),"Sim",""),""),"?")</f>
        <v>?</v>
      </c>
      <c r="W202" s="364">
        <f t="shared" si="1120"/>
        <v>0</v>
      </c>
      <c r="X202" s="365">
        <f>IF(V202="Sim",mlookup(tbl_ST_data,UFdestino,tbl_ST_UF,O202,tbl_ST_NCM),0)</f>
        <v>0</v>
      </c>
      <c r="Z202" s="355">
        <f t="shared" si="1121"/>
        <v>0</v>
      </c>
      <c r="AA202" s="355">
        <f t="shared" si="1107"/>
        <v>0</v>
      </c>
      <c r="AC202" s="366">
        <f t="shared" si="1179"/>
        <v>1.31243473968765E-2</v>
      </c>
      <c r="AD202" s="366">
        <f t="shared" si="1122"/>
        <v>0.15</v>
      </c>
      <c r="AF202" s="355">
        <f t="shared" si="1123"/>
        <v>0</v>
      </c>
      <c r="AG202" s="355">
        <f t="shared" si="1124"/>
        <v>0</v>
      </c>
      <c r="AI202" s="355">
        <f t="shared" si="1125"/>
        <v>0</v>
      </c>
      <c r="AK202" s="366">
        <f t="shared" si="1180"/>
        <v>0</v>
      </c>
      <c r="AL202" s="355">
        <f t="shared" si="1108"/>
        <v>0</v>
      </c>
      <c r="AM202" s="355">
        <f t="shared" si="1109"/>
        <v>0</v>
      </c>
      <c r="AO202" s="355" t="b">
        <f t="shared" si="1126"/>
        <v>1</v>
      </c>
      <c r="AQ202" s="367">
        <f t="shared" si="1127"/>
        <v>0</v>
      </c>
      <c r="AR202" s="367">
        <f t="shared" si="1110"/>
        <v>0</v>
      </c>
      <c r="AT202" s="367">
        <f t="shared" si="1128"/>
        <v>0</v>
      </c>
      <c r="AU202" s="367">
        <f t="shared" si="1129"/>
        <v>0</v>
      </c>
      <c r="AW202" s="367">
        <f t="shared" si="1130"/>
        <v>0</v>
      </c>
      <c r="AX202" s="367">
        <f t="shared" si="1131"/>
        <v>0</v>
      </c>
      <c r="AY202" s="367">
        <f t="shared" si="1132"/>
        <v>0</v>
      </c>
      <c r="AZ202" s="367">
        <f t="shared" si="1133"/>
        <v>0</v>
      </c>
      <c r="BB202" s="355">
        <f t="shared" si="1134"/>
        <v>0</v>
      </c>
      <c r="BC202" s="355">
        <f t="shared" si="1135"/>
        <v>0</v>
      </c>
      <c r="BD202" s="355">
        <f t="shared" si="1136"/>
        <v>0</v>
      </c>
      <c r="BE202" s="355">
        <f t="shared" si="1137"/>
        <v>0</v>
      </c>
      <c r="BF202" s="355">
        <f t="shared" si="1138"/>
        <v>0</v>
      </c>
      <c r="BH202" s="368">
        <f t="shared" si="1139"/>
        <v>0</v>
      </c>
      <c r="BJ202" s="369">
        <f t="shared" si="1140"/>
        <v>-0.12</v>
      </c>
      <c r="BK202" s="355">
        <f t="shared" si="1141"/>
        <v>0</v>
      </c>
      <c r="BL202" s="355">
        <f t="shared" si="1142"/>
        <v>0</v>
      </c>
      <c r="BN202" s="366">
        <f t="shared" si="1143"/>
        <v>0</v>
      </c>
      <c r="BO202" s="355">
        <f t="shared" si="1144"/>
        <v>0</v>
      </c>
      <c r="BP202" s="355">
        <f t="shared" si="1145"/>
        <v>0</v>
      </c>
      <c r="BQ202" s="355">
        <f t="shared" si="1146"/>
        <v>0</v>
      </c>
      <c r="BS202" s="367">
        <f t="shared" si="1147"/>
        <v>0</v>
      </c>
      <c r="BT202" s="355">
        <f t="shared" si="1148"/>
        <v>0</v>
      </c>
      <c r="BU202" s="355" t="b">
        <f t="shared" si="1111"/>
        <v>1</v>
      </c>
      <c r="BW202" s="355" t="str">
        <f t="shared" si="1149"/>
        <v/>
      </c>
      <c r="BX202" s="355">
        <f t="shared" si="1150"/>
        <v>0</v>
      </c>
      <c r="BY202" s="356">
        <f t="shared" si="1181"/>
        <v>0</v>
      </c>
      <c r="BZ202" s="355">
        <f t="shared" si="1151"/>
        <v>0</v>
      </c>
      <c r="CB202" s="102" t="str">
        <f t="shared" si="1152"/>
        <v>?</v>
      </c>
      <c r="CD202" s="355" t="str">
        <f t="shared" si="1153"/>
        <v>Não</v>
      </c>
      <c r="CE202" s="368">
        <f>ifzero(mlookup(tbl_ICMSinterest_data,UFdestino,tbl_ICMSinterest_ufdest,UForigem,tbl_ICMSinterest_uforig))</f>
        <v>0.12</v>
      </c>
      <c r="CF202" s="368">
        <f>IF(N202&gt;0,IF(I202&lt;&gt;"Serviço",ifzero(mlookup(tbl_ICMSinterno_data,UForigem,tbl_ICMSinterno_UF,O202,tbl_ICMSinterno_NCM),mlookup(tbl_ICMSinterest_data,UForigem,tbl_ICMSinterest_ufdest,UForigem,tbl_ICMSinterest_uforig)),""),0)</f>
        <v>0</v>
      </c>
      <c r="CG202" s="368">
        <f>IF(N202&gt;0,IF(I202&lt;&gt;"Serviço",ifzero(mlookup(tbl_ICMSinterno_data,UFdestino,tbl_ICMSinterno_UF,O202,tbl_ICMSinterno_NCM),mlookup(tbl_ICMSinterest_data,UFdestino,tbl_ICMSinterest_ufdest,UFdestino,tbl_ICMSinterest_uforig)),""),0)</f>
        <v>0</v>
      </c>
      <c r="CI202" s="355">
        <f t="shared" si="1154"/>
        <v>0</v>
      </c>
      <c r="CJ202" s="355">
        <f t="shared" si="1155"/>
        <v>0</v>
      </c>
      <c r="CK202" s="355">
        <f t="shared" si="1156"/>
        <v>0</v>
      </c>
      <c r="CL202" s="355">
        <f t="shared" si="1157"/>
        <v>0</v>
      </c>
      <c r="CN202" s="370">
        <f t="shared" si="1158"/>
        <v>1540</v>
      </c>
      <c r="CO202" s="355">
        <f t="shared" si="1159"/>
        <v>0</v>
      </c>
      <c r="CQ202" s="355" t="b">
        <f t="shared" si="1160"/>
        <v>0</v>
      </c>
      <c r="CR202" s="355" t="b">
        <f t="shared" si="1161"/>
        <v>1</v>
      </c>
      <c r="CS202" s="355" t="b">
        <f t="shared" si="1162"/>
        <v>0</v>
      </c>
      <c r="CU202" s="2">
        <f t="shared" si="1163"/>
        <v>0</v>
      </c>
      <c r="CV202" s="102">
        <f t="shared" si="1164"/>
        <v>0</v>
      </c>
      <c r="CW202" s="102">
        <f t="shared" si="1098"/>
        <v>0</v>
      </c>
      <c r="CX202" s="102">
        <f t="shared" si="1165"/>
        <v>0</v>
      </c>
      <c r="CY202" s="290">
        <f t="shared" si="1166"/>
        <v>0</v>
      </c>
      <c r="CZ202" s="102">
        <f t="shared" si="1100"/>
        <v>0</v>
      </c>
      <c r="DA202" s="290">
        <f t="shared" si="1167"/>
        <v>0</v>
      </c>
      <c r="DB202" s="102">
        <f t="shared" si="1101"/>
        <v>0</v>
      </c>
      <c r="DC202" s="290">
        <f t="shared" si="1168"/>
        <v>0</v>
      </c>
      <c r="DD202" s="102">
        <f t="shared" si="1099"/>
        <v>0</v>
      </c>
      <c r="DE202" s="592">
        <f>IF(D202="Sim",HLOOKUP($DH$5,Parametrização!$G$2:$H$4,2,FALSE),0)</f>
        <v>0</v>
      </c>
      <c r="DF202" s="102">
        <f t="shared" si="1102"/>
        <v>0</v>
      </c>
      <c r="DG202" s="592">
        <f>IF(D202="Sim",HLOOKUP($DH$5,Parametrização!$G$2:$H$4,3,FALSE),0)</f>
        <v>0</v>
      </c>
      <c r="DH202" s="102">
        <f t="shared" si="1103"/>
        <v>0</v>
      </c>
      <c r="DI202" s="102">
        <f t="shared" si="1104"/>
        <v>0</v>
      </c>
      <c r="DK202" s="3" t="str">
        <f t="shared" si="1169"/>
        <v>NA</v>
      </c>
      <c r="DL202" s="2" t="str">
        <f t="shared" si="1170"/>
        <v>NA</v>
      </c>
      <c r="DM202" s="3" t="str">
        <f t="shared" si="1171"/>
        <v>NA</v>
      </c>
      <c r="DN202" s="9" t="str">
        <f t="shared" si="1172"/>
        <v>NA</v>
      </c>
      <c r="DO202" s="637" t="str">
        <f t="shared" si="1173"/>
        <v>NA</v>
      </c>
      <c r="DP202" s="637"/>
      <c r="DQ202" s="3" t="str">
        <f t="shared" si="1174"/>
        <v>NA</v>
      </c>
      <c r="DR202" s="2" t="str">
        <f t="shared" si="1175"/>
        <v>NA</v>
      </c>
      <c r="DS202" s="3" t="str">
        <f t="shared" si="1176"/>
        <v>NA</v>
      </c>
      <c r="DT202" s="9" t="str">
        <f t="shared" si="1105"/>
        <v>NA</v>
      </c>
      <c r="DU202" s="637" t="str">
        <f t="shared" si="1106"/>
        <v>NA</v>
      </c>
      <c r="DV202" s="637"/>
      <c r="DW202" s="682"/>
      <c r="DX202" s="682"/>
      <c r="DY202" s="682"/>
      <c r="DZ202" s="637"/>
      <c r="EA202" s="643"/>
    </row>
    <row r="203" spans="1:131" s="355" customFormat="1" ht="20.100000000000001" customHeight="1" outlineLevel="1" x14ac:dyDescent="0.25">
      <c r="A203" s="356"/>
      <c r="B203" s="355" t="s">
        <v>268</v>
      </c>
      <c r="C203" s="355" t="str">
        <f t="shared" si="1177"/>
        <v>Consumo</v>
      </c>
      <c r="D203" s="355" t="s">
        <v>53</v>
      </c>
      <c r="E203" s="18" t="s">
        <v>38</v>
      </c>
      <c r="F203" s="355" t="s">
        <v>53</v>
      </c>
      <c r="G203" s="357" t="str">
        <f t="shared" si="1178"/>
        <v>Geral</v>
      </c>
      <c r="H203" s="255" t="s">
        <v>377</v>
      </c>
      <c r="I203" s="356" t="str">
        <f t="shared" si="1112"/>
        <v>Sistema</v>
      </c>
      <c r="K203" s="318" t="s">
        <v>2956</v>
      </c>
      <c r="L203" s="749" t="str">
        <f>IF(Padrões!JF144&lt;&gt;"",Padrões!JF144,"")</f>
        <v/>
      </c>
      <c r="M203" s="358" t="str">
        <f t="shared" si="1113"/>
        <v>?</v>
      </c>
      <c r="N203" s="359">
        <f>Padrões!JI144</f>
        <v>0</v>
      </c>
      <c r="O203" s="381" t="str">
        <f t="shared" si="1114"/>
        <v>?</v>
      </c>
      <c r="P203" s="360">
        <f t="shared" si="1115"/>
        <v>0.12</v>
      </c>
      <c r="Q203" s="360" t="str">
        <f t="shared" si="1116"/>
        <v>?</v>
      </c>
      <c r="R203" s="360">
        <f t="shared" si="1117"/>
        <v>0</v>
      </c>
      <c r="S203" s="361">
        <f t="shared" si="1118"/>
        <v>0</v>
      </c>
      <c r="T203" s="362">
        <f t="shared" si="1119"/>
        <v>0</v>
      </c>
      <c r="U203" s="53" t="str" cm="1">
        <f t="array" ref="U203">IFERROR(IF(I203&lt;&gt;"Serviço",IF(AND(mlookup(tbl_DIFAL_data,UFdestino,tbl_DIFAL_UF,O203,tbl_DIFAL_NCM)&lt;&gt;"",C203="Consumo"),"Sim",""),""),"?")</f>
        <v>?</v>
      </c>
      <c r="V203" s="363" t="str">
        <f>IFERROR(IF(I203&lt;&gt;"Serviço",IF(AND(D203="Não",mlookup(tbl_ST_data,UFdestino,tbl_ST_UF,O203,tbl_ST_NCM)&lt;&gt;"",C203="Revenda",CD203="Não"),"Sim",""),""),"?")</f>
        <v>?</v>
      </c>
      <c r="W203" s="364">
        <f t="shared" si="1120"/>
        <v>0</v>
      </c>
      <c r="X203" s="365">
        <f>IF(V203="Sim",mlookup(tbl_ST_data,UFdestino,tbl_ST_UF,O203,tbl_ST_NCM),0)</f>
        <v>0</v>
      </c>
      <c r="Z203" s="355">
        <f t="shared" si="1121"/>
        <v>0</v>
      </c>
      <c r="AA203" s="355">
        <f t="shared" si="1107"/>
        <v>0</v>
      </c>
      <c r="AC203" s="366">
        <f t="shared" si="1179"/>
        <v>1.31243473968765E-2</v>
      </c>
      <c r="AD203" s="366">
        <f t="shared" si="1122"/>
        <v>0.15</v>
      </c>
      <c r="AF203" s="355">
        <f t="shared" si="1123"/>
        <v>0</v>
      </c>
      <c r="AG203" s="355">
        <f t="shared" si="1124"/>
        <v>0</v>
      </c>
      <c r="AI203" s="355">
        <f t="shared" si="1125"/>
        <v>0</v>
      </c>
      <c r="AK203" s="366">
        <f t="shared" si="1180"/>
        <v>0</v>
      </c>
      <c r="AL203" s="355">
        <f t="shared" si="1108"/>
        <v>0</v>
      </c>
      <c r="AM203" s="355">
        <f t="shared" si="1109"/>
        <v>0</v>
      </c>
      <c r="AO203" s="355" t="b">
        <f t="shared" si="1126"/>
        <v>1</v>
      </c>
      <c r="AQ203" s="367">
        <f t="shared" si="1127"/>
        <v>0</v>
      </c>
      <c r="AR203" s="367">
        <f t="shared" si="1110"/>
        <v>0</v>
      </c>
      <c r="AT203" s="367">
        <f t="shared" si="1128"/>
        <v>0</v>
      </c>
      <c r="AU203" s="367">
        <f t="shared" si="1129"/>
        <v>0</v>
      </c>
      <c r="AW203" s="367">
        <f t="shared" si="1130"/>
        <v>0</v>
      </c>
      <c r="AX203" s="367">
        <f t="shared" si="1131"/>
        <v>0</v>
      </c>
      <c r="AY203" s="367">
        <f t="shared" si="1132"/>
        <v>0</v>
      </c>
      <c r="AZ203" s="367">
        <f t="shared" si="1133"/>
        <v>0</v>
      </c>
      <c r="BB203" s="355">
        <f t="shared" si="1134"/>
        <v>0</v>
      </c>
      <c r="BC203" s="355">
        <f t="shared" si="1135"/>
        <v>0</v>
      </c>
      <c r="BD203" s="355">
        <f t="shared" si="1136"/>
        <v>0</v>
      </c>
      <c r="BE203" s="355">
        <f t="shared" si="1137"/>
        <v>0</v>
      </c>
      <c r="BF203" s="355">
        <f t="shared" si="1138"/>
        <v>0</v>
      </c>
      <c r="BH203" s="368">
        <f t="shared" si="1139"/>
        <v>0</v>
      </c>
      <c r="BJ203" s="369">
        <f t="shared" si="1140"/>
        <v>-0.12</v>
      </c>
      <c r="BK203" s="355">
        <f t="shared" si="1141"/>
        <v>0</v>
      </c>
      <c r="BL203" s="355">
        <f t="shared" si="1142"/>
        <v>0</v>
      </c>
      <c r="BN203" s="366">
        <f t="shared" si="1143"/>
        <v>0</v>
      </c>
      <c r="BO203" s="355">
        <f t="shared" si="1144"/>
        <v>0</v>
      </c>
      <c r="BP203" s="355">
        <f t="shared" si="1145"/>
        <v>0</v>
      </c>
      <c r="BQ203" s="355">
        <f t="shared" si="1146"/>
        <v>0</v>
      </c>
      <c r="BS203" s="367">
        <f t="shared" si="1147"/>
        <v>0</v>
      </c>
      <c r="BT203" s="355">
        <f t="shared" si="1148"/>
        <v>0</v>
      </c>
      <c r="BU203" s="355" t="b">
        <f t="shared" si="1111"/>
        <v>1</v>
      </c>
      <c r="BW203" s="355" t="str">
        <f t="shared" si="1149"/>
        <v/>
      </c>
      <c r="BX203" s="355">
        <f t="shared" si="1150"/>
        <v>0</v>
      </c>
      <c r="BY203" s="356">
        <f t="shared" si="1181"/>
        <v>0</v>
      </c>
      <c r="BZ203" s="355">
        <f t="shared" si="1151"/>
        <v>0</v>
      </c>
      <c r="CB203" s="102" t="str">
        <f t="shared" si="1152"/>
        <v>?</v>
      </c>
      <c r="CD203" s="355" t="str">
        <f t="shared" si="1153"/>
        <v>Não</v>
      </c>
      <c r="CE203" s="368">
        <f>ifzero(mlookup(tbl_ICMSinterest_data,UFdestino,tbl_ICMSinterest_ufdest,UForigem,tbl_ICMSinterest_uforig))</f>
        <v>0.12</v>
      </c>
      <c r="CF203" s="368">
        <f>IF(N203&gt;0,IF(I203&lt;&gt;"Serviço",ifzero(mlookup(tbl_ICMSinterno_data,UForigem,tbl_ICMSinterno_UF,O203,tbl_ICMSinterno_NCM),mlookup(tbl_ICMSinterest_data,UForigem,tbl_ICMSinterest_ufdest,UForigem,tbl_ICMSinterest_uforig)),""),0)</f>
        <v>0</v>
      </c>
      <c r="CG203" s="368">
        <f>IF(N203&gt;0,IF(I203&lt;&gt;"Serviço",ifzero(mlookup(tbl_ICMSinterno_data,UFdestino,tbl_ICMSinterno_UF,O203,tbl_ICMSinterno_NCM),mlookup(tbl_ICMSinterest_data,UFdestino,tbl_ICMSinterest_ufdest,UFdestino,tbl_ICMSinterest_uforig)),""),0)</f>
        <v>0</v>
      </c>
      <c r="CI203" s="355">
        <f t="shared" si="1154"/>
        <v>0</v>
      </c>
      <c r="CJ203" s="355">
        <f t="shared" si="1155"/>
        <v>0</v>
      </c>
      <c r="CK203" s="355">
        <f t="shared" si="1156"/>
        <v>0</v>
      </c>
      <c r="CL203" s="355">
        <f t="shared" si="1157"/>
        <v>0</v>
      </c>
      <c r="CN203" s="370">
        <f t="shared" si="1158"/>
        <v>1540</v>
      </c>
      <c r="CO203" s="355">
        <f t="shared" si="1159"/>
        <v>0</v>
      </c>
      <c r="CQ203" s="355" t="b">
        <f t="shared" si="1160"/>
        <v>0</v>
      </c>
      <c r="CR203" s="355" t="b">
        <f t="shared" si="1161"/>
        <v>1</v>
      </c>
      <c r="CS203" s="355" t="b">
        <f t="shared" si="1162"/>
        <v>0</v>
      </c>
      <c r="CU203" s="2">
        <f t="shared" si="1163"/>
        <v>0</v>
      </c>
      <c r="CV203" s="102">
        <f t="shared" si="1164"/>
        <v>0</v>
      </c>
      <c r="CW203" s="102">
        <f t="shared" si="1098"/>
        <v>0</v>
      </c>
      <c r="CX203" s="102">
        <f t="shared" si="1165"/>
        <v>0</v>
      </c>
      <c r="CY203" s="290">
        <f t="shared" si="1166"/>
        <v>0</v>
      </c>
      <c r="CZ203" s="102">
        <f t="shared" si="1100"/>
        <v>0</v>
      </c>
      <c r="DA203" s="290">
        <f t="shared" si="1167"/>
        <v>0</v>
      </c>
      <c r="DB203" s="102">
        <f t="shared" si="1101"/>
        <v>0</v>
      </c>
      <c r="DC203" s="290">
        <f t="shared" si="1168"/>
        <v>0</v>
      </c>
      <c r="DD203" s="102">
        <f t="shared" si="1099"/>
        <v>0</v>
      </c>
      <c r="DE203" s="592">
        <f>IF(D203="Sim",HLOOKUP($DH$5,Parametrização!$G$2:$H$4,2,FALSE),0)</f>
        <v>0</v>
      </c>
      <c r="DF203" s="102">
        <f t="shared" si="1102"/>
        <v>0</v>
      </c>
      <c r="DG203" s="592">
        <f>IF(D203="Sim",HLOOKUP($DH$5,Parametrização!$G$2:$H$4,3,FALSE),0)</f>
        <v>0</v>
      </c>
      <c r="DH203" s="102">
        <f t="shared" si="1103"/>
        <v>0</v>
      </c>
      <c r="DI203" s="102">
        <f t="shared" si="1104"/>
        <v>0</v>
      </c>
      <c r="DK203" s="3" t="str">
        <f t="shared" si="1169"/>
        <v>NA</v>
      </c>
      <c r="DL203" s="2" t="str">
        <f t="shared" si="1170"/>
        <v>NA</v>
      </c>
      <c r="DM203" s="3" t="str">
        <f t="shared" si="1171"/>
        <v>NA</v>
      </c>
      <c r="DN203" s="9" t="str">
        <f t="shared" si="1172"/>
        <v>NA</v>
      </c>
      <c r="DO203" s="637" t="str">
        <f t="shared" si="1173"/>
        <v>NA</v>
      </c>
      <c r="DP203" s="637"/>
      <c r="DQ203" s="3" t="str">
        <f t="shared" si="1174"/>
        <v>NA</v>
      </c>
      <c r="DR203" s="2" t="str">
        <f t="shared" si="1175"/>
        <v>NA</v>
      </c>
      <c r="DS203" s="3" t="str">
        <f t="shared" si="1176"/>
        <v>NA</v>
      </c>
      <c r="DT203" s="9" t="str">
        <f t="shared" si="1105"/>
        <v>NA</v>
      </c>
      <c r="DU203" s="637" t="str">
        <f t="shared" si="1106"/>
        <v>NA</v>
      </c>
      <c r="DV203" s="637"/>
      <c r="DW203" s="682"/>
      <c r="DX203" s="682"/>
      <c r="DY203" s="682"/>
      <c r="DZ203" s="637"/>
      <c r="EA203" s="643"/>
    </row>
    <row r="204" spans="1:131" s="355" customFormat="1" ht="20.100000000000001" customHeight="1" outlineLevel="1" x14ac:dyDescent="0.25">
      <c r="A204" s="356"/>
      <c r="B204" s="355" t="s">
        <v>268</v>
      </c>
      <c r="C204" s="355" t="str">
        <f t="shared" si="1177"/>
        <v>Consumo</v>
      </c>
      <c r="D204" s="355" t="s">
        <v>53</v>
      </c>
      <c r="E204" s="18" t="s">
        <v>38</v>
      </c>
      <c r="F204" s="355" t="s">
        <v>53</v>
      </c>
      <c r="G204" s="357" t="str">
        <f t="shared" si="1178"/>
        <v>Geral</v>
      </c>
      <c r="H204" s="255" t="s">
        <v>377</v>
      </c>
      <c r="I204" s="356" t="str">
        <f t="shared" si="1112"/>
        <v>Sistema</v>
      </c>
      <c r="K204" s="318" t="s">
        <v>2957</v>
      </c>
      <c r="L204" s="749" t="str">
        <f>IF(Padrões!JF145&lt;&gt;"",Padrões!JF145,"")</f>
        <v/>
      </c>
      <c r="M204" s="358" t="str">
        <f t="shared" si="1113"/>
        <v>?</v>
      </c>
      <c r="N204" s="359">
        <f>Padrões!JI145</f>
        <v>0</v>
      </c>
      <c r="O204" s="381" t="str">
        <f t="shared" si="1114"/>
        <v>?</v>
      </c>
      <c r="P204" s="360">
        <f t="shared" si="1115"/>
        <v>0.12</v>
      </c>
      <c r="Q204" s="360" t="str">
        <f t="shared" si="1116"/>
        <v>?</v>
      </c>
      <c r="R204" s="360">
        <f t="shared" si="1117"/>
        <v>0</v>
      </c>
      <c r="S204" s="361">
        <f t="shared" si="1118"/>
        <v>0</v>
      </c>
      <c r="T204" s="362">
        <f t="shared" si="1119"/>
        <v>0</v>
      </c>
      <c r="U204" s="53" t="str" cm="1">
        <f t="array" ref="U204">IFERROR(IF(I204&lt;&gt;"Serviço",IF(AND(mlookup(tbl_DIFAL_data,UFdestino,tbl_DIFAL_UF,O204,tbl_DIFAL_NCM)&lt;&gt;"",C204="Consumo"),"Sim",""),""),"?")</f>
        <v>?</v>
      </c>
      <c r="V204" s="363" t="str">
        <f>IFERROR(IF(I204&lt;&gt;"Serviço",IF(AND(D204="Não",mlookup(tbl_ST_data,UFdestino,tbl_ST_UF,O204,tbl_ST_NCM)&lt;&gt;"",C204="Revenda",CD204="Não"),"Sim",""),""),"?")</f>
        <v>?</v>
      </c>
      <c r="W204" s="364">
        <f t="shared" si="1120"/>
        <v>0</v>
      </c>
      <c r="X204" s="365">
        <f>IF(V204="Sim",mlookup(tbl_ST_data,UFdestino,tbl_ST_UF,O204,tbl_ST_NCM),0)</f>
        <v>0</v>
      </c>
      <c r="Z204" s="355">
        <f t="shared" si="1121"/>
        <v>0</v>
      </c>
      <c r="AA204" s="355">
        <f t="shared" si="1107"/>
        <v>0</v>
      </c>
      <c r="AC204" s="366">
        <f t="shared" si="1179"/>
        <v>1.31243473968765E-2</v>
      </c>
      <c r="AD204" s="366">
        <f t="shared" si="1122"/>
        <v>0.15</v>
      </c>
      <c r="AF204" s="355">
        <f t="shared" si="1123"/>
        <v>0</v>
      </c>
      <c r="AG204" s="355">
        <f t="shared" si="1124"/>
        <v>0</v>
      </c>
      <c r="AI204" s="355">
        <f t="shared" si="1125"/>
        <v>0</v>
      </c>
      <c r="AK204" s="366">
        <f t="shared" si="1180"/>
        <v>0</v>
      </c>
      <c r="AL204" s="355">
        <f t="shared" si="1108"/>
        <v>0</v>
      </c>
      <c r="AM204" s="355">
        <f t="shared" si="1109"/>
        <v>0</v>
      </c>
      <c r="AO204" s="355" t="b">
        <f t="shared" si="1126"/>
        <v>1</v>
      </c>
      <c r="AQ204" s="367">
        <f t="shared" si="1127"/>
        <v>0</v>
      </c>
      <c r="AR204" s="367">
        <f t="shared" si="1110"/>
        <v>0</v>
      </c>
      <c r="AT204" s="367">
        <f t="shared" si="1128"/>
        <v>0</v>
      </c>
      <c r="AU204" s="367">
        <f t="shared" si="1129"/>
        <v>0</v>
      </c>
      <c r="AW204" s="367">
        <f t="shared" si="1130"/>
        <v>0</v>
      </c>
      <c r="AX204" s="367">
        <f t="shared" si="1131"/>
        <v>0</v>
      </c>
      <c r="AY204" s="367">
        <f t="shared" si="1132"/>
        <v>0</v>
      </c>
      <c r="AZ204" s="367">
        <f t="shared" si="1133"/>
        <v>0</v>
      </c>
      <c r="BB204" s="355">
        <f t="shared" si="1134"/>
        <v>0</v>
      </c>
      <c r="BC204" s="355">
        <f t="shared" si="1135"/>
        <v>0</v>
      </c>
      <c r="BD204" s="355">
        <f t="shared" si="1136"/>
        <v>0</v>
      </c>
      <c r="BE204" s="355">
        <f t="shared" si="1137"/>
        <v>0</v>
      </c>
      <c r="BF204" s="355">
        <f t="shared" si="1138"/>
        <v>0</v>
      </c>
      <c r="BH204" s="368">
        <f t="shared" si="1139"/>
        <v>0</v>
      </c>
      <c r="BJ204" s="369">
        <f t="shared" si="1140"/>
        <v>-0.12</v>
      </c>
      <c r="BK204" s="355">
        <f t="shared" si="1141"/>
        <v>0</v>
      </c>
      <c r="BL204" s="355">
        <f t="shared" si="1142"/>
        <v>0</v>
      </c>
      <c r="BN204" s="366">
        <f t="shared" si="1143"/>
        <v>0</v>
      </c>
      <c r="BO204" s="355">
        <f t="shared" si="1144"/>
        <v>0</v>
      </c>
      <c r="BP204" s="355">
        <f t="shared" si="1145"/>
        <v>0</v>
      </c>
      <c r="BQ204" s="355">
        <f t="shared" si="1146"/>
        <v>0</v>
      </c>
      <c r="BS204" s="367">
        <f t="shared" si="1147"/>
        <v>0</v>
      </c>
      <c r="BT204" s="355">
        <f t="shared" si="1148"/>
        <v>0</v>
      </c>
      <c r="BU204" s="355" t="b">
        <f t="shared" si="1111"/>
        <v>1</v>
      </c>
      <c r="BW204" s="355" t="str">
        <f t="shared" si="1149"/>
        <v/>
      </c>
      <c r="BX204" s="355">
        <f t="shared" si="1150"/>
        <v>0</v>
      </c>
      <c r="BY204" s="356">
        <f t="shared" si="1181"/>
        <v>0</v>
      </c>
      <c r="BZ204" s="355">
        <f t="shared" si="1151"/>
        <v>0</v>
      </c>
      <c r="CB204" s="102" t="str">
        <f t="shared" si="1152"/>
        <v>?</v>
      </c>
      <c r="CD204" s="355" t="str">
        <f t="shared" si="1153"/>
        <v>Não</v>
      </c>
      <c r="CE204" s="368">
        <f>ifzero(mlookup(tbl_ICMSinterest_data,UFdestino,tbl_ICMSinterest_ufdest,UForigem,tbl_ICMSinterest_uforig))</f>
        <v>0.12</v>
      </c>
      <c r="CF204" s="368">
        <f>IF(N204&gt;0,IF(I204&lt;&gt;"Serviço",ifzero(mlookup(tbl_ICMSinterno_data,UForigem,tbl_ICMSinterno_UF,O204,tbl_ICMSinterno_NCM),mlookup(tbl_ICMSinterest_data,UForigem,tbl_ICMSinterest_ufdest,UForigem,tbl_ICMSinterest_uforig)),""),0)</f>
        <v>0</v>
      </c>
      <c r="CG204" s="368">
        <f>IF(N204&gt;0,IF(I204&lt;&gt;"Serviço",ifzero(mlookup(tbl_ICMSinterno_data,UFdestino,tbl_ICMSinterno_UF,O204,tbl_ICMSinterno_NCM),mlookup(tbl_ICMSinterest_data,UFdestino,tbl_ICMSinterest_ufdest,UFdestino,tbl_ICMSinterest_uforig)),""),0)</f>
        <v>0</v>
      </c>
      <c r="CI204" s="355">
        <f t="shared" si="1154"/>
        <v>0</v>
      </c>
      <c r="CJ204" s="355">
        <f t="shared" si="1155"/>
        <v>0</v>
      </c>
      <c r="CK204" s="355">
        <f t="shared" si="1156"/>
        <v>0</v>
      </c>
      <c r="CL204" s="355">
        <f t="shared" si="1157"/>
        <v>0</v>
      </c>
      <c r="CN204" s="370">
        <f t="shared" si="1158"/>
        <v>1540</v>
      </c>
      <c r="CO204" s="355">
        <f t="shared" si="1159"/>
        <v>0</v>
      </c>
      <c r="CQ204" s="355" t="b">
        <f t="shared" si="1160"/>
        <v>0</v>
      </c>
      <c r="CR204" s="355" t="b">
        <f t="shared" si="1161"/>
        <v>1</v>
      </c>
      <c r="CS204" s="355" t="b">
        <f t="shared" si="1162"/>
        <v>0</v>
      </c>
      <c r="CU204" s="2">
        <f t="shared" si="1163"/>
        <v>0</v>
      </c>
      <c r="CV204" s="102">
        <f t="shared" si="1164"/>
        <v>0</v>
      </c>
      <c r="CW204" s="102">
        <f t="shared" si="1098"/>
        <v>0</v>
      </c>
      <c r="CX204" s="102">
        <f t="shared" si="1165"/>
        <v>0</v>
      </c>
      <c r="CY204" s="290">
        <f t="shared" si="1166"/>
        <v>0</v>
      </c>
      <c r="CZ204" s="102">
        <f t="shared" si="1100"/>
        <v>0</v>
      </c>
      <c r="DA204" s="290">
        <f t="shared" si="1167"/>
        <v>0</v>
      </c>
      <c r="DB204" s="102">
        <f t="shared" si="1101"/>
        <v>0</v>
      </c>
      <c r="DC204" s="290">
        <f t="shared" si="1168"/>
        <v>0</v>
      </c>
      <c r="DD204" s="102">
        <f t="shared" si="1099"/>
        <v>0</v>
      </c>
      <c r="DE204" s="592">
        <f>IF(D204="Sim",HLOOKUP($DH$5,Parametrização!$G$2:$H$4,2,FALSE),0)</f>
        <v>0</v>
      </c>
      <c r="DF204" s="102">
        <f t="shared" si="1102"/>
        <v>0</v>
      </c>
      <c r="DG204" s="592">
        <f>IF(D204="Sim",HLOOKUP($DH$5,Parametrização!$G$2:$H$4,3,FALSE),0)</f>
        <v>0</v>
      </c>
      <c r="DH204" s="102">
        <f t="shared" si="1103"/>
        <v>0</v>
      </c>
      <c r="DI204" s="102">
        <f t="shared" si="1104"/>
        <v>0</v>
      </c>
      <c r="DK204" s="3" t="str">
        <f t="shared" si="1169"/>
        <v>NA</v>
      </c>
      <c r="DL204" s="2" t="str">
        <f t="shared" si="1170"/>
        <v>NA</v>
      </c>
      <c r="DM204" s="3" t="str">
        <f t="shared" si="1171"/>
        <v>NA</v>
      </c>
      <c r="DN204" s="9" t="str">
        <f t="shared" si="1172"/>
        <v>NA</v>
      </c>
      <c r="DO204" s="637" t="str">
        <f t="shared" si="1173"/>
        <v>NA</v>
      </c>
      <c r="DP204" s="637"/>
      <c r="DQ204" s="3" t="str">
        <f t="shared" si="1174"/>
        <v>NA</v>
      </c>
      <c r="DR204" s="2" t="str">
        <f t="shared" si="1175"/>
        <v>NA</v>
      </c>
      <c r="DS204" s="3" t="str">
        <f t="shared" si="1176"/>
        <v>NA</v>
      </c>
      <c r="DT204" s="9" t="str">
        <f t="shared" si="1105"/>
        <v>NA</v>
      </c>
      <c r="DU204" s="637" t="str">
        <f t="shared" si="1106"/>
        <v>NA</v>
      </c>
      <c r="DV204" s="637"/>
      <c r="DW204" s="682"/>
      <c r="DX204" s="682"/>
      <c r="DY204" s="682"/>
      <c r="DZ204" s="637"/>
      <c r="EA204" s="643"/>
    </row>
    <row r="205" spans="1:131" s="355" customFormat="1" ht="20.100000000000001" customHeight="1" outlineLevel="1" x14ac:dyDescent="0.25">
      <c r="A205" s="356"/>
      <c r="B205" s="355" t="s">
        <v>268</v>
      </c>
      <c r="C205" s="355" t="str">
        <f t="shared" si="1177"/>
        <v>Consumo</v>
      </c>
      <c r="D205" s="355" t="s">
        <v>53</v>
      </c>
      <c r="E205" s="18" t="s">
        <v>38</v>
      </c>
      <c r="F205" s="355" t="s">
        <v>53</v>
      </c>
      <c r="G205" s="357" t="str">
        <f t="shared" si="1178"/>
        <v>Geral</v>
      </c>
      <c r="H205" s="255" t="s">
        <v>377</v>
      </c>
      <c r="I205" s="356" t="str">
        <f t="shared" si="1112"/>
        <v>Sistema</v>
      </c>
      <c r="K205" s="318" t="s">
        <v>2958</v>
      </c>
      <c r="L205" s="749" t="str">
        <f>IF(Padrões!JF146&lt;&gt;"",Padrões!JF146,"")</f>
        <v/>
      </c>
      <c r="M205" s="358" t="str">
        <f t="shared" si="1113"/>
        <v>?</v>
      </c>
      <c r="N205" s="359">
        <f>Padrões!JI146</f>
        <v>0</v>
      </c>
      <c r="O205" s="381" t="str">
        <f t="shared" si="1114"/>
        <v>?</v>
      </c>
      <c r="P205" s="360">
        <f t="shared" si="1115"/>
        <v>0.12</v>
      </c>
      <c r="Q205" s="360" t="str">
        <f t="shared" si="1116"/>
        <v>?</v>
      </c>
      <c r="R205" s="360">
        <f t="shared" si="1117"/>
        <v>0</v>
      </c>
      <c r="S205" s="361">
        <f t="shared" si="1118"/>
        <v>0</v>
      </c>
      <c r="T205" s="362">
        <f t="shared" si="1119"/>
        <v>0</v>
      </c>
      <c r="U205" s="53" t="str" cm="1">
        <f t="array" ref="U205">IFERROR(IF(I205&lt;&gt;"Serviço",IF(AND(mlookup(tbl_DIFAL_data,UFdestino,tbl_DIFAL_UF,O205,tbl_DIFAL_NCM)&lt;&gt;"",C205="Consumo"),"Sim",""),""),"?")</f>
        <v>?</v>
      </c>
      <c r="V205" s="363" t="str">
        <f>IFERROR(IF(I205&lt;&gt;"Serviço",IF(AND(D205="Não",mlookup(tbl_ST_data,UFdestino,tbl_ST_UF,O205,tbl_ST_NCM)&lt;&gt;"",C205="Revenda",CD205="Não"),"Sim",""),""),"?")</f>
        <v>?</v>
      </c>
      <c r="W205" s="364">
        <f t="shared" si="1120"/>
        <v>0</v>
      </c>
      <c r="X205" s="365">
        <f>IF(V205="Sim",mlookup(tbl_ST_data,UFdestino,tbl_ST_UF,O205,tbl_ST_NCM),0)</f>
        <v>0</v>
      </c>
      <c r="Z205" s="355">
        <f t="shared" si="1121"/>
        <v>0</v>
      </c>
      <c r="AA205" s="355">
        <f t="shared" si="1107"/>
        <v>0</v>
      </c>
      <c r="AC205" s="366">
        <f t="shared" si="1179"/>
        <v>1.31243473968765E-2</v>
      </c>
      <c r="AD205" s="366">
        <f t="shared" si="1122"/>
        <v>0.15</v>
      </c>
      <c r="AF205" s="355">
        <f t="shared" si="1123"/>
        <v>0</v>
      </c>
      <c r="AG205" s="355">
        <f t="shared" si="1124"/>
        <v>0</v>
      </c>
      <c r="AI205" s="355">
        <f t="shared" si="1125"/>
        <v>0</v>
      </c>
      <c r="AK205" s="366">
        <f t="shared" si="1180"/>
        <v>0</v>
      </c>
      <c r="AL205" s="355">
        <f t="shared" si="1108"/>
        <v>0</v>
      </c>
      <c r="AM205" s="355">
        <f t="shared" si="1109"/>
        <v>0</v>
      </c>
      <c r="AO205" s="355" t="b">
        <f t="shared" si="1126"/>
        <v>1</v>
      </c>
      <c r="AQ205" s="367">
        <f t="shared" si="1127"/>
        <v>0</v>
      </c>
      <c r="AR205" s="367">
        <f t="shared" si="1110"/>
        <v>0</v>
      </c>
      <c r="AT205" s="367">
        <f t="shared" si="1128"/>
        <v>0</v>
      </c>
      <c r="AU205" s="367">
        <f t="shared" si="1129"/>
        <v>0</v>
      </c>
      <c r="AW205" s="367">
        <f t="shared" si="1130"/>
        <v>0</v>
      </c>
      <c r="AX205" s="367">
        <f t="shared" si="1131"/>
        <v>0</v>
      </c>
      <c r="AY205" s="367">
        <f t="shared" si="1132"/>
        <v>0</v>
      </c>
      <c r="AZ205" s="367">
        <f t="shared" si="1133"/>
        <v>0</v>
      </c>
      <c r="BB205" s="355">
        <f t="shared" si="1134"/>
        <v>0</v>
      </c>
      <c r="BC205" s="355">
        <f t="shared" si="1135"/>
        <v>0</v>
      </c>
      <c r="BD205" s="355">
        <f t="shared" si="1136"/>
        <v>0</v>
      </c>
      <c r="BE205" s="355">
        <f t="shared" si="1137"/>
        <v>0</v>
      </c>
      <c r="BF205" s="355">
        <f t="shared" si="1138"/>
        <v>0</v>
      </c>
      <c r="BH205" s="368">
        <f t="shared" si="1139"/>
        <v>0</v>
      </c>
      <c r="BJ205" s="369">
        <f t="shared" si="1140"/>
        <v>-0.12</v>
      </c>
      <c r="BK205" s="355">
        <f t="shared" si="1141"/>
        <v>0</v>
      </c>
      <c r="BL205" s="355">
        <f t="shared" si="1142"/>
        <v>0</v>
      </c>
      <c r="BN205" s="366">
        <f t="shared" si="1143"/>
        <v>0</v>
      </c>
      <c r="BO205" s="355">
        <f t="shared" si="1144"/>
        <v>0</v>
      </c>
      <c r="BP205" s="355">
        <f t="shared" si="1145"/>
        <v>0</v>
      </c>
      <c r="BQ205" s="355">
        <f t="shared" si="1146"/>
        <v>0</v>
      </c>
      <c r="BS205" s="367">
        <f t="shared" si="1147"/>
        <v>0</v>
      </c>
      <c r="BT205" s="355">
        <f t="shared" si="1148"/>
        <v>0</v>
      </c>
      <c r="BU205" s="355" t="b">
        <f t="shared" si="1111"/>
        <v>1</v>
      </c>
      <c r="BW205" s="355" t="str">
        <f t="shared" si="1149"/>
        <v/>
      </c>
      <c r="BX205" s="355">
        <f t="shared" si="1150"/>
        <v>0</v>
      </c>
      <c r="BY205" s="356">
        <f t="shared" si="1181"/>
        <v>0</v>
      </c>
      <c r="BZ205" s="355">
        <f t="shared" si="1151"/>
        <v>0</v>
      </c>
      <c r="CB205" s="102" t="str">
        <f t="shared" si="1152"/>
        <v>?</v>
      </c>
      <c r="CD205" s="355" t="str">
        <f t="shared" si="1153"/>
        <v>Não</v>
      </c>
      <c r="CE205" s="368">
        <f>ifzero(mlookup(tbl_ICMSinterest_data,UFdestino,tbl_ICMSinterest_ufdest,UForigem,tbl_ICMSinterest_uforig))</f>
        <v>0.12</v>
      </c>
      <c r="CF205" s="368">
        <f>IF(N205&gt;0,IF(I205&lt;&gt;"Serviço",ifzero(mlookup(tbl_ICMSinterno_data,UForigem,tbl_ICMSinterno_UF,O205,tbl_ICMSinterno_NCM),mlookup(tbl_ICMSinterest_data,UForigem,tbl_ICMSinterest_ufdest,UForigem,tbl_ICMSinterest_uforig)),""),0)</f>
        <v>0</v>
      </c>
      <c r="CG205" s="368">
        <f>IF(N205&gt;0,IF(I205&lt;&gt;"Serviço",ifzero(mlookup(tbl_ICMSinterno_data,UFdestino,tbl_ICMSinterno_UF,O205,tbl_ICMSinterno_NCM),mlookup(tbl_ICMSinterest_data,UFdestino,tbl_ICMSinterest_ufdest,UFdestino,tbl_ICMSinterest_uforig)),""),0)</f>
        <v>0</v>
      </c>
      <c r="CI205" s="355">
        <f t="shared" si="1154"/>
        <v>0</v>
      </c>
      <c r="CJ205" s="355">
        <f t="shared" si="1155"/>
        <v>0</v>
      </c>
      <c r="CK205" s="355">
        <f t="shared" si="1156"/>
        <v>0</v>
      </c>
      <c r="CL205" s="355">
        <f t="shared" si="1157"/>
        <v>0</v>
      </c>
      <c r="CN205" s="370">
        <f t="shared" si="1158"/>
        <v>1540</v>
      </c>
      <c r="CO205" s="355">
        <f t="shared" si="1159"/>
        <v>0</v>
      </c>
      <c r="CQ205" s="355" t="b">
        <f t="shared" si="1160"/>
        <v>0</v>
      </c>
      <c r="CR205" s="355" t="b">
        <f t="shared" si="1161"/>
        <v>1</v>
      </c>
      <c r="CS205" s="355" t="b">
        <f t="shared" si="1162"/>
        <v>0</v>
      </c>
      <c r="CU205" s="2">
        <f t="shared" si="1163"/>
        <v>0</v>
      </c>
      <c r="CV205" s="102">
        <f t="shared" si="1164"/>
        <v>0</v>
      </c>
      <c r="CW205" s="102">
        <f t="shared" si="1098"/>
        <v>0</v>
      </c>
      <c r="CX205" s="102">
        <f t="shared" si="1165"/>
        <v>0</v>
      </c>
      <c r="CY205" s="290">
        <f t="shared" si="1166"/>
        <v>0</v>
      </c>
      <c r="CZ205" s="102">
        <f t="shared" si="1100"/>
        <v>0</v>
      </c>
      <c r="DA205" s="290">
        <f t="shared" si="1167"/>
        <v>0</v>
      </c>
      <c r="DB205" s="102">
        <f t="shared" si="1101"/>
        <v>0</v>
      </c>
      <c r="DC205" s="290">
        <f t="shared" si="1168"/>
        <v>0</v>
      </c>
      <c r="DD205" s="102">
        <f t="shared" si="1099"/>
        <v>0</v>
      </c>
      <c r="DE205" s="592">
        <f>IF(D205="Sim",HLOOKUP($DH$5,Parametrização!$G$2:$H$4,2,FALSE),0)</f>
        <v>0</v>
      </c>
      <c r="DF205" s="102">
        <f t="shared" si="1102"/>
        <v>0</v>
      </c>
      <c r="DG205" s="592">
        <f>IF(D205="Sim",HLOOKUP($DH$5,Parametrização!$G$2:$H$4,3,FALSE),0)</f>
        <v>0</v>
      </c>
      <c r="DH205" s="102">
        <f t="shared" si="1103"/>
        <v>0</v>
      </c>
      <c r="DI205" s="102">
        <f t="shared" si="1104"/>
        <v>0</v>
      </c>
      <c r="DK205" s="3" t="str">
        <f t="shared" si="1169"/>
        <v>NA</v>
      </c>
      <c r="DL205" s="2" t="str">
        <f t="shared" si="1170"/>
        <v>NA</v>
      </c>
      <c r="DM205" s="3" t="str">
        <f t="shared" si="1171"/>
        <v>NA</v>
      </c>
      <c r="DN205" s="9" t="str">
        <f t="shared" si="1172"/>
        <v>NA</v>
      </c>
      <c r="DO205" s="637" t="str">
        <f t="shared" si="1173"/>
        <v>NA</v>
      </c>
      <c r="DP205" s="637"/>
      <c r="DQ205" s="3" t="str">
        <f t="shared" si="1174"/>
        <v>NA</v>
      </c>
      <c r="DR205" s="2" t="str">
        <f t="shared" si="1175"/>
        <v>NA</v>
      </c>
      <c r="DS205" s="3" t="str">
        <f t="shared" si="1176"/>
        <v>NA</v>
      </c>
      <c r="DT205" s="9" t="str">
        <f t="shared" si="1105"/>
        <v>NA</v>
      </c>
      <c r="DU205" s="637" t="str">
        <f t="shared" si="1106"/>
        <v>NA</v>
      </c>
      <c r="DV205" s="637"/>
      <c r="DW205" s="682"/>
      <c r="DX205" s="682"/>
      <c r="DY205" s="682"/>
      <c r="DZ205" s="637"/>
      <c r="EA205" s="643"/>
    </row>
    <row r="206" spans="1:131" s="355" customFormat="1" ht="20.100000000000001" customHeight="1" outlineLevel="1" x14ac:dyDescent="0.25">
      <c r="A206" s="356"/>
      <c r="B206" s="355" t="s">
        <v>268</v>
      </c>
      <c r="C206" s="355" t="str">
        <f t="shared" si="1177"/>
        <v>Consumo</v>
      </c>
      <c r="D206" s="355" t="s">
        <v>53</v>
      </c>
      <c r="E206" s="18" t="s">
        <v>38</v>
      </c>
      <c r="F206" s="355" t="s">
        <v>53</v>
      </c>
      <c r="G206" s="357" t="str">
        <f t="shared" si="1178"/>
        <v>Geral</v>
      </c>
      <c r="H206" s="255" t="s">
        <v>377</v>
      </c>
      <c r="I206" s="356" t="str">
        <f t="shared" si="1112"/>
        <v>Sistema</v>
      </c>
      <c r="K206" s="318" t="s">
        <v>2959</v>
      </c>
      <c r="L206" s="749" t="str">
        <f>IF(Padrões!JF147&lt;&gt;"",Padrões!JF147,"")</f>
        <v/>
      </c>
      <c r="M206" s="358" t="str">
        <f t="shared" si="1113"/>
        <v>?</v>
      </c>
      <c r="N206" s="359">
        <f>Padrões!JI147</f>
        <v>0</v>
      </c>
      <c r="O206" s="381" t="str">
        <f t="shared" si="1114"/>
        <v>?</v>
      </c>
      <c r="P206" s="360">
        <f t="shared" si="1115"/>
        <v>0.12</v>
      </c>
      <c r="Q206" s="360" t="str">
        <f t="shared" si="1116"/>
        <v>?</v>
      </c>
      <c r="R206" s="360">
        <f t="shared" si="1117"/>
        <v>0</v>
      </c>
      <c r="S206" s="361">
        <f t="shared" si="1118"/>
        <v>0</v>
      </c>
      <c r="T206" s="362">
        <f t="shared" si="1119"/>
        <v>0</v>
      </c>
      <c r="U206" s="53" t="str" cm="1">
        <f t="array" ref="U206">IFERROR(IF(I206&lt;&gt;"Serviço",IF(AND(mlookup(tbl_DIFAL_data,UFdestino,tbl_DIFAL_UF,O206,tbl_DIFAL_NCM)&lt;&gt;"",C206="Consumo"),"Sim",""),""),"?")</f>
        <v>?</v>
      </c>
      <c r="V206" s="363" t="str">
        <f>IFERROR(IF(I206&lt;&gt;"Serviço",IF(AND(D206="Não",mlookup(tbl_ST_data,UFdestino,tbl_ST_UF,O206,tbl_ST_NCM)&lt;&gt;"",C206="Revenda",CD206="Não"),"Sim",""),""),"?")</f>
        <v>?</v>
      </c>
      <c r="W206" s="364">
        <f t="shared" si="1120"/>
        <v>0</v>
      </c>
      <c r="X206" s="365">
        <f>IF(V206="Sim",mlookup(tbl_ST_data,UFdestino,tbl_ST_UF,O206,tbl_ST_NCM),0)</f>
        <v>0</v>
      </c>
      <c r="Z206" s="355">
        <f t="shared" si="1121"/>
        <v>0</v>
      </c>
      <c r="AA206" s="355">
        <f t="shared" si="1107"/>
        <v>0</v>
      </c>
      <c r="AC206" s="366">
        <f t="shared" si="1179"/>
        <v>1.31243473968765E-2</v>
      </c>
      <c r="AD206" s="366">
        <f t="shared" si="1122"/>
        <v>0.15</v>
      </c>
      <c r="AF206" s="355">
        <f t="shared" si="1123"/>
        <v>0</v>
      </c>
      <c r="AG206" s="355">
        <f t="shared" si="1124"/>
        <v>0</v>
      </c>
      <c r="AI206" s="355">
        <f t="shared" si="1125"/>
        <v>0</v>
      </c>
      <c r="AK206" s="366">
        <f t="shared" si="1180"/>
        <v>0</v>
      </c>
      <c r="AL206" s="355">
        <f t="shared" si="1108"/>
        <v>0</v>
      </c>
      <c r="AM206" s="355">
        <f t="shared" si="1109"/>
        <v>0</v>
      </c>
      <c r="AO206" s="355" t="b">
        <f t="shared" si="1126"/>
        <v>1</v>
      </c>
      <c r="AQ206" s="367">
        <f t="shared" si="1127"/>
        <v>0</v>
      </c>
      <c r="AR206" s="367">
        <f t="shared" si="1110"/>
        <v>0</v>
      </c>
      <c r="AT206" s="367">
        <f t="shared" si="1128"/>
        <v>0</v>
      </c>
      <c r="AU206" s="367">
        <f t="shared" si="1129"/>
        <v>0</v>
      </c>
      <c r="AW206" s="367">
        <f t="shared" si="1130"/>
        <v>0</v>
      </c>
      <c r="AX206" s="367">
        <f t="shared" si="1131"/>
        <v>0</v>
      </c>
      <c r="AY206" s="367">
        <f t="shared" si="1132"/>
        <v>0</v>
      </c>
      <c r="AZ206" s="367">
        <f t="shared" si="1133"/>
        <v>0</v>
      </c>
      <c r="BB206" s="355">
        <f t="shared" si="1134"/>
        <v>0</v>
      </c>
      <c r="BC206" s="355">
        <f t="shared" si="1135"/>
        <v>0</v>
      </c>
      <c r="BD206" s="355">
        <f t="shared" si="1136"/>
        <v>0</v>
      </c>
      <c r="BE206" s="355">
        <f t="shared" si="1137"/>
        <v>0</v>
      </c>
      <c r="BF206" s="355">
        <f t="shared" si="1138"/>
        <v>0</v>
      </c>
      <c r="BH206" s="368">
        <f t="shared" si="1139"/>
        <v>0</v>
      </c>
      <c r="BJ206" s="369">
        <f t="shared" si="1140"/>
        <v>-0.12</v>
      </c>
      <c r="BK206" s="355">
        <f t="shared" si="1141"/>
        <v>0</v>
      </c>
      <c r="BL206" s="355">
        <f t="shared" si="1142"/>
        <v>0</v>
      </c>
      <c r="BN206" s="366">
        <f t="shared" si="1143"/>
        <v>0</v>
      </c>
      <c r="BO206" s="355">
        <f t="shared" si="1144"/>
        <v>0</v>
      </c>
      <c r="BP206" s="355">
        <f t="shared" si="1145"/>
        <v>0</v>
      </c>
      <c r="BQ206" s="355">
        <f t="shared" si="1146"/>
        <v>0</v>
      </c>
      <c r="BS206" s="367">
        <f t="shared" si="1147"/>
        <v>0</v>
      </c>
      <c r="BT206" s="355">
        <f t="shared" si="1148"/>
        <v>0</v>
      </c>
      <c r="BU206" s="355" t="b">
        <f t="shared" si="1111"/>
        <v>1</v>
      </c>
      <c r="BW206" s="355" t="str">
        <f t="shared" si="1149"/>
        <v/>
      </c>
      <c r="BX206" s="355">
        <f t="shared" si="1150"/>
        <v>0</v>
      </c>
      <c r="BY206" s="356">
        <f t="shared" si="1181"/>
        <v>0</v>
      </c>
      <c r="BZ206" s="355">
        <f t="shared" si="1151"/>
        <v>0</v>
      </c>
      <c r="CB206" s="102" t="str">
        <f t="shared" si="1152"/>
        <v>?</v>
      </c>
      <c r="CD206" s="355" t="str">
        <f t="shared" si="1153"/>
        <v>Não</v>
      </c>
      <c r="CE206" s="368">
        <f>ifzero(mlookup(tbl_ICMSinterest_data,UFdestino,tbl_ICMSinterest_ufdest,UForigem,tbl_ICMSinterest_uforig))</f>
        <v>0.12</v>
      </c>
      <c r="CF206" s="368">
        <f>IF(N206&gt;0,IF(I206&lt;&gt;"Serviço",ifzero(mlookup(tbl_ICMSinterno_data,UForigem,tbl_ICMSinterno_UF,O206,tbl_ICMSinterno_NCM),mlookup(tbl_ICMSinterest_data,UForigem,tbl_ICMSinterest_ufdest,UForigem,tbl_ICMSinterest_uforig)),""),0)</f>
        <v>0</v>
      </c>
      <c r="CG206" s="368">
        <f>IF(N206&gt;0,IF(I206&lt;&gt;"Serviço",ifzero(mlookup(tbl_ICMSinterno_data,UFdestino,tbl_ICMSinterno_UF,O206,tbl_ICMSinterno_NCM),mlookup(tbl_ICMSinterest_data,UFdestino,tbl_ICMSinterest_ufdest,UFdestino,tbl_ICMSinterest_uforig)),""),0)</f>
        <v>0</v>
      </c>
      <c r="CI206" s="355">
        <f t="shared" si="1154"/>
        <v>0</v>
      </c>
      <c r="CJ206" s="355">
        <f t="shared" si="1155"/>
        <v>0</v>
      </c>
      <c r="CK206" s="355">
        <f t="shared" si="1156"/>
        <v>0</v>
      </c>
      <c r="CL206" s="355">
        <f t="shared" si="1157"/>
        <v>0</v>
      </c>
      <c r="CN206" s="370">
        <f t="shared" si="1158"/>
        <v>1540</v>
      </c>
      <c r="CO206" s="355">
        <f t="shared" si="1159"/>
        <v>0</v>
      </c>
      <c r="CQ206" s="355" t="b">
        <f t="shared" si="1160"/>
        <v>0</v>
      </c>
      <c r="CR206" s="355" t="b">
        <f t="shared" si="1161"/>
        <v>1</v>
      </c>
      <c r="CS206" s="355" t="b">
        <f t="shared" si="1162"/>
        <v>0</v>
      </c>
      <c r="CU206" s="2">
        <f t="shared" si="1163"/>
        <v>0</v>
      </c>
      <c r="CV206" s="102">
        <f t="shared" si="1164"/>
        <v>0</v>
      </c>
      <c r="CW206" s="102">
        <f t="shared" si="1098"/>
        <v>0</v>
      </c>
      <c r="CX206" s="102">
        <f t="shared" si="1165"/>
        <v>0</v>
      </c>
      <c r="CY206" s="290">
        <f t="shared" si="1166"/>
        <v>0</v>
      </c>
      <c r="CZ206" s="102">
        <f t="shared" si="1100"/>
        <v>0</v>
      </c>
      <c r="DA206" s="290">
        <f t="shared" si="1167"/>
        <v>0</v>
      </c>
      <c r="DB206" s="102">
        <f t="shared" si="1101"/>
        <v>0</v>
      </c>
      <c r="DC206" s="290">
        <f t="shared" si="1168"/>
        <v>0</v>
      </c>
      <c r="DD206" s="102">
        <f t="shared" si="1099"/>
        <v>0</v>
      </c>
      <c r="DE206" s="592">
        <f>IF(D206="Sim",HLOOKUP($DH$5,Parametrização!$G$2:$H$4,2,FALSE),0)</f>
        <v>0</v>
      </c>
      <c r="DF206" s="102">
        <f t="shared" si="1102"/>
        <v>0</v>
      </c>
      <c r="DG206" s="592">
        <f>IF(D206="Sim",HLOOKUP($DH$5,Parametrização!$G$2:$H$4,3,FALSE),0)</f>
        <v>0</v>
      </c>
      <c r="DH206" s="102">
        <f t="shared" si="1103"/>
        <v>0</v>
      </c>
      <c r="DI206" s="102">
        <f t="shared" si="1104"/>
        <v>0</v>
      </c>
      <c r="DK206" s="3" t="str">
        <f t="shared" si="1169"/>
        <v>NA</v>
      </c>
      <c r="DL206" s="2" t="str">
        <f t="shared" si="1170"/>
        <v>NA</v>
      </c>
      <c r="DM206" s="3" t="str">
        <f t="shared" si="1171"/>
        <v>NA</v>
      </c>
      <c r="DN206" s="9" t="str">
        <f t="shared" si="1172"/>
        <v>NA</v>
      </c>
      <c r="DO206" s="637" t="str">
        <f t="shared" si="1173"/>
        <v>NA</v>
      </c>
      <c r="DP206" s="637"/>
      <c r="DQ206" s="3" t="str">
        <f t="shared" si="1174"/>
        <v>NA</v>
      </c>
      <c r="DR206" s="2" t="str">
        <f t="shared" si="1175"/>
        <v>NA</v>
      </c>
      <c r="DS206" s="3" t="str">
        <f t="shared" si="1176"/>
        <v>NA</v>
      </c>
      <c r="DT206" s="9" t="str">
        <f t="shared" si="1105"/>
        <v>NA</v>
      </c>
      <c r="DU206" s="637" t="str">
        <f t="shared" si="1106"/>
        <v>NA</v>
      </c>
      <c r="DV206" s="637"/>
      <c r="DW206" s="682"/>
      <c r="DX206" s="682"/>
      <c r="DY206" s="682"/>
      <c r="DZ206" s="637"/>
      <c r="EA206" s="643"/>
    </row>
    <row r="207" spans="1:131" s="355" customFormat="1" ht="20.100000000000001" customHeight="1" outlineLevel="1" x14ac:dyDescent="0.25">
      <c r="A207" s="356"/>
      <c r="B207" s="355" t="s">
        <v>268</v>
      </c>
      <c r="C207" s="355" t="str">
        <f t="shared" si="1177"/>
        <v>Consumo</v>
      </c>
      <c r="D207" s="355" t="s">
        <v>53</v>
      </c>
      <c r="E207" s="18" t="s">
        <v>38</v>
      </c>
      <c r="F207" s="355" t="s">
        <v>53</v>
      </c>
      <c r="G207" s="357" t="str">
        <f t="shared" si="1178"/>
        <v>Geral</v>
      </c>
      <c r="H207" s="255" t="s">
        <v>377</v>
      </c>
      <c r="I207" s="356" t="str">
        <f t="shared" si="1112"/>
        <v>Sistema</v>
      </c>
      <c r="K207" s="318" t="s">
        <v>2960</v>
      </c>
      <c r="L207" s="749" t="str">
        <f>IF(Padrões!JF148&lt;&gt;"",Padrões!JF148,"")</f>
        <v/>
      </c>
      <c r="M207" s="358" t="str">
        <f t="shared" si="1113"/>
        <v>?</v>
      </c>
      <c r="N207" s="359">
        <f>Padrões!JI148</f>
        <v>0</v>
      </c>
      <c r="O207" s="381" t="str">
        <f t="shared" si="1114"/>
        <v>?</v>
      </c>
      <c r="P207" s="360">
        <f t="shared" si="1115"/>
        <v>0.12</v>
      </c>
      <c r="Q207" s="360" t="str">
        <f t="shared" si="1116"/>
        <v>?</v>
      </c>
      <c r="R207" s="360">
        <f t="shared" si="1117"/>
        <v>0</v>
      </c>
      <c r="S207" s="361">
        <f t="shared" si="1118"/>
        <v>0</v>
      </c>
      <c r="T207" s="362">
        <f t="shared" si="1119"/>
        <v>0</v>
      </c>
      <c r="U207" s="53" t="str" cm="1">
        <f t="array" ref="U207">IFERROR(IF(I207&lt;&gt;"Serviço",IF(AND(mlookup(tbl_DIFAL_data,UFdestino,tbl_DIFAL_UF,O207,tbl_DIFAL_NCM)&lt;&gt;"",C207="Consumo"),"Sim",""),""),"?")</f>
        <v>?</v>
      </c>
      <c r="V207" s="363" t="str">
        <f>IFERROR(IF(I207&lt;&gt;"Serviço",IF(AND(D207="Não",mlookup(tbl_ST_data,UFdestino,tbl_ST_UF,O207,tbl_ST_NCM)&lt;&gt;"",C207="Revenda",CD207="Não"),"Sim",""),""),"?")</f>
        <v>?</v>
      </c>
      <c r="W207" s="364">
        <f t="shared" si="1120"/>
        <v>0</v>
      </c>
      <c r="X207" s="365">
        <f>IF(V207="Sim",mlookup(tbl_ST_data,UFdestino,tbl_ST_UF,O207,tbl_ST_NCM),0)</f>
        <v>0</v>
      </c>
      <c r="Z207" s="355">
        <f t="shared" si="1121"/>
        <v>0</v>
      </c>
      <c r="AA207" s="355">
        <f t="shared" si="1107"/>
        <v>0</v>
      </c>
      <c r="AC207" s="366">
        <f t="shared" si="1179"/>
        <v>1.31243473968765E-2</v>
      </c>
      <c r="AD207" s="366">
        <f t="shared" si="1122"/>
        <v>0.15</v>
      </c>
      <c r="AF207" s="355">
        <f t="shared" si="1123"/>
        <v>0</v>
      </c>
      <c r="AG207" s="355">
        <f t="shared" si="1124"/>
        <v>0</v>
      </c>
      <c r="AI207" s="355">
        <f t="shared" si="1125"/>
        <v>0</v>
      </c>
      <c r="AK207" s="366">
        <f t="shared" si="1180"/>
        <v>0</v>
      </c>
      <c r="AL207" s="355">
        <f t="shared" si="1108"/>
        <v>0</v>
      </c>
      <c r="AM207" s="355">
        <f t="shared" si="1109"/>
        <v>0</v>
      </c>
      <c r="AO207" s="355" t="b">
        <f t="shared" si="1126"/>
        <v>1</v>
      </c>
      <c r="AQ207" s="367">
        <f t="shared" si="1127"/>
        <v>0</v>
      </c>
      <c r="AR207" s="367">
        <f t="shared" si="1110"/>
        <v>0</v>
      </c>
      <c r="AT207" s="367">
        <f t="shared" si="1128"/>
        <v>0</v>
      </c>
      <c r="AU207" s="367">
        <f t="shared" si="1129"/>
        <v>0</v>
      </c>
      <c r="AW207" s="367">
        <f t="shared" si="1130"/>
        <v>0</v>
      </c>
      <c r="AX207" s="367">
        <f t="shared" si="1131"/>
        <v>0</v>
      </c>
      <c r="AY207" s="367">
        <f t="shared" si="1132"/>
        <v>0</v>
      </c>
      <c r="AZ207" s="367">
        <f t="shared" si="1133"/>
        <v>0</v>
      </c>
      <c r="BB207" s="355">
        <f t="shared" si="1134"/>
        <v>0</v>
      </c>
      <c r="BC207" s="355">
        <f t="shared" si="1135"/>
        <v>0</v>
      </c>
      <c r="BD207" s="355">
        <f t="shared" si="1136"/>
        <v>0</v>
      </c>
      <c r="BE207" s="355">
        <f t="shared" si="1137"/>
        <v>0</v>
      </c>
      <c r="BF207" s="355">
        <f t="shared" si="1138"/>
        <v>0</v>
      </c>
      <c r="BH207" s="368">
        <f t="shared" si="1139"/>
        <v>0</v>
      </c>
      <c r="BJ207" s="369">
        <f t="shared" si="1140"/>
        <v>-0.12</v>
      </c>
      <c r="BK207" s="355">
        <f t="shared" si="1141"/>
        <v>0</v>
      </c>
      <c r="BL207" s="355">
        <f t="shared" si="1142"/>
        <v>0</v>
      </c>
      <c r="BN207" s="366">
        <f t="shared" si="1143"/>
        <v>0</v>
      </c>
      <c r="BO207" s="355">
        <f t="shared" si="1144"/>
        <v>0</v>
      </c>
      <c r="BP207" s="355">
        <f t="shared" si="1145"/>
        <v>0</v>
      </c>
      <c r="BQ207" s="355">
        <f t="shared" si="1146"/>
        <v>0</v>
      </c>
      <c r="BS207" s="367">
        <f t="shared" si="1147"/>
        <v>0</v>
      </c>
      <c r="BT207" s="355">
        <f t="shared" si="1148"/>
        <v>0</v>
      </c>
      <c r="BU207" s="355" t="b">
        <f t="shared" si="1111"/>
        <v>1</v>
      </c>
      <c r="BW207" s="355" t="str">
        <f t="shared" si="1149"/>
        <v/>
      </c>
      <c r="BX207" s="355">
        <f t="shared" si="1150"/>
        <v>0</v>
      </c>
      <c r="BY207" s="356">
        <f t="shared" si="1181"/>
        <v>0</v>
      </c>
      <c r="BZ207" s="355">
        <f t="shared" si="1151"/>
        <v>0</v>
      </c>
      <c r="CB207" s="102" t="str">
        <f t="shared" si="1152"/>
        <v>?</v>
      </c>
      <c r="CD207" s="355" t="str">
        <f t="shared" si="1153"/>
        <v>Não</v>
      </c>
      <c r="CE207" s="368">
        <f>ifzero(mlookup(tbl_ICMSinterest_data,UFdestino,tbl_ICMSinterest_ufdest,UForigem,tbl_ICMSinterest_uforig))</f>
        <v>0.12</v>
      </c>
      <c r="CF207" s="368">
        <f>IF(N207&gt;0,IF(I207&lt;&gt;"Serviço",ifzero(mlookup(tbl_ICMSinterno_data,UForigem,tbl_ICMSinterno_UF,O207,tbl_ICMSinterno_NCM),mlookup(tbl_ICMSinterest_data,UForigem,tbl_ICMSinterest_ufdest,UForigem,tbl_ICMSinterest_uforig)),""),0)</f>
        <v>0</v>
      </c>
      <c r="CG207" s="368">
        <f>IF(N207&gt;0,IF(I207&lt;&gt;"Serviço",ifzero(mlookup(tbl_ICMSinterno_data,UFdestino,tbl_ICMSinterno_UF,O207,tbl_ICMSinterno_NCM),mlookup(tbl_ICMSinterest_data,UFdestino,tbl_ICMSinterest_ufdest,UFdestino,tbl_ICMSinterest_uforig)),""),0)</f>
        <v>0</v>
      </c>
      <c r="CI207" s="355">
        <f t="shared" si="1154"/>
        <v>0</v>
      </c>
      <c r="CJ207" s="355">
        <f t="shared" si="1155"/>
        <v>0</v>
      </c>
      <c r="CK207" s="355">
        <f t="shared" si="1156"/>
        <v>0</v>
      </c>
      <c r="CL207" s="355">
        <f t="shared" si="1157"/>
        <v>0</v>
      </c>
      <c r="CN207" s="370">
        <f t="shared" si="1158"/>
        <v>1540</v>
      </c>
      <c r="CO207" s="355">
        <f t="shared" si="1159"/>
        <v>0</v>
      </c>
      <c r="CQ207" s="355" t="b">
        <f t="shared" si="1160"/>
        <v>0</v>
      </c>
      <c r="CR207" s="355" t="b">
        <f t="shared" si="1161"/>
        <v>1</v>
      </c>
      <c r="CS207" s="355" t="b">
        <f t="shared" si="1162"/>
        <v>0</v>
      </c>
      <c r="CU207" s="2">
        <f t="shared" si="1163"/>
        <v>0</v>
      </c>
      <c r="CV207" s="102">
        <f t="shared" si="1164"/>
        <v>0</v>
      </c>
      <c r="CW207" s="102">
        <f t="shared" si="1098"/>
        <v>0</v>
      </c>
      <c r="CX207" s="102">
        <f t="shared" si="1165"/>
        <v>0</v>
      </c>
      <c r="CY207" s="290">
        <f t="shared" si="1166"/>
        <v>0</v>
      </c>
      <c r="CZ207" s="102">
        <f t="shared" si="1100"/>
        <v>0</v>
      </c>
      <c r="DA207" s="290">
        <f t="shared" si="1167"/>
        <v>0</v>
      </c>
      <c r="DB207" s="102">
        <f t="shared" si="1101"/>
        <v>0</v>
      </c>
      <c r="DC207" s="290">
        <f t="shared" si="1168"/>
        <v>0</v>
      </c>
      <c r="DD207" s="102">
        <f t="shared" si="1099"/>
        <v>0</v>
      </c>
      <c r="DE207" s="592">
        <f>IF(D207="Sim",HLOOKUP($DH$5,Parametrização!$G$2:$H$4,2,FALSE),0)</f>
        <v>0</v>
      </c>
      <c r="DF207" s="102">
        <f t="shared" si="1102"/>
        <v>0</v>
      </c>
      <c r="DG207" s="592">
        <f>IF(D207="Sim",HLOOKUP($DH$5,Parametrização!$G$2:$H$4,3,FALSE),0)</f>
        <v>0</v>
      </c>
      <c r="DH207" s="102">
        <f t="shared" si="1103"/>
        <v>0</v>
      </c>
      <c r="DI207" s="102">
        <f t="shared" si="1104"/>
        <v>0</v>
      </c>
      <c r="DK207" s="3" t="str">
        <f t="shared" si="1169"/>
        <v>NA</v>
      </c>
      <c r="DL207" s="2" t="str">
        <f t="shared" si="1170"/>
        <v>NA</v>
      </c>
      <c r="DM207" s="3" t="str">
        <f t="shared" si="1171"/>
        <v>NA</v>
      </c>
      <c r="DN207" s="9" t="str">
        <f t="shared" si="1172"/>
        <v>NA</v>
      </c>
      <c r="DO207" s="637" t="str">
        <f t="shared" si="1173"/>
        <v>NA</v>
      </c>
      <c r="DP207" s="637"/>
      <c r="DQ207" s="3" t="str">
        <f t="shared" si="1174"/>
        <v>NA</v>
      </c>
      <c r="DR207" s="2" t="str">
        <f t="shared" si="1175"/>
        <v>NA</v>
      </c>
      <c r="DS207" s="3" t="str">
        <f t="shared" si="1176"/>
        <v>NA</v>
      </c>
      <c r="DT207" s="9" t="str">
        <f t="shared" si="1105"/>
        <v>NA</v>
      </c>
      <c r="DU207" s="637" t="str">
        <f t="shared" si="1106"/>
        <v>NA</v>
      </c>
      <c r="DV207" s="637"/>
      <c r="DW207" s="682"/>
      <c r="DX207" s="682"/>
      <c r="DY207" s="682"/>
      <c r="DZ207" s="637"/>
      <c r="EA207" s="643"/>
    </row>
    <row r="208" spans="1:131" s="355" customFormat="1" ht="20.100000000000001" customHeight="1" outlineLevel="1" x14ac:dyDescent="0.25">
      <c r="A208" s="356"/>
      <c r="B208" s="355" t="s">
        <v>268</v>
      </c>
      <c r="C208" s="355" t="str">
        <f t="shared" si="1177"/>
        <v>Consumo</v>
      </c>
      <c r="D208" s="355" t="s">
        <v>53</v>
      </c>
      <c r="E208" s="18" t="s">
        <v>38</v>
      </c>
      <c r="F208" s="355" t="s">
        <v>53</v>
      </c>
      <c r="G208" s="357" t="str">
        <f t="shared" si="1178"/>
        <v>Geral</v>
      </c>
      <c r="H208" s="255" t="s">
        <v>377</v>
      </c>
      <c r="I208" s="356" t="str">
        <f t="shared" si="1112"/>
        <v>Sistema</v>
      </c>
      <c r="K208" s="318" t="s">
        <v>2961</v>
      </c>
      <c r="L208" s="749" t="str">
        <f>IF(Padrões!JF149&lt;&gt;"",Padrões!JF149,"")</f>
        <v/>
      </c>
      <c r="M208" s="358" t="str">
        <f t="shared" si="1113"/>
        <v>?</v>
      </c>
      <c r="N208" s="359">
        <f>Padrões!JI149</f>
        <v>0</v>
      </c>
      <c r="O208" s="381" t="str">
        <f t="shared" si="1114"/>
        <v>?</v>
      </c>
      <c r="P208" s="360">
        <f t="shared" si="1115"/>
        <v>0.12</v>
      </c>
      <c r="Q208" s="360" t="str">
        <f t="shared" si="1116"/>
        <v>?</v>
      </c>
      <c r="R208" s="360">
        <f t="shared" si="1117"/>
        <v>0</v>
      </c>
      <c r="S208" s="361">
        <f t="shared" si="1118"/>
        <v>0</v>
      </c>
      <c r="T208" s="362">
        <f t="shared" si="1119"/>
        <v>0</v>
      </c>
      <c r="U208" s="53" t="str" cm="1">
        <f t="array" ref="U208">IFERROR(IF(I208&lt;&gt;"Serviço",IF(AND(mlookup(tbl_DIFAL_data,UFdestino,tbl_DIFAL_UF,O208,tbl_DIFAL_NCM)&lt;&gt;"",C208="Consumo"),"Sim",""),""),"?")</f>
        <v>?</v>
      </c>
      <c r="V208" s="363" t="str">
        <f>IFERROR(IF(I208&lt;&gt;"Serviço",IF(AND(D208="Não",mlookup(tbl_ST_data,UFdestino,tbl_ST_UF,O208,tbl_ST_NCM)&lt;&gt;"",C208="Revenda",CD208="Não"),"Sim",""),""),"?")</f>
        <v>?</v>
      </c>
      <c r="W208" s="364">
        <f t="shared" si="1120"/>
        <v>0</v>
      </c>
      <c r="X208" s="365">
        <f>IF(V208="Sim",mlookup(tbl_ST_data,UFdestino,tbl_ST_UF,O208,tbl_ST_NCM),0)</f>
        <v>0</v>
      </c>
      <c r="Z208" s="355">
        <f t="shared" si="1121"/>
        <v>0</v>
      </c>
      <c r="AA208" s="355">
        <f t="shared" si="1107"/>
        <v>0</v>
      </c>
      <c r="AC208" s="366">
        <f t="shared" si="1179"/>
        <v>1.31243473968765E-2</v>
      </c>
      <c r="AD208" s="366">
        <f t="shared" si="1122"/>
        <v>0.15</v>
      </c>
      <c r="AF208" s="355">
        <f t="shared" si="1123"/>
        <v>0</v>
      </c>
      <c r="AG208" s="355">
        <f t="shared" si="1124"/>
        <v>0</v>
      </c>
      <c r="AI208" s="355">
        <f t="shared" si="1125"/>
        <v>0</v>
      </c>
      <c r="AK208" s="366">
        <f t="shared" si="1180"/>
        <v>0</v>
      </c>
      <c r="AL208" s="355">
        <f t="shared" si="1108"/>
        <v>0</v>
      </c>
      <c r="AM208" s="355">
        <f t="shared" si="1109"/>
        <v>0</v>
      </c>
      <c r="AO208" s="355" t="b">
        <f t="shared" si="1126"/>
        <v>1</v>
      </c>
      <c r="AQ208" s="367">
        <f t="shared" si="1127"/>
        <v>0</v>
      </c>
      <c r="AR208" s="367">
        <f t="shared" si="1110"/>
        <v>0</v>
      </c>
      <c r="AT208" s="367">
        <f t="shared" si="1128"/>
        <v>0</v>
      </c>
      <c r="AU208" s="367">
        <f t="shared" si="1129"/>
        <v>0</v>
      </c>
      <c r="AW208" s="367">
        <f t="shared" si="1130"/>
        <v>0</v>
      </c>
      <c r="AX208" s="367">
        <f t="shared" si="1131"/>
        <v>0</v>
      </c>
      <c r="AY208" s="367">
        <f t="shared" si="1132"/>
        <v>0</v>
      </c>
      <c r="AZ208" s="367">
        <f t="shared" si="1133"/>
        <v>0</v>
      </c>
      <c r="BB208" s="355">
        <f t="shared" si="1134"/>
        <v>0</v>
      </c>
      <c r="BC208" s="355">
        <f t="shared" si="1135"/>
        <v>0</v>
      </c>
      <c r="BD208" s="355">
        <f t="shared" si="1136"/>
        <v>0</v>
      </c>
      <c r="BE208" s="355">
        <f t="shared" si="1137"/>
        <v>0</v>
      </c>
      <c r="BF208" s="355">
        <f t="shared" si="1138"/>
        <v>0</v>
      </c>
      <c r="BH208" s="368">
        <f t="shared" si="1139"/>
        <v>0</v>
      </c>
      <c r="BJ208" s="369">
        <f t="shared" si="1140"/>
        <v>-0.12</v>
      </c>
      <c r="BK208" s="355">
        <f t="shared" si="1141"/>
        <v>0</v>
      </c>
      <c r="BL208" s="355">
        <f t="shared" si="1142"/>
        <v>0</v>
      </c>
      <c r="BN208" s="366">
        <f t="shared" si="1143"/>
        <v>0</v>
      </c>
      <c r="BO208" s="355">
        <f t="shared" si="1144"/>
        <v>0</v>
      </c>
      <c r="BP208" s="355">
        <f t="shared" si="1145"/>
        <v>0</v>
      </c>
      <c r="BQ208" s="355">
        <f t="shared" si="1146"/>
        <v>0</v>
      </c>
      <c r="BS208" s="367">
        <f t="shared" si="1147"/>
        <v>0</v>
      </c>
      <c r="BT208" s="355">
        <f t="shared" si="1148"/>
        <v>0</v>
      </c>
      <c r="BU208" s="355" t="b">
        <f t="shared" si="1111"/>
        <v>1</v>
      </c>
      <c r="BW208" s="355" t="str">
        <f t="shared" si="1149"/>
        <v/>
      </c>
      <c r="BX208" s="355">
        <f t="shared" si="1150"/>
        <v>0</v>
      </c>
      <c r="BY208" s="356">
        <f t="shared" si="1181"/>
        <v>0</v>
      </c>
      <c r="BZ208" s="355">
        <f t="shared" si="1151"/>
        <v>0</v>
      </c>
      <c r="CB208" s="102" t="str">
        <f t="shared" si="1152"/>
        <v>?</v>
      </c>
      <c r="CD208" s="355" t="str">
        <f t="shared" si="1153"/>
        <v>Não</v>
      </c>
      <c r="CE208" s="368">
        <f>ifzero(mlookup(tbl_ICMSinterest_data,UFdestino,tbl_ICMSinterest_ufdest,UForigem,tbl_ICMSinterest_uforig))</f>
        <v>0.12</v>
      </c>
      <c r="CF208" s="368">
        <f>IF(N208&gt;0,IF(I208&lt;&gt;"Serviço",ifzero(mlookup(tbl_ICMSinterno_data,UForigem,tbl_ICMSinterno_UF,O208,tbl_ICMSinterno_NCM),mlookup(tbl_ICMSinterest_data,UForigem,tbl_ICMSinterest_ufdest,UForigem,tbl_ICMSinterest_uforig)),""),0)</f>
        <v>0</v>
      </c>
      <c r="CG208" s="368">
        <f>IF(N208&gt;0,IF(I208&lt;&gt;"Serviço",ifzero(mlookup(tbl_ICMSinterno_data,UFdestino,tbl_ICMSinterno_UF,O208,tbl_ICMSinterno_NCM),mlookup(tbl_ICMSinterest_data,UFdestino,tbl_ICMSinterest_ufdest,UFdestino,tbl_ICMSinterest_uforig)),""),0)</f>
        <v>0</v>
      </c>
      <c r="CI208" s="355">
        <f t="shared" si="1154"/>
        <v>0</v>
      </c>
      <c r="CJ208" s="355">
        <f t="shared" si="1155"/>
        <v>0</v>
      </c>
      <c r="CK208" s="355">
        <f t="shared" si="1156"/>
        <v>0</v>
      </c>
      <c r="CL208" s="355">
        <f t="shared" si="1157"/>
        <v>0</v>
      </c>
      <c r="CN208" s="370">
        <f t="shared" si="1158"/>
        <v>1540</v>
      </c>
      <c r="CO208" s="355">
        <f t="shared" si="1159"/>
        <v>0</v>
      </c>
      <c r="CQ208" s="355" t="b">
        <f t="shared" si="1160"/>
        <v>0</v>
      </c>
      <c r="CR208" s="355" t="b">
        <f t="shared" si="1161"/>
        <v>1</v>
      </c>
      <c r="CS208" s="355" t="b">
        <f t="shared" si="1162"/>
        <v>0</v>
      </c>
      <c r="CU208" s="2">
        <f t="shared" si="1163"/>
        <v>0</v>
      </c>
      <c r="CV208" s="102">
        <f t="shared" si="1164"/>
        <v>0</v>
      </c>
      <c r="CW208" s="102">
        <f t="shared" si="1098"/>
        <v>0</v>
      </c>
      <c r="CX208" s="102">
        <f t="shared" si="1165"/>
        <v>0</v>
      </c>
      <c r="CY208" s="290">
        <f t="shared" si="1166"/>
        <v>0</v>
      </c>
      <c r="CZ208" s="102">
        <f t="shared" si="1100"/>
        <v>0</v>
      </c>
      <c r="DA208" s="290">
        <f t="shared" si="1167"/>
        <v>0</v>
      </c>
      <c r="DB208" s="102">
        <f t="shared" si="1101"/>
        <v>0</v>
      </c>
      <c r="DC208" s="290">
        <f t="shared" si="1168"/>
        <v>0</v>
      </c>
      <c r="DD208" s="102">
        <f t="shared" si="1099"/>
        <v>0</v>
      </c>
      <c r="DE208" s="592">
        <f>IF(D208="Sim",HLOOKUP($DH$5,Parametrização!$G$2:$H$4,2,FALSE),0)</f>
        <v>0</v>
      </c>
      <c r="DF208" s="102">
        <f t="shared" si="1102"/>
        <v>0</v>
      </c>
      <c r="DG208" s="592">
        <f>IF(D208="Sim",HLOOKUP($DH$5,Parametrização!$G$2:$H$4,3,FALSE),0)</f>
        <v>0</v>
      </c>
      <c r="DH208" s="102">
        <f t="shared" si="1103"/>
        <v>0</v>
      </c>
      <c r="DI208" s="102">
        <f t="shared" si="1104"/>
        <v>0</v>
      </c>
      <c r="DK208" s="3" t="str">
        <f t="shared" si="1169"/>
        <v>NA</v>
      </c>
      <c r="DL208" s="2" t="str">
        <f t="shared" si="1170"/>
        <v>NA</v>
      </c>
      <c r="DM208" s="3" t="str">
        <f t="shared" si="1171"/>
        <v>NA</v>
      </c>
      <c r="DN208" s="9" t="str">
        <f t="shared" si="1172"/>
        <v>NA</v>
      </c>
      <c r="DO208" s="637" t="str">
        <f t="shared" si="1173"/>
        <v>NA</v>
      </c>
      <c r="DP208" s="637"/>
      <c r="DQ208" s="3" t="str">
        <f t="shared" si="1174"/>
        <v>NA</v>
      </c>
      <c r="DR208" s="2" t="str">
        <f t="shared" si="1175"/>
        <v>NA</v>
      </c>
      <c r="DS208" s="3" t="str">
        <f t="shared" si="1176"/>
        <v>NA</v>
      </c>
      <c r="DT208" s="9" t="str">
        <f t="shared" si="1105"/>
        <v>NA</v>
      </c>
      <c r="DU208" s="637" t="str">
        <f t="shared" si="1106"/>
        <v>NA</v>
      </c>
      <c r="DV208" s="637"/>
      <c r="DW208" s="682"/>
      <c r="DX208" s="682"/>
      <c r="DY208" s="682"/>
      <c r="DZ208" s="637"/>
      <c r="EA208" s="643"/>
    </row>
    <row r="209" spans="1:131" s="355" customFormat="1" ht="20.100000000000001" customHeight="1" outlineLevel="1" x14ac:dyDescent="0.25">
      <c r="A209" s="356"/>
      <c r="B209" s="355" t="s">
        <v>268</v>
      </c>
      <c r="C209" s="355" t="str">
        <f t="shared" si="1177"/>
        <v>Consumo</v>
      </c>
      <c r="D209" s="355" t="s">
        <v>53</v>
      </c>
      <c r="E209" s="18" t="s">
        <v>38</v>
      </c>
      <c r="F209" s="355" t="s">
        <v>53</v>
      </c>
      <c r="G209" s="357" t="str">
        <f t="shared" si="1178"/>
        <v>Geral</v>
      </c>
      <c r="H209" s="255" t="s">
        <v>377</v>
      </c>
      <c r="I209" s="356" t="str">
        <f t="shared" si="1112"/>
        <v>Sistema</v>
      </c>
      <c r="K209" s="318" t="s">
        <v>2962</v>
      </c>
      <c r="L209" s="749" t="str">
        <f>IF(Padrões!JF150&lt;&gt;"",Padrões!JF150,"")</f>
        <v/>
      </c>
      <c r="M209" s="358" t="str">
        <f t="shared" si="1113"/>
        <v>?</v>
      </c>
      <c r="N209" s="359">
        <f>Padrões!JI150</f>
        <v>0</v>
      </c>
      <c r="O209" s="381" t="str">
        <f t="shared" si="1114"/>
        <v>?</v>
      </c>
      <c r="P209" s="360">
        <f t="shared" si="1115"/>
        <v>0.12</v>
      </c>
      <c r="Q209" s="360" t="str">
        <f t="shared" si="1116"/>
        <v>?</v>
      </c>
      <c r="R209" s="360">
        <f t="shared" si="1117"/>
        <v>0</v>
      </c>
      <c r="S209" s="361">
        <f t="shared" si="1118"/>
        <v>0</v>
      </c>
      <c r="T209" s="362">
        <f t="shared" si="1119"/>
        <v>0</v>
      </c>
      <c r="U209" s="53" t="str" cm="1">
        <f t="array" ref="U209">IFERROR(IF(I209&lt;&gt;"Serviço",IF(AND(mlookup(tbl_DIFAL_data,UFdestino,tbl_DIFAL_UF,O209,tbl_DIFAL_NCM)&lt;&gt;"",C209="Consumo"),"Sim",""),""),"?")</f>
        <v>?</v>
      </c>
      <c r="V209" s="363" t="str">
        <f>IFERROR(IF(I209&lt;&gt;"Serviço",IF(AND(D209="Não",mlookup(tbl_ST_data,UFdestino,tbl_ST_UF,O209,tbl_ST_NCM)&lt;&gt;"",C209="Revenda",CD209="Não"),"Sim",""),""),"?")</f>
        <v>?</v>
      </c>
      <c r="W209" s="364">
        <f t="shared" si="1120"/>
        <v>0</v>
      </c>
      <c r="X209" s="365">
        <f>IF(V209="Sim",mlookup(tbl_ST_data,UFdestino,tbl_ST_UF,O209,tbl_ST_NCM),0)</f>
        <v>0</v>
      </c>
      <c r="Z209" s="355">
        <f t="shared" si="1121"/>
        <v>0</v>
      </c>
      <c r="AA209" s="355">
        <f t="shared" si="1107"/>
        <v>0</v>
      </c>
      <c r="AC209" s="366">
        <f t="shared" si="1179"/>
        <v>1.31243473968765E-2</v>
      </c>
      <c r="AD209" s="366">
        <f t="shared" si="1122"/>
        <v>0.15</v>
      </c>
      <c r="AF209" s="355">
        <f t="shared" si="1123"/>
        <v>0</v>
      </c>
      <c r="AG209" s="355">
        <f t="shared" si="1124"/>
        <v>0</v>
      </c>
      <c r="AI209" s="355">
        <f t="shared" si="1125"/>
        <v>0</v>
      </c>
      <c r="AK209" s="366">
        <f t="shared" si="1180"/>
        <v>0</v>
      </c>
      <c r="AL209" s="355">
        <f t="shared" si="1108"/>
        <v>0</v>
      </c>
      <c r="AM209" s="355">
        <f t="shared" si="1109"/>
        <v>0</v>
      </c>
      <c r="AO209" s="355" t="b">
        <f t="shared" si="1126"/>
        <v>1</v>
      </c>
      <c r="AQ209" s="367">
        <f t="shared" si="1127"/>
        <v>0</v>
      </c>
      <c r="AR209" s="367">
        <f t="shared" si="1110"/>
        <v>0</v>
      </c>
      <c r="AT209" s="367">
        <f t="shared" si="1128"/>
        <v>0</v>
      </c>
      <c r="AU209" s="367">
        <f t="shared" si="1129"/>
        <v>0</v>
      </c>
      <c r="AW209" s="367">
        <f t="shared" si="1130"/>
        <v>0</v>
      </c>
      <c r="AX209" s="367">
        <f t="shared" si="1131"/>
        <v>0</v>
      </c>
      <c r="AY209" s="367">
        <f t="shared" si="1132"/>
        <v>0</v>
      </c>
      <c r="AZ209" s="367">
        <f t="shared" si="1133"/>
        <v>0</v>
      </c>
      <c r="BB209" s="355">
        <f t="shared" si="1134"/>
        <v>0</v>
      </c>
      <c r="BC209" s="355">
        <f t="shared" si="1135"/>
        <v>0</v>
      </c>
      <c r="BD209" s="355">
        <f t="shared" si="1136"/>
        <v>0</v>
      </c>
      <c r="BE209" s="355">
        <f t="shared" si="1137"/>
        <v>0</v>
      </c>
      <c r="BF209" s="355">
        <f t="shared" si="1138"/>
        <v>0</v>
      </c>
      <c r="BH209" s="368">
        <f t="shared" si="1139"/>
        <v>0</v>
      </c>
      <c r="BJ209" s="369">
        <f t="shared" si="1140"/>
        <v>-0.12</v>
      </c>
      <c r="BK209" s="355">
        <f t="shared" si="1141"/>
        <v>0</v>
      </c>
      <c r="BL209" s="355">
        <f t="shared" si="1142"/>
        <v>0</v>
      </c>
      <c r="BN209" s="366">
        <f t="shared" si="1143"/>
        <v>0</v>
      </c>
      <c r="BO209" s="355">
        <f t="shared" si="1144"/>
        <v>0</v>
      </c>
      <c r="BP209" s="355">
        <f t="shared" si="1145"/>
        <v>0</v>
      </c>
      <c r="BQ209" s="355">
        <f t="shared" si="1146"/>
        <v>0</v>
      </c>
      <c r="BS209" s="367">
        <f t="shared" si="1147"/>
        <v>0</v>
      </c>
      <c r="BT209" s="355">
        <f t="shared" si="1148"/>
        <v>0</v>
      </c>
      <c r="BU209" s="355" t="b">
        <f t="shared" si="1111"/>
        <v>1</v>
      </c>
      <c r="BW209" s="355" t="str">
        <f t="shared" si="1149"/>
        <v/>
      </c>
      <c r="BX209" s="355">
        <f t="shared" si="1150"/>
        <v>0</v>
      </c>
      <c r="BY209" s="356">
        <f t="shared" si="1181"/>
        <v>0</v>
      </c>
      <c r="BZ209" s="355">
        <f t="shared" si="1151"/>
        <v>0</v>
      </c>
      <c r="CB209" s="102" t="str">
        <f t="shared" si="1152"/>
        <v>?</v>
      </c>
      <c r="CD209" s="355" t="str">
        <f t="shared" si="1153"/>
        <v>Não</v>
      </c>
      <c r="CE209" s="368">
        <f>ifzero(mlookup(tbl_ICMSinterest_data,UFdestino,tbl_ICMSinterest_ufdest,UForigem,tbl_ICMSinterest_uforig))</f>
        <v>0.12</v>
      </c>
      <c r="CF209" s="368">
        <f>IF(N209&gt;0,IF(I209&lt;&gt;"Serviço",ifzero(mlookup(tbl_ICMSinterno_data,UForigem,tbl_ICMSinterno_UF,O209,tbl_ICMSinterno_NCM),mlookup(tbl_ICMSinterest_data,UForigem,tbl_ICMSinterest_ufdest,UForigem,tbl_ICMSinterest_uforig)),""),0)</f>
        <v>0</v>
      </c>
      <c r="CG209" s="368">
        <f>IF(N209&gt;0,IF(I209&lt;&gt;"Serviço",ifzero(mlookup(tbl_ICMSinterno_data,UFdestino,tbl_ICMSinterno_UF,O209,tbl_ICMSinterno_NCM),mlookup(tbl_ICMSinterest_data,UFdestino,tbl_ICMSinterest_ufdest,UFdestino,tbl_ICMSinterest_uforig)),""),0)</f>
        <v>0</v>
      </c>
      <c r="CI209" s="355">
        <f t="shared" si="1154"/>
        <v>0</v>
      </c>
      <c r="CJ209" s="355">
        <f t="shared" si="1155"/>
        <v>0</v>
      </c>
      <c r="CK209" s="355">
        <f t="shared" si="1156"/>
        <v>0</v>
      </c>
      <c r="CL209" s="355">
        <f t="shared" si="1157"/>
        <v>0</v>
      </c>
      <c r="CN209" s="370">
        <f t="shared" si="1158"/>
        <v>1540</v>
      </c>
      <c r="CO209" s="355">
        <f t="shared" si="1159"/>
        <v>0</v>
      </c>
      <c r="CQ209" s="355" t="b">
        <f t="shared" si="1160"/>
        <v>0</v>
      </c>
      <c r="CR209" s="355" t="b">
        <f t="shared" si="1161"/>
        <v>1</v>
      </c>
      <c r="CS209" s="355" t="b">
        <f t="shared" si="1162"/>
        <v>0</v>
      </c>
      <c r="CU209" s="2">
        <f t="shared" si="1163"/>
        <v>0</v>
      </c>
      <c r="CV209" s="102">
        <f t="shared" si="1164"/>
        <v>0</v>
      </c>
      <c r="CW209" s="102">
        <f t="shared" si="1098"/>
        <v>0</v>
      </c>
      <c r="CX209" s="102">
        <f t="shared" si="1165"/>
        <v>0</v>
      </c>
      <c r="CY209" s="290">
        <f t="shared" si="1166"/>
        <v>0</v>
      </c>
      <c r="CZ209" s="102">
        <f t="shared" si="1100"/>
        <v>0</v>
      </c>
      <c r="DA209" s="290">
        <f t="shared" si="1167"/>
        <v>0</v>
      </c>
      <c r="DB209" s="102">
        <f t="shared" si="1101"/>
        <v>0</v>
      </c>
      <c r="DC209" s="290">
        <f t="shared" si="1168"/>
        <v>0</v>
      </c>
      <c r="DD209" s="102">
        <f t="shared" si="1099"/>
        <v>0</v>
      </c>
      <c r="DE209" s="592">
        <f>IF(D209="Sim",HLOOKUP($DH$5,Parametrização!$G$2:$H$4,2,FALSE),0)</f>
        <v>0</v>
      </c>
      <c r="DF209" s="102">
        <f t="shared" si="1102"/>
        <v>0</v>
      </c>
      <c r="DG209" s="592">
        <f>IF(D209="Sim",HLOOKUP($DH$5,Parametrização!$G$2:$H$4,3,FALSE),0)</f>
        <v>0</v>
      </c>
      <c r="DH209" s="102">
        <f t="shared" si="1103"/>
        <v>0</v>
      </c>
      <c r="DI209" s="102">
        <f t="shared" si="1104"/>
        <v>0</v>
      </c>
      <c r="DK209" s="3" t="str">
        <f t="shared" si="1169"/>
        <v>NA</v>
      </c>
      <c r="DL209" s="2" t="str">
        <f t="shared" si="1170"/>
        <v>NA</v>
      </c>
      <c r="DM209" s="3" t="str">
        <f t="shared" si="1171"/>
        <v>NA</v>
      </c>
      <c r="DN209" s="9" t="str">
        <f t="shared" si="1172"/>
        <v>NA</v>
      </c>
      <c r="DO209" s="637" t="str">
        <f t="shared" si="1173"/>
        <v>NA</v>
      </c>
      <c r="DP209" s="637"/>
      <c r="DQ209" s="3" t="str">
        <f t="shared" si="1174"/>
        <v>NA</v>
      </c>
      <c r="DR209" s="2" t="str">
        <f t="shared" si="1175"/>
        <v>NA</v>
      </c>
      <c r="DS209" s="3" t="str">
        <f t="shared" si="1176"/>
        <v>NA</v>
      </c>
      <c r="DT209" s="9" t="str">
        <f t="shared" si="1105"/>
        <v>NA</v>
      </c>
      <c r="DU209" s="637" t="str">
        <f t="shared" si="1106"/>
        <v>NA</v>
      </c>
      <c r="DV209" s="637"/>
      <c r="DW209" s="682"/>
      <c r="DX209" s="682"/>
      <c r="DY209" s="682"/>
      <c r="DZ209" s="637"/>
      <c r="EA209" s="643"/>
    </row>
    <row r="210" spans="1:131" s="355" customFormat="1" ht="20.100000000000001" customHeight="1" outlineLevel="1" x14ac:dyDescent="0.25">
      <c r="A210" s="356"/>
      <c r="B210" s="355" t="s">
        <v>268</v>
      </c>
      <c r="C210" s="355" t="str">
        <f t="shared" si="1177"/>
        <v>Consumo</v>
      </c>
      <c r="D210" s="355" t="s">
        <v>53</v>
      </c>
      <c r="E210" s="18" t="s">
        <v>38</v>
      </c>
      <c r="F210" s="355" t="s">
        <v>53</v>
      </c>
      <c r="G210" s="357" t="str">
        <f t="shared" si="1178"/>
        <v>Geral</v>
      </c>
      <c r="H210" s="255" t="s">
        <v>377</v>
      </c>
      <c r="I210" s="356" t="str">
        <f t="shared" si="1112"/>
        <v>Sistema</v>
      </c>
      <c r="K210" s="318" t="s">
        <v>2963</v>
      </c>
      <c r="L210" s="749" t="str">
        <f>IF(Padrões!JF151&lt;&gt;"",Padrões!JF151,"")</f>
        <v/>
      </c>
      <c r="M210" s="358" t="str">
        <f t="shared" si="1113"/>
        <v>?</v>
      </c>
      <c r="N210" s="359">
        <f>Padrões!JI151</f>
        <v>0</v>
      </c>
      <c r="O210" s="381" t="str">
        <f t="shared" si="1114"/>
        <v>?</v>
      </c>
      <c r="P210" s="360">
        <f t="shared" si="1115"/>
        <v>0.12</v>
      </c>
      <c r="Q210" s="360" t="str">
        <f t="shared" si="1116"/>
        <v>?</v>
      </c>
      <c r="R210" s="360">
        <f t="shared" si="1117"/>
        <v>0</v>
      </c>
      <c r="S210" s="361">
        <f t="shared" si="1118"/>
        <v>0</v>
      </c>
      <c r="T210" s="362">
        <f t="shared" si="1119"/>
        <v>0</v>
      </c>
      <c r="U210" s="53" t="str" cm="1">
        <f t="array" ref="U210">IFERROR(IF(I210&lt;&gt;"Serviço",IF(AND(mlookup(tbl_DIFAL_data,UFdestino,tbl_DIFAL_UF,O210,tbl_DIFAL_NCM)&lt;&gt;"",C210="Consumo"),"Sim",""),""),"?")</f>
        <v>?</v>
      </c>
      <c r="V210" s="363" t="str">
        <f>IFERROR(IF(I210&lt;&gt;"Serviço",IF(AND(D210="Não",mlookup(tbl_ST_data,UFdestino,tbl_ST_UF,O210,tbl_ST_NCM)&lt;&gt;"",C210="Revenda",CD210="Não"),"Sim",""),""),"?")</f>
        <v>?</v>
      </c>
      <c r="W210" s="364">
        <f t="shared" si="1120"/>
        <v>0</v>
      </c>
      <c r="X210" s="365">
        <f>IF(V210="Sim",mlookup(tbl_ST_data,UFdestino,tbl_ST_UF,O210,tbl_ST_NCM),0)</f>
        <v>0</v>
      </c>
      <c r="Z210" s="355">
        <f t="shared" si="1121"/>
        <v>0</v>
      </c>
      <c r="AA210" s="355">
        <f t="shared" si="1107"/>
        <v>0</v>
      </c>
      <c r="AC210" s="366">
        <f t="shared" si="1179"/>
        <v>1.31243473968765E-2</v>
      </c>
      <c r="AD210" s="366">
        <f t="shared" si="1122"/>
        <v>0.15</v>
      </c>
      <c r="AF210" s="355">
        <f t="shared" si="1123"/>
        <v>0</v>
      </c>
      <c r="AG210" s="355">
        <f t="shared" si="1124"/>
        <v>0</v>
      </c>
      <c r="AI210" s="355">
        <f t="shared" si="1125"/>
        <v>0</v>
      </c>
      <c r="AK210" s="366">
        <f t="shared" si="1180"/>
        <v>0</v>
      </c>
      <c r="AL210" s="355">
        <f t="shared" si="1108"/>
        <v>0</v>
      </c>
      <c r="AM210" s="355">
        <f t="shared" si="1109"/>
        <v>0</v>
      </c>
      <c r="AO210" s="355" t="b">
        <f t="shared" si="1126"/>
        <v>1</v>
      </c>
      <c r="AQ210" s="367">
        <f t="shared" si="1127"/>
        <v>0</v>
      </c>
      <c r="AR210" s="367">
        <f t="shared" si="1110"/>
        <v>0</v>
      </c>
      <c r="AT210" s="367">
        <f t="shared" si="1128"/>
        <v>0</v>
      </c>
      <c r="AU210" s="367">
        <f t="shared" si="1129"/>
        <v>0</v>
      </c>
      <c r="AW210" s="367">
        <f t="shared" si="1130"/>
        <v>0</v>
      </c>
      <c r="AX210" s="367">
        <f t="shared" si="1131"/>
        <v>0</v>
      </c>
      <c r="AY210" s="367">
        <f t="shared" si="1132"/>
        <v>0</v>
      </c>
      <c r="AZ210" s="367">
        <f t="shared" si="1133"/>
        <v>0</v>
      </c>
      <c r="BB210" s="355">
        <f t="shared" si="1134"/>
        <v>0</v>
      </c>
      <c r="BC210" s="355">
        <f t="shared" si="1135"/>
        <v>0</v>
      </c>
      <c r="BD210" s="355">
        <f t="shared" si="1136"/>
        <v>0</v>
      </c>
      <c r="BE210" s="355">
        <f t="shared" si="1137"/>
        <v>0</v>
      </c>
      <c r="BF210" s="355">
        <f t="shared" si="1138"/>
        <v>0</v>
      </c>
      <c r="BH210" s="368">
        <f t="shared" si="1139"/>
        <v>0</v>
      </c>
      <c r="BJ210" s="369">
        <f t="shared" si="1140"/>
        <v>-0.12</v>
      </c>
      <c r="BK210" s="355">
        <f t="shared" si="1141"/>
        <v>0</v>
      </c>
      <c r="BL210" s="355">
        <f t="shared" si="1142"/>
        <v>0</v>
      </c>
      <c r="BN210" s="366">
        <f t="shared" si="1143"/>
        <v>0</v>
      </c>
      <c r="BO210" s="355">
        <f t="shared" si="1144"/>
        <v>0</v>
      </c>
      <c r="BP210" s="355">
        <f t="shared" si="1145"/>
        <v>0</v>
      </c>
      <c r="BQ210" s="355">
        <f t="shared" si="1146"/>
        <v>0</v>
      </c>
      <c r="BS210" s="367">
        <f t="shared" si="1147"/>
        <v>0</v>
      </c>
      <c r="BT210" s="355">
        <f t="shared" si="1148"/>
        <v>0</v>
      </c>
      <c r="BU210" s="355" t="b">
        <f t="shared" si="1111"/>
        <v>1</v>
      </c>
      <c r="BW210" s="355" t="str">
        <f t="shared" si="1149"/>
        <v/>
      </c>
      <c r="BX210" s="355">
        <f t="shared" si="1150"/>
        <v>0</v>
      </c>
      <c r="BY210" s="356">
        <f t="shared" si="1181"/>
        <v>0</v>
      </c>
      <c r="BZ210" s="355">
        <f t="shared" si="1151"/>
        <v>0</v>
      </c>
      <c r="CB210" s="102" t="str">
        <f t="shared" si="1152"/>
        <v>?</v>
      </c>
      <c r="CD210" s="355" t="str">
        <f t="shared" si="1153"/>
        <v>Não</v>
      </c>
      <c r="CE210" s="368">
        <f>ifzero(mlookup(tbl_ICMSinterest_data,UFdestino,tbl_ICMSinterest_ufdest,UForigem,tbl_ICMSinterest_uforig))</f>
        <v>0.12</v>
      </c>
      <c r="CF210" s="368">
        <f>IF(N210&gt;0,IF(I210&lt;&gt;"Serviço",ifzero(mlookup(tbl_ICMSinterno_data,UForigem,tbl_ICMSinterno_UF,O210,tbl_ICMSinterno_NCM),mlookup(tbl_ICMSinterest_data,UForigem,tbl_ICMSinterest_ufdest,UForigem,tbl_ICMSinterest_uforig)),""),0)</f>
        <v>0</v>
      </c>
      <c r="CG210" s="368">
        <f>IF(N210&gt;0,IF(I210&lt;&gt;"Serviço",ifzero(mlookup(tbl_ICMSinterno_data,UFdestino,tbl_ICMSinterno_UF,O210,tbl_ICMSinterno_NCM),mlookup(tbl_ICMSinterest_data,UFdestino,tbl_ICMSinterest_ufdest,UFdestino,tbl_ICMSinterest_uforig)),""),0)</f>
        <v>0</v>
      </c>
      <c r="CI210" s="355">
        <f t="shared" si="1154"/>
        <v>0</v>
      </c>
      <c r="CJ210" s="355">
        <f t="shared" si="1155"/>
        <v>0</v>
      </c>
      <c r="CK210" s="355">
        <f t="shared" si="1156"/>
        <v>0</v>
      </c>
      <c r="CL210" s="355">
        <f t="shared" si="1157"/>
        <v>0</v>
      </c>
      <c r="CN210" s="370">
        <f t="shared" si="1158"/>
        <v>1540</v>
      </c>
      <c r="CO210" s="355">
        <f t="shared" si="1159"/>
        <v>0</v>
      </c>
      <c r="CQ210" s="355" t="b">
        <f t="shared" si="1160"/>
        <v>0</v>
      </c>
      <c r="CR210" s="355" t="b">
        <f t="shared" si="1161"/>
        <v>1</v>
      </c>
      <c r="CS210" s="355" t="b">
        <f t="shared" si="1162"/>
        <v>0</v>
      </c>
      <c r="CU210" s="2">
        <f t="shared" si="1163"/>
        <v>0</v>
      </c>
      <c r="CV210" s="102">
        <f t="shared" si="1164"/>
        <v>0</v>
      </c>
      <c r="CW210" s="102">
        <f t="shared" si="1098"/>
        <v>0</v>
      </c>
      <c r="CX210" s="102">
        <f t="shared" si="1165"/>
        <v>0</v>
      </c>
      <c r="CY210" s="290">
        <f t="shared" si="1166"/>
        <v>0</v>
      </c>
      <c r="CZ210" s="102">
        <f t="shared" si="1100"/>
        <v>0</v>
      </c>
      <c r="DA210" s="290">
        <f t="shared" si="1167"/>
        <v>0</v>
      </c>
      <c r="DB210" s="102">
        <f t="shared" si="1101"/>
        <v>0</v>
      </c>
      <c r="DC210" s="290">
        <f t="shared" si="1168"/>
        <v>0</v>
      </c>
      <c r="DD210" s="102">
        <f t="shared" si="1099"/>
        <v>0</v>
      </c>
      <c r="DE210" s="592">
        <f>IF(D210="Sim",HLOOKUP($DH$5,Parametrização!$G$2:$H$4,2,FALSE),0)</f>
        <v>0</v>
      </c>
      <c r="DF210" s="102">
        <f t="shared" si="1102"/>
        <v>0</v>
      </c>
      <c r="DG210" s="592">
        <f>IF(D210="Sim",HLOOKUP($DH$5,Parametrização!$G$2:$H$4,3,FALSE),0)</f>
        <v>0</v>
      </c>
      <c r="DH210" s="102">
        <f t="shared" si="1103"/>
        <v>0</v>
      </c>
      <c r="DI210" s="102">
        <f t="shared" si="1104"/>
        <v>0</v>
      </c>
      <c r="DK210" s="3" t="str">
        <f t="shared" si="1169"/>
        <v>NA</v>
      </c>
      <c r="DL210" s="2" t="str">
        <f t="shared" si="1170"/>
        <v>NA</v>
      </c>
      <c r="DM210" s="3" t="str">
        <f t="shared" si="1171"/>
        <v>NA</v>
      </c>
      <c r="DN210" s="9" t="str">
        <f t="shared" si="1172"/>
        <v>NA</v>
      </c>
      <c r="DO210" s="637" t="str">
        <f t="shared" si="1173"/>
        <v>NA</v>
      </c>
      <c r="DP210" s="637"/>
      <c r="DQ210" s="3" t="str">
        <f t="shared" si="1174"/>
        <v>NA</v>
      </c>
      <c r="DR210" s="2" t="str">
        <f t="shared" si="1175"/>
        <v>NA</v>
      </c>
      <c r="DS210" s="3" t="str">
        <f t="shared" si="1176"/>
        <v>NA</v>
      </c>
      <c r="DT210" s="9" t="str">
        <f t="shared" si="1105"/>
        <v>NA</v>
      </c>
      <c r="DU210" s="637" t="str">
        <f t="shared" si="1106"/>
        <v>NA</v>
      </c>
      <c r="DV210" s="637"/>
      <c r="DW210" s="682"/>
      <c r="DX210" s="682"/>
      <c r="DY210" s="682"/>
      <c r="DZ210" s="637"/>
      <c r="EA210" s="643"/>
    </row>
    <row r="211" spans="1:131" s="355" customFormat="1" ht="20.100000000000001" customHeight="1" outlineLevel="1" x14ac:dyDescent="0.25">
      <c r="A211" s="356"/>
      <c r="B211" s="355" t="s">
        <v>268</v>
      </c>
      <c r="C211" s="355" t="str">
        <f t="shared" si="1177"/>
        <v>Consumo</v>
      </c>
      <c r="D211" s="355" t="s">
        <v>53</v>
      </c>
      <c r="E211" s="18" t="s">
        <v>38</v>
      </c>
      <c r="F211" s="355" t="s">
        <v>53</v>
      </c>
      <c r="G211" s="357" t="str">
        <f t="shared" si="1178"/>
        <v>Geral</v>
      </c>
      <c r="H211" s="255" t="s">
        <v>377</v>
      </c>
      <c r="I211" s="356" t="str">
        <f t="shared" si="1112"/>
        <v>Sistema</v>
      </c>
      <c r="K211" s="318" t="s">
        <v>2964</v>
      </c>
      <c r="L211" s="749" t="str">
        <f>IF(Padrões!JF152&lt;&gt;"",Padrões!JF152,"")</f>
        <v/>
      </c>
      <c r="M211" s="358" t="str">
        <f t="shared" si="1113"/>
        <v>?</v>
      </c>
      <c r="N211" s="359">
        <f>Padrões!JI152</f>
        <v>0</v>
      </c>
      <c r="O211" s="381" t="str">
        <f t="shared" si="1114"/>
        <v>?</v>
      </c>
      <c r="P211" s="360">
        <f t="shared" si="1115"/>
        <v>0.12</v>
      </c>
      <c r="Q211" s="360" t="str">
        <f t="shared" si="1116"/>
        <v>?</v>
      </c>
      <c r="R211" s="360">
        <f t="shared" si="1117"/>
        <v>0</v>
      </c>
      <c r="S211" s="361">
        <f t="shared" si="1118"/>
        <v>0</v>
      </c>
      <c r="T211" s="362">
        <f t="shared" si="1119"/>
        <v>0</v>
      </c>
      <c r="U211" s="53" t="str" cm="1">
        <f t="array" ref="U211">IFERROR(IF(I211&lt;&gt;"Serviço",IF(AND(mlookup(tbl_DIFAL_data,UFdestino,tbl_DIFAL_UF,O211,tbl_DIFAL_NCM)&lt;&gt;"",C211="Consumo"),"Sim",""),""),"?")</f>
        <v>?</v>
      </c>
      <c r="V211" s="363" t="str">
        <f>IFERROR(IF(I211&lt;&gt;"Serviço",IF(AND(D211="Não",mlookup(tbl_ST_data,UFdestino,tbl_ST_UF,O211,tbl_ST_NCM)&lt;&gt;"",C211="Revenda",CD211="Não"),"Sim",""),""),"?")</f>
        <v>?</v>
      </c>
      <c r="W211" s="364">
        <f t="shared" si="1120"/>
        <v>0</v>
      </c>
      <c r="X211" s="365">
        <f>IF(V211="Sim",mlookup(tbl_ST_data,UFdestino,tbl_ST_UF,O211,tbl_ST_NCM),0)</f>
        <v>0</v>
      </c>
      <c r="Z211" s="355">
        <f t="shared" si="1121"/>
        <v>0</v>
      </c>
      <c r="AA211" s="355">
        <f t="shared" si="1107"/>
        <v>0</v>
      </c>
      <c r="AC211" s="366">
        <f t="shared" si="1179"/>
        <v>1.31243473968765E-2</v>
      </c>
      <c r="AD211" s="366">
        <f t="shared" si="1122"/>
        <v>0.15</v>
      </c>
      <c r="AF211" s="355">
        <f t="shared" si="1123"/>
        <v>0</v>
      </c>
      <c r="AG211" s="355">
        <f t="shared" si="1124"/>
        <v>0</v>
      </c>
      <c r="AI211" s="355">
        <f t="shared" si="1125"/>
        <v>0</v>
      </c>
      <c r="AK211" s="366">
        <f t="shared" si="1180"/>
        <v>0</v>
      </c>
      <c r="AL211" s="355">
        <f t="shared" si="1108"/>
        <v>0</v>
      </c>
      <c r="AM211" s="355">
        <f t="shared" si="1109"/>
        <v>0</v>
      </c>
      <c r="AO211" s="355" t="b">
        <f t="shared" si="1126"/>
        <v>1</v>
      </c>
      <c r="AQ211" s="367">
        <f t="shared" si="1127"/>
        <v>0</v>
      </c>
      <c r="AR211" s="367">
        <f t="shared" si="1110"/>
        <v>0</v>
      </c>
      <c r="AT211" s="367">
        <f t="shared" si="1128"/>
        <v>0</v>
      </c>
      <c r="AU211" s="367">
        <f t="shared" si="1129"/>
        <v>0</v>
      </c>
      <c r="AW211" s="367">
        <f t="shared" si="1130"/>
        <v>0</v>
      </c>
      <c r="AX211" s="367">
        <f t="shared" si="1131"/>
        <v>0</v>
      </c>
      <c r="AY211" s="367">
        <f t="shared" si="1132"/>
        <v>0</v>
      </c>
      <c r="AZ211" s="367">
        <f t="shared" si="1133"/>
        <v>0</v>
      </c>
      <c r="BB211" s="355">
        <f t="shared" si="1134"/>
        <v>0</v>
      </c>
      <c r="BC211" s="355">
        <f t="shared" si="1135"/>
        <v>0</v>
      </c>
      <c r="BD211" s="355">
        <f t="shared" si="1136"/>
        <v>0</v>
      </c>
      <c r="BE211" s="355">
        <f t="shared" si="1137"/>
        <v>0</v>
      </c>
      <c r="BF211" s="355">
        <f t="shared" si="1138"/>
        <v>0</v>
      </c>
      <c r="BH211" s="368">
        <f t="shared" si="1139"/>
        <v>0</v>
      </c>
      <c r="BJ211" s="369">
        <f t="shared" si="1140"/>
        <v>-0.12</v>
      </c>
      <c r="BK211" s="355">
        <f t="shared" si="1141"/>
        <v>0</v>
      </c>
      <c r="BL211" s="355">
        <f t="shared" si="1142"/>
        <v>0</v>
      </c>
      <c r="BN211" s="366">
        <f t="shared" si="1143"/>
        <v>0</v>
      </c>
      <c r="BO211" s="355">
        <f t="shared" si="1144"/>
        <v>0</v>
      </c>
      <c r="BP211" s="355">
        <f t="shared" si="1145"/>
        <v>0</v>
      </c>
      <c r="BQ211" s="355">
        <f t="shared" si="1146"/>
        <v>0</v>
      </c>
      <c r="BS211" s="367">
        <f t="shared" si="1147"/>
        <v>0</v>
      </c>
      <c r="BT211" s="355">
        <f t="shared" si="1148"/>
        <v>0</v>
      </c>
      <c r="BU211" s="355" t="b">
        <f t="shared" si="1111"/>
        <v>1</v>
      </c>
      <c r="BW211" s="355" t="str">
        <f t="shared" si="1149"/>
        <v/>
      </c>
      <c r="BX211" s="355">
        <f t="shared" si="1150"/>
        <v>0</v>
      </c>
      <c r="BY211" s="356">
        <f t="shared" si="1181"/>
        <v>0</v>
      </c>
      <c r="BZ211" s="355">
        <f t="shared" si="1151"/>
        <v>0</v>
      </c>
      <c r="CB211" s="102" t="str">
        <f t="shared" si="1152"/>
        <v>?</v>
      </c>
      <c r="CD211" s="355" t="str">
        <f t="shared" si="1153"/>
        <v>Não</v>
      </c>
      <c r="CE211" s="368">
        <f>ifzero(mlookup(tbl_ICMSinterest_data,UFdestino,tbl_ICMSinterest_ufdest,UForigem,tbl_ICMSinterest_uforig))</f>
        <v>0.12</v>
      </c>
      <c r="CF211" s="368">
        <f>IF(N211&gt;0,IF(I211&lt;&gt;"Serviço",ifzero(mlookup(tbl_ICMSinterno_data,UForigem,tbl_ICMSinterno_UF,O211,tbl_ICMSinterno_NCM),mlookup(tbl_ICMSinterest_data,UForigem,tbl_ICMSinterest_ufdest,UForigem,tbl_ICMSinterest_uforig)),""),0)</f>
        <v>0</v>
      </c>
      <c r="CG211" s="368">
        <f>IF(N211&gt;0,IF(I211&lt;&gt;"Serviço",ifzero(mlookup(tbl_ICMSinterno_data,UFdestino,tbl_ICMSinterno_UF,O211,tbl_ICMSinterno_NCM),mlookup(tbl_ICMSinterest_data,UFdestino,tbl_ICMSinterest_ufdest,UFdestino,tbl_ICMSinterest_uforig)),""),0)</f>
        <v>0</v>
      </c>
      <c r="CI211" s="355">
        <f t="shared" si="1154"/>
        <v>0</v>
      </c>
      <c r="CJ211" s="355">
        <f t="shared" si="1155"/>
        <v>0</v>
      </c>
      <c r="CK211" s="355">
        <f t="shared" si="1156"/>
        <v>0</v>
      </c>
      <c r="CL211" s="355">
        <f t="shared" si="1157"/>
        <v>0</v>
      </c>
      <c r="CN211" s="370">
        <f t="shared" si="1158"/>
        <v>1540</v>
      </c>
      <c r="CO211" s="355">
        <f t="shared" si="1159"/>
        <v>0</v>
      </c>
      <c r="CQ211" s="355" t="b">
        <f t="shared" si="1160"/>
        <v>0</v>
      </c>
      <c r="CR211" s="355" t="b">
        <f t="shared" si="1161"/>
        <v>1</v>
      </c>
      <c r="CS211" s="355" t="b">
        <f t="shared" si="1162"/>
        <v>0</v>
      </c>
      <c r="CU211" s="2">
        <f t="shared" si="1163"/>
        <v>0</v>
      </c>
      <c r="CV211" s="102">
        <f t="shared" si="1164"/>
        <v>0</v>
      </c>
      <c r="CW211" s="102">
        <f t="shared" si="1098"/>
        <v>0</v>
      </c>
      <c r="CX211" s="102">
        <f t="shared" si="1165"/>
        <v>0</v>
      </c>
      <c r="CY211" s="290">
        <f t="shared" si="1166"/>
        <v>0</v>
      </c>
      <c r="CZ211" s="102">
        <f t="shared" si="1100"/>
        <v>0</v>
      </c>
      <c r="DA211" s="290">
        <f t="shared" si="1167"/>
        <v>0</v>
      </c>
      <c r="DB211" s="102">
        <f t="shared" si="1101"/>
        <v>0</v>
      </c>
      <c r="DC211" s="290">
        <f t="shared" si="1168"/>
        <v>0</v>
      </c>
      <c r="DD211" s="102">
        <f t="shared" si="1099"/>
        <v>0</v>
      </c>
      <c r="DE211" s="592">
        <f>IF(D211="Sim",HLOOKUP($DH$5,Parametrização!$G$2:$H$4,2,FALSE),0)</f>
        <v>0</v>
      </c>
      <c r="DF211" s="102">
        <f t="shared" si="1102"/>
        <v>0</v>
      </c>
      <c r="DG211" s="592">
        <f>IF(D211="Sim",HLOOKUP($DH$5,Parametrização!$G$2:$H$4,3,FALSE),0)</f>
        <v>0</v>
      </c>
      <c r="DH211" s="102">
        <f t="shared" si="1103"/>
        <v>0</v>
      </c>
      <c r="DI211" s="102">
        <f t="shared" si="1104"/>
        <v>0</v>
      </c>
      <c r="DK211" s="3" t="str">
        <f t="shared" si="1169"/>
        <v>NA</v>
      </c>
      <c r="DL211" s="2" t="str">
        <f t="shared" si="1170"/>
        <v>NA</v>
      </c>
      <c r="DM211" s="3" t="str">
        <f t="shared" si="1171"/>
        <v>NA</v>
      </c>
      <c r="DN211" s="9" t="str">
        <f t="shared" si="1172"/>
        <v>NA</v>
      </c>
      <c r="DO211" s="637" t="str">
        <f t="shared" si="1173"/>
        <v>NA</v>
      </c>
      <c r="DP211" s="637"/>
      <c r="DQ211" s="3" t="str">
        <f t="shared" si="1174"/>
        <v>NA</v>
      </c>
      <c r="DR211" s="2" t="str">
        <f t="shared" si="1175"/>
        <v>NA</v>
      </c>
      <c r="DS211" s="3" t="str">
        <f t="shared" si="1176"/>
        <v>NA</v>
      </c>
      <c r="DT211" s="9" t="str">
        <f t="shared" si="1105"/>
        <v>NA</v>
      </c>
      <c r="DU211" s="637" t="str">
        <f t="shared" si="1106"/>
        <v>NA</v>
      </c>
      <c r="DV211" s="637"/>
      <c r="DW211" s="682"/>
      <c r="DX211" s="682"/>
      <c r="DY211" s="682"/>
      <c r="DZ211" s="637"/>
      <c r="EA211" s="643"/>
    </row>
    <row r="212" spans="1:131" s="355" customFormat="1" ht="20.100000000000001" customHeight="1" outlineLevel="1" x14ac:dyDescent="0.25">
      <c r="A212" s="356"/>
      <c r="B212" s="355" t="s">
        <v>268</v>
      </c>
      <c r="C212" s="355" t="str">
        <f t="shared" si="1177"/>
        <v>Consumo</v>
      </c>
      <c r="D212" s="355" t="s">
        <v>53</v>
      </c>
      <c r="E212" s="18" t="s">
        <v>38</v>
      </c>
      <c r="F212" s="355" t="s">
        <v>53</v>
      </c>
      <c r="G212" s="357" t="str">
        <f t="shared" si="1178"/>
        <v>Geral</v>
      </c>
      <c r="H212" s="255" t="s">
        <v>377</v>
      </c>
      <c r="I212" s="356" t="str">
        <f t="shared" si="1112"/>
        <v>Sistema</v>
      </c>
      <c r="K212" s="318" t="s">
        <v>2965</v>
      </c>
      <c r="L212" s="749" t="str">
        <f>IF(Padrões!JF153&lt;&gt;"",Padrões!JF153,"")</f>
        <v/>
      </c>
      <c r="M212" s="358" t="str">
        <f t="shared" si="1113"/>
        <v>?</v>
      </c>
      <c r="N212" s="359">
        <f>Padrões!JI153</f>
        <v>0</v>
      </c>
      <c r="O212" s="381" t="str">
        <f t="shared" si="1114"/>
        <v>?</v>
      </c>
      <c r="P212" s="360">
        <f t="shared" si="1115"/>
        <v>0.12</v>
      </c>
      <c r="Q212" s="360" t="str">
        <f t="shared" si="1116"/>
        <v>?</v>
      </c>
      <c r="R212" s="360">
        <f t="shared" si="1117"/>
        <v>0</v>
      </c>
      <c r="S212" s="361">
        <f t="shared" si="1118"/>
        <v>0</v>
      </c>
      <c r="T212" s="362">
        <f t="shared" si="1119"/>
        <v>0</v>
      </c>
      <c r="U212" s="53" t="str" cm="1">
        <f t="array" ref="U212">IFERROR(IF(I212&lt;&gt;"Serviço",IF(AND(mlookup(tbl_DIFAL_data,UFdestino,tbl_DIFAL_UF,O212,tbl_DIFAL_NCM)&lt;&gt;"",C212="Consumo"),"Sim",""),""),"?")</f>
        <v>?</v>
      </c>
      <c r="V212" s="363" t="str">
        <f>IFERROR(IF(I212&lt;&gt;"Serviço",IF(AND(D212="Não",mlookup(tbl_ST_data,UFdestino,tbl_ST_UF,O212,tbl_ST_NCM)&lt;&gt;"",C212="Revenda",CD212="Não"),"Sim",""),""),"?")</f>
        <v>?</v>
      </c>
      <c r="W212" s="364">
        <f t="shared" si="1120"/>
        <v>0</v>
      </c>
      <c r="X212" s="365">
        <f>IF(V212="Sim",mlookup(tbl_ST_data,UFdestino,tbl_ST_UF,O212,tbl_ST_NCM),0)</f>
        <v>0</v>
      </c>
      <c r="Z212" s="355">
        <f t="shared" si="1121"/>
        <v>0</v>
      </c>
      <c r="AA212" s="355">
        <f t="shared" si="1107"/>
        <v>0</v>
      </c>
      <c r="AC212" s="366">
        <f t="shared" si="1179"/>
        <v>1.31243473968765E-2</v>
      </c>
      <c r="AD212" s="366">
        <f t="shared" si="1122"/>
        <v>0.15</v>
      </c>
      <c r="AF212" s="355">
        <f t="shared" si="1123"/>
        <v>0</v>
      </c>
      <c r="AG212" s="355">
        <f t="shared" si="1124"/>
        <v>0</v>
      </c>
      <c r="AI212" s="355">
        <f t="shared" si="1125"/>
        <v>0</v>
      </c>
      <c r="AK212" s="366">
        <f t="shared" si="1180"/>
        <v>0</v>
      </c>
      <c r="AL212" s="355">
        <f t="shared" si="1108"/>
        <v>0</v>
      </c>
      <c r="AM212" s="355">
        <f t="shared" si="1109"/>
        <v>0</v>
      </c>
      <c r="AO212" s="355" t="b">
        <f t="shared" si="1126"/>
        <v>1</v>
      </c>
      <c r="AQ212" s="367">
        <f t="shared" si="1127"/>
        <v>0</v>
      </c>
      <c r="AR212" s="367">
        <f t="shared" si="1110"/>
        <v>0</v>
      </c>
      <c r="AT212" s="367">
        <f t="shared" si="1128"/>
        <v>0</v>
      </c>
      <c r="AU212" s="367">
        <f t="shared" si="1129"/>
        <v>0</v>
      </c>
      <c r="AW212" s="367">
        <f t="shared" si="1130"/>
        <v>0</v>
      </c>
      <c r="AX212" s="367">
        <f t="shared" si="1131"/>
        <v>0</v>
      </c>
      <c r="AY212" s="367">
        <f t="shared" si="1132"/>
        <v>0</v>
      </c>
      <c r="AZ212" s="367">
        <f t="shared" si="1133"/>
        <v>0</v>
      </c>
      <c r="BB212" s="355">
        <f t="shared" si="1134"/>
        <v>0</v>
      </c>
      <c r="BC212" s="355">
        <f t="shared" si="1135"/>
        <v>0</v>
      </c>
      <c r="BD212" s="355">
        <f t="shared" si="1136"/>
        <v>0</v>
      </c>
      <c r="BE212" s="355">
        <f t="shared" si="1137"/>
        <v>0</v>
      </c>
      <c r="BF212" s="355">
        <f t="shared" si="1138"/>
        <v>0</v>
      </c>
      <c r="BH212" s="368">
        <f t="shared" si="1139"/>
        <v>0</v>
      </c>
      <c r="BJ212" s="369">
        <f t="shared" si="1140"/>
        <v>-0.12</v>
      </c>
      <c r="BK212" s="355">
        <f t="shared" si="1141"/>
        <v>0</v>
      </c>
      <c r="BL212" s="355">
        <f t="shared" si="1142"/>
        <v>0</v>
      </c>
      <c r="BN212" s="366">
        <f t="shared" si="1143"/>
        <v>0</v>
      </c>
      <c r="BO212" s="355">
        <f t="shared" si="1144"/>
        <v>0</v>
      </c>
      <c r="BP212" s="355">
        <f t="shared" si="1145"/>
        <v>0</v>
      </c>
      <c r="BQ212" s="355">
        <f t="shared" si="1146"/>
        <v>0</v>
      </c>
      <c r="BS212" s="367">
        <f t="shared" si="1147"/>
        <v>0</v>
      </c>
      <c r="BT212" s="355">
        <f t="shared" si="1148"/>
        <v>0</v>
      </c>
      <c r="BU212" s="355" t="b">
        <f t="shared" si="1111"/>
        <v>1</v>
      </c>
      <c r="BW212" s="355" t="str">
        <f t="shared" si="1149"/>
        <v/>
      </c>
      <c r="BX212" s="355">
        <f t="shared" si="1150"/>
        <v>0</v>
      </c>
      <c r="BY212" s="356">
        <f t="shared" si="1181"/>
        <v>0</v>
      </c>
      <c r="BZ212" s="355">
        <f t="shared" si="1151"/>
        <v>0</v>
      </c>
      <c r="CB212" s="102" t="str">
        <f t="shared" si="1152"/>
        <v>?</v>
      </c>
      <c r="CD212" s="355" t="str">
        <f t="shared" si="1153"/>
        <v>Não</v>
      </c>
      <c r="CE212" s="368">
        <f>ifzero(mlookup(tbl_ICMSinterest_data,UFdestino,tbl_ICMSinterest_ufdest,UForigem,tbl_ICMSinterest_uforig))</f>
        <v>0.12</v>
      </c>
      <c r="CF212" s="368">
        <f>IF(N212&gt;0,IF(I212&lt;&gt;"Serviço",ifzero(mlookup(tbl_ICMSinterno_data,UForigem,tbl_ICMSinterno_UF,O212,tbl_ICMSinterno_NCM),mlookup(tbl_ICMSinterest_data,UForigem,tbl_ICMSinterest_ufdest,UForigem,tbl_ICMSinterest_uforig)),""),0)</f>
        <v>0</v>
      </c>
      <c r="CG212" s="368">
        <f>IF(N212&gt;0,IF(I212&lt;&gt;"Serviço",ifzero(mlookup(tbl_ICMSinterno_data,UFdestino,tbl_ICMSinterno_UF,O212,tbl_ICMSinterno_NCM),mlookup(tbl_ICMSinterest_data,UFdestino,tbl_ICMSinterest_ufdest,UFdestino,tbl_ICMSinterest_uforig)),""),0)</f>
        <v>0</v>
      </c>
      <c r="CI212" s="355">
        <f t="shared" si="1154"/>
        <v>0</v>
      </c>
      <c r="CJ212" s="355">
        <f t="shared" si="1155"/>
        <v>0</v>
      </c>
      <c r="CK212" s="355">
        <f t="shared" si="1156"/>
        <v>0</v>
      </c>
      <c r="CL212" s="355">
        <f t="shared" si="1157"/>
        <v>0</v>
      </c>
      <c r="CN212" s="370">
        <f t="shared" si="1158"/>
        <v>1540</v>
      </c>
      <c r="CO212" s="355">
        <f t="shared" si="1159"/>
        <v>0</v>
      </c>
      <c r="CQ212" s="355" t="b">
        <f t="shared" si="1160"/>
        <v>0</v>
      </c>
      <c r="CR212" s="355" t="b">
        <f t="shared" si="1161"/>
        <v>1</v>
      </c>
      <c r="CS212" s="355" t="b">
        <f t="shared" si="1162"/>
        <v>0</v>
      </c>
      <c r="CU212" s="2">
        <f t="shared" si="1163"/>
        <v>0</v>
      </c>
      <c r="CV212" s="102">
        <f t="shared" si="1164"/>
        <v>0</v>
      </c>
      <c r="CW212" s="102">
        <f t="shared" si="1098"/>
        <v>0</v>
      </c>
      <c r="CX212" s="102">
        <f t="shared" si="1165"/>
        <v>0</v>
      </c>
      <c r="CY212" s="290">
        <f t="shared" si="1166"/>
        <v>0</v>
      </c>
      <c r="CZ212" s="102">
        <f t="shared" si="1100"/>
        <v>0</v>
      </c>
      <c r="DA212" s="290">
        <f t="shared" si="1167"/>
        <v>0</v>
      </c>
      <c r="DB212" s="102">
        <f t="shared" si="1101"/>
        <v>0</v>
      </c>
      <c r="DC212" s="290">
        <f t="shared" si="1168"/>
        <v>0</v>
      </c>
      <c r="DD212" s="102">
        <f t="shared" si="1099"/>
        <v>0</v>
      </c>
      <c r="DE212" s="592">
        <f>IF(D212="Sim",HLOOKUP($DH$5,Parametrização!$G$2:$H$4,2,FALSE),0)</f>
        <v>0</v>
      </c>
      <c r="DF212" s="102">
        <f t="shared" si="1102"/>
        <v>0</v>
      </c>
      <c r="DG212" s="592">
        <f>IF(D212="Sim",HLOOKUP($DH$5,Parametrização!$G$2:$H$4,3,FALSE),0)</f>
        <v>0</v>
      </c>
      <c r="DH212" s="102">
        <f t="shared" si="1103"/>
        <v>0</v>
      </c>
      <c r="DI212" s="102">
        <f t="shared" si="1104"/>
        <v>0</v>
      </c>
      <c r="DK212" s="3" t="str">
        <f t="shared" si="1169"/>
        <v>NA</v>
      </c>
      <c r="DL212" s="2" t="str">
        <f t="shared" si="1170"/>
        <v>NA</v>
      </c>
      <c r="DM212" s="3" t="str">
        <f t="shared" si="1171"/>
        <v>NA</v>
      </c>
      <c r="DN212" s="9" t="str">
        <f t="shared" si="1172"/>
        <v>NA</v>
      </c>
      <c r="DO212" s="637" t="str">
        <f t="shared" si="1173"/>
        <v>NA</v>
      </c>
      <c r="DP212" s="637"/>
      <c r="DQ212" s="3" t="str">
        <f t="shared" si="1174"/>
        <v>NA</v>
      </c>
      <c r="DR212" s="2" t="str">
        <f t="shared" si="1175"/>
        <v>NA</v>
      </c>
      <c r="DS212" s="3" t="str">
        <f t="shared" si="1176"/>
        <v>NA</v>
      </c>
      <c r="DT212" s="9" t="str">
        <f t="shared" si="1105"/>
        <v>NA</v>
      </c>
      <c r="DU212" s="637" t="str">
        <f t="shared" si="1106"/>
        <v>NA</v>
      </c>
      <c r="DV212" s="637"/>
      <c r="DW212" s="682"/>
      <c r="DX212" s="682"/>
      <c r="DY212" s="682"/>
      <c r="DZ212" s="637"/>
      <c r="EA212" s="643"/>
    </row>
    <row r="213" spans="1:131" s="355" customFormat="1" ht="20.100000000000001" customHeight="1" outlineLevel="1" x14ac:dyDescent="0.25">
      <c r="A213" s="356"/>
      <c r="B213" s="355" t="s">
        <v>268</v>
      </c>
      <c r="C213" s="355" t="str">
        <f t="shared" si="1177"/>
        <v>Consumo</v>
      </c>
      <c r="D213" s="355" t="s">
        <v>53</v>
      </c>
      <c r="E213" s="18" t="s">
        <v>38</v>
      </c>
      <c r="F213" s="355" t="s">
        <v>53</v>
      </c>
      <c r="G213" s="357" t="str">
        <f t="shared" si="1178"/>
        <v>Geral</v>
      </c>
      <c r="H213" s="255" t="s">
        <v>377</v>
      </c>
      <c r="I213" s="356" t="str">
        <f t="shared" si="1112"/>
        <v>Sistema</v>
      </c>
      <c r="K213" s="318" t="s">
        <v>2966</v>
      </c>
      <c r="L213" s="749" t="str">
        <f>IF(Padrões!JF154&lt;&gt;"",Padrões!JF154,"")</f>
        <v/>
      </c>
      <c r="M213" s="358" t="str">
        <f t="shared" si="1113"/>
        <v>?</v>
      </c>
      <c r="N213" s="359">
        <f>Padrões!JI154</f>
        <v>0</v>
      </c>
      <c r="O213" s="381" t="str">
        <f t="shared" si="1114"/>
        <v>?</v>
      </c>
      <c r="P213" s="360">
        <f t="shared" si="1115"/>
        <v>0.12</v>
      </c>
      <c r="Q213" s="360" t="str">
        <f t="shared" si="1116"/>
        <v>?</v>
      </c>
      <c r="R213" s="360">
        <f t="shared" si="1117"/>
        <v>0</v>
      </c>
      <c r="S213" s="361">
        <f t="shared" si="1118"/>
        <v>0</v>
      </c>
      <c r="T213" s="362">
        <f t="shared" si="1119"/>
        <v>0</v>
      </c>
      <c r="U213" s="53" t="str" cm="1">
        <f t="array" ref="U213">IFERROR(IF(I213&lt;&gt;"Serviço",IF(AND(mlookup(tbl_DIFAL_data,UFdestino,tbl_DIFAL_UF,O213,tbl_DIFAL_NCM)&lt;&gt;"",C213="Consumo"),"Sim",""),""),"?")</f>
        <v>?</v>
      </c>
      <c r="V213" s="363" t="str">
        <f>IFERROR(IF(I213&lt;&gt;"Serviço",IF(AND(D213="Não",mlookup(tbl_ST_data,UFdestino,tbl_ST_UF,O213,tbl_ST_NCM)&lt;&gt;"",C213="Revenda",CD213="Não"),"Sim",""),""),"?")</f>
        <v>?</v>
      </c>
      <c r="W213" s="364">
        <f t="shared" si="1120"/>
        <v>0</v>
      </c>
      <c r="X213" s="365">
        <f>IF(V213="Sim",mlookup(tbl_ST_data,UFdestino,tbl_ST_UF,O213,tbl_ST_NCM),0)</f>
        <v>0</v>
      </c>
      <c r="Z213" s="355">
        <f t="shared" si="1121"/>
        <v>0</v>
      </c>
      <c r="AA213" s="355">
        <f t="shared" si="1107"/>
        <v>0</v>
      </c>
      <c r="AC213" s="366">
        <f t="shared" si="1179"/>
        <v>1.31243473968765E-2</v>
      </c>
      <c r="AD213" s="366">
        <f t="shared" si="1122"/>
        <v>0.15</v>
      </c>
      <c r="AF213" s="355">
        <f t="shared" si="1123"/>
        <v>0</v>
      </c>
      <c r="AG213" s="355">
        <f t="shared" si="1124"/>
        <v>0</v>
      </c>
      <c r="AI213" s="355">
        <f t="shared" si="1125"/>
        <v>0</v>
      </c>
      <c r="AK213" s="366">
        <f t="shared" si="1180"/>
        <v>0</v>
      </c>
      <c r="AL213" s="355">
        <f t="shared" si="1108"/>
        <v>0</v>
      </c>
      <c r="AM213" s="355">
        <f t="shared" si="1109"/>
        <v>0</v>
      </c>
      <c r="AO213" s="355" t="b">
        <f t="shared" si="1126"/>
        <v>1</v>
      </c>
      <c r="AQ213" s="367">
        <f t="shared" si="1127"/>
        <v>0</v>
      </c>
      <c r="AR213" s="367">
        <f t="shared" si="1110"/>
        <v>0</v>
      </c>
      <c r="AT213" s="367">
        <f t="shared" si="1128"/>
        <v>0</v>
      </c>
      <c r="AU213" s="367">
        <f t="shared" si="1129"/>
        <v>0</v>
      </c>
      <c r="AW213" s="367">
        <f t="shared" si="1130"/>
        <v>0</v>
      </c>
      <c r="AX213" s="367">
        <f t="shared" si="1131"/>
        <v>0</v>
      </c>
      <c r="AY213" s="367">
        <f t="shared" si="1132"/>
        <v>0</v>
      </c>
      <c r="AZ213" s="367">
        <f t="shared" si="1133"/>
        <v>0</v>
      </c>
      <c r="BB213" s="355">
        <f t="shared" si="1134"/>
        <v>0</v>
      </c>
      <c r="BC213" s="355">
        <f t="shared" si="1135"/>
        <v>0</v>
      </c>
      <c r="BD213" s="355">
        <f t="shared" si="1136"/>
        <v>0</v>
      </c>
      <c r="BE213" s="355">
        <f t="shared" si="1137"/>
        <v>0</v>
      </c>
      <c r="BF213" s="355">
        <f t="shared" si="1138"/>
        <v>0</v>
      </c>
      <c r="BH213" s="368">
        <f t="shared" si="1139"/>
        <v>0</v>
      </c>
      <c r="BJ213" s="369">
        <f t="shared" si="1140"/>
        <v>-0.12</v>
      </c>
      <c r="BK213" s="355">
        <f t="shared" si="1141"/>
        <v>0</v>
      </c>
      <c r="BL213" s="355">
        <f t="shared" si="1142"/>
        <v>0</v>
      </c>
      <c r="BN213" s="366">
        <f t="shared" si="1143"/>
        <v>0</v>
      </c>
      <c r="BO213" s="355">
        <f t="shared" si="1144"/>
        <v>0</v>
      </c>
      <c r="BP213" s="355">
        <f t="shared" si="1145"/>
        <v>0</v>
      </c>
      <c r="BQ213" s="355">
        <f t="shared" si="1146"/>
        <v>0</v>
      </c>
      <c r="BS213" s="367">
        <f t="shared" si="1147"/>
        <v>0</v>
      </c>
      <c r="BT213" s="355">
        <f t="shared" si="1148"/>
        <v>0</v>
      </c>
      <c r="BU213" s="355" t="b">
        <f t="shared" si="1111"/>
        <v>1</v>
      </c>
      <c r="BW213" s="355" t="str">
        <f t="shared" si="1149"/>
        <v/>
      </c>
      <c r="BX213" s="355">
        <f t="shared" si="1150"/>
        <v>0</v>
      </c>
      <c r="BY213" s="356">
        <f t="shared" si="1181"/>
        <v>0</v>
      </c>
      <c r="BZ213" s="355">
        <f t="shared" si="1151"/>
        <v>0</v>
      </c>
      <c r="CB213" s="102" t="str">
        <f t="shared" si="1152"/>
        <v>?</v>
      </c>
      <c r="CD213" s="355" t="str">
        <f t="shared" si="1153"/>
        <v>Não</v>
      </c>
      <c r="CE213" s="368">
        <f>ifzero(mlookup(tbl_ICMSinterest_data,UFdestino,tbl_ICMSinterest_ufdest,UForigem,tbl_ICMSinterest_uforig))</f>
        <v>0.12</v>
      </c>
      <c r="CF213" s="368">
        <f>IF(N213&gt;0,IF(I213&lt;&gt;"Serviço",ifzero(mlookup(tbl_ICMSinterno_data,UForigem,tbl_ICMSinterno_UF,O213,tbl_ICMSinterno_NCM),mlookup(tbl_ICMSinterest_data,UForigem,tbl_ICMSinterest_ufdest,UForigem,tbl_ICMSinterest_uforig)),""),0)</f>
        <v>0</v>
      </c>
      <c r="CG213" s="368">
        <f>IF(N213&gt;0,IF(I213&lt;&gt;"Serviço",ifzero(mlookup(tbl_ICMSinterno_data,UFdestino,tbl_ICMSinterno_UF,O213,tbl_ICMSinterno_NCM),mlookup(tbl_ICMSinterest_data,UFdestino,tbl_ICMSinterest_ufdest,UFdestino,tbl_ICMSinterest_uforig)),""),0)</f>
        <v>0</v>
      </c>
      <c r="CI213" s="355">
        <f t="shared" si="1154"/>
        <v>0</v>
      </c>
      <c r="CJ213" s="355">
        <f t="shared" si="1155"/>
        <v>0</v>
      </c>
      <c r="CK213" s="355">
        <f t="shared" si="1156"/>
        <v>0</v>
      </c>
      <c r="CL213" s="355">
        <f t="shared" si="1157"/>
        <v>0</v>
      </c>
      <c r="CN213" s="370">
        <f t="shared" si="1158"/>
        <v>1540</v>
      </c>
      <c r="CO213" s="355">
        <f t="shared" si="1159"/>
        <v>0</v>
      </c>
      <c r="CQ213" s="355" t="b">
        <f t="shared" si="1160"/>
        <v>0</v>
      </c>
      <c r="CR213" s="355" t="b">
        <f t="shared" si="1161"/>
        <v>1</v>
      </c>
      <c r="CS213" s="355" t="b">
        <f t="shared" si="1162"/>
        <v>0</v>
      </c>
      <c r="CU213" s="2">
        <f t="shared" si="1163"/>
        <v>0</v>
      </c>
      <c r="CV213" s="102">
        <f t="shared" si="1164"/>
        <v>0</v>
      </c>
      <c r="CW213" s="102">
        <f t="shared" si="1098"/>
        <v>0</v>
      </c>
      <c r="CX213" s="102">
        <f t="shared" si="1165"/>
        <v>0</v>
      </c>
      <c r="CY213" s="290">
        <f t="shared" si="1166"/>
        <v>0</v>
      </c>
      <c r="CZ213" s="102">
        <f t="shared" si="1100"/>
        <v>0</v>
      </c>
      <c r="DA213" s="290">
        <f t="shared" si="1167"/>
        <v>0</v>
      </c>
      <c r="DB213" s="102">
        <f t="shared" si="1101"/>
        <v>0</v>
      </c>
      <c r="DC213" s="290">
        <f t="shared" si="1168"/>
        <v>0</v>
      </c>
      <c r="DD213" s="102">
        <f t="shared" si="1099"/>
        <v>0</v>
      </c>
      <c r="DE213" s="592">
        <f>IF(D213="Sim",HLOOKUP($DH$5,Parametrização!$G$2:$H$4,2,FALSE),0)</f>
        <v>0</v>
      </c>
      <c r="DF213" s="102">
        <f t="shared" si="1102"/>
        <v>0</v>
      </c>
      <c r="DG213" s="592">
        <f>IF(D213="Sim",HLOOKUP($DH$5,Parametrização!$G$2:$H$4,3,FALSE),0)</f>
        <v>0</v>
      </c>
      <c r="DH213" s="102">
        <f t="shared" si="1103"/>
        <v>0</v>
      </c>
      <c r="DI213" s="102">
        <f t="shared" si="1104"/>
        <v>0</v>
      </c>
      <c r="DK213" s="3" t="str">
        <f t="shared" si="1169"/>
        <v>NA</v>
      </c>
      <c r="DL213" s="2" t="str">
        <f t="shared" si="1170"/>
        <v>NA</v>
      </c>
      <c r="DM213" s="3" t="str">
        <f t="shared" si="1171"/>
        <v>NA</v>
      </c>
      <c r="DN213" s="9" t="str">
        <f t="shared" si="1172"/>
        <v>NA</v>
      </c>
      <c r="DO213" s="637" t="str">
        <f t="shared" si="1173"/>
        <v>NA</v>
      </c>
      <c r="DP213" s="637"/>
      <c r="DQ213" s="3" t="str">
        <f t="shared" si="1174"/>
        <v>NA</v>
      </c>
      <c r="DR213" s="2" t="str">
        <f t="shared" si="1175"/>
        <v>NA</v>
      </c>
      <c r="DS213" s="3" t="str">
        <f t="shared" si="1176"/>
        <v>NA</v>
      </c>
      <c r="DT213" s="9" t="str">
        <f t="shared" si="1105"/>
        <v>NA</v>
      </c>
      <c r="DU213" s="637" t="str">
        <f t="shared" si="1106"/>
        <v>NA</v>
      </c>
      <c r="DV213" s="637"/>
      <c r="DW213" s="682"/>
      <c r="DX213" s="682"/>
      <c r="DY213" s="682"/>
      <c r="DZ213" s="637"/>
      <c r="EA213" s="643"/>
    </row>
    <row r="214" spans="1:131" s="355" customFormat="1" ht="20.100000000000001" customHeight="1" outlineLevel="1" x14ac:dyDescent="0.25">
      <c r="A214" s="356"/>
      <c r="B214" s="355" t="s">
        <v>268</v>
      </c>
      <c r="C214" s="355" t="str">
        <f t="shared" si="1177"/>
        <v>Consumo</v>
      </c>
      <c r="D214" s="355" t="s">
        <v>53</v>
      </c>
      <c r="E214" s="18" t="s">
        <v>38</v>
      </c>
      <c r="F214" s="355" t="s">
        <v>53</v>
      </c>
      <c r="G214" s="357" t="str">
        <f t="shared" si="1178"/>
        <v>Geral</v>
      </c>
      <c r="H214" s="255" t="s">
        <v>377</v>
      </c>
      <c r="I214" s="356" t="str">
        <f t="shared" si="1112"/>
        <v>Sistema</v>
      </c>
      <c r="K214" s="318" t="s">
        <v>2967</v>
      </c>
      <c r="L214" s="749" t="str">
        <f>IF(Padrões!JF155&lt;&gt;"",Padrões!JF155,"")</f>
        <v/>
      </c>
      <c r="M214" s="358" t="str">
        <f t="shared" si="1113"/>
        <v>?</v>
      </c>
      <c r="N214" s="359">
        <f>Padrões!JI155</f>
        <v>0</v>
      </c>
      <c r="O214" s="381" t="str">
        <f t="shared" si="1114"/>
        <v>?</v>
      </c>
      <c r="P214" s="360">
        <f t="shared" si="1115"/>
        <v>0.12</v>
      </c>
      <c r="Q214" s="360" t="str">
        <f t="shared" si="1116"/>
        <v>?</v>
      </c>
      <c r="R214" s="360">
        <f t="shared" si="1117"/>
        <v>0</v>
      </c>
      <c r="S214" s="361">
        <f t="shared" si="1118"/>
        <v>0</v>
      </c>
      <c r="T214" s="362">
        <f t="shared" si="1119"/>
        <v>0</v>
      </c>
      <c r="U214" s="53" t="str" cm="1">
        <f t="array" ref="U214">IFERROR(IF(I214&lt;&gt;"Serviço",IF(AND(mlookup(tbl_DIFAL_data,UFdestino,tbl_DIFAL_UF,O214,tbl_DIFAL_NCM)&lt;&gt;"",C214="Consumo"),"Sim",""),""),"?")</f>
        <v>?</v>
      </c>
      <c r="V214" s="363" t="str">
        <f>IFERROR(IF(I214&lt;&gt;"Serviço",IF(AND(D214="Não",mlookup(tbl_ST_data,UFdestino,tbl_ST_UF,O214,tbl_ST_NCM)&lt;&gt;"",C214="Revenda",CD214="Não"),"Sim",""),""),"?")</f>
        <v>?</v>
      </c>
      <c r="W214" s="364">
        <f t="shared" si="1120"/>
        <v>0</v>
      </c>
      <c r="X214" s="365">
        <f>IF(V214="Sim",mlookup(tbl_ST_data,UFdestino,tbl_ST_UF,O214,tbl_ST_NCM),0)</f>
        <v>0</v>
      </c>
      <c r="Z214" s="355">
        <f t="shared" si="1121"/>
        <v>0</v>
      </c>
      <c r="AA214" s="355">
        <f t="shared" si="1107"/>
        <v>0</v>
      </c>
      <c r="AC214" s="366">
        <f t="shared" si="1179"/>
        <v>1.31243473968765E-2</v>
      </c>
      <c r="AD214" s="366">
        <f t="shared" si="1122"/>
        <v>0.15</v>
      </c>
      <c r="AF214" s="355">
        <f t="shared" si="1123"/>
        <v>0</v>
      </c>
      <c r="AG214" s="355">
        <f t="shared" si="1124"/>
        <v>0</v>
      </c>
      <c r="AI214" s="355">
        <f t="shared" si="1125"/>
        <v>0</v>
      </c>
      <c r="AK214" s="366">
        <f t="shared" si="1180"/>
        <v>0</v>
      </c>
      <c r="AL214" s="355">
        <f t="shared" si="1108"/>
        <v>0</v>
      </c>
      <c r="AM214" s="355">
        <f t="shared" si="1109"/>
        <v>0</v>
      </c>
      <c r="AO214" s="355" t="b">
        <f t="shared" si="1126"/>
        <v>1</v>
      </c>
      <c r="AQ214" s="367">
        <f t="shared" si="1127"/>
        <v>0</v>
      </c>
      <c r="AR214" s="367">
        <f t="shared" si="1110"/>
        <v>0</v>
      </c>
      <c r="AT214" s="367">
        <f t="shared" si="1128"/>
        <v>0</v>
      </c>
      <c r="AU214" s="367">
        <f t="shared" si="1129"/>
        <v>0</v>
      </c>
      <c r="AW214" s="367">
        <f t="shared" si="1130"/>
        <v>0</v>
      </c>
      <c r="AX214" s="367">
        <f t="shared" si="1131"/>
        <v>0</v>
      </c>
      <c r="AY214" s="367">
        <f t="shared" si="1132"/>
        <v>0</v>
      </c>
      <c r="AZ214" s="367">
        <f t="shared" si="1133"/>
        <v>0</v>
      </c>
      <c r="BB214" s="355">
        <f t="shared" si="1134"/>
        <v>0</v>
      </c>
      <c r="BC214" s="355">
        <f t="shared" si="1135"/>
        <v>0</v>
      </c>
      <c r="BD214" s="355">
        <f t="shared" si="1136"/>
        <v>0</v>
      </c>
      <c r="BE214" s="355">
        <f t="shared" si="1137"/>
        <v>0</v>
      </c>
      <c r="BF214" s="355">
        <f t="shared" si="1138"/>
        <v>0</v>
      </c>
      <c r="BH214" s="368">
        <f t="shared" si="1139"/>
        <v>0</v>
      </c>
      <c r="BJ214" s="369">
        <f t="shared" si="1140"/>
        <v>-0.12</v>
      </c>
      <c r="BK214" s="355">
        <f t="shared" si="1141"/>
        <v>0</v>
      </c>
      <c r="BL214" s="355">
        <f t="shared" si="1142"/>
        <v>0</v>
      </c>
      <c r="BN214" s="366">
        <f t="shared" si="1143"/>
        <v>0</v>
      </c>
      <c r="BO214" s="355">
        <f t="shared" si="1144"/>
        <v>0</v>
      </c>
      <c r="BP214" s="355">
        <f t="shared" si="1145"/>
        <v>0</v>
      </c>
      <c r="BQ214" s="355">
        <f t="shared" si="1146"/>
        <v>0</v>
      </c>
      <c r="BS214" s="367">
        <f t="shared" si="1147"/>
        <v>0</v>
      </c>
      <c r="BT214" s="355">
        <f t="shared" si="1148"/>
        <v>0</v>
      </c>
      <c r="BU214" s="355" t="b">
        <f t="shared" si="1111"/>
        <v>1</v>
      </c>
      <c r="BW214" s="355" t="str">
        <f t="shared" si="1149"/>
        <v/>
      </c>
      <c r="BX214" s="355">
        <f t="shared" si="1150"/>
        <v>0</v>
      </c>
      <c r="BY214" s="356">
        <f t="shared" si="1181"/>
        <v>0</v>
      </c>
      <c r="BZ214" s="355">
        <f t="shared" si="1151"/>
        <v>0</v>
      </c>
      <c r="CB214" s="102" t="str">
        <f t="shared" si="1152"/>
        <v>?</v>
      </c>
      <c r="CD214" s="355" t="str">
        <f t="shared" si="1153"/>
        <v>Não</v>
      </c>
      <c r="CE214" s="368">
        <f>ifzero(mlookup(tbl_ICMSinterest_data,UFdestino,tbl_ICMSinterest_ufdest,UForigem,tbl_ICMSinterest_uforig))</f>
        <v>0.12</v>
      </c>
      <c r="CF214" s="368">
        <f>IF(N214&gt;0,IF(I214&lt;&gt;"Serviço",ifzero(mlookup(tbl_ICMSinterno_data,UForigem,tbl_ICMSinterno_UF,O214,tbl_ICMSinterno_NCM),mlookup(tbl_ICMSinterest_data,UForigem,tbl_ICMSinterest_ufdest,UForigem,tbl_ICMSinterest_uforig)),""),0)</f>
        <v>0</v>
      </c>
      <c r="CG214" s="368">
        <f>IF(N214&gt;0,IF(I214&lt;&gt;"Serviço",ifzero(mlookup(tbl_ICMSinterno_data,UFdestino,tbl_ICMSinterno_UF,O214,tbl_ICMSinterno_NCM),mlookup(tbl_ICMSinterest_data,UFdestino,tbl_ICMSinterest_ufdest,UFdestino,tbl_ICMSinterest_uforig)),""),0)</f>
        <v>0</v>
      </c>
      <c r="CI214" s="355">
        <f t="shared" si="1154"/>
        <v>0</v>
      </c>
      <c r="CJ214" s="355">
        <f t="shared" si="1155"/>
        <v>0</v>
      </c>
      <c r="CK214" s="355">
        <f t="shared" si="1156"/>
        <v>0</v>
      </c>
      <c r="CL214" s="355">
        <f t="shared" si="1157"/>
        <v>0</v>
      </c>
      <c r="CN214" s="370">
        <f t="shared" si="1158"/>
        <v>1540</v>
      </c>
      <c r="CO214" s="355">
        <f t="shared" si="1159"/>
        <v>0</v>
      </c>
      <c r="CQ214" s="355" t="b">
        <f t="shared" si="1160"/>
        <v>0</v>
      </c>
      <c r="CR214" s="355" t="b">
        <f t="shared" si="1161"/>
        <v>1</v>
      </c>
      <c r="CS214" s="355" t="b">
        <f t="shared" si="1162"/>
        <v>0</v>
      </c>
      <c r="CU214" s="2">
        <f t="shared" si="1163"/>
        <v>0</v>
      </c>
      <c r="CV214" s="102">
        <f t="shared" si="1164"/>
        <v>0</v>
      </c>
      <c r="CW214" s="102">
        <f t="shared" si="1098"/>
        <v>0</v>
      </c>
      <c r="CX214" s="102">
        <f t="shared" si="1165"/>
        <v>0</v>
      </c>
      <c r="CY214" s="290">
        <f t="shared" si="1166"/>
        <v>0</v>
      </c>
      <c r="CZ214" s="102">
        <f t="shared" si="1100"/>
        <v>0</v>
      </c>
      <c r="DA214" s="290">
        <f t="shared" si="1167"/>
        <v>0</v>
      </c>
      <c r="DB214" s="102">
        <f t="shared" si="1101"/>
        <v>0</v>
      </c>
      <c r="DC214" s="290">
        <f t="shared" si="1168"/>
        <v>0</v>
      </c>
      <c r="DD214" s="102">
        <f t="shared" si="1099"/>
        <v>0</v>
      </c>
      <c r="DE214" s="592">
        <f>IF(D214="Sim",HLOOKUP($DH$5,Parametrização!$G$2:$H$4,2,FALSE),0)</f>
        <v>0</v>
      </c>
      <c r="DF214" s="102">
        <f t="shared" si="1102"/>
        <v>0</v>
      </c>
      <c r="DG214" s="592">
        <f>IF(D214="Sim",HLOOKUP($DH$5,Parametrização!$G$2:$H$4,3,FALSE),0)</f>
        <v>0</v>
      </c>
      <c r="DH214" s="102">
        <f t="shared" si="1103"/>
        <v>0</v>
      </c>
      <c r="DI214" s="102">
        <f t="shared" si="1104"/>
        <v>0</v>
      </c>
      <c r="DK214" s="3" t="str">
        <f t="shared" si="1169"/>
        <v>NA</v>
      </c>
      <c r="DL214" s="2" t="str">
        <f t="shared" si="1170"/>
        <v>NA</v>
      </c>
      <c r="DM214" s="3" t="str">
        <f t="shared" si="1171"/>
        <v>NA</v>
      </c>
      <c r="DN214" s="9" t="str">
        <f t="shared" si="1172"/>
        <v>NA</v>
      </c>
      <c r="DO214" s="637" t="str">
        <f t="shared" si="1173"/>
        <v>NA</v>
      </c>
      <c r="DP214" s="637"/>
      <c r="DQ214" s="3" t="str">
        <f t="shared" si="1174"/>
        <v>NA</v>
      </c>
      <c r="DR214" s="2" t="str">
        <f t="shared" si="1175"/>
        <v>NA</v>
      </c>
      <c r="DS214" s="3" t="str">
        <f t="shared" si="1176"/>
        <v>NA</v>
      </c>
      <c r="DT214" s="9" t="str">
        <f t="shared" si="1105"/>
        <v>NA</v>
      </c>
      <c r="DU214" s="637" t="str">
        <f t="shared" si="1106"/>
        <v>NA</v>
      </c>
      <c r="DV214" s="637"/>
      <c r="DW214" s="682"/>
      <c r="DX214" s="682"/>
      <c r="DY214" s="682"/>
      <c r="DZ214" s="637"/>
      <c r="EA214" s="643"/>
    </row>
    <row r="215" spans="1:131" s="355" customFormat="1" ht="20.100000000000001" customHeight="1" outlineLevel="1" x14ac:dyDescent="0.25">
      <c r="A215" s="356"/>
      <c r="B215" s="355" t="s">
        <v>268</v>
      </c>
      <c r="C215" s="355" t="str">
        <f t="shared" si="1177"/>
        <v>Consumo</v>
      </c>
      <c r="D215" s="355" t="s">
        <v>53</v>
      </c>
      <c r="E215" s="18" t="s">
        <v>38</v>
      </c>
      <c r="F215" s="355" t="s">
        <v>53</v>
      </c>
      <c r="G215" s="357" t="str">
        <f t="shared" si="1178"/>
        <v>Geral</v>
      </c>
      <c r="H215" s="255" t="s">
        <v>377</v>
      </c>
      <c r="I215" s="356" t="str">
        <f t="shared" si="1112"/>
        <v>Sistema</v>
      </c>
      <c r="K215" s="318" t="s">
        <v>2968</v>
      </c>
      <c r="L215" s="749" t="str">
        <f>IF(Padrões!JF156&lt;&gt;"",Padrões!JF156,"")</f>
        <v/>
      </c>
      <c r="M215" s="358" t="str">
        <f t="shared" si="1113"/>
        <v>?</v>
      </c>
      <c r="N215" s="359">
        <f>Padrões!JI156</f>
        <v>0</v>
      </c>
      <c r="O215" s="381" t="str">
        <f t="shared" si="1114"/>
        <v>?</v>
      </c>
      <c r="P215" s="360">
        <f t="shared" si="1115"/>
        <v>0.12</v>
      </c>
      <c r="Q215" s="360" t="str">
        <f t="shared" si="1116"/>
        <v>?</v>
      </c>
      <c r="R215" s="360">
        <f t="shared" si="1117"/>
        <v>0</v>
      </c>
      <c r="S215" s="361">
        <f t="shared" si="1118"/>
        <v>0</v>
      </c>
      <c r="T215" s="362">
        <f t="shared" si="1119"/>
        <v>0</v>
      </c>
      <c r="U215" s="53" t="str" cm="1">
        <f t="array" ref="U215">IFERROR(IF(I215&lt;&gt;"Serviço",IF(AND(mlookup(tbl_DIFAL_data,UFdestino,tbl_DIFAL_UF,O215,tbl_DIFAL_NCM)&lt;&gt;"",C215="Consumo"),"Sim",""),""),"?")</f>
        <v>?</v>
      </c>
      <c r="V215" s="363" t="str">
        <f>IFERROR(IF(I215&lt;&gt;"Serviço",IF(AND(D215="Não",mlookup(tbl_ST_data,UFdestino,tbl_ST_UF,O215,tbl_ST_NCM)&lt;&gt;"",C215="Revenda",CD215="Não"),"Sim",""),""),"?")</f>
        <v>?</v>
      </c>
      <c r="W215" s="364">
        <f t="shared" si="1120"/>
        <v>0</v>
      </c>
      <c r="X215" s="365">
        <f>IF(V215="Sim",mlookup(tbl_ST_data,UFdestino,tbl_ST_UF,O215,tbl_ST_NCM),0)</f>
        <v>0</v>
      </c>
      <c r="Z215" s="355">
        <f t="shared" si="1121"/>
        <v>0</v>
      </c>
      <c r="AA215" s="355">
        <f t="shared" si="1107"/>
        <v>0</v>
      </c>
      <c r="AC215" s="366">
        <f t="shared" si="1179"/>
        <v>1.31243473968765E-2</v>
      </c>
      <c r="AD215" s="366">
        <f t="shared" si="1122"/>
        <v>0.15</v>
      </c>
      <c r="AF215" s="355">
        <f t="shared" si="1123"/>
        <v>0</v>
      </c>
      <c r="AG215" s="355">
        <f t="shared" si="1124"/>
        <v>0</v>
      </c>
      <c r="AI215" s="355">
        <f t="shared" si="1125"/>
        <v>0</v>
      </c>
      <c r="AK215" s="366">
        <f t="shared" si="1180"/>
        <v>0</v>
      </c>
      <c r="AL215" s="355">
        <f t="shared" si="1108"/>
        <v>0</v>
      </c>
      <c r="AM215" s="355">
        <f t="shared" si="1109"/>
        <v>0</v>
      </c>
      <c r="AO215" s="355" t="b">
        <f t="shared" si="1126"/>
        <v>1</v>
      </c>
      <c r="AQ215" s="367">
        <f t="shared" si="1127"/>
        <v>0</v>
      </c>
      <c r="AR215" s="367">
        <f t="shared" si="1110"/>
        <v>0</v>
      </c>
      <c r="AT215" s="367">
        <f t="shared" si="1128"/>
        <v>0</v>
      </c>
      <c r="AU215" s="367">
        <f t="shared" si="1129"/>
        <v>0</v>
      </c>
      <c r="AW215" s="367">
        <f t="shared" si="1130"/>
        <v>0</v>
      </c>
      <c r="AX215" s="367">
        <f t="shared" si="1131"/>
        <v>0</v>
      </c>
      <c r="AY215" s="367">
        <f t="shared" si="1132"/>
        <v>0</v>
      </c>
      <c r="AZ215" s="367">
        <f t="shared" si="1133"/>
        <v>0</v>
      </c>
      <c r="BB215" s="355">
        <f t="shared" si="1134"/>
        <v>0</v>
      </c>
      <c r="BC215" s="355">
        <f t="shared" si="1135"/>
        <v>0</v>
      </c>
      <c r="BD215" s="355">
        <f t="shared" si="1136"/>
        <v>0</v>
      </c>
      <c r="BE215" s="355">
        <f t="shared" si="1137"/>
        <v>0</v>
      </c>
      <c r="BF215" s="355">
        <f t="shared" si="1138"/>
        <v>0</v>
      </c>
      <c r="BH215" s="368">
        <f t="shared" si="1139"/>
        <v>0</v>
      </c>
      <c r="BJ215" s="369">
        <f t="shared" si="1140"/>
        <v>-0.12</v>
      </c>
      <c r="BK215" s="355">
        <f t="shared" si="1141"/>
        <v>0</v>
      </c>
      <c r="BL215" s="355">
        <f t="shared" si="1142"/>
        <v>0</v>
      </c>
      <c r="BN215" s="366">
        <f t="shared" si="1143"/>
        <v>0</v>
      </c>
      <c r="BO215" s="355">
        <f t="shared" si="1144"/>
        <v>0</v>
      </c>
      <c r="BP215" s="355">
        <f t="shared" si="1145"/>
        <v>0</v>
      </c>
      <c r="BQ215" s="355">
        <f t="shared" si="1146"/>
        <v>0</v>
      </c>
      <c r="BS215" s="367">
        <f t="shared" si="1147"/>
        <v>0</v>
      </c>
      <c r="BT215" s="355">
        <f t="shared" si="1148"/>
        <v>0</v>
      </c>
      <c r="BU215" s="355" t="b">
        <f t="shared" si="1111"/>
        <v>1</v>
      </c>
      <c r="BW215" s="355" t="str">
        <f t="shared" si="1149"/>
        <v/>
      </c>
      <c r="BX215" s="355">
        <f t="shared" si="1150"/>
        <v>0</v>
      </c>
      <c r="BY215" s="356">
        <f t="shared" si="1181"/>
        <v>0</v>
      </c>
      <c r="BZ215" s="355">
        <f t="shared" si="1151"/>
        <v>0</v>
      </c>
      <c r="CB215" s="102" t="str">
        <f t="shared" si="1152"/>
        <v>?</v>
      </c>
      <c r="CD215" s="355" t="str">
        <f t="shared" si="1153"/>
        <v>Não</v>
      </c>
      <c r="CE215" s="368">
        <f>ifzero(mlookup(tbl_ICMSinterest_data,UFdestino,tbl_ICMSinterest_ufdest,UForigem,tbl_ICMSinterest_uforig))</f>
        <v>0.12</v>
      </c>
      <c r="CF215" s="368">
        <f>IF(N215&gt;0,IF(I215&lt;&gt;"Serviço",ifzero(mlookup(tbl_ICMSinterno_data,UForigem,tbl_ICMSinterno_UF,O215,tbl_ICMSinterno_NCM),mlookup(tbl_ICMSinterest_data,UForigem,tbl_ICMSinterest_ufdest,UForigem,tbl_ICMSinterest_uforig)),""),0)</f>
        <v>0</v>
      </c>
      <c r="CG215" s="368">
        <f>IF(N215&gt;0,IF(I215&lt;&gt;"Serviço",ifzero(mlookup(tbl_ICMSinterno_data,UFdestino,tbl_ICMSinterno_UF,O215,tbl_ICMSinterno_NCM),mlookup(tbl_ICMSinterest_data,UFdestino,tbl_ICMSinterest_ufdest,UFdestino,tbl_ICMSinterest_uforig)),""),0)</f>
        <v>0</v>
      </c>
      <c r="CI215" s="355">
        <f t="shared" si="1154"/>
        <v>0</v>
      </c>
      <c r="CJ215" s="355">
        <f t="shared" si="1155"/>
        <v>0</v>
      </c>
      <c r="CK215" s="355">
        <f t="shared" si="1156"/>
        <v>0</v>
      </c>
      <c r="CL215" s="355">
        <f t="shared" si="1157"/>
        <v>0</v>
      </c>
      <c r="CN215" s="370">
        <f t="shared" si="1158"/>
        <v>1540</v>
      </c>
      <c r="CO215" s="355">
        <f t="shared" si="1159"/>
        <v>0</v>
      </c>
      <c r="CQ215" s="355" t="b">
        <f t="shared" si="1160"/>
        <v>0</v>
      </c>
      <c r="CR215" s="355" t="b">
        <f t="shared" si="1161"/>
        <v>1</v>
      </c>
      <c r="CS215" s="355" t="b">
        <f t="shared" si="1162"/>
        <v>0</v>
      </c>
      <c r="CU215" s="2">
        <f t="shared" si="1163"/>
        <v>0</v>
      </c>
      <c r="CV215" s="102">
        <f t="shared" si="1164"/>
        <v>0</v>
      </c>
      <c r="CW215" s="102">
        <f t="shared" si="1098"/>
        <v>0</v>
      </c>
      <c r="CX215" s="102">
        <f t="shared" si="1165"/>
        <v>0</v>
      </c>
      <c r="CY215" s="290">
        <f t="shared" si="1166"/>
        <v>0</v>
      </c>
      <c r="CZ215" s="102">
        <f t="shared" si="1100"/>
        <v>0</v>
      </c>
      <c r="DA215" s="290">
        <f t="shared" si="1167"/>
        <v>0</v>
      </c>
      <c r="DB215" s="102">
        <f t="shared" si="1101"/>
        <v>0</v>
      </c>
      <c r="DC215" s="290">
        <f t="shared" si="1168"/>
        <v>0</v>
      </c>
      <c r="DD215" s="102">
        <f t="shared" si="1099"/>
        <v>0</v>
      </c>
      <c r="DE215" s="592">
        <f>IF(D215="Sim",HLOOKUP($DH$5,Parametrização!$G$2:$H$4,2,FALSE),0)</f>
        <v>0</v>
      </c>
      <c r="DF215" s="102">
        <f t="shared" si="1102"/>
        <v>0</v>
      </c>
      <c r="DG215" s="592">
        <f>IF(D215="Sim",HLOOKUP($DH$5,Parametrização!$G$2:$H$4,3,FALSE),0)</f>
        <v>0</v>
      </c>
      <c r="DH215" s="102">
        <f t="shared" si="1103"/>
        <v>0</v>
      </c>
      <c r="DI215" s="102">
        <f t="shared" si="1104"/>
        <v>0</v>
      </c>
      <c r="DK215" s="3" t="str">
        <f t="shared" si="1169"/>
        <v>NA</v>
      </c>
      <c r="DL215" s="2" t="str">
        <f t="shared" si="1170"/>
        <v>NA</v>
      </c>
      <c r="DM215" s="3" t="str">
        <f t="shared" si="1171"/>
        <v>NA</v>
      </c>
      <c r="DN215" s="9" t="str">
        <f t="shared" si="1172"/>
        <v>NA</v>
      </c>
      <c r="DO215" s="637" t="str">
        <f t="shared" si="1173"/>
        <v>NA</v>
      </c>
      <c r="DP215" s="637"/>
      <c r="DQ215" s="3" t="str">
        <f t="shared" si="1174"/>
        <v>NA</v>
      </c>
      <c r="DR215" s="2" t="str">
        <f t="shared" si="1175"/>
        <v>NA</v>
      </c>
      <c r="DS215" s="3" t="str">
        <f t="shared" si="1176"/>
        <v>NA</v>
      </c>
      <c r="DT215" s="9" t="str">
        <f t="shared" si="1105"/>
        <v>NA</v>
      </c>
      <c r="DU215" s="637" t="str">
        <f t="shared" si="1106"/>
        <v>NA</v>
      </c>
      <c r="DV215" s="637"/>
      <c r="DW215" s="682"/>
      <c r="DX215" s="682"/>
      <c r="DY215" s="682"/>
      <c r="DZ215" s="637"/>
      <c r="EA215" s="643"/>
    </row>
    <row r="216" spans="1:131" s="355" customFormat="1" ht="20.100000000000001" customHeight="1" outlineLevel="1" x14ac:dyDescent="0.25">
      <c r="A216" s="356"/>
      <c r="B216" s="355" t="s">
        <v>268</v>
      </c>
      <c r="C216" s="355" t="str">
        <f t="shared" si="1177"/>
        <v>Consumo</v>
      </c>
      <c r="D216" s="355" t="s">
        <v>53</v>
      </c>
      <c r="E216" s="18" t="s">
        <v>38</v>
      </c>
      <c r="F216" s="355" t="s">
        <v>53</v>
      </c>
      <c r="G216" s="357" t="str">
        <f t="shared" si="1178"/>
        <v>Geral</v>
      </c>
      <c r="H216" s="255" t="s">
        <v>377</v>
      </c>
      <c r="I216" s="356" t="str">
        <f t="shared" si="1112"/>
        <v>Sistema</v>
      </c>
      <c r="K216" s="318" t="s">
        <v>2969</v>
      </c>
      <c r="L216" s="749" t="str">
        <f>IF(Padrões!JF157&lt;&gt;"",Padrões!JF157,"")</f>
        <v/>
      </c>
      <c r="M216" s="358" t="str">
        <f t="shared" si="1113"/>
        <v>?</v>
      </c>
      <c r="N216" s="359">
        <f>Padrões!JI157</f>
        <v>0</v>
      </c>
      <c r="O216" s="381" t="str">
        <f t="shared" si="1114"/>
        <v>?</v>
      </c>
      <c r="P216" s="360">
        <f t="shared" si="1115"/>
        <v>0.12</v>
      </c>
      <c r="Q216" s="360" t="str">
        <f t="shared" si="1116"/>
        <v>?</v>
      </c>
      <c r="R216" s="360">
        <f t="shared" si="1117"/>
        <v>0</v>
      </c>
      <c r="S216" s="361">
        <f t="shared" si="1118"/>
        <v>0</v>
      </c>
      <c r="T216" s="362">
        <f t="shared" si="1119"/>
        <v>0</v>
      </c>
      <c r="U216" s="53" t="str" cm="1">
        <f t="array" ref="U216">IFERROR(IF(I216&lt;&gt;"Serviço",IF(AND(mlookup(tbl_DIFAL_data,UFdestino,tbl_DIFAL_UF,O216,tbl_DIFAL_NCM)&lt;&gt;"",C216="Consumo"),"Sim",""),""),"?")</f>
        <v>?</v>
      </c>
      <c r="V216" s="363" t="str">
        <f>IFERROR(IF(I216&lt;&gt;"Serviço",IF(AND(D216="Não",mlookup(tbl_ST_data,UFdestino,tbl_ST_UF,O216,tbl_ST_NCM)&lt;&gt;"",C216="Revenda",CD216="Não"),"Sim",""),""),"?")</f>
        <v>?</v>
      </c>
      <c r="W216" s="364">
        <f t="shared" si="1120"/>
        <v>0</v>
      </c>
      <c r="X216" s="365">
        <f>IF(V216="Sim",mlookup(tbl_ST_data,UFdestino,tbl_ST_UF,O216,tbl_ST_NCM),0)</f>
        <v>0</v>
      </c>
      <c r="Z216" s="355">
        <f t="shared" si="1121"/>
        <v>0</v>
      </c>
      <c r="AA216" s="355">
        <f t="shared" si="1107"/>
        <v>0</v>
      </c>
      <c r="AC216" s="366">
        <f t="shared" si="1179"/>
        <v>1.31243473968765E-2</v>
      </c>
      <c r="AD216" s="366">
        <f t="shared" si="1122"/>
        <v>0.15</v>
      </c>
      <c r="AF216" s="355">
        <f t="shared" si="1123"/>
        <v>0</v>
      </c>
      <c r="AG216" s="355">
        <f t="shared" si="1124"/>
        <v>0</v>
      </c>
      <c r="AI216" s="355">
        <f t="shared" si="1125"/>
        <v>0</v>
      </c>
      <c r="AK216" s="366">
        <f t="shared" si="1180"/>
        <v>0</v>
      </c>
      <c r="AL216" s="355">
        <f t="shared" si="1108"/>
        <v>0</v>
      </c>
      <c r="AM216" s="355">
        <f t="shared" si="1109"/>
        <v>0</v>
      </c>
      <c r="AO216" s="355" t="b">
        <f t="shared" si="1126"/>
        <v>1</v>
      </c>
      <c r="AQ216" s="367">
        <f t="shared" si="1127"/>
        <v>0</v>
      </c>
      <c r="AR216" s="367">
        <f t="shared" si="1110"/>
        <v>0</v>
      </c>
      <c r="AT216" s="367">
        <f t="shared" si="1128"/>
        <v>0</v>
      </c>
      <c r="AU216" s="367">
        <f t="shared" si="1129"/>
        <v>0</v>
      </c>
      <c r="AW216" s="367">
        <f t="shared" si="1130"/>
        <v>0</v>
      </c>
      <c r="AX216" s="367">
        <f t="shared" si="1131"/>
        <v>0</v>
      </c>
      <c r="AY216" s="367">
        <f t="shared" si="1132"/>
        <v>0</v>
      </c>
      <c r="AZ216" s="367">
        <f t="shared" si="1133"/>
        <v>0</v>
      </c>
      <c r="BB216" s="355">
        <f t="shared" si="1134"/>
        <v>0</v>
      </c>
      <c r="BC216" s="355">
        <f t="shared" si="1135"/>
        <v>0</v>
      </c>
      <c r="BD216" s="355">
        <f t="shared" si="1136"/>
        <v>0</v>
      </c>
      <c r="BE216" s="355">
        <f t="shared" si="1137"/>
        <v>0</v>
      </c>
      <c r="BF216" s="355">
        <f t="shared" si="1138"/>
        <v>0</v>
      </c>
      <c r="BH216" s="368">
        <f t="shared" si="1139"/>
        <v>0</v>
      </c>
      <c r="BJ216" s="369">
        <f t="shared" si="1140"/>
        <v>-0.12</v>
      </c>
      <c r="BK216" s="355">
        <f t="shared" si="1141"/>
        <v>0</v>
      </c>
      <c r="BL216" s="355">
        <f t="shared" si="1142"/>
        <v>0</v>
      </c>
      <c r="BN216" s="366">
        <f t="shared" si="1143"/>
        <v>0</v>
      </c>
      <c r="BO216" s="355">
        <f t="shared" si="1144"/>
        <v>0</v>
      </c>
      <c r="BP216" s="355">
        <f t="shared" si="1145"/>
        <v>0</v>
      </c>
      <c r="BQ216" s="355">
        <f t="shared" si="1146"/>
        <v>0</v>
      </c>
      <c r="BS216" s="367">
        <f t="shared" si="1147"/>
        <v>0</v>
      </c>
      <c r="BT216" s="355">
        <f t="shared" si="1148"/>
        <v>0</v>
      </c>
      <c r="BU216" s="355" t="b">
        <f t="shared" si="1111"/>
        <v>1</v>
      </c>
      <c r="BW216" s="355" t="str">
        <f t="shared" si="1149"/>
        <v/>
      </c>
      <c r="BX216" s="355">
        <f t="shared" si="1150"/>
        <v>0</v>
      </c>
      <c r="BY216" s="356">
        <f t="shared" si="1181"/>
        <v>0</v>
      </c>
      <c r="BZ216" s="355">
        <f t="shared" si="1151"/>
        <v>0</v>
      </c>
      <c r="CB216" s="102" t="str">
        <f t="shared" si="1152"/>
        <v>?</v>
      </c>
      <c r="CD216" s="355" t="str">
        <f t="shared" si="1153"/>
        <v>Não</v>
      </c>
      <c r="CE216" s="368">
        <f>ifzero(mlookup(tbl_ICMSinterest_data,UFdestino,tbl_ICMSinterest_ufdest,UForigem,tbl_ICMSinterest_uforig))</f>
        <v>0.12</v>
      </c>
      <c r="CF216" s="368">
        <f>IF(N216&gt;0,IF(I216&lt;&gt;"Serviço",ifzero(mlookup(tbl_ICMSinterno_data,UForigem,tbl_ICMSinterno_UF,O216,tbl_ICMSinterno_NCM),mlookup(tbl_ICMSinterest_data,UForigem,tbl_ICMSinterest_ufdest,UForigem,tbl_ICMSinterest_uforig)),""),0)</f>
        <v>0</v>
      </c>
      <c r="CG216" s="368">
        <f>IF(N216&gt;0,IF(I216&lt;&gt;"Serviço",ifzero(mlookup(tbl_ICMSinterno_data,UFdestino,tbl_ICMSinterno_UF,O216,tbl_ICMSinterno_NCM),mlookup(tbl_ICMSinterest_data,UFdestino,tbl_ICMSinterest_ufdest,UFdestino,tbl_ICMSinterest_uforig)),""),0)</f>
        <v>0</v>
      </c>
      <c r="CI216" s="355">
        <f t="shared" si="1154"/>
        <v>0</v>
      </c>
      <c r="CJ216" s="355">
        <f t="shared" si="1155"/>
        <v>0</v>
      </c>
      <c r="CK216" s="355">
        <f t="shared" si="1156"/>
        <v>0</v>
      </c>
      <c r="CL216" s="355">
        <f t="shared" si="1157"/>
        <v>0</v>
      </c>
      <c r="CN216" s="370">
        <f t="shared" si="1158"/>
        <v>1540</v>
      </c>
      <c r="CO216" s="355">
        <f t="shared" si="1159"/>
        <v>0</v>
      </c>
      <c r="CQ216" s="355" t="b">
        <f t="shared" si="1160"/>
        <v>0</v>
      </c>
      <c r="CR216" s="355" t="b">
        <f t="shared" si="1161"/>
        <v>1</v>
      </c>
      <c r="CS216" s="355" t="b">
        <f t="shared" si="1162"/>
        <v>0</v>
      </c>
      <c r="CU216" s="2">
        <f t="shared" si="1163"/>
        <v>0</v>
      </c>
      <c r="CV216" s="102">
        <f t="shared" si="1164"/>
        <v>0</v>
      </c>
      <c r="CW216" s="102">
        <f t="shared" si="1098"/>
        <v>0</v>
      </c>
      <c r="CX216" s="102">
        <f t="shared" si="1165"/>
        <v>0</v>
      </c>
      <c r="CY216" s="290">
        <f t="shared" si="1166"/>
        <v>0</v>
      </c>
      <c r="CZ216" s="102">
        <f t="shared" si="1100"/>
        <v>0</v>
      </c>
      <c r="DA216" s="290">
        <f t="shared" si="1167"/>
        <v>0</v>
      </c>
      <c r="DB216" s="102">
        <f t="shared" si="1101"/>
        <v>0</v>
      </c>
      <c r="DC216" s="290">
        <f t="shared" si="1168"/>
        <v>0</v>
      </c>
      <c r="DD216" s="102">
        <f t="shared" si="1099"/>
        <v>0</v>
      </c>
      <c r="DE216" s="592">
        <f>IF(D216="Sim",HLOOKUP($DH$5,Parametrização!$G$2:$H$4,2,FALSE),0)</f>
        <v>0</v>
      </c>
      <c r="DF216" s="102">
        <f t="shared" si="1102"/>
        <v>0</v>
      </c>
      <c r="DG216" s="592">
        <f>IF(D216="Sim",HLOOKUP($DH$5,Parametrização!$G$2:$H$4,3,FALSE),0)</f>
        <v>0</v>
      </c>
      <c r="DH216" s="102">
        <f t="shared" si="1103"/>
        <v>0</v>
      </c>
      <c r="DI216" s="102">
        <f t="shared" si="1104"/>
        <v>0</v>
      </c>
      <c r="DK216" s="3" t="str">
        <f t="shared" si="1169"/>
        <v>NA</v>
      </c>
      <c r="DL216" s="2" t="str">
        <f t="shared" si="1170"/>
        <v>NA</v>
      </c>
      <c r="DM216" s="3" t="str">
        <f t="shared" si="1171"/>
        <v>NA</v>
      </c>
      <c r="DN216" s="9" t="str">
        <f t="shared" si="1172"/>
        <v>NA</v>
      </c>
      <c r="DO216" s="637" t="str">
        <f t="shared" si="1173"/>
        <v>NA</v>
      </c>
      <c r="DP216" s="637"/>
      <c r="DQ216" s="3" t="str">
        <f t="shared" si="1174"/>
        <v>NA</v>
      </c>
      <c r="DR216" s="2" t="str">
        <f t="shared" si="1175"/>
        <v>NA</v>
      </c>
      <c r="DS216" s="3" t="str">
        <f t="shared" si="1176"/>
        <v>NA</v>
      </c>
      <c r="DT216" s="9" t="str">
        <f t="shared" si="1105"/>
        <v>NA</v>
      </c>
      <c r="DU216" s="637" t="str">
        <f t="shared" si="1106"/>
        <v>NA</v>
      </c>
      <c r="DV216" s="637"/>
      <c r="DW216" s="682"/>
      <c r="DX216" s="682"/>
      <c r="DY216" s="682"/>
      <c r="DZ216" s="637"/>
      <c r="EA216" s="643"/>
    </row>
    <row r="217" spans="1:131" s="355" customFormat="1" ht="20.100000000000001" customHeight="1" outlineLevel="1" x14ac:dyDescent="0.25">
      <c r="A217" s="356"/>
      <c r="B217" s="355" t="s">
        <v>268</v>
      </c>
      <c r="C217" s="355" t="str">
        <f t="shared" si="1177"/>
        <v>Consumo</v>
      </c>
      <c r="D217" s="355" t="s">
        <v>53</v>
      </c>
      <c r="E217" s="18" t="s">
        <v>38</v>
      </c>
      <c r="F217" s="355" t="s">
        <v>53</v>
      </c>
      <c r="G217" s="357" t="str">
        <f t="shared" si="1178"/>
        <v>Geral</v>
      </c>
      <c r="H217" s="255" t="s">
        <v>377</v>
      </c>
      <c r="I217" s="356" t="str">
        <f t="shared" si="1112"/>
        <v>Sistema</v>
      </c>
      <c r="K217" s="318" t="s">
        <v>2970</v>
      </c>
      <c r="L217" s="749" t="str">
        <f>IF(Padrões!JF158&lt;&gt;"",Padrões!JF158,"")</f>
        <v/>
      </c>
      <c r="M217" s="358" t="str">
        <f t="shared" si="1113"/>
        <v>?</v>
      </c>
      <c r="N217" s="359">
        <f>Padrões!JI158</f>
        <v>0</v>
      </c>
      <c r="O217" s="381" t="str">
        <f t="shared" si="1114"/>
        <v>?</v>
      </c>
      <c r="P217" s="360">
        <f t="shared" si="1115"/>
        <v>0.12</v>
      </c>
      <c r="Q217" s="360" t="str">
        <f t="shared" si="1116"/>
        <v>?</v>
      </c>
      <c r="R217" s="360">
        <f t="shared" si="1117"/>
        <v>0</v>
      </c>
      <c r="S217" s="361">
        <f t="shared" si="1118"/>
        <v>0</v>
      </c>
      <c r="T217" s="362">
        <f t="shared" si="1119"/>
        <v>0</v>
      </c>
      <c r="U217" s="53" t="str" cm="1">
        <f t="array" ref="U217">IFERROR(IF(I217&lt;&gt;"Serviço",IF(AND(mlookup(tbl_DIFAL_data,UFdestino,tbl_DIFAL_UF,O217,tbl_DIFAL_NCM)&lt;&gt;"",C217="Consumo"),"Sim",""),""),"?")</f>
        <v>?</v>
      </c>
      <c r="V217" s="363" t="str">
        <f>IFERROR(IF(I217&lt;&gt;"Serviço",IF(AND(D217="Não",mlookup(tbl_ST_data,UFdestino,tbl_ST_UF,O217,tbl_ST_NCM)&lt;&gt;"",C217="Revenda",CD217="Não"),"Sim",""),""),"?")</f>
        <v>?</v>
      </c>
      <c r="W217" s="364">
        <f t="shared" si="1120"/>
        <v>0</v>
      </c>
      <c r="X217" s="365">
        <f>IF(V217="Sim",mlookup(tbl_ST_data,UFdestino,tbl_ST_UF,O217,tbl_ST_NCM),0)</f>
        <v>0</v>
      </c>
      <c r="Z217" s="355">
        <f t="shared" si="1121"/>
        <v>0</v>
      </c>
      <c r="AA217" s="355">
        <f t="shared" si="1107"/>
        <v>0</v>
      </c>
      <c r="AC217" s="366">
        <f t="shared" si="1179"/>
        <v>1.31243473968765E-2</v>
      </c>
      <c r="AD217" s="366">
        <f t="shared" si="1122"/>
        <v>0.15</v>
      </c>
      <c r="AF217" s="355">
        <f t="shared" si="1123"/>
        <v>0</v>
      </c>
      <c r="AG217" s="355">
        <f t="shared" si="1124"/>
        <v>0</v>
      </c>
      <c r="AI217" s="355">
        <f t="shared" si="1125"/>
        <v>0</v>
      </c>
      <c r="AK217" s="366">
        <f t="shared" si="1180"/>
        <v>0</v>
      </c>
      <c r="AL217" s="355">
        <f t="shared" si="1108"/>
        <v>0</v>
      </c>
      <c r="AM217" s="355">
        <f t="shared" si="1109"/>
        <v>0</v>
      </c>
      <c r="AO217" s="355" t="b">
        <f t="shared" si="1126"/>
        <v>1</v>
      </c>
      <c r="AQ217" s="367">
        <f t="shared" si="1127"/>
        <v>0</v>
      </c>
      <c r="AR217" s="367">
        <f t="shared" si="1110"/>
        <v>0</v>
      </c>
      <c r="AT217" s="367">
        <f t="shared" si="1128"/>
        <v>0</v>
      </c>
      <c r="AU217" s="367">
        <f t="shared" si="1129"/>
        <v>0</v>
      </c>
      <c r="AW217" s="367">
        <f t="shared" si="1130"/>
        <v>0</v>
      </c>
      <c r="AX217" s="367">
        <f t="shared" si="1131"/>
        <v>0</v>
      </c>
      <c r="AY217" s="367">
        <f t="shared" si="1132"/>
        <v>0</v>
      </c>
      <c r="AZ217" s="367">
        <f t="shared" si="1133"/>
        <v>0</v>
      </c>
      <c r="BB217" s="355">
        <f t="shared" si="1134"/>
        <v>0</v>
      </c>
      <c r="BC217" s="355">
        <f t="shared" si="1135"/>
        <v>0</v>
      </c>
      <c r="BD217" s="355">
        <f t="shared" si="1136"/>
        <v>0</v>
      </c>
      <c r="BE217" s="355">
        <f t="shared" si="1137"/>
        <v>0</v>
      </c>
      <c r="BF217" s="355">
        <f t="shared" si="1138"/>
        <v>0</v>
      </c>
      <c r="BH217" s="368">
        <f t="shared" si="1139"/>
        <v>0</v>
      </c>
      <c r="BJ217" s="369">
        <f t="shared" si="1140"/>
        <v>-0.12</v>
      </c>
      <c r="BK217" s="355">
        <f t="shared" si="1141"/>
        <v>0</v>
      </c>
      <c r="BL217" s="355">
        <f t="shared" si="1142"/>
        <v>0</v>
      </c>
      <c r="BN217" s="366">
        <f t="shared" si="1143"/>
        <v>0</v>
      </c>
      <c r="BO217" s="355">
        <f t="shared" si="1144"/>
        <v>0</v>
      </c>
      <c r="BP217" s="355">
        <f t="shared" si="1145"/>
        <v>0</v>
      </c>
      <c r="BQ217" s="355">
        <f t="shared" si="1146"/>
        <v>0</v>
      </c>
      <c r="BS217" s="367">
        <f t="shared" si="1147"/>
        <v>0</v>
      </c>
      <c r="BT217" s="355">
        <f t="shared" si="1148"/>
        <v>0</v>
      </c>
      <c r="BU217" s="355" t="b">
        <f t="shared" si="1111"/>
        <v>1</v>
      </c>
      <c r="BW217" s="355" t="str">
        <f t="shared" si="1149"/>
        <v/>
      </c>
      <c r="BX217" s="355">
        <f t="shared" si="1150"/>
        <v>0</v>
      </c>
      <c r="BY217" s="356">
        <f t="shared" si="1181"/>
        <v>0</v>
      </c>
      <c r="BZ217" s="355">
        <f t="shared" si="1151"/>
        <v>0</v>
      </c>
      <c r="CB217" s="102" t="str">
        <f t="shared" si="1152"/>
        <v>?</v>
      </c>
      <c r="CD217" s="355" t="str">
        <f t="shared" si="1153"/>
        <v>Não</v>
      </c>
      <c r="CE217" s="368">
        <f>ifzero(mlookup(tbl_ICMSinterest_data,UFdestino,tbl_ICMSinterest_ufdest,UForigem,tbl_ICMSinterest_uforig))</f>
        <v>0.12</v>
      </c>
      <c r="CF217" s="368">
        <f>IF(N217&gt;0,IF(I217&lt;&gt;"Serviço",ifzero(mlookup(tbl_ICMSinterno_data,UForigem,tbl_ICMSinterno_UF,O217,tbl_ICMSinterno_NCM),mlookup(tbl_ICMSinterest_data,UForigem,tbl_ICMSinterest_ufdest,UForigem,tbl_ICMSinterest_uforig)),""),0)</f>
        <v>0</v>
      </c>
      <c r="CG217" s="368">
        <f>IF(N217&gt;0,IF(I217&lt;&gt;"Serviço",ifzero(mlookup(tbl_ICMSinterno_data,UFdestino,tbl_ICMSinterno_UF,O217,tbl_ICMSinterno_NCM),mlookup(tbl_ICMSinterest_data,UFdestino,tbl_ICMSinterest_ufdest,UFdestino,tbl_ICMSinterest_uforig)),""),0)</f>
        <v>0</v>
      </c>
      <c r="CI217" s="355">
        <f t="shared" si="1154"/>
        <v>0</v>
      </c>
      <c r="CJ217" s="355">
        <f t="shared" si="1155"/>
        <v>0</v>
      </c>
      <c r="CK217" s="355">
        <f t="shared" si="1156"/>
        <v>0</v>
      </c>
      <c r="CL217" s="355">
        <f t="shared" si="1157"/>
        <v>0</v>
      </c>
      <c r="CN217" s="370">
        <f t="shared" si="1158"/>
        <v>1540</v>
      </c>
      <c r="CO217" s="355">
        <f t="shared" si="1159"/>
        <v>0</v>
      </c>
      <c r="CQ217" s="355" t="b">
        <f t="shared" si="1160"/>
        <v>0</v>
      </c>
      <c r="CR217" s="355" t="b">
        <f t="shared" si="1161"/>
        <v>1</v>
      </c>
      <c r="CS217" s="355" t="b">
        <f t="shared" si="1162"/>
        <v>0</v>
      </c>
      <c r="CU217" s="2">
        <f t="shared" si="1163"/>
        <v>0</v>
      </c>
      <c r="CV217" s="102">
        <f t="shared" si="1164"/>
        <v>0</v>
      </c>
      <c r="CW217" s="102">
        <f t="shared" si="1098"/>
        <v>0</v>
      </c>
      <c r="CX217" s="102">
        <f t="shared" si="1165"/>
        <v>0</v>
      </c>
      <c r="CY217" s="290">
        <f t="shared" si="1166"/>
        <v>0</v>
      </c>
      <c r="CZ217" s="102">
        <f t="shared" si="1100"/>
        <v>0</v>
      </c>
      <c r="DA217" s="290">
        <f t="shared" si="1167"/>
        <v>0</v>
      </c>
      <c r="DB217" s="102">
        <f t="shared" si="1101"/>
        <v>0</v>
      </c>
      <c r="DC217" s="290">
        <f t="shared" si="1168"/>
        <v>0</v>
      </c>
      <c r="DD217" s="102">
        <f t="shared" si="1099"/>
        <v>0</v>
      </c>
      <c r="DE217" s="592">
        <f>IF(D217="Sim",HLOOKUP($DH$5,Parametrização!$G$2:$H$4,2,FALSE),0)</f>
        <v>0</v>
      </c>
      <c r="DF217" s="102">
        <f t="shared" si="1102"/>
        <v>0</v>
      </c>
      <c r="DG217" s="592">
        <f>IF(D217="Sim",HLOOKUP($DH$5,Parametrização!$G$2:$H$4,3,FALSE),0)</f>
        <v>0</v>
      </c>
      <c r="DH217" s="102">
        <f t="shared" si="1103"/>
        <v>0</v>
      </c>
      <c r="DI217" s="102">
        <f t="shared" si="1104"/>
        <v>0</v>
      </c>
      <c r="DK217" s="3" t="str">
        <f t="shared" si="1169"/>
        <v>NA</v>
      </c>
      <c r="DL217" s="2" t="str">
        <f t="shared" si="1170"/>
        <v>NA</v>
      </c>
      <c r="DM217" s="3" t="str">
        <f t="shared" si="1171"/>
        <v>NA</v>
      </c>
      <c r="DN217" s="9" t="str">
        <f t="shared" si="1172"/>
        <v>NA</v>
      </c>
      <c r="DO217" s="637" t="str">
        <f t="shared" si="1173"/>
        <v>NA</v>
      </c>
      <c r="DP217" s="637"/>
      <c r="DQ217" s="3" t="str">
        <f t="shared" si="1174"/>
        <v>NA</v>
      </c>
      <c r="DR217" s="2" t="str">
        <f t="shared" si="1175"/>
        <v>NA</v>
      </c>
      <c r="DS217" s="3" t="str">
        <f t="shared" si="1176"/>
        <v>NA</v>
      </c>
      <c r="DT217" s="9" t="str">
        <f t="shared" si="1105"/>
        <v>NA</v>
      </c>
      <c r="DU217" s="637" t="str">
        <f t="shared" si="1106"/>
        <v>NA</v>
      </c>
      <c r="DV217" s="637"/>
      <c r="DW217" s="682"/>
      <c r="DX217" s="682"/>
      <c r="DY217" s="682"/>
      <c r="DZ217" s="637"/>
      <c r="EA217" s="643"/>
    </row>
    <row r="218" spans="1:131" s="355" customFormat="1" ht="20.100000000000001" customHeight="1" outlineLevel="1" x14ac:dyDescent="0.25">
      <c r="A218" s="356"/>
      <c r="B218" s="355" t="s">
        <v>268</v>
      </c>
      <c r="C218" s="355" t="str">
        <f t="shared" si="1177"/>
        <v>Consumo</v>
      </c>
      <c r="D218" s="355" t="s">
        <v>53</v>
      </c>
      <c r="E218" s="18" t="s">
        <v>38</v>
      </c>
      <c r="F218" s="355" t="s">
        <v>53</v>
      </c>
      <c r="G218" s="357" t="str">
        <f t="shared" si="1178"/>
        <v>Geral</v>
      </c>
      <c r="H218" s="255" t="s">
        <v>377</v>
      </c>
      <c r="I218" s="356" t="str">
        <f t="shared" si="1112"/>
        <v>Sistema</v>
      </c>
      <c r="K218" s="318" t="s">
        <v>2971</v>
      </c>
      <c r="L218" s="749" t="str">
        <f>IF(Padrões!JF159&lt;&gt;"",Padrões!JF159,"")</f>
        <v/>
      </c>
      <c r="M218" s="358" t="str">
        <f t="shared" si="1113"/>
        <v>?</v>
      </c>
      <c r="N218" s="359">
        <f>Padrões!JI159</f>
        <v>0</v>
      </c>
      <c r="O218" s="381" t="str">
        <f t="shared" si="1114"/>
        <v>?</v>
      </c>
      <c r="P218" s="360">
        <f t="shared" si="1115"/>
        <v>0.12</v>
      </c>
      <c r="Q218" s="360" t="str">
        <f t="shared" si="1116"/>
        <v>?</v>
      </c>
      <c r="R218" s="360">
        <f t="shared" si="1117"/>
        <v>0</v>
      </c>
      <c r="S218" s="361">
        <f t="shared" si="1118"/>
        <v>0</v>
      </c>
      <c r="T218" s="362">
        <f t="shared" si="1119"/>
        <v>0</v>
      </c>
      <c r="U218" s="53" t="str" cm="1">
        <f t="array" ref="U218">IFERROR(IF(I218&lt;&gt;"Serviço",IF(AND(mlookup(tbl_DIFAL_data,UFdestino,tbl_DIFAL_UF,O218,tbl_DIFAL_NCM)&lt;&gt;"",C218="Consumo"),"Sim",""),""),"?")</f>
        <v>?</v>
      </c>
      <c r="V218" s="363" t="str">
        <f>IFERROR(IF(I218&lt;&gt;"Serviço",IF(AND(D218="Não",mlookup(tbl_ST_data,UFdestino,tbl_ST_UF,O218,tbl_ST_NCM)&lt;&gt;"",C218="Revenda",CD218="Não"),"Sim",""),""),"?")</f>
        <v>?</v>
      </c>
      <c r="W218" s="364">
        <f t="shared" si="1120"/>
        <v>0</v>
      </c>
      <c r="X218" s="365">
        <f>IF(V218="Sim",mlookup(tbl_ST_data,UFdestino,tbl_ST_UF,O218,tbl_ST_NCM),0)</f>
        <v>0</v>
      </c>
      <c r="Z218" s="355">
        <f t="shared" si="1121"/>
        <v>0</v>
      </c>
      <c r="AA218" s="355">
        <f t="shared" si="1107"/>
        <v>0</v>
      </c>
      <c r="AC218" s="366">
        <f t="shared" si="1179"/>
        <v>1.31243473968765E-2</v>
      </c>
      <c r="AD218" s="366">
        <f t="shared" si="1122"/>
        <v>0.15</v>
      </c>
      <c r="AF218" s="355">
        <f t="shared" si="1123"/>
        <v>0</v>
      </c>
      <c r="AG218" s="355">
        <f t="shared" si="1124"/>
        <v>0</v>
      </c>
      <c r="AI218" s="355">
        <f t="shared" si="1125"/>
        <v>0</v>
      </c>
      <c r="AK218" s="366">
        <f t="shared" si="1180"/>
        <v>0</v>
      </c>
      <c r="AL218" s="355">
        <f t="shared" si="1108"/>
        <v>0</v>
      </c>
      <c r="AM218" s="355">
        <f t="shared" si="1109"/>
        <v>0</v>
      </c>
      <c r="AO218" s="355" t="b">
        <f t="shared" si="1126"/>
        <v>1</v>
      </c>
      <c r="AQ218" s="367">
        <f t="shared" si="1127"/>
        <v>0</v>
      </c>
      <c r="AR218" s="367">
        <f t="shared" si="1110"/>
        <v>0</v>
      </c>
      <c r="AT218" s="367">
        <f t="shared" si="1128"/>
        <v>0</v>
      </c>
      <c r="AU218" s="367">
        <f t="shared" si="1129"/>
        <v>0</v>
      </c>
      <c r="AW218" s="367">
        <f t="shared" si="1130"/>
        <v>0</v>
      </c>
      <c r="AX218" s="367">
        <f t="shared" si="1131"/>
        <v>0</v>
      </c>
      <c r="AY218" s="367">
        <f t="shared" si="1132"/>
        <v>0</v>
      </c>
      <c r="AZ218" s="367">
        <f t="shared" si="1133"/>
        <v>0</v>
      </c>
      <c r="BB218" s="355">
        <f t="shared" si="1134"/>
        <v>0</v>
      </c>
      <c r="BC218" s="355">
        <f t="shared" si="1135"/>
        <v>0</v>
      </c>
      <c r="BD218" s="355">
        <f t="shared" si="1136"/>
        <v>0</v>
      </c>
      <c r="BE218" s="355">
        <f t="shared" si="1137"/>
        <v>0</v>
      </c>
      <c r="BF218" s="355">
        <f t="shared" si="1138"/>
        <v>0</v>
      </c>
      <c r="BH218" s="368">
        <f t="shared" si="1139"/>
        <v>0</v>
      </c>
      <c r="BJ218" s="369">
        <f t="shared" si="1140"/>
        <v>-0.12</v>
      </c>
      <c r="BK218" s="355">
        <f t="shared" si="1141"/>
        <v>0</v>
      </c>
      <c r="BL218" s="355">
        <f t="shared" si="1142"/>
        <v>0</v>
      </c>
      <c r="BN218" s="366">
        <f t="shared" si="1143"/>
        <v>0</v>
      </c>
      <c r="BO218" s="355">
        <f t="shared" si="1144"/>
        <v>0</v>
      </c>
      <c r="BP218" s="355">
        <f t="shared" si="1145"/>
        <v>0</v>
      </c>
      <c r="BQ218" s="355">
        <f t="shared" si="1146"/>
        <v>0</v>
      </c>
      <c r="BS218" s="367">
        <f t="shared" si="1147"/>
        <v>0</v>
      </c>
      <c r="BT218" s="355">
        <f t="shared" si="1148"/>
        <v>0</v>
      </c>
      <c r="BU218" s="355" t="b">
        <f t="shared" si="1111"/>
        <v>1</v>
      </c>
      <c r="BW218" s="355" t="str">
        <f t="shared" si="1149"/>
        <v/>
      </c>
      <c r="BX218" s="355">
        <f t="shared" si="1150"/>
        <v>0</v>
      </c>
      <c r="BY218" s="356">
        <f t="shared" si="1181"/>
        <v>0</v>
      </c>
      <c r="BZ218" s="355">
        <f t="shared" si="1151"/>
        <v>0</v>
      </c>
      <c r="CB218" s="102" t="str">
        <f t="shared" si="1152"/>
        <v>?</v>
      </c>
      <c r="CD218" s="355" t="str">
        <f t="shared" si="1153"/>
        <v>Não</v>
      </c>
      <c r="CE218" s="368">
        <f>ifzero(mlookup(tbl_ICMSinterest_data,UFdestino,tbl_ICMSinterest_ufdest,UForigem,tbl_ICMSinterest_uforig))</f>
        <v>0.12</v>
      </c>
      <c r="CF218" s="368">
        <f>IF(N218&gt;0,IF(I218&lt;&gt;"Serviço",ifzero(mlookup(tbl_ICMSinterno_data,UForigem,tbl_ICMSinterno_UF,O218,tbl_ICMSinterno_NCM),mlookup(tbl_ICMSinterest_data,UForigem,tbl_ICMSinterest_ufdest,UForigem,tbl_ICMSinterest_uforig)),""),0)</f>
        <v>0</v>
      </c>
      <c r="CG218" s="368">
        <f>IF(N218&gt;0,IF(I218&lt;&gt;"Serviço",ifzero(mlookup(tbl_ICMSinterno_data,UFdestino,tbl_ICMSinterno_UF,O218,tbl_ICMSinterno_NCM),mlookup(tbl_ICMSinterest_data,UFdestino,tbl_ICMSinterest_ufdest,UFdestino,tbl_ICMSinterest_uforig)),""),0)</f>
        <v>0</v>
      </c>
      <c r="CI218" s="355">
        <f t="shared" si="1154"/>
        <v>0</v>
      </c>
      <c r="CJ218" s="355">
        <f t="shared" si="1155"/>
        <v>0</v>
      </c>
      <c r="CK218" s="355">
        <f t="shared" si="1156"/>
        <v>0</v>
      </c>
      <c r="CL218" s="355">
        <f t="shared" si="1157"/>
        <v>0</v>
      </c>
      <c r="CN218" s="370">
        <f t="shared" si="1158"/>
        <v>1540</v>
      </c>
      <c r="CO218" s="355">
        <f t="shared" si="1159"/>
        <v>0</v>
      </c>
      <c r="CQ218" s="355" t="b">
        <f t="shared" si="1160"/>
        <v>0</v>
      </c>
      <c r="CR218" s="355" t="b">
        <f t="shared" si="1161"/>
        <v>1</v>
      </c>
      <c r="CS218" s="355" t="b">
        <f t="shared" si="1162"/>
        <v>0</v>
      </c>
      <c r="CU218" s="2">
        <f t="shared" si="1163"/>
        <v>0</v>
      </c>
      <c r="CV218" s="102">
        <f t="shared" si="1164"/>
        <v>0</v>
      </c>
      <c r="CW218" s="102">
        <f t="shared" si="1098"/>
        <v>0</v>
      </c>
      <c r="CX218" s="102">
        <f t="shared" si="1165"/>
        <v>0</v>
      </c>
      <c r="CY218" s="290">
        <f t="shared" si="1166"/>
        <v>0</v>
      </c>
      <c r="CZ218" s="102">
        <f t="shared" si="1100"/>
        <v>0</v>
      </c>
      <c r="DA218" s="290">
        <f t="shared" si="1167"/>
        <v>0</v>
      </c>
      <c r="DB218" s="102">
        <f t="shared" si="1101"/>
        <v>0</v>
      </c>
      <c r="DC218" s="290">
        <f t="shared" si="1168"/>
        <v>0</v>
      </c>
      <c r="DD218" s="102">
        <f t="shared" si="1099"/>
        <v>0</v>
      </c>
      <c r="DE218" s="592">
        <f>IF(D218="Sim",HLOOKUP($DH$5,Parametrização!$G$2:$H$4,2,FALSE),0)</f>
        <v>0</v>
      </c>
      <c r="DF218" s="102">
        <f t="shared" si="1102"/>
        <v>0</v>
      </c>
      <c r="DG218" s="592">
        <f>IF(D218="Sim",HLOOKUP($DH$5,Parametrização!$G$2:$H$4,3,FALSE),0)</f>
        <v>0</v>
      </c>
      <c r="DH218" s="102">
        <f t="shared" si="1103"/>
        <v>0</v>
      </c>
      <c r="DI218" s="102">
        <f t="shared" si="1104"/>
        <v>0</v>
      </c>
      <c r="DK218" s="3" t="str">
        <f t="shared" si="1169"/>
        <v>NA</v>
      </c>
      <c r="DL218" s="2" t="str">
        <f t="shared" si="1170"/>
        <v>NA</v>
      </c>
      <c r="DM218" s="3" t="str">
        <f t="shared" si="1171"/>
        <v>NA</v>
      </c>
      <c r="DN218" s="9" t="str">
        <f t="shared" si="1172"/>
        <v>NA</v>
      </c>
      <c r="DO218" s="637" t="str">
        <f t="shared" si="1173"/>
        <v>NA</v>
      </c>
      <c r="DP218" s="637"/>
      <c r="DQ218" s="3" t="str">
        <f t="shared" si="1174"/>
        <v>NA</v>
      </c>
      <c r="DR218" s="2" t="str">
        <f t="shared" si="1175"/>
        <v>NA</v>
      </c>
      <c r="DS218" s="3" t="str">
        <f t="shared" si="1176"/>
        <v>NA</v>
      </c>
      <c r="DT218" s="9" t="str">
        <f t="shared" si="1105"/>
        <v>NA</v>
      </c>
      <c r="DU218" s="637" t="str">
        <f t="shared" si="1106"/>
        <v>NA</v>
      </c>
      <c r="DV218" s="637"/>
      <c r="DW218" s="682"/>
      <c r="DX218" s="682"/>
      <c r="DY218" s="682"/>
      <c r="DZ218" s="637"/>
      <c r="EA218" s="643"/>
    </row>
    <row r="219" spans="1:131" s="355" customFormat="1" ht="20.100000000000001" customHeight="1" outlineLevel="1" x14ac:dyDescent="0.25">
      <c r="A219" s="356"/>
      <c r="B219" s="355" t="s">
        <v>268</v>
      </c>
      <c r="C219" s="355" t="str">
        <f t="shared" si="1177"/>
        <v>Consumo</v>
      </c>
      <c r="D219" s="355" t="s">
        <v>53</v>
      </c>
      <c r="E219" s="18" t="s">
        <v>38</v>
      </c>
      <c r="F219" s="355" t="s">
        <v>53</v>
      </c>
      <c r="G219" s="357" t="str">
        <f t="shared" si="1178"/>
        <v>Geral</v>
      </c>
      <c r="H219" s="255" t="s">
        <v>377</v>
      </c>
      <c r="I219" s="356" t="str">
        <f t="shared" si="1112"/>
        <v>Sistema</v>
      </c>
      <c r="K219" s="318" t="s">
        <v>2972</v>
      </c>
      <c r="L219" s="749" t="str">
        <f>IF(Padrões!JF160&lt;&gt;"",Padrões!JF160,"")</f>
        <v/>
      </c>
      <c r="M219" s="358" t="str">
        <f t="shared" si="1113"/>
        <v>?</v>
      </c>
      <c r="N219" s="359">
        <f>Padrões!JI160</f>
        <v>0</v>
      </c>
      <c r="O219" s="381" t="str">
        <f t="shared" si="1114"/>
        <v>?</v>
      </c>
      <c r="P219" s="360">
        <f t="shared" si="1115"/>
        <v>0.12</v>
      </c>
      <c r="Q219" s="360" t="str">
        <f t="shared" si="1116"/>
        <v>?</v>
      </c>
      <c r="R219" s="360">
        <f t="shared" si="1117"/>
        <v>0</v>
      </c>
      <c r="S219" s="361">
        <f t="shared" si="1118"/>
        <v>0</v>
      </c>
      <c r="T219" s="362">
        <f t="shared" si="1119"/>
        <v>0</v>
      </c>
      <c r="U219" s="53" t="str" cm="1">
        <f t="array" ref="U219">IFERROR(IF(I219&lt;&gt;"Serviço",IF(AND(mlookup(tbl_DIFAL_data,UFdestino,tbl_DIFAL_UF,O219,tbl_DIFAL_NCM)&lt;&gt;"",C219="Consumo"),"Sim",""),""),"?")</f>
        <v>?</v>
      </c>
      <c r="V219" s="363" t="str">
        <f>IFERROR(IF(I219&lt;&gt;"Serviço",IF(AND(D219="Não",mlookup(tbl_ST_data,UFdestino,tbl_ST_UF,O219,tbl_ST_NCM)&lt;&gt;"",C219="Revenda",CD219="Não"),"Sim",""),""),"?")</f>
        <v>?</v>
      </c>
      <c r="W219" s="364">
        <f t="shared" si="1120"/>
        <v>0</v>
      </c>
      <c r="X219" s="365">
        <f>IF(V219="Sim",mlookup(tbl_ST_data,UFdestino,tbl_ST_UF,O219,tbl_ST_NCM),0)</f>
        <v>0</v>
      </c>
      <c r="Z219" s="355">
        <f t="shared" si="1121"/>
        <v>0</v>
      </c>
      <c r="AA219" s="355">
        <f t="shared" si="1107"/>
        <v>0</v>
      </c>
      <c r="AC219" s="366">
        <f t="shared" si="1179"/>
        <v>1.31243473968765E-2</v>
      </c>
      <c r="AD219" s="366">
        <f t="shared" si="1122"/>
        <v>0.15</v>
      </c>
      <c r="AF219" s="355">
        <f t="shared" si="1123"/>
        <v>0</v>
      </c>
      <c r="AG219" s="355">
        <f t="shared" si="1124"/>
        <v>0</v>
      </c>
      <c r="AI219" s="355">
        <f t="shared" si="1125"/>
        <v>0</v>
      </c>
      <c r="AK219" s="366">
        <f t="shared" si="1180"/>
        <v>0</v>
      </c>
      <c r="AL219" s="355">
        <f t="shared" si="1108"/>
        <v>0</v>
      </c>
      <c r="AM219" s="355">
        <f t="shared" si="1109"/>
        <v>0</v>
      </c>
      <c r="AO219" s="355" t="b">
        <f t="shared" si="1126"/>
        <v>1</v>
      </c>
      <c r="AQ219" s="367">
        <f t="shared" si="1127"/>
        <v>0</v>
      </c>
      <c r="AR219" s="367">
        <f t="shared" si="1110"/>
        <v>0</v>
      </c>
      <c r="AT219" s="367">
        <f t="shared" si="1128"/>
        <v>0</v>
      </c>
      <c r="AU219" s="367">
        <f t="shared" si="1129"/>
        <v>0</v>
      </c>
      <c r="AW219" s="367">
        <f t="shared" si="1130"/>
        <v>0</v>
      </c>
      <c r="AX219" s="367">
        <f t="shared" si="1131"/>
        <v>0</v>
      </c>
      <c r="AY219" s="367">
        <f t="shared" si="1132"/>
        <v>0</v>
      </c>
      <c r="AZ219" s="367">
        <f t="shared" si="1133"/>
        <v>0</v>
      </c>
      <c r="BB219" s="355">
        <f t="shared" si="1134"/>
        <v>0</v>
      </c>
      <c r="BC219" s="355">
        <f t="shared" si="1135"/>
        <v>0</v>
      </c>
      <c r="BD219" s="355">
        <f t="shared" si="1136"/>
        <v>0</v>
      </c>
      <c r="BE219" s="355">
        <f t="shared" si="1137"/>
        <v>0</v>
      </c>
      <c r="BF219" s="355">
        <f t="shared" si="1138"/>
        <v>0</v>
      </c>
      <c r="BH219" s="368">
        <f t="shared" si="1139"/>
        <v>0</v>
      </c>
      <c r="BJ219" s="369">
        <f t="shared" si="1140"/>
        <v>-0.12</v>
      </c>
      <c r="BK219" s="355">
        <f t="shared" si="1141"/>
        <v>0</v>
      </c>
      <c r="BL219" s="355">
        <f t="shared" si="1142"/>
        <v>0</v>
      </c>
      <c r="BN219" s="366">
        <f t="shared" si="1143"/>
        <v>0</v>
      </c>
      <c r="BO219" s="355">
        <f t="shared" si="1144"/>
        <v>0</v>
      </c>
      <c r="BP219" s="355">
        <f t="shared" si="1145"/>
        <v>0</v>
      </c>
      <c r="BQ219" s="355">
        <f t="shared" si="1146"/>
        <v>0</v>
      </c>
      <c r="BS219" s="367">
        <f t="shared" si="1147"/>
        <v>0</v>
      </c>
      <c r="BT219" s="355">
        <f t="shared" si="1148"/>
        <v>0</v>
      </c>
      <c r="BU219" s="355" t="b">
        <f t="shared" si="1111"/>
        <v>1</v>
      </c>
      <c r="BW219" s="355" t="str">
        <f t="shared" si="1149"/>
        <v/>
      </c>
      <c r="BX219" s="355">
        <f t="shared" si="1150"/>
        <v>0</v>
      </c>
      <c r="BY219" s="356">
        <f t="shared" si="1181"/>
        <v>0</v>
      </c>
      <c r="BZ219" s="355">
        <f t="shared" si="1151"/>
        <v>0</v>
      </c>
      <c r="CB219" s="102" t="str">
        <f t="shared" si="1152"/>
        <v>?</v>
      </c>
      <c r="CD219" s="355" t="str">
        <f t="shared" si="1153"/>
        <v>Não</v>
      </c>
      <c r="CE219" s="368">
        <f>ifzero(mlookup(tbl_ICMSinterest_data,UFdestino,tbl_ICMSinterest_ufdest,UForigem,tbl_ICMSinterest_uforig))</f>
        <v>0.12</v>
      </c>
      <c r="CF219" s="368">
        <f>IF(N219&gt;0,IF(I219&lt;&gt;"Serviço",ifzero(mlookup(tbl_ICMSinterno_data,UForigem,tbl_ICMSinterno_UF,O219,tbl_ICMSinterno_NCM),mlookup(tbl_ICMSinterest_data,UForigem,tbl_ICMSinterest_ufdest,UForigem,tbl_ICMSinterest_uforig)),""),0)</f>
        <v>0</v>
      </c>
      <c r="CG219" s="368">
        <f>IF(N219&gt;0,IF(I219&lt;&gt;"Serviço",ifzero(mlookup(tbl_ICMSinterno_data,UFdestino,tbl_ICMSinterno_UF,O219,tbl_ICMSinterno_NCM),mlookup(tbl_ICMSinterest_data,UFdestino,tbl_ICMSinterest_ufdest,UFdestino,tbl_ICMSinterest_uforig)),""),0)</f>
        <v>0</v>
      </c>
      <c r="CI219" s="355">
        <f t="shared" si="1154"/>
        <v>0</v>
      </c>
      <c r="CJ219" s="355">
        <f t="shared" si="1155"/>
        <v>0</v>
      </c>
      <c r="CK219" s="355">
        <f t="shared" si="1156"/>
        <v>0</v>
      </c>
      <c r="CL219" s="355">
        <f t="shared" si="1157"/>
        <v>0</v>
      </c>
      <c r="CN219" s="370">
        <f t="shared" si="1158"/>
        <v>1540</v>
      </c>
      <c r="CO219" s="355">
        <f t="shared" si="1159"/>
        <v>0</v>
      </c>
      <c r="CQ219" s="355" t="b">
        <f t="shared" si="1160"/>
        <v>0</v>
      </c>
      <c r="CR219" s="355" t="b">
        <f t="shared" si="1161"/>
        <v>1</v>
      </c>
      <c r="CS219" s="355" t="b">
        <f t="shared" si="1162"/>
        <v>0</v>
      </c>
      <c r="CU219" s="2">
        <f t="shared" si="1163"/>
        <v>0</v>
      </c>
      <c r="CV219" s="102">
        <f t="shared" si="1164"/>
        <v>0</v>
      </c>
      <c r="CW219" s="102">
        <f t="shared" si="1098"/>
        <v>0</v>
      </c>
      <c r="CX219" s="102">
        <f t="shared" si="1165"/>
        <v>0</v>
      </c>
      <c r="CY219" s="290">
        <f t="shared" si="1166"/>
        <v>0</v>
      </c>
      <c r="CZ219" s="102">
        <f t="shared" si="1100"/>
        <v>0</v>
      </c>
      <c r="DA219" s="290">
        <f t="shared" si="1167"/>
        <v>0</v>
      </c>
      <c r="DB219" s="102">
        <f t="shared" si="1101"/>
        <v>0</v>
      </c>
      <c r="DC219" s="290">
        <f t="shared" si="1168"/>
        <v>0</v>
      </c>
      <c r="DD219" s="102">
        <f t="shared" si="1099"/>
        <v>0</v>
      </c>
      <c r="DE219" s="592">
        <f>IF(D219="Sim",HLOOKUP($DH$5,Parametrização!$G$2:$H$4,2,FALSE),0)</f>
        <v>0</v>
      </c>
      <c r="DF219" s="102">
        <f t="shared" si="1102"/>
        <v>0</v>
      </c>
      <c r="DG219" s="592">
        <f>IF(D219="Sim",HLOOKUP($DH$5,Parametrização!$G$2:$H$4,3,FALSE),0)</f>
        <v>0</v>
      </c>
      <c r="DH219" s="102">
        <f t="shared" si="1103"/>
        <v>0</v>
      </c>
      <c r="DI219" s="102">
        <f t="shared" si="1104"/>
        <v>0</v>
      </c>
      <c r="DK219" s="3" t="str">
        <f t="shared" si="1169"/>
        <v>NA</v>
      </c>
      <c r="DL219" s="2" t="str">
        <f t="shared" si="1170"/>
        <v>NA</v>
      </c>
      <c r="DM219" s="3" t="str">
        <f t="shared" si="1171"/>
        <v>NA</v>
      </c>
      <c r="DN219" s="9" t="str">
        <f t="shared" si="1172"/>
        <v>NA</v>
      </c>
      <c r="DO219" s="637" t="str">
        <f t="shared" si="1173"/>
        <v>NA</v>
      </c>
      <c r="DP219" s="637"/>
      <c r="DQ219" s="3" t="str">
        <f t="shared" si="1174"/>
        <v>NA</v>
      </c>
      <c r="DR219" s="2" t="str">
        <f t="shared" si="1175"/>
        <v>NA</v>
      </c>
      <c r="DS219" s="3" t="str">
        <f t="shared" si="1176"/>
        <v>NA</v>
      </c>
      <c r="DT219" s="9" t="str">
        <f t="shared" si="1105"/>
        <v>NA</v>
      </c>
      <c r="DU219" s="637" t="str">
        <f t="shared" si="1106"/>
        <v>NA</v>
      </c>
      <c r="DV219" s="637"/>
      <c r="DW219" s="682"/>
      <c r="DX219" s="682"/>
      <c r="DY219" s="682"/>
      <c r="DZ219" s="637"/>
      <c r="EA219" s="643"/>
    </row>
    <row r="220" spans="1:131" s="355" customFormat="1" ht="20.100000000000001" customHeight="1" outlineLevel="1" x14ac:dyDescent="0.25">
      <c r="A220" s="356"/>
      <c r="B220" s="355" t="s">
        <v>268</v>
      </c>
      <c r="C220" s="355" t="str">
        <f t="shared" si="1177"/>
        <v>Consumo</v>
      </c>
      <c r="D220" s="355" t="s">
        <v>53</v>
      </c>
      <c r="E220" s="18" t="s">
        <v>38</v>
      </c>
      <c r="F220" s="355" t="s">
        <v>53</v>
      </c>
      <c r="G220" s="357" t="str">
        <f t="shared" si="1178"/>
        <v>Geral</v>
      </c>
      <c r="H220" s="255" t="s">
        <v>377</v>
      </c>
      <c r="I220" s="356" t="str">
        <f t="shared" si="1112"/>
        <v>Sistema</v>
      </c>
      <c r="K220" s="318" t="s">
        <v>2973</v>
      </c>
      <c r="L220" s="749" t="str">
        <f>IF(Padrões!JF161&lt;&gt;"",Padrões!JF161,"")</f>
        <v/>
      </c>
      <c r="M220" s="358" t="str">
        <f t="shared" si="1113"/>
        <v>?</v>
      </c>
      <c r="N220" s="359">
        <f>Padrões!JI161</f>
        <v>0</v>
      </c>
      <c r="O220" s="381" t="str">
        <f t="shared" si="1114"/>
        <v>?</v>
      </c>
      <c r="P220" s="360">
        <f t="shared" si="1115"/>
        <v>0.12</v>
      </c>
      <c r="Q220" s="360" t="str">
        <f t="shared" si="1116"/>
        <v>?</v>
      </c>
      <c r="R220" s="360">
        <f t="shared" si="1117"/>
        <v>0</v>
      </c>
      <c r="S220" s="361">
        <f t="shared" si="1118"/>
        <v>0</v>
      </c>
      <c r="T220" s="362">
        <f t="shared" si="1119"/>
        <v>0</v>
      </c>
      <c r="U220" s="53" t="str" cm="1">
        <f t="array" ref="U220">IFERROR(IF(I220&lt;&gt;"Serviço",IF(AND(mlookup(tbl_DIFAL_data,UFdestino,tbl_DIFAL_UF,O220,tbl_DIFAL_NCM)&lt;&gt;"",C220="Consumo"),"Sim",""),""),"?")</f>
        <v>?</v>
      </c>
      <c r="V220" s="363" t="str">
        <f>IFERROR(IF(I220&lt;&gt;"Serviço",IF(AND(D220="Não",mlookup(tbl_ST_data,UFdestino,tbl_ST_UF,O220,tbl_ST_NCM)&lt;&gt;"",C220="Revenda",CD220="Não"),"Sim",""),""),"?")</f>
        <v>?</v>
      </c>
      <c r="W220" s="364">
        <f t="shared" si="1120"/>
        <v>0</v>
      </c>
      <c r="X220" s="365">
        <f>IF(V220="Sim",mlookup(tbl_ST_data,UFdestino,tbl_ST_UF,O220,tbl_ST_NCM),0)</f>
        <v>0</v>
      </c>
      <c r="Z220" s="355">
        <f t="shared" si="1121"/>
        <v>0</v>
      </c>
      <c r="AA220" s="355">
        <f t="shared" si="1107"/>
        <v>0</v>
      </c>
      <c r="AC220" s="366">
        <f t="shared" si="1179"/>
        <v>1.31243473968765E-2</v>
      </c>
      <c r="AD220" s="366">
        <f t="shared" si="1122"/>
        <v>0.15</v>
      </c>
      <c r="AF220" s="355">
        <f t="shared" si="1123"/>
        <v>0</v>
      </c>
      <c r="AG220" s="355">
        <f t="shared" si="1124"/>
        <v>0</v>
      </c>
      <c r="AI220" s="355">
        <f t="shared" si="1125"/>
        <v>0</v>
      </c>
      <c r="AK220" s="366">
        <f t="shared" si="1180"/>
        <v>0</v>
      </c>
      <c r="AL220" s="355">
        <f t="shared" si="1108"/>
        <v>0</v>
      </c>
      <c r="AM220" s="355">
        <f t="shared" si="1109"/>
        <v>0</v>
      </c>
      <c r="AO220" s="355" t="b">
        <f t="shared" si="1126"/>
        <v>1</v>
      </c>
      <c r="AQ220" s="367">
        <f t="shared" si="1127"/>
        <v>0</v>
      </c>
      <c r="AR220" s="367">
        <f t="shared" si="1110"/>
        <v>0</v>
      </c>
      <c r="AT220" s="367">
        <f t="shared" si="1128"/>
        <v>0</v>
      </c>
      <c r="AU220" s="367">
        <f t="shared" si="1129"/>
        <v>0</v>
      </c>
      <c r="AW220" s="367">
        <f t="shared" si="1130"/>
        <v>0</v>
      </c>
      <c r="AX220" s="367">
        <f t="shared" si="1131"/>
        <v>0</v>
      </c>
      <c r="AY220" s="367">
        <f t="shared" si="1132"/>
        <v>0</v>
      </c>
      <c r="AZ220" s="367">
        <f t="shared" si="1133"/>
        <v>0</v>
      </c>
      <c r="BB220" s="355">
        <f t="shared" si="1134"/>
        <v>0</v>
      </c>
      <c r="BC220" s="355">
        <f t="shared" si="1135"/>
        <v>0</v>
      </c>
      <c r="BD220" s="355">
        <f t="shared" si="1136"/>
        <v>0</v>
      </c>
      <c r="BE220" s="355">
        <f t="shared" si="1137"/>
        <v>0</v>
      </c>
      <c r="BF220" s="355">
        <f t="shared" si="1138"/>
        <v>0</v>
      </c>
      <c r="BH220" s="368">
        <f t="shared" si="1139"/>
        <v>0</v>
      </c>
      <c r="BJ220" s="369">
        <f t="shared" si="1140"/>
        <v>-0.12</v>
      </c>
      <c r="BK220" s="355">
        <f t="shared" si="1141"/>
        <v>0</v>
      </c>
      <c r="BL220" s="355">
        <f t="shared" si="1142"/>
        <v>0</v>
      </c>
      <c r="BN220" s="366">
        <f t="shared" si="1143"/>
        <v>0</v>
      </c>
      <c r="BO220" s="355">
        <f t="shared" si="1144"/>
        <v>0</v>
      </c>
      <c r="BP220" s="355">
        <f t="shared" si="1145"/>
        <v>0</v>
      </c>
      <c r="BQ220" s="355">
        <f t="shared" si="1146"/>
        <v>0</v>
      </c>
      <c r="BS220" s="367">
        <f t="shared" si="1147"/>
        <v>0</v>
      </c>
      <c r="BT220" s="355">
        <f t="shared" si="1148"/>
        <v>0</v>
      </c>
      <c r="BU220" s="355" t="b">
        <f t="shared" si="1111"/>
        <v>1</v>
      </c>
      <c r="BW220" s="355" t="str">
        <f t="shared" si="1149"/>
        <v/>
      </c>
      <c r="BX220" s="355">
        <f t="shared" si="1150"/>
        <v>0</v>
      </c>
      <c r="BY220" s="356">
        <f t="shared" si="1181"/>
        <v>0</v>
      </c>
      <c r="BZ220" s="355">
        <f t="shared" si="1151"/>
        <v>0</v>
      </c>
      <c r="CB220" s="102" t="str">
        <f t="shared" si="1152"/>
        <v>?</v>
      </c>
      <c r="CD220" s="355" t="str">
        <f t="shared" si="1153"/>
        <v>Não</v>
      </c>
      <c r="CE220" s="368">
        <f>ifzero(mlookup(tbl_ICMSinterest_data,UFdestino,tbl_ICMSinterest_ufdest,UForigem,tbl_ICMSinterest_uforig))</f>
        <v>0.12</v>
      </c>
      <c r="CF220" s="368">
        <f>IF(N220&gt;0,IF(I220&lt;&gt;"Serviço",ifzero(mlookup(tbl_ICMSinterno_data,UForigem,tbl_ICMSinterno_UF,O220,tbl_ICMSinterno_NCM),mlookup(tbl_ICMSinterest_data,UForigem,tbl_ICMSinterest_ufdest,UForigem,tbl_ICMSinterest_uforig)),""),0)</f>
        <v>0</v>
      </c>
      <c r="CG220" s="368">
        <f>IF(N220&gt;0,IF(I220&lt;&gt;"Serviço",ifzero(mlookup(tbl_ICMSinterno_data,UFdestino,tbl_ICMSinterno_UF,O220,tbl_ICMSinterno_NCM),mlookup(tbl_ICMSinterest_data,UFdestino,tbl_ICMSinterest_ufdest,UFdestino,tbl_ICMSinterest_uforig)),""),0)</f>
        <v>0</v>
      </c>
      <c r="CI220" s="355">
        <f t="shared" si="1154"/>
        <v>0</v>
      </c>
      <c r="CJ220" s="355">
        <f t="shared" si="1155"/>
        <v>0</v>
      </c>
      <c r="CK220" s="355">
        <f t="shared" si="1156"/>
        <v>0</v>
      </c>
      <c r="CL220" s="355">
        <f t="shared" si="1157"/>
        <v>0</v>
      </c>
      <c r="CN220" s="370">
        <f t="shared" si="1158"/>
        <v>1540</v>
      </c>
      <c r="CO220" s="355">
        <f t="shared" si="1159"/>
        <v>0</v>
      </c>
      <c r="CQ220" s="355" t="b">
        <f t="shared" si="1160"/>
        <v>0</v>
      </c>
      <c r="CR220" s="355" t="b">
        <f t="shared" si="1161"/>
        <v>1</v>
      </c>
      <c r="CS220" s="355" t="b">
        <f t="shared" si="1162"/>
        <v>0</v>
      </c>
      <c r="CU220" s="2">
        <f t="shared" si="1163"/>
        <v>0</v>
      </c>
      <c r="CV220" s="102">
        <f t="shared" si="1164"/>
        <v>0</v>
      </c>
      <c r="CW220" s="102">
        <f t="shared" si="1098"/>
        <v>0</v>
      </c>
      <c r="CX220" s="102">
        <f t="shared" si="1165"/>
        <v>0</v>
      </c>
      <c r="CY220" s="290">
        <f t="shared" si="1166"/>
        <v>0</v>
      </c>
      <c r="CZ220" s="102">
        <f t="shared" si="1100"/>
        <v>0</v>
      </c>
      <c r="DA220" s="290">
        <f t="shared" si="1167"/>
        <v>0</v>
      </c>
      <c r="DB220" s="102">
        <f t="shared" si="1101"/>
        <v>0</v>
      </c>
      <c r="DC220" s="290">
        <f t="shared" si="1168"/>
        <v>0</v>
      </c>
      <c r="DD220" s="102">
        <f t="shared" si="1099"/>
        <v>0</v>
      </c>
      <c r="DE220" s="592">
        <f>IF(D220="Sim",HLOOKUP($DH$5,Parametrização!$G$2:$H$4,2,FALSE),0)</f>
        <v>0</v>
      </c>
      <c r="DF220" s="102">
        <f t="shared" si="1102"/>
        <v>0</v>
      </c>
      <c r="DG220" s="592">
        <f>IF(D220="Sim",HLOOKUP($DH$5,Parametrização!$G$2:$H$4,3,FALSE),0)</f>
        <v>0</v>
      </c>
      <c r="DH220" s="102">
        <f t="shared" si="1103"/>
        <v>0</v>
      </c>
      <c r="DI220" s="102">
        <f t="shared" si="1104"/>
        <v>0</v>
      </c>
      <c r="DK220" s="3" t="str">
        <f t="shared" si="1169"/>
        <v>NA</v>
      </c>
      <c r="DL220" s="2" t="str">
        <f t="shared" si="1170"/>
        <v>NA</v>
      </c>
      <c r="DM220" s="3" t="str">
        <f t="shared" si="1171"/>
        <v>NA</v>
      </c>
      <c r="DN220" s="9" t="str">
        <f t="shared" si="1172"/>
        <v>NA</v>
      </c>
      <c r="DO220" s="637" t="str">
        <f t="shared" si="1173"/>
        <v>NA</v>
      </c>
      <c r="DP220" s="637"/>
      <c r="DQ220" s="3" t="str">
        <f t="shared" si="1174"/>
        <v>NA</v>
      </c>
      <c r="DR220" s="2" t="str">
        <f t="shared" si="1175"/>
        <v>NA</v>
      </c>
      <c r="DS220" s="3" t="str">
        <f t="shared" si="1176"/>
        <v>NA</v>
      </c>
      <c r="DT220" s="9" t="str">
        <f t="shared" si="1105"/>
        <v>NA</v>
      </c>
      <c r="DU220" s="637" t="str">
        <f t="shared" si="1106"/>
        <v>NA</v>
      </c>
      <c r="DV220" s="637"/>
      <c r="DW220" s="682"/>
      <c r="DX220" s="682"/>
      <c r="DY220" s="682"/>
      <c r="DZ220" s="637"/>
      <c r="EA220" s="643"/>
    </row>
    <row r="221" spans="1:131" s="355" customFormat="1" ht="20.100000000000001" customHeight="1" outlineLevel="1" x14ac:dyDescent="0.25">
      <c r="A221" s="356"/>
      <c r="B221" s="355" t="s">
        <v>268</v>
      </c>
      <c r="C221" s="355" t="str">
        <f t="shared" si="1177"/>
        <v>Consumo</v>
      </c>
      <c r="D221" s="355" t="s">
        <v>53</v>
      </c>
      <c r="E221" s="18" t="s">
        <v>38</v>
      </c>
      <c r="F221" s="355" t="s">
        <v>53</v>
      </c>
      <c r="G221" s="357" t="str">
        <f t="shared" si="1178"/>
        <v>Geral</v>
      </c>
      <c r="H221" s="255" t="s">
        <v>377</v>
      </c>
      <c r="I221" s="356" t="str">
        <f t="shared" si="1112"/>
        <v>Sistema</v>
      </c>
      <c r="K221" s="318" t="s">
        <v>2974</v>
      </c>
      <c r="L221" s="749" t="str">
        <f>IF(Padrões!JF162&lt;&gt;"",Padrões!JF162,"")</f>
        <v/>
      </c>
      <c r="M221" s="358" t="str">
        <f t="shared" si="1113"/>
        <v>?</v>
      </c>
      <c r="N221" s="359">
        <f>Padrões!JI162</f>
        <v>0</v>
      </c>
      <c r="O221" s="381" t="str">
        <f t="shared" si="1114"/>
        <v>?</v>
      </c>
      <c r="P221" s="360">
        <f t="shared" si="1115"/>
        <v>0.12</v>
      </c>
      <c r="Q221" s="360" t="str">
        <f t="shared" si="1116"/>
        <v>?</v>
      </c>
      <c r="R221" s="360">
        <f t="shared" si="1117"/>
        <v>0</v>
      </c>
      <c r="S221" s="361">
        <f t="shared" si="1118"/>
        <v>0</v>
      </c>
      <c r="T221" s="362">
        <f t="shared" si="1119"/>
        <v>0</v>
      </c>
      <c r="U221" s="53" t="str" cm="1">
        <f t="array" ref="U221">IFERROR(IF(I221&lt;&gt;"Serviço",IF(AND(mlookup(tbl_DIFAL_data,UFdestino,tbl_DIFAL_UF,O221,tbl_DIFAL_NCM)&lt;&gt;"",C221="Consumo"),"Sim",""),""),"?")</f>
        <v>?</v>
      </c>
      <c r="V221" s="363" t="str">
        <f>IFERROR(IF(I221&lt;&gt;"Serviço",IF(AND(D221="Não",mlookup(tbl_ST_data,UFdestino,tbl_ST_UF,O221,tbl_ST_NCM)&lt;&gt;"",C221="Revenda",CD221="Não"),"Sim",""),""),"?")</f>
        <v>?</v>
      </c>
      <c r="W221" s="364">
        <f t="shared" si="1120"/>
        <v>0</v>
      </c>
      <c r="X221" s="365">
        <f>IF(V221="Sim",mlookup(tbl_ST_data,UFdestino,tbl_ST_UF,O221,tbl_ST_NCM),0)</f>
        <v>0</v>
      </c>
      <c r="Z221" s="355">
        <f t="shared" si="1121"/>
        <v>0</v>
      </c>
      <c r="AA221" s="355">
        <f t="shared" si="1107"/>
        <v>0</v>
      </c>
      <c r="AC221" s="366">
        <f t="shared" si="1179"/>
        <v>1.31243473968765E-2</v>
      </c>
      <c r="AD221" s="366">
        <f t="shared" si="1122"/>
        <v>0.15</v>
      </c>
      <c r="AF221" s="355">
        <f t="shared" si="1123"/>
        <v>0</v>
      </c>
      <c r="AG221" s="355">
        <f t="shared" si="1124"/>
        <v>0</v>
      </c>
      <c r="AI221" s="355">
        <f t="shared" si="1125"/>
        <v>0</v>
      </c>
      <c r="AK221" s="366">
        <f t="shared" si="1180"/>
        <v>0</v>
      </c>
      <c r="AL221" s="355">
        <f t="shared" si="1108"/>
        <v>0</v>
      </c>
      <c r="AM221" s="355">
        <f t="shared" si="1109"/>
        <v>0</v>
      </c>
      <c r="AO221" s="355" t="b">
        <f t="shared" si="1126"/>
        <v>1</v>
      </c>
      <c r="AQ221" s="367">
        <f t="shared" si="1127"/>
        <v>0</v>
      </c>
      <c r="AR221" s="367">
        <f t="shared" si="1110"/>
        <v>0</v>
      </c>
      <c r="AT221" s="367">
        <f t="shared" si="1128"/>
        <v>0</v>
      </c>
      <c r="AU221" s="367">
        <f t="shared" si="1129"/>
        <v>0</v>
      </c>
      <c r="AW221" s="367">
        <f t="shared" si="1130"/>
        <v>0</v>
      </c>
      <c r="AX221" s="367">
        <f t="shared" si="1131"/>
        <v>0</v>
      </c>
      <c r="AY221" s="367">
        <f t="shared" si="1132"/>
        <v>0</v>
      </c>
      <c r="AZ221" s="367">
        <f t="shared" si="1133"/>
        <v>0</v>
      </c>
      <c r="BB221" s="355">
        <f t="shared" si="1134"/>
        <v>0</v>
      </c>
      <c r="BC221" s="355">
        <f t="shared" si="1135"/>
        <v>0</v>
      </c>
      <c r="BD221" s="355">
        <f t="shared" si="1136"/>
        <v>0</v>
      </c>
      <c r="BE221" s="355">
        <f t="shared" si="1137"/>
        <v>0</v>
      </c>
      <c r="BF221" s="355">
        <f t="shared" si="1138"/>
        <v>0</v>
      </c>
      <c r="BH221" s="368">
        <f t="shared" si="1139"/>
        <v>0</v>
      </c>
      <c r="BJ221" s="369">
        <f t="shared" si="1140"/>
        <v>-0.12</v>
      </c>
      <c r="BK221" s="355">
        <f t="shared" si="1141"/>
        <v>0</v>
      </c>
      <c r="BL221" s="355">
        <f t="shared" si="1142"/>
        <v>0</v>
      </c>
      <c r="BN221" s="366">
        <f t="shared" si="1143"/>
        <v>0</v>
      </c>
      <c r="BO221" s="355">
        <f t="shared" si="1144"/>
        <v>0</v>
      </c>
      <c r="BP221" s="355">
        <f t="shared" si="1145"/>
        <v>0</v>
      </c>
      <c r="BQ221" s="355">
        <f t="shared" si="1146"/>
        <v>0</v>
      </c>
      <c r="BS221" s="367">
        <f t="shared" si="1147"/>
        <v>0</v>
      </c>
      <c r="BT221" s="355">
        <f t="shared" si="1148"/>
        <v>0</v>
      </c>
      <c r="BU221" s="355" t="b">
        <f t="shared" si="1111"/>
        <v>1</v>
      </c>
      <c r="BW221" s="355" t="str">
        <f t="shared" si="1149"/>
        <v/>
      </c>
      <c r="BX221" s="355">
        <f t="shared" si="1150"/>
        <v>0</v>
      </c>
      <c r="BY221" s="356">
        <f t="shared" si="1181"/>
        <v>0</v>
      </c>
      <c r="BZ221" s="355">
        <f t="shared" si="1151"/>
        <v>0</v>
      </c>
      <c r="CB221" s="102" t="str">
        <f t="shared" si="1152"/>
        <v>?</v>
      </c>
      <c r="CD221" s="355" t="str">
        <f t="shared" si="1153"/>
        <v>Não</v>
      </c>
      <c r="CE221" s="368">
        <f>ifzero(mlookup(tbl_ICMSinterest_data,UFdestino,tbl_ICMSinterest_ufdest,UForigem,tbl_ICMSinterest_uforig))</f>
        <v>0.12</v>
      </c>
      <c r="CF221" s="368">
        <f>IF(N221&gt;0,IF(I221&lt;&gt;"Serviço",ifzero(mlookup(tbl_ICMSinterno_data,UForigem,tbl_ICMSinterno_UF,O221,tbl_ICMSinterno_NCM),mlookup(tbl_ICMSinterest_data,UForigem,tbl_ICMSinterest_ufdest,UForigem,tbl_ICMSinterest_uforig)),""),0)</f>
        <v>0</v>
      </c>
      <c r="CG221" s="368">
        <f>IF(N221&gt;0,IF(I221&lt;&gt;"Serviço",ifzero(mlookup(tbl_ICMSinterno_data,UFdestino,tbl_ICMSinterno_UF,O221,tbl_ICMSinterno_NCM),mlookup(tbl_ICMSinterest_data,UFdestino,tbl_ICMSinterest_ufdest,UFdestino,tbl_ICMSinterest_uforig)),""),0)</f>
        <v>0</v>
      </c>
      <c r="CI221" s="355">
        <f t="shared" si="1154"/>
        <v>0</v>
      </c>
      <c r="CJ221" s="355">
        <f t="shared" si="1155"/>
        <v>0</v>
      </c>
      <c r="CK221" s="355">
        <f t="shared" si="1156"/>
        <v>0</v>
      </c>
      <c r="CL221" s="355">
        <f t="shared" si="1157"/>
        <v>0</v>
      </c>
      <c r="CN221" s="370">
        <f t="shared" si="1158"/>
        <v>1540</v>
      </c>
      <c r="CO221" s="355">
        <f t="shared" si="1159"/>
        <v>0</v>
      </c>
      <c r="CQ221" s="355" t="b">
        <f t="shared" si="1160"/>
        <v>0</v>
      </c>
      <c r="CR221" s="355" t="b">
        <f t="shared" si="1161"/>
        <v>1</v>
      </c>
      <c r="CS221" s="355" t="b">
        <f t="shared" si="1162"/>
        <v>0</v>
      </c>
      <c r="CU221" s="2">
        <f t="shared" si="1163"/>
        <v>0</v>
      </c>
      <c r="CV221" s="102">
        <f t="shared" si="1164"/>
        <v>0</v>
      </c>
      <c r="CW221" s="102">
        <f t="shared" si="1098"/>
        <v>0</v>
      </c>
      <c r="CX221" s="102">
        <f t="shared" si="1165"/>
        <v>0</v>
      </c>
      <c r="CY221" s="290">
        <f t="shared" si="1166"/>
        <v>0</v>
      </c>
      <c r="CZ221" s="102">
        <f t="shared" si="1100"/>
        <v>0</v>
      </c>
      <c r="DA221" s="290">
        <f t="shared" si="1167"/>
        <v>0</v>
      </c>
      <c r="DB221" s="102">
        <f t="shared" si="1101"/>
        <v>0</v>
      </c>
      <c r="DC221" s="290">
        <f t="shared" si="1168"/>
        <v>0</v>
      </c>
      <c r="DD221" s="102">
        <f t="shared" si="1099"/>
        <v>0</v>
      </c>
      <c r="DE221" s="592">
        <f>IF(D221="Sim",HLOOKUP($DH$5,Parametrização!$G$2:$H$4,2,FALSE),0)</f>
        <v>0</v>
      </c>
      <c r="DF221" s="102">
        <f t="shared" si="1102"/>
        <v>0</v>
      </c>
      <c r="DG221" s="592">
        <f>IF(D221="Sim",HLOOKUP($DH$5,Parametrização!$G$2:$H$4,3,FALSE),0)</f>
        <v>0</v>
      </c>
      <c r="DH221" s="102">
        <f t="shared" si="1103"/>
        <v>0</v>
      </c>
      <c r="DI221" s="102">
        <f t="shared" si="1104"/>
        <v>0</v>
      </c>
      <c r="DK221" s="3" t="str">
        <f t="shared" si="1169"/>
        <v>NA</v>
      </c>
      <c r="DL221" s="2" t="str">
        <f t="shared" si="1170"/>
        <v>NA</v>
      </c>
      <c r="DM221" s="3" t="str">
        <f t="shared" si="1171"/>
        <v>NA</v>
      </c>
      <c r="DN221" s="9" t="str">
        <f t="shared" si="1172"/>
        <v>NA</v>
      </c>
      <c r="DO221" s="637" t="str">
        <f t="shared" si="1173"/>
        <v>NA</v>
      </c>
      <c r="DP221" s="637"/>
      <c r="DQ221" s="3" t="str">
        <f t="shared" si="1174"/>
        <v>NA</v>
      </c>
      <c r="DR221" s="2" t="str">
        <f t="shared" si="1175"/>
        <v>NA</v>
      </c>
      <c r="DS221" s="3" t="str">
        <f t="shared" si="1176"/>
        <v>NA</v>
      </c>
      <c r="DT221" s="9" t="str">
        <f t="shared" si="1105"/>
        <v>NA</v>
      </c>
      <c r="DU221" s="637" t="str">
        <f t="shared" si="1106"/>
        <v>NA</v>
      </c>
      <c r="DV221" s="637"/>
      <c r="DW221" s="682"/>
      <c r="DX221" s="682"/>
      <c r="DY221" s="682"/>
      <c r="DZ221" s="637"/>
      <c r="EA221" s="643"/>
    </row>
    <row r="222" spans="1:131" s="355" customFormat="1" ht="20.100000000000001" customHeight="1" outlineLevel="1" x14ac:dyDescent="0.25">
      <c r="A222" s="356"/>
      <c r="B222" s="355" t="s">
        <v>268</v>
      </c>
      <c r="C222" s="355" t="str">
        <f t="shared" si="1177"/>
        <v>Consumo</v>
      </c>
      <c r="D222" s="355" t="s">
        <v>53</v>
      </c>
      <c r="E222" s="18" t="s">
        <v>38</v>
      </c>
      <c r="F222" s="355" t="s">
        <v>53</v>
      </c>
      <c r="G222" s="357" t="str">
        <f t="shared" si="1178"/>
        <v>Geral</v>
      </c>
      <c r="H222" s="255" t="s">
        <v>377</v>
      </c>
      <c r="I222" s="356" t="str">
        <f t="shared" si="1112"/>
        <v>Sistema</v>
      </c>
      <c r="K222" s="318" t="s">
        <v>2975</v>
      </c>
      <c r="L222" s="749" t="str">
        <f>IF(Padrões!JF163&lt;&gt;"",Padrões!JF163,"")</f>
        <v/>
      </c>
      <c r="M222" s="358" t="str">
        <f t="shared" si="1113"/>
        <v>?</v>
      </c>
      <c r="N222" s="359">
        <f>Padrões!JI163</f>
        <v>0</v>
      </c>
      <c r="O222" s="381" t="str">
        <f t="shared" si="1114"/>
        <v>?</v>
      </c>
      <c r="P222" s="360">
        <f t="shared" si="1115"/>
        <v>0.12</v>
      </c>
      <c r="Q222" s="360" t="str">
        <f t="shared" si="1116"/>
        <v>?</v>
      </c>
      <c r="R222" s="360">
        <f t="shared" si="1117"/>
        <v>0</v>
      </c>
      <c r="S222" s="361">
        <f t="shared" si="1118"/>
        <v>0</v>
      </c>
      <c r="T222" s="362">
        <f t="shared" si="1119"/>
        <v>0</v>
      </c>
      <c r="U222" s="53" t="str" cm="1">
        <f t="array" ref="U222">IFERROR(IF(I222&lt;&gt;"Serviço",IF(AND(mlookup(tbl_DIFAL_data,UFdestino,tbl_DIFAL_UF,O222,tbl_DIFAL_NCM)&lt;&gt;"",C222="Consumo"),"Sim",""),""),"?")</f>
        <v>?</v>
      </c>
      <c r="V222" s="363" t="str">
        <f>IFERROR(IF(I222&lt;&gt;"Serviço",IF(AND(D222="Não",mlookup(tbl_ST_data,UFdestino,tbl_ST_UF,O222,tbl_ST_NCM)&lt;&gt;"",C222="Revenda",CD222="Não"),"Sim",""),""),"?")</f>
        <v>?</v>
      </c>
      <c r="W222" s="364">
        <f t="shared" si="1120"/>
        <v>0</v>
      </c>
      <c r="X222" s="365">
        <f>IF(V222="Sim",mlookup(tbl_ST_data,UFdestino,tbl_ST_UF,O222,tbl_ST_NCM),0)</f>
        <v>0</v>
      </c>
      <c r="Z222" s="355">
        <f t="shared" si="1121"/>
        <v>0</v>
      </c>
      <c r="AA222" s="355">
        <f t="shared" si="1107"/>
        <v>0</v>
      </c>
      <c r="AC222" s="366">
        <f t="shared" si="1179"/>
        <v>1.31243473968765E-2</v>
      </c>
      <c r="AD222" s="366">
        <f t="shared" si="1122"/>
        <v>0.15</v>
      </c>
      <c r="AF222" s="355">
        <f t="shared" si="1123"/>
        <v>0</v>
      </c>
      <c r="AG222" s="355">
        <f t="shared" si="1124"/>
        <v>0</v>
      </c>
      <c r="AI222" s="355">
        <f t="shared" si="1125"/>
        <v>0</v>
      </c>
      <c r="AK222" s="366">
        <f t="shared" si="1180"/>
        <v>0</v>
      </c>
      <c r="AL222" s="355">
        <f t="shared" si="1108"/>
        <v>0</v>
      </c>
      <c r="AM222" s="355">
        <f t="shared" si="1109"/>
        <v>0</v>
      </c>
      <c r="AO222" s="355" t="b">
        <f t="shared" si="1126"/>
        <v>1</v>
      </c>
      <c r="AQ222" s="367">
        <f t="shared" si="1127"/>
        <v>0</v>
      </c>
      <c r="AR222" s="367">
        <f t="shared" si="1110"/>
        <v>0</v>
      </c>
      <c r="AT222" s="367">
        <f t="shared" si="1128"/>
        <v>0</v>
      </c>
      <c r="AU222" s="367">
        <f t="shared" si="1129"/>
        <v>0</v>
      </c>
      <c r="AW222" s="367">
        <f t="shared" si="1130"/>
        <v>0</v>
      </c>
      <c r="AX222" s="367">
        <f t="shared" si="1131"/>
        <v>0</v>
      </c>
      <c r="AY222" s="367">
        <f t="shared" si="1132"/>
        <v>0</v>
      </c>
      <c r="AZ222" s="367">
        <f t="shared" si="1133"/>
        <v>0</v>
      </c>
      <c r="BB222" s="355">
        <f t="shared" si="1134"/>
        <v>0</v>
      </c>
      <c r="BC222" s="355">
        <f t="shared" si="1135"/>
        <v>0</v>
      </c>
      <c r="BD222" s="355">
        <f t="shared" si="1136"/>
        <v>0</v>
      </c>
      <c r="BE222" s="355">
        <f t="shared" si="1137"/>
        <v>0</v>
      </c>
      <c r="BF222" s="355">
        <f t="shared" si="1138"/>
        <v>0</v>
      </c>
      <c r="BH222" s="368">
        <f t="shared" si="1139"/>
        <v>0</v>
      </c>
      <c r="BJ222" s="369">
        <f t="shared" si="1140"/>
        <v>-0.12</v>
      </c>
      <c r="BK222" s="355">
        <f t="shared" si="1141"/>
        <v>0</v>
      </c>
      <c r="BL222" s="355">
        <f t="shared" si="1142"/>
        <v>0</v>
      </c>
      <c r="BN222" s="366">
        <f t="shared" si="1143"/>
        <v>0</v>
      </c>
      <c r="BO222" s="355">
        <f t="shared" si="1144"/>
        <v>0</v>
      </c>
      <c r="BP222" s="355">
        <f t="shared" si="1145"/>
        <v>0</v>
      </c>
      <c r="BQ222" s="355">
        <f t="shared" si="1146"/>
        <v>0</v>
      </c>
      <c r="BS222" s="367">
        <f t="shared" si="1147"/>
        <v>0</v>
      </c>
      <c r="BT222" s="355">
        <f t="shared" si="1148"/>
        <v>0</v>
      </c>
      <c r="BU222" s="355" t="b">
        <f t="shared" si="1111"/>
        <v>1</v>
      </c>
      <c r="BW222" s="355" t="str">
        <f t="shared" si="1149"/>
        <v/>
      </c>
      <c r="BX222" s="355">
        <f t="shared" si="1150"/>
        <v>0</v>
      </c>
      <c r="BY222" s="356">
        <f t="shared" si="1181"/>
        <v>0</v>
      </c>
      <c r="BZ222" s="355">
        <f t="shared" si="1151"/>
        <v>0</v>
      </c>
      <c r="CB222" s="102" t="str">
        <f t="shared" si="1152"/>
        <v>?</v>
      </c>
      <c r="CD222" s="355" t="str">
        <f t="shared" si="1153"/>
        <v>Não</v>
      </c>
      <c r="CE222" s="368">
        <f>ifzero(mlookup(tbl_ICMSinterest_data,UFdestino,tbl_ICMSinterest_ufdest,UForigem,tbl_ICMSinterest_uforig))</f>
        <v>0.12</v>
      </c>
      <c r="CF222" s="368">
        <f>IF(N222&gt;0,IF(I222&lt;&gt;"Serviço",ifzero(mlookup(tbl_ICMSinterno_data,UForigem,tbl_ICMSinterno_UF,O222,tbl_ICMSinterno_NCM),mlookup(tbl_ICMSinterest_data,UForigem,tbl_ICMSinterest_ufdest,UForigem,tbl_ICMSinterest_uforig)),""),0)</f>
        <v>0</v>
      </c>
      <c r="CG222" s="368">
        <f>IF(N222&gt;0,IF(I222&lt;&gt;"Serviço",ifzero(mlookup(tbl_ICMSinterno_data,UFdestino,tbl_ICMSinterno_UF,O222,tbl_ICMSinterno_NCM),mlookup(tbl_ICMSinterest_data,UFdestino,tbl_ICMSinterest_ufdest,UFdestino,tbl_ICMSinterest_uforig)),""),0)</f>
        <v>0</v>
      </c>
      <c r="CI222" s="355">
        <f t="shared" si="1154"/>
        <v>0</v>
      </c>
      <c r="CJ222" s="355">
        <f t="shared" si="1155"/>
        <v>0</v>
      </c>
      <c r="CK222" s="355">
        <f t="shared" si="1156"/>
        <v>0</v>
      </c>
      <c r="CL222" s="355">
        <f t="shared" si="1157"/>
        <v>0</v>
      </c>
      <c r="CN222" s="370">
        <f t="shared" si="1158"/>
        <v>1540</v>
      </c>
      <c r="CO222" s="355">
        <f t="shared" si="1159"/>
        <v>0</v>
      </c>
      <c r="CQ222" s="355" t="b">
        <f t="shared" si="1160"/>
        <v>0</v>
      </c>
      <c r="CR222" s="355" t="b">
        <f t="shared" si="1161"/>
        <v>1</v>
      </c>
      <c r="CS222" s="355" t="b">
        <f t="shared" si="1162"/>
        <v>0</v>
      </c>
      <c r="CU222" s="2">
        <f t="shared" si="1163"/>
        <v>0</v>
      </c>
      <c r="CV222" s="102">
        <f t="shared" si="1164"/>
        <v>0</v>
      </c>
      <c r="CW222" s="102">
        <f t="shared" si="1098"/>
        <v>0</v>
      </c>
      <c r="CX222" s="102">
        <f t="shared" si="1165"/>
        <v>0</v>
      </c>
      <c r="CY222" s="290">
        <f t="shared" si="1166"/>
        <v>0</v>
      </c>
      <c r="CZ222" s="102">
        <f t="shared" si="1100"/>
        <v>0</v>
      </c>
      <c r="DA222" s="290">
        <f t="shared" si="1167"/>
        <v>0</v>
      </c>
      <c r="DB222" s="102">
        <f t="shared" si="1101"/>
        <v>0</v>
      </c>
      <c r="DC222" s="290">
        <f t="shared" si="1168"/>
        <v>0</v>
      </c>
      <c r="DD222" s="102">
        <f t="shared" si="1099"/>
        <v>0</v>
      </c>
      <c r="DE222" s="592">
        <f>IF(D222="Sim",HLOOKUP($DH$5,Parametrização!$G$2:$H$4,2,FALSE),0)</f>
        <v>0</v>
      </c>
      <c r="DF222" s="102">
        <f t="shared" si="1102"/>
        <v>0</v>
      </c>
      <c r="DG222" s="592">
        <f>IF(D222="Sim",HLOOKUP($DH$5,Parametrização!$G$2:$H$4,3,FALSE),0)</f>
        <v>0</v>
      </c>
      <c r="DH222" s="102">
        <f t="shared" si="1103"/>
        <v>0</v>
      </c>
      <c r="DI222" s="102">
        <f t="shared" si="1104"/>
        <v>0</v>
      </c>
      <c r="DK222" s="3" t="str">
        <f t="shared" si="1169"/>
        <v>NA</v>
      </c>
      <c r="DL222" s="2" t="str">
        <f t="shared" si="1170"/>
        <v>NA</v>
      </c>
      <c r="DM222" s="3" t="str">
        <f t="shared" si="1171"/>
        <v>NA</v>
      </c>
      <c r="DN222" s="9" t="str">
        <f t="shared" si="1172"/>
        <v>NA</v>
      </c>
      <c r="DO222" s="637" t="str">
        <f t="shared" si="1173"/>
        <v>NA</v>
      </c>
      <c r="DP222" s="637"/>
      <c r="DQ222" s="3" t="str">
        <f t="shared" si="1174"/>
        <v>NA</v>
      </c>
      <c r="DR222" s="2" t="str">
        <f t="shared" si="1175"/>
        <v>NA</v>
      </c>
      <c r="DS222" s="3" t="str">
        <f t="shared" si="1176"/>
        <v>NA</v>
      </c>
      <c r="DT222" s="9" t="str">
        <f t="shared" si="1105"/>
        <v>NA</v>
      </c>
      <c r="DU222" s="637" t="str">
        <f t="shared" si="1106"/>
        <v>NA</v>
      </c>
      <c r="DV222" s="637"/>
      <c r="DW222" s="682"/>
      <c r="DX222" s="682"/>
      <c r="DY222" s="682"/>
      <c r="DZ222" s="637"/>
      <c r="EA222" s="643"/>
    </row>
    <row r="223" spans="1:131" s="355" customFormat="1" ht="20.100000000000001" customHeight="1" outlineLevel="1" x14ac:dyDescent="0.25">
      <c r="A223" s="356"/>
      <c r="B223" s="355" t="s">
        <v>268</v>
      </c>
      <c r="C223" s="355" t="str">
        <f t="shared" si="1177"/>
        <v>Consumo</v>
      </c>
      <c r="D223" s="355" t="s">
        <v>53</v>
      </c>
      <c r="E223" s="18" t="s">
        <v>38</v>
      </c>
      <c r="F223" s="355" t="s">
        <v>53</v>
      </c>
      <c r="G223" s="357" t="str">
        <f t="shared" si="1178"/>
        <v>Geral</v>
      </c>
      <c r="H223" s="255" t="s">
        <v>377</v>
      </c>
      <c r="I223" s="356" t="str">
        <f t="shared" si="1112"/>
        <v>Sistema</v>
      </c>
      <c r="K223" s="318" t="s">
        <v>2976</v>
      </c>
      <c r="L223" s="749" t="str">
        <f>IF(Padrões!JF164&lt;&gt;"",Padrões!JF164,"")</f>
        <v/>
      </c>
      <c r="M223" s="358" t="str">
        <f t="shared" si="1113"/>
        <v>?</v>
      </c>
      <c r="N223" s="359">
        <f>Padrões!JI164</f>
        <v>0</v>
      </c>
      <c r="O223" s="381" t="str">
        <f t="shared" si="1114"/>
        <v>?</v>
      </c>
      <c r="P223" s="360">
        <f t="shared" si="1115"/>
        <v>0.12</v>
      </c>
      <c r="Q223" s="360" t="str">
        <f t="shared" si="1116"/>
        <v>?</v>
      </c>
      <c r="R223" s="360">
        <f t="shared" si="1117"/>
        <v>0</v>
      </c>
      <c r="S223" s="361">
        <f t="shared" si="1118"/>
        <v>0</v>
      </c>
      <c r="T223" s="362">
        <f t="shared" si="1119"/>
        <v>0</v>
      </c>
      <c r="U223" s="53" t="str" cm="1">
        <f t="array" ref="U223">IFERROR(IF(I223&lt;&gt;"Serviço",IF(AND(mlookup(tbl_DIFAL_data,UFdestino,tbl_DIFAL_UF,O223,tbl_DIFAL_NCM)&lt;&gt;"",C223="Consumo"),"Sim",""),""),"?")</f>
        <v>?</v>
      </c>
      <c r="V223" s="363" t="str">
        <f>IFERROR(IF(I223&lt;&gt;"Serviço",IF(AND(D223="Não",mlookup(tbl_ST_data,UFdestino,tbl_ST_UF,O223,tbl_ST_NCM)&lt;&gt;"",C223="Revenda",CD223="Não"),"Sim",""),""),"?")</f>
        <v>?</v>
      </c>
      <c r="W223" s="364">
        <f t="shared" si="1120"/>
        <v>0</v>
      </c>
      <c r="X223" s="365">
        <f>IF(V223="Sim",mlookup(tbl_ST_data,UFdestino,tbl_ST_UF,O223,tbl_ST_NCM),0)</f>
        <v>0</v>
      </c>
      <c r="Z223" s="355">
        <f t="shared" si="1121"/>
        <v>0</v>
      </c>
      <c r="AA223" s="355">
        <f t="shared" si="1107"/>
        <v>0</v>
      </c>
      <c r="AC223" s="366">
        <f t="shared" si="1179"/>
        <v>1.31243473968765E-2</v>
      </c>
      <c r="AD223" s="366">
        <f t="shared" si="1122"/>
        <v>0.15</v>
      </c>
      <c r="AF223" s="355">
        <f t="shared" si="1123"/>
        <v>0</v>
      </c>
      <c r="AG223" s="355">
        <f t="shared" si="1124"/>
        <v>0</v>
      </c>
      <c r="AI223" s="355">
        <f t="shared" si="1125"/>
        <v>0</v>
      </c>
      <c r="AK223" s="366">
        <f t="shared" si="1180"/>
        <v>0</v>
      </c>
      <c r="AL223" s="355">
        <f t="shared" si="1108"/>
        <v>0</v>
      </c>
      <c r="AM223" s="355">
        <f t="shared" si="1109"/>
        <v>0</v>
      </c>
      <c r="AO223" s="355" t="b">
        <f t="shared" si="1126"/>
        <v>1</v>
      </c>
      <c r="AQ223" s="367">
        <f t="shared" si="1127"/>
        <v>0</v>
      </c>
      <c r="AR223" s="367">
        <f t="shared" si="1110"/>
        <v>0</v>
      </c>
      <c r="AT223" s="367">
        <f t="shared" si="1128"/>
        <v>0</v>
      </c>
      <c r="AU223" s="367">
        <f t="shared" si="1129"/>
        <v>0</v>
      </c>
      <c r="AW223" s="367">
        <f t="shared" si="1130"/>
        <v>0</v>
      </c>
      <c r="AX223" s="367">
        <f t="shared" si="1131"/>
        <v>0</v>
      </c>
      <c r="AY223" s="367">
        <f t="shared" si="1132"/>
        <v>0</v>
      </c>
      <c r="AZ223" s="367">
        <f t="shared" si="1133"/>
        <v>0</v>
      </c>
      <c r="BB223" s="355">
        <f t="shared" si="1134"/>
        <v>0</v>
      </c>
      <c r="BC223" s="355">
        <f t="shared" si="1135"/>
        <v>0</v>
      </c>
      <c r="BD223" s="355">
        <f t="shared" si="1136"/>
        <v>0</v>
      </c>
      <c r="BE223" s="355">
        <f t="shared" si="1137"/>
        <v>0</v>
      </c>
      <c r="BF223" s="355">
        <f t="shared" si="1138"/>
        <v>0</v>
      </c>
      <c r="BH223" s="368">
        <f t="shared" si="1139"/>
        <v>0</v>
      </c>
      <c r="BJ223" s="369">
        <f t="shared" si="1140"/>
        <v>-0.12</v>
      </c>
      <c r="BK223" s="355">
        <f t="shared" si="1141"/>
        <v>0</v>
      </c>
      <c r="BL223" s="355">
        <f t="shared" si="1142"/>
        <v>0</v>
      </c>
      <c r="BN223" s="366">
        <f t="shared" si="1143"/>
        <v>0</v>
      </c>
      <c r="BO223" s="355">
        <f t="shared" si="1144"/>
        <v>0</v>
      </c>
      <c r="BP223" s="355">
        <f t="shared" si="1145"/>
        <v>0</v>
      </c>
      <c r="BQ223" s="355">
        <f t="shared" si="1146"/>
        <v>0</v>
      </c>
      <c r="BS223" s="367">
        <f t="shared" si="1147"/>
        <v>0</v>
      </c>
      <c r="BT223" s="355">
        <f t="shared" si="1148"/>
        <v>0</v>
      </c>
      <c r="BU223" s="355" t="b">
        <f t="shared" si="1111"/>
        <v>1</v>
      </c>
      <c r="BW223" s="355" t="str">
        <f t="shared" si="1149"/>
        <v/>
      </c>
      <c r="BX223" s="355">
        <f t="shared" si="1150"/>
        <v>0</v>
      </c>
      <c r="BY223" s="356">
        <f t="shared" si="1181"/>
        <v>0</v>
      </c>
      <c r="BZ223" s="355">
        <f t="shared" si="1151"/>
        <v>0</v>
      </c>
      <c r="CB223" s="102" t="str">
        <f t="shared" si="1152"/>
        <v>?</v>
      </c>
      <c r="CD223" s="355" t="str">
        <f t="shared" si="1153"/>
        <v>Não</v>
      </c>
      <c r="CE223" s="368">
        <f>ifzero(mlookup(tbl_ICMSinterest_data,UFdestino,tbl_ICMSinterest_ufdest,UForigem,tbl_ICMSinterest_uforig))</f>
        <v>0.12</v>
      </c>
      <c r="CF223" s="368">
        <f>IF(N223&gt;0,IF(I223&lt;&gt;"Serviço",ifzero(mlookup(tbl_ICMSinterno_data,UForigem,tbl_ICMSinterno_UF,O223,tbl_ICMSinterno_NCM),mlookup(tbl_ICMSinterest_data,UForigem,tbl_ICMSinterest_ufdest,UForigem,tbl_ICMSinterest_uforig)),""),0)</f>
        <v>0</v>
      </c>
      <c r="CG223" s="368">
        <f>IF(N223&gt;0,IF(I223&lt;&gt;"Serviço",ifzero(mlookup(tbl_ICMSinterno_data,UFdestino,tbl_ICMSinterno_UF,O223,tbl_ICMSinterno_NCM),mlookup(tbl_ICMSinterest_data,UFdestino,tbl_ICMSinterest_ufdest,UFdestino,tbl_ICMSinterest_uforig)),""),0)</f>
        <v>0</v>
      </c>
      <c r="CI223" s="355">
        <f t="shared" si="1154"/>
        <v>0</v>
      </c>
      <c r="CJ223" s="355">
        <f t="shared" si="1155"/>
        <v>0</v>
      </c>
      <c r="CK223" s="355">
        <f t="shared" si="1156"/>
        <v>0</v>
      </c>
      <c r="CL223" s="355">
        <f t="shared" si="1157"/>
        <v>0</v>
      </c>
      <c r="CN223" s="370">
        <f t="shared" si="1158"/>
        <v>1540</v>
      </c>
      <c r="CO223" s="355">
        <f t="shared" si="1159"/>
        <v>0</v>
      </c>
      <c r="CQ223" s="355" t="b">
        <f t="shared" si="1160"/>
        <v>0</v>
      </c>
      <c r="CR223" s="355" t="b">
        <f t="shared" si="1161"/>
        <v>1</v>
      </c>
      <c r="CS223" s="355" t="b">
        <f t="shared" si="1162"/>
        <v>0</v>
      </c>
      <c r="CU223" s="2">
        <f t="shared" si="1163"/>
        <v>0</v>
      </c>
      <c r="CV223" s="102">
        <f t="shared" si="1164"/>
        <v>0</v>
      </c>
      <c r="CW223" s="102">
        <f t="shared" si="1098"/>
        <v>0</v>
      </c>
      <c r="CX223" s="102">
        <f t="shared" si="1165"/>
        <v>0</v>
      </c>
      <c r="CY223" s="290">
        <f t="shared" si="1166"/>
        <v>0</v>
      </c>
      <c r="CZ223" s="102">
        <f t="shared" si="1100"/>
        <v>0</v>
      </c>
      <c r="DA223" s="290">
        <f t="shared" si="1167"/>
        <v>0</v>
      </c>
      <c r="DB223" s="102">
        <f t="shared" si="1101"/>
        <v>0</v>
      </c>
      <c r="DC223" s="290">
        <f t="shared" si="1168"/>
        <v>0</v>
      </c>
      <c r="DD223" s="102">
        <f t="shared" si="1099"/>
        <v>0</v>
      </c>
      <c r="DE223" s="592">
        <f>IF(D223="Sim",HLOOKUP($DH$5,Parametrização!$G$2:$H$4,2,FALSE),0)</f>
        <v>0</v>
      </c>
      <c r="DF223" s="102">
        <f t="shared" si="1102"/>
        <v>0</v>
      </c>
      <c r="DG223" s="592">
        <f>IF(D223="Sim",HLOOKUP($DH$5,Parametrização!$G$2:$H$4,3,FALSE),0)</f>
        <v>0</v>
      </c>
      <c r="DH223" s="102">
        <f t="shared" si="1103"/>
        <v>0</v>
      </c>
      <c r="DI223" s="102">
        <f t="shared" si="1104"/>
        <v>0</v>
      </c>
      <c r="DK223" s="3" t="str">
        <f t="shared" si="1169"/>
        <v>NA</v>
      </c>
      <c r="DL223" s="2" t="str">
        <f t="shared" si="1170"/>
        <v>NA</v>
      </c>
      <c r="DM223" s="3" t="str">
        <f t="shared" si="1171"/>
        <v>NA</v>
      </c>
      <c r="DN223" s="9" t="str">
        <f t="shared" si="1172"/>
        <v>NA</v>
      </c>
      <c r="DO223" s="637" t="str">
        <f t="shared" si="1173"/>
        <v>NA</v>
      </c>
      <c r="DP223" s="637"/>
      <c r="DQ223" s="3" t="str">
        <f t="shared" si="1174"/>
        <v>NA</v>
      </c>
      <c r="DR223" s="2" t="str">
        <f t="shared" si="1175"/>
        <v>NA</v>
      </c>
      <c r="DS223" s="3" t="str">
        <f t="shared" si="1176"/>
        <v>NA</v>
      </c>
      <c r="DT223" s="9" t="str">
        <f t="shared" si="1105"/>
        <v>NA</v>
      </c>
      <c r="DU223" s="637" t="str">
        <f t="shared" si="1106"/>
        <v>NA</v>
      </c>
      <c r="DV223" s="637"/>
      <c r="DW223" s="682"/>
      <c r="DX223" s="682"/>
      <c r="DY223" s="682"/>
      <c r="DZ223" s="637"/>
      <c r="EA223" s="643"/>
    </row>
    <row r="224" spans="1:131" s="355" customFormat="1" ht="20.100000000000001" customHeight="1" outlineLevel="1" x14ac:dyDescent="0.25">
      <c r="A224" s="356"/>
      <c r="B224" s="355" t="s">
        <v>268</v>
      </c>
      <c r="C224" s="355" t="str">
        <f t="shared" si="1177"/>
        <v>Consumo</v>
      </c>
      <c r="D224" s="355" t="s">
        <v>53</v>
      </c>
      <c r="E224" s="18" t="s">
        <v>38</v>
      </c>
      <c r="F224" s="355" t="s">
        <v>53</v>
      </c>
      <c r="G224" s="357" t="str">
        <f t="shared" si="1178"/>
        <v>Geral</v>
      </c>
      <c r="H224" s="255" t="s">
        <v>377</v>
      </c>
      <c r="I224" s="356" t="str">
        <f t="shared" si="1112"/>
        <v>Sistema</v>
      </c>
      <c r="K224" s="318" t="s">
        <v>2977</v>
      </c>
      <c r="L224" s="749" t="str">
        <f>IF(Padrões!JF165&lt;&gt;"",Padrões!JF165,"")</f>
        <v/>
      </c>
      <c r="M224" s="358" t="str">
        <f t="shared" si="1113"/>
        <v>?</v>
      </c>
      <c r="N224" s="359">
        <f>Padrões!JI165</f>
        <v>0</v>
      </c>
      <c r="O224" s="381" t="str">
        <f t="shared" si="1114"/>
        <v>?</v>
      </c>
      <c r="P224" s="360">
        <f t="shared" si="1115"/>
        <v>0.12</v>
      </c>
      <c r="Q224" s="360" t="str">
        <f t="shared" si="1116"/>
        <v>?</v>
      </c>
      <c r="R224" s="360">
        <f t="shared" si="1117"/>
        <v>0</v>
      </c>
      <c r="S224" s="361">
        <f t="shared" si="1118"/>
        <v>0</v>
      </c>
      <c r="T224" s="362">
        <f t="shared" si="1119"/>
        <v>0</v>
      </c>
      <c r="U224" s="53" t="str" cm="1">
        <f t="array" ref="U224">IFERROR(IF(I224&lt;&gt;"Serviço",IF(AND(mlookup(tbl_DIFAL_data,UFdestino,tbl_DIFAL_UF,O224,tbl_DIFAL_NCM)&lt;&gt;"",C224="Consumo"),"Sim",""),""),"?")</f>
        <v>?</v>
      </c>
      <c r="V224" s="363" t="str">
        <f>IFERROR(IF(I224&lt;&gt;"Serviço",IF(AND(D224="Não",mlookup(tbl_ST_data,UFdestino,tbl_ST_UF,O224,tbl_ST_NCM)&lt;&gt;"",C224="Revenda",CD224="Não"),"Sim",""),""),"?")</f>
        <v>?</v>
      </c>
      <c r="W224" s="364">
        <f t="shared" si="1120"/>
        <v>0</v>
      </c>
      <c r="X224" s="365">
        <f>IF(V224="Sim",mlookup(tbl_ST_data,UFdestino,tbl_ST_UF,O224,tbl_ST_NCM),0)</f>
        <v>0</v>
      </c>
      <c r="Z224" s="355">
        <f t="shared" si="1121"/>
        <v>0</v>
      </c>
      <c r="AA224" s="355">
        <f t="shared" si="1107"/>
        <v>0</v>
      </c>
      <c r="AC224" s="366">
        <f t="shared" si="1179"/>
        <v>1.31243473968765E-2</v>
      </c>
      <c r="AD224" s="366">
        <f t="shared" si="1122"/>
        <v>0.15</v>
      </c>
      <c r="AF224" s="355">
        <f t="shared" si="1123"/>
        <v>0</v>
      </c>
      <c r="AG224" s="355">
        <f t="shared" si="1124"/>
        <v>0</v>
      </c>
      <c r="AI224" s="355">
        <f t="shared" si="1125"/>
        <v>0</v>
      </c>
      <c r="AK224" s="366">
        <f t="shared" si="1180"/>
        <v>0</v>
      </c>
      <c r="AL224" s="355">
        <f t="shared" si="1108"/>
        <v>0</v>
      </c>
      <c r="AM224" s="355">
        <f t="shared" si="1109"/>
        <v>0</v>
      </c>
      <c r="AO224" s="355" t="b">
        <f t="shared" si="1126"/>
        <v>1</v>
      </c>
      <c r="AQ224" s="367">
        <f t="shared" si="1127"/>
        <v>0</v>
      </c>
      <c r="AR224" s="367">
        <f t="shared" si="1110"/>
        <v>0</v>
      </c>
      <c r="AT224" s="367">
        <f t="shared" si="1128"/>
        <v>0</v>
      </c>
      <c r="AU224" s="367">
        <f t="shared" si="1129"/>
        <v>0</v>
      </c>
      <c r="AW224" s="367">
        <f t="shared" si="1130"/>
        <v>0</v>
      </c>
      <c r="AX224" s="367">
        <f t="shared" si="1131"/>
        <v>0</v>
      </c>
      <c r="AY224" s="367">
        <f t="shared" si="1132"/>
        <v>0</v>
      </c>
      <c r="AZ224" s="367">
        <f t="shared" si="1133"/>
        <v>0</v>
      </c>
      <c r="BB224" s="355">
        <f t="shared" si="1134"/>
        <v>0</v>
      </c>
      <c r="BC224" s="355">
        <f t="shared" si="1135"/>
        <v>0</v>
      </c>
      <c r="BD224" s="355">
        <f t="shared" si="1136"/>
        <v>0</v>
      </c>
      <c r="BE224" s="355">
        <f t="shared" si="1137"/>
        <v>0</v>
      </c>
      <c r="BF224" s="355">
        <f t="shared" si="1138"/>
        <v>0</v>
      </c>
      <c r="BH224" s="368">
        <f t="shared" si="1139"/>
        <v>0</v>
      </c>
      <c r="BJ224" s="369">
        <f t="shared" si="1140"/>
        <v>-0.12</v>
      </c>
      <c r="BK224" s="355">
        <f t="shared" si="1141"/>
        <v>0</v>
      </c>
      <c r="BL224" s="355">
        <f t="shared" si="1142"/>
        <v>0</v>
      </c>
      <c r="BN224" s="366">
        <f t="shared" si="1143"/>
        <v>0</v>
      </c>
      <c r="BO224" s="355">
        <f t="shared" si="1144"/>
        <v>0</v>
      </c>
      <c r="BP224" s="355">
        <f t="shared" si="1145"/>
        <v>0</v>
      </c>
      <c r="BQ224" s="355">
        <f t="shared" si="1146"/>
        <v>0</v>
      </c>
      <c r="BS224" s="367">
        <f t="shared" si="1147"/>
        <v>0</v>
      </c>
      <c r="BT224" s="355">
        <f t="shared" si="1148"/>
        <v>0</v>
      </c>
      <c r="BU224" s="355" t="b">
        <f t="shared" si="1111"/>
        <v>1</v>
      </c>
      <c r="BW224" s="355" t="str">
        <f t="shared" si="1149"/>
        <v/>
      </c>
      <c r="BX224" s="355">
        <f t="shared" si="1150"/>
        <v>0</v>
      </c>
      <c r="BY224" s="356">
        <f t="shared" si="1181"/>
        <v>0</v>
      </c>
      <c r="BZ224" s="355">
        <f t="shared" si="1151"/>
        <v>0</v>
      </c>
      <c r="CB224" s="102" t="str">
        <f t="shared" si="1152"/>
        <v>?</v>
      </c>
      <c r="CD224" s="355" t="str">
        <f t="shared" si="1153"/>
        <v>Não</v>
      </c>
      <c r="CE224" s="368">
        <f>ifzero(mlookup(tbl_ICMSinterest_data,UFdestino,tbl_ICMSinterest_ufdest,UForigem,tbl_ICMSinterest_uforig))</f>
        <v>0.12</v>
      </c>
      <c r="CF224" s="368">
        <f>IF(N224&gt;0,IF(I224&lt;&gt;"Serviço",ifzero(mlookup(tbl_ICMSinterno_data,UForigem,tbl_ICMSinterno_UF,O224,tbl_ICMSinterno_NCM),mlookup(tbl_ICMSinterest_data,UForigem,tbl_ICMSinterest_ufdest,UForigem,tbl_ICMSinterest_uforig)),""),0)</f>
        <v>0</v>
      </c>
      <c r="CG224" s="368">
        <f>IF(N224&gt;0,IF(I224&lt;&gt;"Serviço",ifzero(mlookup(tbl_ICMSinterno_data,UFdestino,tbl_ICMSinterno_UF,O224,tbl_ICMSinterno_NCM),mlookup(tbl_ICMSinterest_data,UFdestino,tbl_ICMSinterest_ufdest,UFdestino,tbl_ICMSinterest_uforig)),""),0)</f>
        <v>0</v>
      </c>
      <c r="CI224" s="355">
        <f t="shared" si="1154"/>
        <v>0</v>
      </c>
      <c r="CJ224" s="355">
        <f t="shared" si="1155"/>
        <v>0</v>
      </c>
      <c r="CK224" s="355">
        <f t="shared" si="1156"/>
        <v>0</v>
      </c>
      <c r="CL224" s="355">
        <f t="shared" si="1157"/>
        <v>0</v>
      </c>
      <c r="CN224" s="370">
        <f t="shared" si="1158"/>
        <v>1540</v>
      </c>
      <c r="CO224" s="355">
        <f t="shared" si="1159"/>
        <v>0</v>
      </c>
      <c r="CQ224" s="355" t="b">
        <f t="shared" si="1160"/>
        <v>0</v>
      </c>
      <c r="CR224" s="355" t="b">
        <f t="shared" si="1161"/>
        <v>1</v>
      </c>
      <c r="CS224" s="355" t="b">
        <f t="shared" si="1162"/>
        <v>0</v>
      </c>
      <c r="CU224" s="2">
        <f t="shared" si="1163"/>
        <v>0</v>
      </c>
      <c r="CV224" s="102">
        <f t="shared" si="1164"/>
        <v>0</v>
      </c>
      <c r="CW224" s="102">
        <f t="shared" ref="CW224:CW272" si="1182">CX224*(1-CY224-DA224-DE224-DG224)/(1+DC224)</f>
        <v>0</v>
      </c>
      <c r="CX224" s="102">
        <f t="shared" si="1165"/>
        <v>0</v>
      </c>
      <c r="CY224" s="290">
        <f t="shared" si="1166"/>
        <v>0</v>
      </c>
      <c r="CZ224" s="102">
        <f t="shared" si="1100"/>
        <v>0</v>
      </c>
      <c r="DA224" s="290">
        <f t="shared" si="1167"/>
        <v>0</v>
      </c>
      <c r="DB224" s="102">
        <f t="shared" si="1101"/>
        <v>0</v>
      </c>
      <c r="DC224" s="290">
        <f t="shared" si="1168"/>
        <v>0</v>
      </c>
      <c r="DD224" s="102">
        <f t="shared" si="1099"/>
        <v>0</v>
      </c>
      <c r="DE224" s="592">
        <f>IF(D224="Sim",HLOOKUP($DH$5,Parametrização!$G$2:$H$4,2,FALSE),0)</f>
        <v>0</v>
      </c>
      <c r="DF224" s="102">
        <f t="shared" si="1102"/>
        <v>0</v>
      </c>
      <c r="DG224" s="592">
        <f>IF(D224="Sim",HLOOKUP($DH$5,Parametrização!$G$2:$H$4,3,FALSE),0)</f>
        <v>0</v>
      </c>
      <c r="DH224" s="102">
        <f t="shared" si="1103"/>
        <v>0</v>
      </c>
      <c r="DI224" s="102">
        <f t="shared" si="1104"/>
        <v>0</v>
      </c>
      <c r="DK224" s="3" t="str">
        <f t="shared" si="1169"/>
        <v>NA</v>
      </c>
      <c r="DL224" s="2" t="str">
        <f t="shared" si="1170"/>
        <v>NA</v>
      </c>
      <c r="DM224" s="3" t="str">
        <f t="shared" si="1171"/>
        <v>NA</v>
      </c>
      <c r="DN224" s="9" t="str">
        <f t="shared" si="1172"/>
        <v>NA</v>
      </c>
      <c r="DO224" s="637" t="str">
        <f t="shared" si="1173"/>
        <v>NA</v>
      </c>
      <c r="DP224" s="637"/>
      <c r="DQ224" s="3" t="str">
        <f t="shared" si="1174"/>
        <v>NA</v>
      </c>
      <c r="DR224" s="2" t="str">
        <f t="shared" si="1175"/>
        <v>NA</v>
      </c>
      <c r="DS224" s="3" t="str">
        <f t="shared" si="1176"/>
        <v>NA</v>
      </c>
      <c r="DT224" s="9" t="str">
        <f t="shared" si="1105"/>
        <v>NA</v>
      </c>
      <c r="DU224" s="637" t="str">
        <f t="shared" si="1106"/>
        <v>NA</v>
      </c>
      <c r="DV224" s="637"/>
      <c r="DW224" s="682"/>
      <c r="DX224" s="682"/>
      <c r="DY224" s="682"/>
      <c r="DZ224" s="637"/>
      <c r="EA224" s="643"/>
    </row>
    <row r="225" spans="1:131" s="355" customFormat="1" ht="20.100000000000001" customHeight="1" outlineLevel="1" x14ac:dyDescent="0.25">
      <c r="A225" s="356"/>
      <c r="B225" s="355" t="s">
        <v>268</v>
      </c>
      <c r="C225" s="355" t="str">
        <f t="shared" si="1177"/>
        <v>Consumo</v>
      </c>
      <c r="D225" s="355" t="s">
        <v>53</v>
      </c>
      <c r="E225" s="18" t="s">
        <v>38</v>
      </c>
      <c r="F225" s="355" t="s">
        <v>53</v>
      </c>
      <c r="G225" s="357" t="str">
        <f t="shared" si="1178"/>
        <v>Geral</v>
      </c>
      <c r="H225" s="255" t="s">
        <v>377</v>
      </c>
      <c r="I225" s="356" t="str">
        <f t="shared" si="1112"/>
        <v>Sistema</v>
      </c>
      <c r="K225" s="318" t="s">
        <v>2978</v>
      </c>
      <c r="L225" s="749" t="str">
        <f>IF(Padrões!JF166&lt;&gt;"",Padrões!JF166,"")</f>
        <v/>
      </c>
      <c r="M225" s="358" t="str">
        <f t="shared" si="1113"/>
        <v>?</v>
      </c>
      <c r="N225" s="359">
        <f>Padrões!JI166</f>
        <v>0</v>
      </c>
      <c r="O225" s="381" t="str">
        <f t="shared" si="1114"/>
        <v>?</v>
      </c>
      <c r="P225" s="360">
        <f t="shared" si="1115"/>
        <v>0.12</v>
      </c>
      <c r="Q225" s="360" t="str">
        <f t="shared" si="1116"/>
        <v>?</v>
      </c>
      <c r="R225" s="360">
        <f t="shared" si="1117"/>
        <v>0</v>
      </c>
      <c r="S225" s="361">
        <f t="shared" si="1118"/>
        <v>0</v>
      </c>
      <c r="T225" s="362">
        <f t="shared" si="1119"/>
        <v>0</v>
      </c>
      <c r="U225" s="53" t="str" cm="1">
        <f t="array" ref="U225">IFERROR(IF(I225&lt;&gt;"Serviço",IF(AND(mlookup(tbl_DIFAL_data,UFdestino,tbl_DIFAL_UF,O225,tbl_DIFAL_NCM)&lt;&gt;"",C225="Consumo"),"Sim",""),""),"?")</f>
        <v>?</v>
      </c>
      <c r="V225" s="363" t="str">
        <f>IFERROR(IF(I225&lt;&gt;"Serviço",IF(AND(D225="Não",mlookup(tbl_ST_data,UFdestino,tbl_ST_UF,O225,tbl_ST_NCM)&lt;&gt;"",C225="Revenda",CD225="Não"),"Sim",""),""),"?")</f>
        <v>?</v>
      </c>
      <c r="W225" s="364">
        <f t="shared" si="1120"/>
        <v>0</v>
      </c>
      <c r="X225" s="365">
        <f>IF(V225="Sim",mlookup(tbl_ST_data,UFdestino,tbl_ST_UF,O225,tbl_ST_NCM),0)</f>
        <v>0</v>
      </c>
      <c r="Z225" s="355">
        <f t="shared" si="1121"/>
        <v>0</v>
      </c>
      <c r="AA225" s="355">
        <f t="shared" si="1107"/>
        <v>0</v>
      </c>
      <c r="AC225" s="366">
        <f t="shared" si="1179"/>
        <v>1.31243473968765E-2</v>
      </c>
      <c r="AD225" s="366">
        <f t="shared" si="1122"/>
        <v>0.15</v>
      </c>
      <c r="AF225" s="355">
        <f t="shared" si="1123"/>
        <v>0</v>
      </c>
      <c r="AG225" s="355">
        <f t="shared" si="1124"/>
        <v>0</v>
      </c>
      <c r="AI225" s="355">
        <f t="shared" si="1125"/>
        <v>0</v>
      </c>
      <c r="AK225" s="366">
        <f t="shared" si="1180"/>
        <v>0</v>
      </c>
      <c r="AL225" s="355">
        <f t="shared" si="1108"/>
        <v>0</v>
      </c>
      <c r="AM225" s="355">
        <f t="shared" si="1109"/>
        <v>0</v>
      </c>
      <c r="AO225" s="355" t="b">
        <f t="shared" si="1126"/>
        <v>1</v>
      </c>
      <c r="AQ225" s="367">
        <f t="shared" si="1127"/>
        <v>0</v>
      </c>
      <c r="AR225" s="367">
        <f t="shared" si="1110"/>
        <v>0</v>
      </c>
      <c r="AT225" s="367">
        <f t="shared" si="1128"/>
        <v>0</v>
      </c>
      <c r="AU225" s="367">
        <f t="shared" si="1129"/>
        <v>0</v>
      </c>
      <c r="AW225" s="367">
        <f t="shared" si="1130"/>
        <v>0</v>
      </c>
      <c r="AX225" s="367">
        <f t="shared" si="1131"/>
        <v>0</v>
      </c>
      <c r="AY225" s="367">
        <f t="shared" si="1132"/>
        <v>0</v>
      </c>
      <c r="AZ225" s="367">
        <f t="shared" si="1133"/>
        <v>0</v>
      </c>
      <c r="BB225" s="355">
        <f t="shared" si="1134"/>
        <v>0</v>
      </c>
      <c r="BC225" s="355">
        <f t="shared" si="1135"/>
        <v>0</v>
      </c>
      <c r="BD225" s="355">
        <f t="shared" si="1136"/>
        <v>0</v>
      </c>
      <c r="BE225" s="355">
        <f t="shared" si="1137"/>
        <v>0</v>
      </c>
      <c r="BF225" s="355">
        <f t="shared" si="1138"/>
        <v>0</v>
      </c>
      <c r="BH225" s="368">
        <f t="shared" si="1139"/>
        <v>0</v>
      </c>
      <c r="BJ225" s="369">
        <f t="shared" si="1140"/>
        <v>-0.12</v>
      </c>
      <c r="BK225" s="355">
        <f t="shared" si="1141"/>
        <v>0</v>
      </c>
      <c r="BL225" s="355">
        <f t="shared" si="1142"/>
        <v>0</v>
      </c>
      <c r="BN225" s="366">
        <f t="shared" si="1143"/>
        <v>0</v>
      </c>
      <c r="BO225" s="355">
        <f t="shared" si="1144"/>
        <v>0</v>
      </c>
      <c r="BP225" s="355">
        <f t="shared" si="1145"/>
        <v>0</v>
      </c>
      <c r="BQ225" s="355">
        <f t="shared" si="1146"/>
        <v>0</v>
      </c>
      <c r="BS225" s="367">
        <f t="shared" si="1147"/>
        <v>0</v>
      </c>
      <c r="BT225" s="355">
        <f t="shared" si="1148"/>
        <v>0</v>
      </c>
      <c r="BU225" s="355" t="b">
        <f t="shared" si="1111"/>
        <v>1</v>
      </c>
      <c r="BW225" s="355" t="str">
        <f t="shared" si="1149"/>
        <v/>
      </c>
      <c r="BX225" s="355">
        <f t="shared" si="1150"/>
        <v>0</v>
      </c>
      <c r="BY225" s="356">
        <f t="shared" si="1181"/>
        <v>0</v>
      </c>
      <c r="BZ225" s="355">
        <f t="shared" si="1151"/>
        <v>0</v>
      </c>
      <c r="CB225" s="102" t="str">
        <f t="shared" si="1152"/>
        <v>?</v>
      </c>
      <c r="CD225" s="355" t="str">
        <f t="shared" si="1153"/>
        <v>Não</v>
      </c>
      <c r="CE225" s="368">
        <f>ifzero(mlookup(tbl_ICMSinterest_data,UFdestino,tbl_ICMSinterest_ufdest,UForigem,tbl_ICMSinterest_uforig))</f>
        <v>0.12</v>
      </c>
      <c r="CF225" s="368">
        <f>IF(N225&gt;0,IF(I225&lt;&gt;"Serviço",ifzero(mlookup(tbl_ICMSinterno_data,UForigem,tbl_ICMSinterno_UF,O225,tbl_ICMSinterno_NCM),mlookup(tbl_ICMSinterest_data,UForigem,tbl_ICMSinterest_ufdest,UForigem,tbl_ICMSinterest_uforig)),""),0)</f>
        <v>0</v>
      </c>
      <c r="CG225" s="368">
        <f>IF(N225&gt;0,IF(I225&lt;&gt;"Serviço",ifzero(mlookup(tbl_ICMSinterno_data,UFdestino,tbl_ICMSinterno_UF,O225,tbl_ICMSinterno_NCM),mlookup(tbl_ICMSinterest_data,UFdestino,tbl_ICMSinterest_ufdest,UFdestino,tbl_ICMSinterest_uforig)),""),0)</f>
        <v>0</v>
      </c>
      <c r="CI225" s="355">
        <f t="shared" si="1154"/>
        <v>0</v>
      </c>
      <c r="CJ225" s="355">
        <f t="shared" si="1155"/>
        <v>0</v>
      </c>
      <c r="CK225" s="355">
        <f t="shared" si="1156"/>
        <v>0</v>
      </c>
      <c r="CL225" s="355">
        <f t="shared" si="1157"/>
        <v>0</v>
      </c>
      <c r="CN225" s="370">
        <f t="shared" si="1158"/>
        <v>1540</v>
      </c>
      <c r="CO225" s="355">
        <f t="shared" si="1159"/>
        <v>0</v>
      </c>
      <c r="CQ225" s="355" t="b">
        <f t="shared" si="1160"/>
        <v>0</v>
      </c>
      <c r="CR225" s="355" t="b">
        <f t="shared" si="1161"/>
        <v>1</v>
      </c>
      <c r="CS225" s="355" t="b">
        <f t="shared" si="1162"/>
        <v>0</v>
      </c>
      <c r="CU225" s="2">
        <f t="shared" si="1163"/>
        <v>0</v>
      </c>
      <c r="CV225" s="102">
        <f t="shared" si="1164"/>
        <v>0</v>
      </c>
      <c r="CW225" s="102">
        <f t="shared" si="1182"/>
        <v>0</v>
      </c>
      <c r="CX225" s="102">
        <f t="shared" si="1165"/>
        <v>0</v>
      </c>
      <c r="CY225" s="290">
        <f t="shared" si="1166"/>
        <v>0</v>
      </c>
      <c r="CZ225" s="102">
        <f t="shared" si="1100"/>
        <v>0</v>
      </c>
      <c r="DA225" s="290">
        <f t="shared" si="1167"/>
        <v>0</v>
      </c>
      <c r="DB225" s="102">
        <f t="shared" si="1101"/>
        <v>0</v>
      </c>
      <c r="DC225" s="290">
        <f t="shared" si="1168"/>
        <v>0</v>
      </c>
      <c r="DD225" s="102">
        <f t="shared" si="1099"/>
        <v>0</v>
      </c>
      <c r="DE225" s="592">
        <f>IF(D225="Sim",HLOOKUP($DH$5,Parametrização!$G$2:$H$4,2,FALSE),0)</f>
        <v>0</v>
      </c>
      <c r="DF225" s="102">
        <f t="shared" si="1102"/>
        <v>0</v>
      </c>
      <c r="DG225" s="592">
        <f>IF(D225="Sim",HLOOKUP($DH$5,Parametrização!$G$2:$H$4,3,FALSE),0)</f>
        <v>0</v>
      </c>
      <c r="DH225" s="102">
        <f t="shared" si="1103"/>
        <v>0</v>
      </c>
      <c r="DI225" s="102">
        <f t="shared" si="1104"/>
        <v>0</v>
      </c>
      <c r="DK225" s="3" t="str">
        <f t="shared" si="1169"/>
        <v>NA</v>
      </c>
      <c r="DL225" s="2" t="str">
        <f t="shared" si="1170"/>
        <v>NA</v>
      </c>
      <c r="DM225" s="3" t="str">
        <f t="shared" si="1171"/>
        <v>NA</v>
      </c>
      <c r="DN225" s="9" t="str">
        <f t="shared" si="1172"/>
        <v>NA</v>
      </c>
      <c r="DO225" s="637" t="str">
        <f t="shared" si="1173"/>
        <v>NA</v>
      </c>
      <c r="DP225" s="637"/>
      <c r="DQ225" s="3" t="str">
        <f t="shared" si="1174"/>
        <v>NA</v>
      </c>
      <c r="DR225" s="2" t="str">
        <f t="shared" si="1175"/>
        <v>NA</v>
      </c>
      <c r="DS225" s="3" t="str">
        <f t="shared" si="1176"/>
        <v>NA</v>
      </c>
      <c r="DT225" s="9" t="str">
        <f t="shared" si="1105"/>
        <v>NA</v>
      </c>
      <c r="DU225" s="637" t="str">
        <f t="shared" si="1106"/>
        <v>NA</v>
      </c>
      <c r="DV225" s="637"/>
      <c r="DW225" s="682"/>
      <c r="DX225" s="682"/>
      <c r="DY225" s="682"/>
      <c r="DZ225" s="637"/>
      <c r="EA225" s="643"/>
    </row>
    <row r="226" spans="1:131" s="355" customFormat="1" ht="20.100000000000001" customHeight="1" outlineLevel="1" x14ac:dyDescent="0.25">
      <c r="A226" s="356"/>
      <c r="B226" s="355" t="s">
        <v>268</v>
      </c>
      <c r="C226" s="355" t="str">
        <f t="shared" si="1177"/>
        <v>Consumo</v>
      </c>
      <c r="D226" s="355" t="s">
        <v>53</v>
      </c>
      <c r="E226" s="18" t="s">
        <v>38</v>
      </c>
      <c r="F226" s="355" t="s">
        <v>53</v>
      </c>
      <c r="G226" s="357" t="str">
        <f t="shared" si="1178"/>
        <v>Geral</v>
      </c>
      <c r="H226" s="255" t="s">
        <v>377</v>
      </c>
      <c r="I226" s="356" t="str">
        <f t="shared" si="1112"/>
        <v>Sistema</v>
      </c>
      <c r="K226" s="318" t="s">
        <v>2979</v>
      </c>
      <c r="L226" s="749" t="str">
        <f>IF(Padrões!JF167&lt;&gt;"",Padrões!JF167,"")</f>
        <v/>
      </c>
      <c r="M226" s="358" t="str">
        <f t="shared" si="1113"/>
        <v>?</v>
      </c>
      <c r="N226" s="359">
        <f>Padrões!JI167</f>
        <v>0</v>
      </c>
      <c r="O226" s="381" t="str">
        <f t="shared" si="1114"/>
        <v>?</v>
      </c>
      <c r="P226" s="360">
        <f t="shared" si="1115"/>
        <v>0.12</v>
      </c>
      <c r="Q226" s="360" t="str">
        <f t="shared" si="1116"/>
        <v>?</v>
      </c>
      <c r="R226" s="360">
        <f t="shared" si="1117"/>
        <v>0</v>
      </c>
      <c r="S226" s="361">
        <f t="shared" si="1118"/>
        <v>0</v>
      </c>
      <c r="T226" s="362">
        <f t="shared" si="1119"/>
        <v>0</v>
      </c>
      <c r="U226" s="53" t="str" cm="1">
        <f t="array" ref="U226">IFERROR(IF(I226&lt;&gt;"Serviço",IF(AND(mlookup(tbl_DIFAL_data,UFdestino,tbl_DIFAL_UF,O226,tbl_DIFAL_NCM)&lt;&gt;"",C226="Consumo"),"Sim",""),""),"?")</f>
        <v>?</v>
      </c>
      <c r="V226" s="363" t="str">
        <f>IFERROR(IF(I226&lt;&gt;"Serviço",IF(AND(D226="Não",mlookup(tbl_ST_data,UFdestino,tbl_ST_UF,O226,tbl_ST_NCM)&lt;&gt;"",C226="Revenda",CD226="Não"),"Sim",""),""),"?")</f>
        <v>?</v>
      </c>
      <c r="W226" s="364">
        <f t="shared" si="1120"/>
        <v>0</v>
      </c>
      <c r="X226" s="365">
        <f>IF(V226="Sim",mlookup(tbl_ST_data,UFdestino,tbl_ST_UF,O226,tbl_ST_NCM),0)</f>
        <v>0</v>
      </c>
      <c r="Z226" s="355">
        <f t="shared" si="1121"/>
        <v>0</v>
      </c>
      <c r="AA226" s="355">
        <f t="shared" si="1107"/>
        <v>0</v>
      </c>
      <c r="AC226" s="366">
        <f t="shared" si="1179"/>
        <v>1.31243473968765E-2</v>
      </c>
      <c r="AD226" s="366">
        <f t="shared" si="1122"/>
        <v>0.15</v>
      </c>
      <c r="AF226" s="355">
        <f t="shared" si="1123"/>
        <v>0</v>
      </c>
      <c r="AG226" s="355">
        <f t="shared" si="1124"/>
        <v>0</v>
      </c>
      <c r="AI226" s="355">
        <f t="shared" si="1125"/>
        <v>0</v>
      </c>
      <c r="AK226" s="366">
        <f t="shared" si="1180"/>
        <v>0</v>
      </c>
      <c r="AL226" s="355">
        <f t="shared" si="1108"/>
        <v>0</v>
      </c>
      <c r="AM226" s="355">
        <f t="shared" si="1109"/>
        <v>0</v>
      </c>
      <c r="AO226" s="355" t="b">
        <f t="shared" si="1126"/>
        <v>1</v>
      </c>
      <c r="AQ226" s="367">
        <f t="shared" si="1127"/>
        <v>0</v>
      </c>
      <c r="AR226" s="367">
        <f t="shared" si="1110"/>
        <v>0</v>
      </c>
      <c r="AT226" s="367">
        <f t="shared" si="1128"/>
        <v>0</v>
      </c>
      <c r="AU226" s="367">
        <f t="shared" si="1129"/>
        <v>0</v>
      </c>
      <c r="AW226" s="367">
        <f t="shared" si="1130"/>
        <v>0</v>
      </c>
      <c r="AX226" s="367">
        <f t="shared" si="1131"/>
        <v>0</v>
      </c>
      <c r="AY226" s="367">
        <f t="shared" si="1132"/>
        <v>0</v>
      </c>
      <c r="AZ226" s="367">
        <f t="shared" si="1133"/>
        <v>0</v>
      </c>
      <c r="BB226" s="355">
        <f t="shared" si="1134"/>
        <v>0</v>
      </c>
      <c r="BC226" s="355">
        <f t="shared" si="1135"/>
        <v>0</v>
      </c>
      <c r="BD226" s="355">
        <f t="shared" si="1136"/>
        <v>0</v>
      </c>
      <c r="BE226" s="355">
        <f t="shared" si="1137"/>
        <v>0</v>
      </c>
      <c r="BF226" s="355">
        <f t="shared" si="1138"/>
        <v>0</v>
      </c>
      <c r="BH226" s="368">
        <f t="shared" si="1139"/>
        <v>0</v>
      </c>
      <c r="BJ226" s="369">
        <f t="shared" si="1140"/>
        <v>-0.12</v>
      </c>
      <c r="BK226" s="355">
        <f t="shared" si="1141"/>
        <v>0</v>
      </c>
      <c r="BL226" s="355">
        <f t="shared" si="1142"/>
        <v>0</v>
      </c>
      <c r="BN226" s="366">
        <f t="shared" si="1143"/>
        <v>0</v>
      </c>
      <c r="BO226" s="355">
        <f t="shared" si="1144"/>
        <v>0</v>
      </c>
      <c r="BP226" s="355">
        <f t="shared" si="1145"/>
        <v>0</v>
      </c>
      <c r="BQ226" s="355">
        <f t="shared" si="1146"/>
        <v>0</v>
      </c>
      <c r="BS226" s="367">
        <f t="shared" si="1147"/>
        <v>0</v>
      </c>
      <c r="BT226" s="355">
        <f t="shared" si="1148"/>
        <v>0</v>
      </c>
      <c r="BU226" s="355" t="b">
        <f t="shared" si="1111"/>
        <v>1</v>
      </c>
      <c r="BW226" s="355" t="str">
        <f t="shared" si="1149"/>
        <v/>
      </c>
      <c r="BX226" s="355">
        <f t="shared" si="1150"/>
        <v>0</v>
      </c>
      <c r="BY226" s="356">
        <f t="shared" si="1181"/>
        <v>0</v>
      </c>
      <c r="BZ226" s="355">
        <f t="shared" si="1151"/>
        <v>0</v>
      </c>
      <c r="CB226" s="102" t="str">
        <f t="shared" si="1152"/>
        <v>?</v>
      </c>
      <c r="CD226" s="355" t="str">
        <f t="shared" si="1153"/>
        <v>Não</v>
      </c>
      <c r="CE226" s="368">
        <f>ifzero(mlookup(tbl_ICMSinterest_data,UFdestino,tbl_ICMSinterest_ufdest,UForigem,tbl_ICMSinterest_uforig))</f>
        <v>0.12</v>
      </c>
      <c r="CF226" s="368">
        <f>IF(N226&gt;0,IF(I226&lt;&gt;"Serviço",ifzero(mlookup(tbl_ICMSinterno_data,UForigem,tbl_ICMSinterno_UF,O226,tbl_ICMSinterno_NCM),mlookup(tbl_ICMSinterest_data,UForigem,tbl_ICMSinterest_ufdest,UForigem,tbl_ICMSinterest_uforig)),""),0)</f>
        <v>0</v>
      </c>
      <c r="CG226" s="368">
        <f>IF(N226&gt;0,IF(I226&lt;&gt;"Serviço",ifzero(mlookup(tbl_ICMSinterno_data,UFdestino,tbl_ICMSinterno_UF,O226,tbl_ICMSinterno_NCM),mlookup(tbl_ICMSinterest_data,UFdestino,tbl_ICMSinterest_ufdest,UFdestino,tbl_ICMSinterest_uforig)),""),0)</f>
        <v>0</v>
      </c>
      <c r="CI226" s="355">
        <f t="shared" si="1154"/>
        <v>0</v>
      </c>
      <c r="CJ226" s="355">
        <f t="shared" si="1155"/>
        <v>0</v>
      </c>
      <c r="CK226" s="355">
        <f t="shared" si="1156"/>
        <v>0</v>
      </c>
      <c r="CL226" s="355">
        <f t="shared" si="1157"/>
        <v>0</v>
      </c>
      <c r="CN226" s="370">
        <f t="shared" si="1158"/>
        <v>1540</v>
      </c>
      <c r="CO226" s="355">
        <f t="shared" si="1159"/>
        <v>0</v>
      </c>
      <c r="CQ226" s="355" t="b">
        <f t="shared" si="1160"/>
        <v>0</v>
      </c>
      <c r="CR226" s="355" t="b">
        <f t="shared" si="1161"/>
        <v>1</v>
      </c>
      <c r="CS226" s="355" t="b">
        <f t="shared" si="1162"/>
        <v>0</v>
      </c>
      <c r="CU226" s="2">
        <f t="shared" si="1163"/>
        <v>0</v>
      </c>
      <c r="CV226" s="102">
        <f t="shared" si="1164"/>
        <v>0</v>
      </c>
      <c r="CW226" s="102">
        <f t="shared" si="1182"/>
        <v>0</v>
      </c>
      <c r="CX226" s="102">
        <f t="shared" si="1165"/>
        <v>0</v>
      </c>
      <c r="CY226" s="290">
        <f t="shared" si="1166"/>
        <v>0</v>
      </c>
      <c r="CZ226" s="102">
        <f t="shared" si="1100"/>
        <v>0</v>
      </c>
      <c r="DA226" s="290">
        <f t="shared" si="1167"/>
        <v>0</v>
      </c>
      <c r="DB226" s="102">
        <f t="shared" si="1101"/>
        <v>0</v>
      </c>
      <c r="DC226" s="290">
        <f t="shared" si="1168"/>
        <v>0</v>
      </c>
      <c r="DD226" s="102">
        <f t="shared" si="1099"/>
        <v>0</v>
      </c>
      <c r="DE226" s="592">
        <f>IF(D226="Sim",HLOOKUP($DH$5,Parametrização!$G$2:$H$4,2,FALSE),0)</f>
        <v>0</v>
      </c>
      <c r="DF226" s="102">
        <f t="shared" si="1102"/>
        <v>0</v>
      </c>
      <c r="DG226" s="592">
        <f>IF(D226="Sim",HLOOKUP($DH$5,Parametrização!$G$2:$H$4,3,FALSE),0)</f>
        <v>0</v>
      </c>
      <c r="DH226" s="102">
        <f t="shared" si="1103"/>
        <v>0</v>
      </c>
      <c r="DI226" s="102">
        <f t="shared" si="1104"/>
        <v>0</v>
      </c>
      <c r="DK226" s="3" t="str">
        <f t="shared" si="1169"/>
        <v>NA</v>
      </c>
      <c r="DL226" s="2" t="str">
        <f t="shared" si="1170"/>
        <v>NA</v>
      </c>
      <c r="DM226" s="3" t="str">
        <f t="shared" si="1171"/>
        <v>NA</v>
      </c>
      <c r="DN226" s="9" t="str">
        <f t="shared" si="1172"/>
        <v>NA</v>
      </c>
      <c r="DO226" s="637" t="str">
        <f t="shared" si="1173"/>
        <v>NA</v>
      </c>
      <c r="DP226" s="637"/>
      <c r="DQ226" s="3" t="str">
        <f t="shared" si="1174"/>
        <v>NA</v>
      </c>
      <c r="DR226" s="2" t="str">
        <f t="shared" si="1175"/>
        <v>NA</v>
      </c>
      <c r="DS226" s="3" t="str">
        <f t="shared" si="1176"/>
        <v>NA</v>
      </c>
      <c r="DT226" s="9" t="str">
        <f t="shared" si="1105"/>
        <v>NA</v>
      </c>
      <c r="DU226" s="637" t="str">
        <f t="shared" si="1106"/>
        <v>NA</v>
      </c>
      <c r="DV226" s="637"/>
      <c r="DW226" s="682"/>
      <c r="DX226" s="682"/>
      <c r="DY226" s="682"/>
      <c r="DZ226" s="637"/>
      <c r="EA226" s="643"/>
    </row>
    <row r="227" spans="1:131" s="355" customFormat="1" ht="20.100000000000001" customHeight="1" outlineLevel="1" x14ac:dyDescent="0.25">
      <c r="A227" s="356"/>
      <c r="B227" s="355" t="s">
        <v>268</v>
      </c>
      <c r="C227" s="355" t="str">
        <f t="shared" si="1177"/>
        <v>Consumo</v>
      </c>
      <c r="D227" s="355" t="s">
        <v>53</v>
      </c>
      <c r="E227" s="18" t="s">
        <v>38</v>
      </c>
      <c r="F227" s="355" t="s">
        <v>53</v>
      </c>
      <c r="G227" s="357" t="str">
        <f t="shared" si="1178"/>
        <v>Geral</v>
      </c>
      <c r="H227" s="255" t="s">
        <v>377</v>
      </c>
      <c r="I227" s="356" t="str">
        <f t="shared" si="1112"/>
        <v>Sistema</v>
      </c>
      <c r="K227" s="318" t="s">
        <v>2980</v>
      </c>
      <c r="L227" s="749" t="str">
        <f>IF(Padrões!JF168&lt;&gt;"",Padrões!JF168,"")</f>
        <v/>
      </c>
      <c r="M227" s="358" t="str">
        <f t="shared" si="1113"/>
        <v>?</v>
      </c>
      <c r="N227" s="359">
        <f>Padrões!JI168</f>
        <v>0</v>
      </c>
      <c r="O227" s="381" t="str">
        <f t="shared" si="1114"/>
        <v>?</v>
      </c>
      <c r="P227" s="360">
        <f t="shared" si="1115"/>
        <v>0.12</v>
      </c>
      <c r="Q227" s="360" t="str">
        <f t="shared" si="1116"/>
        <v>?</v>
      </c>
      <c r="R227" s="360">
        <f t="shared" si="1117"/>
        <v>0</v>
      </c>
      <c r="S227" s="361">
        <f t="shared" si="1118"/>
        <v>0</v>
      </c>
      <c r="T227" s="362">
        <f t="shared" si="1119"/>
        <v>0</v>
      </c>
      <c r="U227" s="53" t="str" cm="1">
        <f t="array" ref="U227">IFERROR(IF(I227&lt;&gt;"Serviço",IF(AND(mlookup(tbl_DIFAL_data,UFdestino,tbl_DIFAL_UF,O227,tbl_DIFAL_NCM)&lt;&gt;"",C227="Consumo"),"Sim",""),""),"?")</f>
        <v>?</v>
      </c>
      <c r="V227" s="363" t="str">
        <f>IFERROR(IF(I227&lt;&gt;"Serviço",IF(AND(D227="Não",mlookup(tbl_ST_data,UFdestino,tbl_ST_UF,O227,tbl_ST_NCM)&lt;&gt;"",C227="Revenda",CD227="Não"),"Sim",""),""),"?")</f>
        <v>?</v>
      </c>
      <c r="W227" s="364">
        <f t="shared" si="1120"/>
        <v>0</v>
      </c>
      <c r="X227" s="365">
        <f>IF(V227="Sim",mlookup(tbl_ST_data,UFdestino,tbl_ST_UF,O227,tbl_ST_NCM),0)</f>
        <v>0</v>
      </c>
      <c r="Z227" s="355">
        <f t="shared" si="1121"/>
        <v>0</v>
      </c>
      <c r="AA227" s="355">
        <f t="shared" si="1107"/>
        <v>0</v>
      </c>
      <c r="AC227" s="366">
        <f t="shared" si="1179"/>
        <v>1.31243473968765E-2</v>
      </c>
      <c r="AD227" s="366">
        <f t="shared" si="1122"/>
        <v>0.15</v>
      </c>
      <c r="AF227" s="355">
        <f t="shared" si="1123"/>
        <v>0</v>
      </c>
      <c r="AG227" s="355">
        <f t="shared" si="1124"/>
        <v>0</v>
      </c>
      <c r="AI227" s="355">
        <f t="shared" si="1125"/>
        <v>0</v>
      </c>
      <c r="AK227" s="366">
        <f t="shared" si="1180"/>
        <v>0</v>
      </c>
      <c r="AL227" s="355">
        <f t="shared" si="1108"/>
        <v>0</v>
      </c>
      <c r="AM227" s="355">
        <f t="shared" si="1109"/>
        <v>0</v>
      </c>
      <c r="AO227" s="355" t="b">
        <f t="shared" si="1126"/>
        <v>1</v>
      </c>
      <c r="AQ227" s="367">
        <f t="shared" si="1127"/>
        <v>0</v>
      </c>
      <c r="AR227" s="367">
        <f t="shared" si="1110"/>
        <v>0</v>
      </c>
      <c r="AT227" s="367">
        <f t="shared" si="1128"/>
        <v>0</v>
      </c>
      <c r="AU227" s="367">
        <f t="shared" si="1129"/>
        <v>0</v>
      </c>
      <c r="AW227" s="367">
        <f t="shared" si="1130"/>
        <v>0</v>
      </c>
      <c r="AX227" s="367">
        <f t="shared" si="1131"/>
        <v>0</v>
      </c>
      <c r="AY227" s="367">
        <f t="shared" si="1132"/>
        <v>0</v>
      </c>
      <c r="AZ227" s="367">
        <f t="shared" si="1133"/>
        <v>0</v>
      </c>
      <c r="BB227" s="355">
        <f t="shared" si="1134"/>
        <v>0</v>
      </c>
      <c r="BC227" s="355">
        <f t="shared" si="1135"/>
        <v>0</v>
      </c>
      <c r="BD227" s="355">
        <f t="shared" si="1136"/>
        <v>0</v>
      </c>
      <c r="BE227" s="355">
        <f t="shared" si="1137"/>
        <v>0</v>
      </c>
      <c r="BF227" s="355">
        <f t="shared" si="1138"/>
        <v>0</v>
      </c>
      <c r="BH227" s="368">
        <f t="shared" si="1139"/>
        <v>0</v>
      </c>
      <c r="BJ227" s="369">
        <f t="shared" si="1140"/>
        <v>-0.12</v>
      </c>
      <c r="BK227" s="355">
        <f t="shared" si="1141"/>
        <v>0</v>
      </c>
      <c r="BL227" s="355">
        <f t="shared" si="1142"/>
        <v>0</v>
      </c>
      <c r="BN227" s="366">
        <f t="shared" si="1143"/>
        <v>0</v>
      </c>
      <c r="BO227" s="355">
        <f t="shared" si="1144"/>
        <v>0</v>
      </c>
      <c r="BP227" s="355">
        <f t="shared" si="1145"/>
        <v>0</v>
      </c>
      <c r="BQ227" s="355">
        <f t="shared" si="1146"/>
        <v>0</v>
      </c>
      <c r="BS227" s="367">
        <f t="shared" si="1147"/>
        <v>0</v>
      </c>
      <c r="BT227" s="355">
        <f t="shared" si="1148"/>
        <v>0</v>
      </c>
      <c r="BU227" s="355" t="b">
        <f t="shared" si="1111"/>
        <v>1</v>
      </c>
      <c r="BW227" s="355" t="str">
        <f t="shared" si="1149"/>
        <v/>
      </c>
      <c r="BX227" s="355">
        <f t="shared" si="1150"/>
        <v>0</v>
      </c>
      <c r="BY227" s="356">
        <f t="shared" si="1181"/>
        <v>0</v>
      </c>
      <c r="BZ227" s="355">
        <f t="shared" si="1151"/>
        <v>0</v>
      </c>
      <c r="CB227" s="102" t="str">
        <f t="shared" si="1152"/>
        <v>?</v>
      </c>
      <c r="CD227" s="355" t="str">
        <f t="shared" si="1153"/>
        <v>Não</v>
      </c>
      <c r="CE227" s="368">
        <f>ifzero(mlookup(tbl_ICMSinterest_data,UFdestino,tbl_ICMSinterest_ufdest,UForigem,tbl_ICMSinterest_uforig))</f>
        <v>0.12</v>
      </c>
      <c r="CF227" s="368">
        <f>IF(N227&gt;0,IF(I227&lt;&gt;"Serviço",ifzero(mlookup(tbl_ICMSinterno_data,UForigem,tbl_ICMSinterno_UF,O227,tbl_ICMSinterno_NCM),mlookup(tbl_ICMSinterest_data,UForigem,tbl_ICMSinterest_ufdest,UForigem,tbl_ICMSinterest_uforig)),""),0)</f>
        <v>0</v>
      </c>
      <c r="CG227" s="368">
        <f>IF(N227&gt;0,IF(I227&lt;&gt;"Serviço",ifzero(mlookup(tbl_ICMSinterno_data,UFdestino,tbl_ICMSinterno_UF,O227,tbl_ICMSinterno_NCM),mlookup(tbl_ICMSinterest_data,UFdestino,tbl_ICMSinterest_ufdest,UFdestino,tbl_ICMSinterest_uforig)),""),0)</f>
        <v>0</v>
      </c>
      <c r="CI227" s="355">
        <f t="shared" si="1154"/>
        <v>0</v>
      </c>
      <c r="CJ227" s="355">
        <f t="shared" si="1155"/>
        <v>0</v>
      </c>
      <c r="CK227" s="355">
        <f t="shared" si="1156"/>
        <v>0</v>
      </c>
      <c r="CL227" s="355">
        <f t="shared" si="1157"/>
        <v>0</v>
      </c>
      <c r="CN227" s="370">
        <f t="shared" si="1158"/>
        <v>1540</v>
      </c>
      <c r="CO227" s="355">
        <f t="shared" si="1159"/>
        <v>0</v>
      </c>
      <c r="CQ227" s="355" t="b">
        <f t="shared" si="1160"/>
        <v>0</v>
      </c>
      <c r="CR227" s="355" t="b">
        <f t="shared" si="1161"/>
        <v>1</v>
      </c>
      <c r="CS227" s="355" t="b">
        <f t="shared" si="1162"/>
        <v>0</v>
      </c>
      <c r="CU227" s="2">
        <f t="shared" si="1163"/>
        <v>0</v>
      </c>
      <c r="CV227" s="102">
        <f t="shared" si="1164"/>
        <v>0</v>
      </c>
      <c r="CW227" s="102">
        <f t="shared" si="1182"/>
        <v>0</v>
      </c>
      <c r="CX227" s="102">
        <f t="shared" si="1165"/>
        <v>0</v>
      </c>
      <c r="CY227" s="290">
        <f t="shared" si="1166"/>
        <v>0</v>
      </c>
      <c r="CZ227" s="102">
        <f t="shared" si="1100"/>
        <v>0</v>
      </c>
      <c r="DA227" s="290">
        <f t="shared" si="1167"/>
        <v>0</v>
      </c>
      <c r="DB227" s="102">
        <f t="shared" si="1101"/>
        <v>0</v>
      </c>
      <c r="DC227" s="290">
        <f t="shared" si="1168"/>
        <v>0</v>
      </c>
      <c r="DD227" s="102">
        <f t="shared" si="1099"/>
        <v>0</v>
      </c>
      <c r="DE227" s="592">
        <f>IF(D227="Sim",HLOOKUP($DH$5,Parametrização!$G$2:$H$4,2,FALSE),0)</f>
        <v>0</v>
      </c>
      <c r="DF227" s="102">
        <f t="shared" si="1102"/>
        <v>0</v>
      </c>
      <c r="DG227" s="592">
        <f>IF(D227="Sim",HLOOKUP($DH$5,Parametrização!$G$2:$H$4,3,FALSE),0)</f>
        <v>0</v>
      </c>
      <c r="DH227" s="102">
        <f t="shared" si="1103"/>
        <v>0</v>
      </c>
      <c r="DI227" s="102">
        <f t="shared" si="1104"/>
        <v>0</v>
      </c>
      <c r="DK227" s="3" t="str">
        <f t="shared" si="1169"/>
        <v>NA</v>
      </c>
      <c r="DL227" s="2" t="str">
        <f t="shared" si="1170"/>
        <v>NA</v>
      </c>
      <c r="DM227" s="3" t="str">
        <f t="shared" si="1171"/>
        <v>NA</v>
      </c>
      <c r="DN227" s="9" t="str">
        <f t="shared" si="1172"/>
        <v>NA</v>
      </c>
      <c r="DO227" s="637" t="str">
        <f t="shared" si="1173"/>
        <v>NA</v>
      </c>
      <c r="DP227" s="637"/>
      <c r="DQ227" s="3" t="str">
        <f t="shared" si="1174"/>
        <v>NA</v>
      </c>
      <c r="DR227" s="2" t="str">
        <f t="shared" si="1175"/>
        <v>NA</v>
      </c>
      <c r="DS227" s="3" t="str">
        <f t="shared" si="1176"/>
        <v>NA</v>
      </c>
      <c r="DT227" s="9" t="str">
        <f t="shared" si="1105"/>
        <v>NA</v>
      </c>
      <c r="DU227" s="637" t="str">
        <f t="shared" si="1106"/>
        <v>NA</v>
      </c>
      <c r="DV227" s="637"/>
      <c r="DW227" s="682"/>
      <c r="DX227" s="682"/>
      <c r="DY227" s="682"/>
      <c r="DZ227" s="637"/>
      <c r="EA227" s="643"/>
    </row>
    <row r="228" spans="1:131" s="355" customFormat="1" ht="20.100000000000001" customHeight="1" outlineLevel="1" x14ac:dyDescent="0.25">
      <c r="A228" s="356"/>
      <c r="B228" s="355" t="s">
        <v>268</v>
      </c>
      <c r="C228" s="355" t="str">
        <f t="shared" si="1177"/>
        <v>Consumo</v>
      </c>
      <c r="D228" s="355" t="s">
        <v>53</v>
      </c>
      <c r="E228" s="18" t="s">
        <v>38</v>
      </c>
      <c r="F228" s="355" t="s">
        <v>53</v>
      </c>
      <c r="G228" s="357" t="str">
        <f t="shared" si="1178"/>
        <v>Geral</v>
      </c>
      <c r="H228" s="255" t="s">
        <v>377</v>
      </c>
      <c r="I228" s="356" t="str">
        <f t="shared" si="1112"/>
        <v>Sistema</v>
      </c>
      <c r="K228" s="318" t="s">
        <v>2981</v>
      </c>
      <c r="L228" s="749" t="str">
        <f>IF(Padrões!JF169&lt;&gt;"",Padrões!JF169,"")</f>
        <v/>
      </c>
      <c r="M228" s="358" t="str">
        <f t="shared" si="1113"/>
        <v>?</v>
      </c>
      <c r="N228" s="359">
        <f>Padrões!JI169</f>
        <v>0</v>
      </c>
      <c r="O228" s="381" t="str">
        <f t="shared" si="1114"/>
        <v>?</v>
      </c>
      <c r="P228" s="360">
        <f t="shared" si="1115"/>
        <v>0.12</v>
      </c>
      <c r="Q228" s="360" t="str">
        <f t="shared" si="1116"/>
        <v>?</v>
      </c>
      <c r="R228" s="360">
        <f t="shared" si="1117"/>
        <v>0</v>
      </c>
      <c r="S228" s="361">
        <f t="shared" si="1118"/>
        <v>0</v>
      </c>
      <c r="T228" s="362">
        <f t="shared" si="1119"/>
        <v>0</v>
      </c>
      <c r="U228" s="53" t="str" cm="1">
        <f t="array" ref="U228">IFERROR(IF(I228&lt;&gt;"Serviço",IF(AND(mlookup(tbl_DIFAL_data,UFdestino,tbl_DIFAL_UF,O228,tbl_DIFAL_NCM)&lt;&gt;"",C228="Consumo"),"Sim",""),""),"?")</f>
        <v>?</v>
      </c>
      <c r="V228" s="363" t="str">
        <f>IFERROR(IF(I228&lt;&gt;"Serviço",IF(AND(D228="Não",mlookup(tbl_ST_data,UFdestino,tbl_ST_UF,O228,tbl_ST_NCM)&lt;&gt;"",C228="Revenda",CD228="Não"),"Sim",""),""),"?")</f>
        <v>?</v>
      </c>
      <c r="W228" s="364">
        <f t="shared" si="1120"/>
        <v>0</v>
      </c>
      <c r="X228" s="365">
        <f>IF(V228="Sim",mlookup(tbl_ST_data,UFdestino,tbl_ST_UF,O228,tbl_ST_NCM),0)</f>
        <v>0</v>
      </c>
      <c r="Z228" s="355">
        <f t="shared" si="1121"/>
        <v>0</v>
      </c>
      <c r="AA228" s="355">
        <f t="shared" si="1107"/>
        <v>0</v>
      </c>
      <c r="AC228" s="366">
        <f t="shared" si="1179"/>
        <v>1.31243473968765E-2</v>
      </c>
      <c r="AD228" s="366">
        <f t="shared" si="1122"/>
        <v>0.15</v>
      </c>
      <c r="AF228" s="355">
        <f t="shared" si="1123"/>
        <v>0</v>
      </c>
      <c r="AG228" s="355">
        <f t="shared" si="1124"/>
        <v>0</v>
      </c>
      <c r="AI228" s="355">
        <f t="shared" si="1125"/>
        <v>0</v>
      </c>
      <c r="AK228" s="366">
        <f t="shared" si="1180"/>
        <v>0</v>
      </c>
      <c r="AL228" s="355">
        <f t="shared" si="1108"/>
        <v>0</v>
      </c>
      <c r="AM228" s="355">
        <f t="shared" si="1109"/>
        <v>0</v>
      </c>
      <c r="AO228" s="355" t="b">
        <f t="shared" si="1126"/>
        <v>1</v>
      </c>
      <c r="AQ228" s="367">
        <f t="shared" si="1127"/>
        <v>0</v>
      </c>
      <c r="AR228" s="367">
        <f t="shared" si="1110"/>
        <v>0</v>
      </c>
      <c r="AT228" s="367">
        <f t="shared" si="1128"/>
        <v>0</v>
      </c>
      <c r="AU228" s="367">
        <f t="shared" si="1129"/>
        <v>0</v>
      </c>
      <c r="AW228" s="367">
        <f t="shared" si="1130"/>
        <v>0</v>
      </c>
      <c r="AX228" s="367">
        <f t="shared" si="1131"/>
        <v>0</v>
      </c>
      <c r="AY228" s="367">
        <f t="shared" si="1132"/>
        <v>0</v>
      </c>
      <c r="AZ228" s="367">
        <f t="shared" si="1133"/>
        <v>0</v>
      </c>
      <c r="BB228" s="355">
        <f t="shared" si="1134"/>
        <v>0</v>
      </c>
      <c r="BC228" s="355">
        <f t="shared" si="1135"/>
        <v>0</v>
      </c>
      <c r="BD228" s="355">
        <f t="shared" si="1136"/>
        <v>0</v>
      </c>
      <c r="BE228" s="355">
        <f t="shared" si="1137"/>
        <v>0</v>
      </c>
      <c r="BF228" s="355">
        <f t="shared" si="1138"/>
        <v>0</v>
      </c>
      <c r="BH228" s="368">
        <f t="shared" si="1139"/>
        <v>0</v>
      </c>
      <c r="BJ228" s="369">
        <f t="shared" si="1140"/>
        <v>-0.12</v>
      </c>
      <c r="BK228" s="355">
        <f t="shared" si="1141"/>
        <v>0</v>
      </c>
      <c r="BL228" s="355">
        <f t="shared" si="1142"/>
        <v>0</v>
      </c>
      <c r="BN228" s="366">
        <f t="shared" si="1143"/>
        <v>0</v>
      </c>
      <c r="BO228" s="355">
        <f t="shared" si="1144"/>
        <v>0</v>
      </c>
      <c r="BP228" s="355">
        <f t="shared" si="1145"/>
        <v>0</v>
      </c>
      <c r="BQ228" s="355">
        <f t="shared" si="1146"/>
        <v>0</v>
      </c>
      <c r="BS228" s="367">
        <f t="shared" si="1147"/>
        <v>0</v>
      </c>
      <c r="BT228" s="355">
        <f t="shared" si="1148"/>
        <v>0</v>
      </c>
      <c r="BU228" s="355" t="b">
        <f t="shared" si="1111"/>
        <v>1</v>
      </c>
      <c r="BW228" s="355" t="str">
        <f t="shared" si="1149"/>
        <v/>
      </c>
      <c r="BX228" s="355">
        <f t="shared" si="1150"/>
        <v>0</v>
      </c>
      <c r="BY228" s="356">
        <f t="shared" si="1181"/>
        <v>0</v>
      </c>
      <c r="BZ228" s="355">
        <f t="shared" si="1151"/>
        <v>0</v>
      </c>
      <c r="CB228" s="102" t="str">
        <f t="shared" si="1152"/>
        <v>?</v>
      </c>
      <c r="CD228" s="355" t="str">
        <f t="shared" si="1153"/>
        <v>Não</v>
      </c>
      <c r="CE228" s="368">
        <f>ifzero(mlookup(tbl_ICMSinterest_data,UFdestino,tbl_ICMSinterest_ufdest,UForigem,tbl_ICMSinterest_uforig))</f>
        <v>0.12</v>
      </c>
      <c r="CF228" s="368">
        <f>IF(N228&gt;0,IF(I228&lt;&gt;"Serviço",ifzero(mlookup(tbl_ICMSinterno_data,UForigem,tbl_ICMSinterno_UF,O228,tbl_ICMSinterno_NCM),mlookup(tbl_ICMSinterest_data,UForigem,tbl_ICMSinterest_ufdest,UForigem,tbl_ICMSinterest_uforig)),""),0)</f>
        <v>0</v>
      </c>
      <c r="CG228" s="368">
        <f>IF(N228&gt;0,IF(I228&lt;&gt;"Serviço",ifzero(mlookup(tbl_ICMSinterno_data,UFdestino,tbl_ICMSinterno_UF,O228,tbl_ICMSinterno_NCM),mlookup(tbl_ICMSinterest_data,UFdestino,tbl_ICMSinterest_ufdest,UFdestino,tbl_ICMSinterest_uforig)),""),0)</f>
        <v>0</v>
      </c>
      <c r="CI228" s="355">
        <f t="shared" si="1154"/>
        <v>0</v>
      </c>
      <c r="CJ228" s="355">
        <f t="shared" si="1155"/>
        <v>0</v>
      </c>
      <c r="CK228" s="355">
        <f t="shared" si="1156"/>
        <v>0</v>
      </c>
      <c r="CL228" s="355">
        <f t="shared" si="1157"/>
        <v>0</v>
      </c>
      <c r="CN228" s="370">
        <f t="shared" si="1158"/>
        <v>1540</v>
      </c>
      <c r="CO228" s="355">
        <f t="shared" si="1159"/>
        <v>0</v>
      </c>
      <c r="CQ228" s="355" t="b">
        <f t="shared" si="1160"/>
        <v>0</v>
      </c>
      <c r="CR228" s="355" t="b">
        <f t="shared" si="1161"/>
        <v>1</v>
      </c>
      <c r="CS228" s="355" t="b">
        <f t="shared" si="1162"/>
        <v>0</v>
      </c>
      <c r="CU228" s="2">
        <f t="shared" si="1163"/>
        <v>0</v>
      </c>
      <c r="CV228" s="102">
        <f t="shared" si="1164"/>
        <v>0</v>
      </c>
      <c r="CW228" s="102">
        <f t="shared" si="1182"/>
        <v>0</v>
      </c>
      <c r="CX228" s="102">
        <f t="shared" si="1165"/>
        <v>0</v>
      </c>
      <c r="CY228" s="290">
        <f t="shared" si="1166"/>
        <v>0</v>
      </c>
      <c r="CZ228" s="102">
        <f t="shared" si="1100"/>
        <v>0</v>
      </c>
      <c r="DA228" s="290">
        <f t="shared" si="1167"/>
        <v>0</v>
      </c>
      <c r="DB228" s="102">
        <f t="shared" si="1101"/>
        <v>0</v>
      </c>
      <c r="DC228" s="290">
        <f t="shared" si="1168"/>
        <v>0</v>
      </c>
      <c r="DD228" s="102">
        <f t="shared" si="1099"/>
        <v>0</v>
      </c>
      <c r="DE228" s="592">
        <f>IF(D228="Sim",HLOOKUP($DH$5,Parametrização!$G$2:$H$4,2,FALSE),0)</f>
        <v>0</v>
      </c>
      <c r="DF228" s="102">
        <f t="shared" si="1102"/>
        <v>0</v>
      </c>
      <c r="DG228" s="592">
        <f>IF(D228="Sim",HLOOKUP($DH$5,Parametrização!$G$2:$H$4,3,FALSE),0)</f>
        <v>0</v>
      </c>
      <c r="DH228" s="102">
        <f t="shared" si="1103"/>
        <v>0</v>
      </c>
      <c r="DI228" s="102">
        <f t="shared" si="1104"/>
        <v>0</v>
      </c>
      <c r="DK228" s="3" t="str">
        <f t="shared" si="1169"/>
        <v>NA</v>
      </c>
      <c r="DL228" s="2" t="str">
        <f t="shared" si="1170"/>
        <v>NA</v>
      </c>
      <c r="DM228" s="3" t="str">
        <f t="shared" si="1171"/>
        <v>NA</v>
      </c>
      <c r="DN228" s="9" t="str">
        <f t="shared" si="1172"/>
        <v>NA</v>
      </c>
      <c r="DO228" s="637" t="str">
        <f t="shared" si="1173"/>
        <v>NA</v>
      </c>
      <c r="DP228" s="637"/>
      <c r="DQ228" s="3" t="str">
        <f t="shared" si="1174"/>
        <v>NA</v>
      </c>
      <c r="DR228" s="2" t="str">
        <f t="shared" si="1175"/>
        <v>NA</v>
      </c>
      <c r="DS228" s="3" t="str">
        <f t="shared" si="1176"/>
        <v>NA</v>
      </c>
      <c r="DT228" s="9" t="str">
        <f t="shared" si="1105"/>
        <v>NA</v>
      </c>
      <c r="DU228" s="637" t="str">
        <f t="shared" si="1106"/>
        <v>NA</v>
      </c>
      <c r="DV228" s="637"/>
      <c r="DW228" s="682"/>
      <c r="DX228" s="682"/>
      <c r="DY228" s="682"/>
      <c r="DZ228" s="637"/>
      <c r="EA228" s="643"/>
    </row>
    <row r="229" spans="1:131" s="355" customFormat="1" ht="20.100000000000001" customHeight="1" outlineLevel="1" x14ac:dyDescent="0.25">
      <c r="A229" s="356"/>
      <c r="B229" s="355" t="s">
        <v>268</v>
      </c>
      <c r="C229" s="355" t="str">
        <f t="shared" si="1177"/>
        <v>Consumo</v>
      </c>
      <c r="D229" s="355" t="s">
        <v>53</v>
      </c>
      <c r="E229" s="18" t="s">
        <v>38</v>
      </c>
      <c r="F229" s="355" t="s">
        <v>53</v>
      </c>
      <c r="G229" s="357" t="str">
        <f t="shared" si="1178"/>
        <v>Geral</v>
      </c>
      <c r="H229" s="255" t="s">
        <v>377</v>
      </c>
      <c r="I229" s="356" t="str">
        <f t="shared" si="1112"/>
        <v>Sistema</v>
      </c>
      <c r="K229" s="318" t="s">
        <v>2982</v>
      </c>
      <c r="L229" s="749" t="str">
        <f>IF(Padrões!JF170&lt;&gt;"",Padrões!JF170,"")</f>
        <v/>
      </c>
      <c r="M229" s="358" t="str">
        <f t="shared" si="1113"/>
        <v>?</v>
      </c>
      <c r="N229" s="359">
        <f>Padrões!JI170</f>
        <v>0</v>
      </c>
      <c r="O229" s="381" t="str">
        <f t="shared" si="1114"/>
        <v>?</v>
      </c>
      <c r="P229" s="360">
        <f t="shared" si="1115"/>
        <v>0.12</v>
      </c>
      <c r="Q229" s="360" t="str">
        <f t="shared" si="1116"/>
        <v>?</v>
      </c>
      <c r="R229" s="360">
        <f t="shared" si="1117"/>
        <v>0</v>
      </c>
      <c r="S229" s="361">
        <f t="shared" si="1118"/>
        <v>0</v>
      </c>
      <c r="T229" s="362">
        <f t="shared" si="1119"/>
        <v>0</v>
      </c>
      <c r="U229" s="53" t="str" cm="1">
        <f t="array" ref="U229">IFERROR(IF(I229&lt;&gt;"Serviço",IF(AND(mlookup(tbl_DIFAL_data,UFdestino,tbl_DIFAL_UF,O229,tbl_DIFAL_NCM)&lt;&gt;"",C229="Consumo"),"Sim",""),""),"?")</f>
        <v>?</v>
      </c>
      <c r="V229" s="363" t="str">
        <f>IFERROR(IF(I229&lt;&gt;"Serviço",IF(AND(D229="Não",mlookup(tbl_ST_data,UFdestino,tbl_ST_UF,O229,tbl_ST_NCM)&lt;&gt;"",C229="Revenda",CD229="Não"),"Sim",""),""),"?")</f>
        <v>?</v>
      </c>
      <c r="W229" s="364">
        <f t="shared" si="1120"/>
        <v>0</v>
      </c>
      <c r="X229" s="365">
        <f>IF(V229="Sim",mlookup(tbl_ST_data,UFdestino,tbl_ST_UF,O229,tbl_ST_NCM),0)</f>
        <v>0</v>
      </c>
      <c r="Z229" s="355">
        <f t="shared" si="1121"/>
        <v>0</v>
      </c>
      <c r="AA229" s="355">
        <f t="shared" si="1107"/>
        <v>0</v>
      </c>
      <c r="AC229" s="366">
        <f t="shared" si="1179"/>
        <v>1.31243473968765E-2</v>
      </c>
      <c r="AD229" s="366">
        <f t="shared" si="1122"/>
        <v>0.15</v>
      </c>
      <c r="AF229" s="355">
        <f t="shared" si="1123"/>
        <v>0</v>
      </c>
      <c r="AG229" s="355">
        <f t="shared" si="1124"/>
        <v>0</v>
      </c>
      <c r="AI229" s="355">
        <f t="shared" si="1125"/>
        <v>0</v>
      </c>
      <c r="AK229" s="366">
        <f t="shared" si="1180"/>
        <v>0</v>
      </c>
      <c r="AL229" s="355">
        <f t="shared" si="1108"/>
        <v>0</v>
      </c>
      <c r="AM229" s="355">
        <f t="shared" si="1109"/>
        <v>0</v>
      </c>
      <c r="AO229" s="355" t="b">
        <f t="shared" si="1126"/>
        <v>1</v>
      </c>
      <c r="AQ229" s="367">
        <f t="shared" si="1127"/>
        <v>0</v>
      </c>
      <c r="AR229" s="367">
        <f t="shared" si="1110"/>
        <v>0</v>
      </c>
      <c r="AT229" s="367">
        <f t="shared" si="1128"/>
        <v>0</v>
      </c>
      <c r="AU229" s="367">
        <f t="shared" si="1129"/>
        <v>0</v>
      </c>
      <c r="AW229" s="367">
        <f t="shared" si="1130"/>
        <v>0</v>
      </c>
      <c r="AX229" s="367">
        <f t="shared" si="1131"/>
        <v>0</v>
      </c>
      <c r="AY229" s="367">
        <f t="shared" si="1132"/>
        <v>0</v>
      </c>
      <c r="AZ229" s="367">
        <f t="shared" si="1133"/>
        <v>0</v>
      </c>
      <c r="BB229" s="355">
        <f t="shared" si="1134"/>
        <v>0</v>
      </c>
      <c r="BC229" s="355">
        <f t="shared" si="1135"/>
        <v>0</v>
      </c>
      <c r="BD229" s="355">
        <f t="shared" si="1136"/>
        <v>0</v>
      </c>
      <c r="BE229" s="355">
        <f t="shared" si="1137"/>
        <v>0</v>
      </c>
      <c r="BF229" s="355">
        <f t="shared" si="1138"/>
        <v>0</v>
      </c>
      <c r="BH229" s="368">
        <f t="shared" si="1139"/>
        <v>0</v>
      </c>
      <c r="BJ229" s="369">
        <f t="shared" si="1140"/>
        <v>-0.12</v>
      </c>
      <c r="BK229" s="355">
        <f t="shared" si="1141"/>
        <v>0</v>
      </c>
      <c r="BL229" s="355">
        <f t="shared" si="1142"/>
        <v>0</v>
      </c>
      <c r="BN229" s="366">
        <f t="shared" si="1143"/>
        <v>0</v>
      </c>
      <c r="BO229" s="355">
        <f t="shared" si="1144"/>
        <v>0</v>
      </c>
      <c r="BP229" s="355">
        <f t="shared" si="1145"/>
        <v>0</v>
      </c>
      <c r="BQ229" s="355">
        <f t="shared" si="1146"/>
        <v>0</v>
      </c>
      <c r="BS229" s="367">
        <f t="shared" si="1147"/>
        <v>0</v>
      </c>
      <c r="BT229" s="355">
        <f t="shared" si="1148"/>
        <v>0</v>
      </c>
      <c r="BU229" s="355" t="b">
        <f t="shared" si="1111"/>
        <v>1</v>
      </c>
      <c r="BW229" s="355" t="str">
        <f t="shared" si="1149"/>
        <v/>
      </c>
      <c r="BX229" s="355">
        <f t="shared" si="1150"/>
        <v>0</v>
      </c>
      <c r="BY229" s="356">
        <f t="shared" si="1181"/>
        <v>0</v>
      </c>
      <c r="BZ229" s="355">
        <f t="shared" si="1151"/>
        <v>0</v>
      </c>
      <c r="CB229" s="102" t="str">
        <f t="shared" si="1152"/>
        <v>?</v>
      </c>
      <c r="CD229" s="355" t="str">
        <f t="shared" si="1153"/>
        <v>Não</v>
      </c>
      <c r="CE229" s="368">
        <f>ifzero(mlookup(tbl_ICMSinterest_data,UFdestino,tbl_ICMSinterest_ufdest,UForigem,tbl_ICMSinterest_uforig))</f>
        <v>0.12</v>
      </c>
      <c r="CF229" s="368">
        <f>IF(N229&gt;0,IF(I229&lt;&gt;"Serviço",ifzero(mlookup(tbl_ICMSinterno_data,UForigem,tbl_ICMSinterno_UF,O229,tbl_ICMSinterno_NCM),mlookup(tbl_ICMSinterest_data,UForigem,tbl_ICMSinterest_ufdest,UForigem,tbl_ICMSinterest_uforig)),""),0)</f>
        <v>0</v>
      </c>
      <c r="CG229" s="368">
        <f>IF(N229&gt;0,IF(I229&lt;&gt;"Serviço",ifzero(mlookup(tbl_ICMSinterno_data,UFdestino,tbl_ICMSinterno_UF,O229,tbl_ICMSinterno_NCM),mlookup(tbl_ICMSinterest_data,UFdestino,tbl_ICMSinterest_ufdest,UFdestino,tbl_ICMSinterest_uforig)),""),0)</f>
        <v>0</v>
      </c>
      <c r="CI229" s="355">
        <f t="shared" si="1154"/>
        <v>0</v>
      </c>
      <c r="CJ229" s="355">
        <f t="shared" si="1155"/>
        <v>0</v>
      </c>
      <c r="CK229" s="355">
        <f t="shared" si="1156"/>
        <v>0</v>
      </c>
      <c r="CL229" s="355">
        <f t="shared" si="1157"/>
        <v>0</v>
      </c>
      <c r="CN229" s="370">
        <f t="shared" si="1158"/>
        <v>1540</v>
      </c>
      <c r="CO229" s="355">
        <f t="shared" si="1159"/>
        <v>0</v>
      </c>
      <c r="CQ229" s="355" t="b">
        <f t="shared" si="1160"/>
        <v>0</v>
      </c>
      <c r="CR229" s="355" t="b">
        <f t="shared" si="1161"/>
        <v>1</v>
      </c>
      <c r="CS229" s="355" t="b">
        <f t="shared" si="1162"/>
        <v>0</v>
      </c>
      <c r="CU229" s="2">
        <f t="shared" si="1163"/>
        <v>0</v>
      </c>
      <c r="CV229" s="102">
        <f t="shared" si="1164"/>
        <v>0</v>
      </c>
      <c r="CW229" s="102">
        <f t="shared" si="1182"/>
        <v>0</v>
      </c>
      <c r="CX229" s="102">
        <f t="shared" si="1165"/>
        <v>0</v>
      </c>
      <c r="CY229" s="290">
        <f t="shared" si="1166"/>
        <v>0</v>
      </c>
      <c r="CZ229" s="102">
        <f t="shared" si="1100"/>
        <v>0</v>
      </c>
      <c r="DA229" s="290">
        <f t="shared" si="1167"/>
        <v>0</v>
      </c>
      <c r="DB229" s="102">
        <f t="shared" si="1101"/>
        <v>0</v>
      </c>
      <c r="DC229" s="290">
        <f t="shared" si="1168"/>
        <v>0</v>
      </c>
      <c r="DD229" s="102">
        <f t="shared" si="1099"/>
        <v>0</v>
      </c>
      <c r="DE229" s="592">
        <f>IF(D229="Sim",HLOOKUP($DH$5,Parametrização!$G$2:$H$4,2,FALSE),0)</f>
        <v>0</v>
      </c>
      <c r="DF229" s="102">
        <f t="shared" si="1102"/>
        <v>0</v>
      </c>
      <c r="DG229" s="592">
        <f>IF(D229="Sim",HLOOKUP($DH$5,Parametrização!$G$2:$H$4,3,FALSE),0)</f>
        <v>0</v>
      </c>
      <c r="DH229" s="102">
        <f t="shared" si="1103"/>
        <v>0</v>
      </c>
      <c r="DI229" s="102">
        <f t="shared" si="1104"/>
        <v>0</v>
      </c>
      <c r="DK229" s="3" t="str">
        <f t="shared" si="1169"/>
        <v>NA</v>
      </c>
      <c r="DL229" s="2" t="str">
        <f t="shared" si="1170"/>
        <v>NA</v>
      </c>
      <c r="DM229" s="3" t="str">
        <f t="shared" si="1171"/>
        <v>NA</v>
      </c>
      <c r="DN229" s="9" t="str">
        <f t="shared" si="1172"/>
        <v>NA</v>
      </c>
      <c r="DO229" s="637" t="str">
        <f t="shared" si="1173"/>
        <v>NA</v>
      </c>
      <c r="DP229" s="637"/>
      <c r="DQ229" s="3" t="str">
        <f t="shared" si="1174"/>
        <v>NA</v>
      </c>
      <c r="DR229" s="2" t="str">
        <f t="shared" si="1175"/>
        <v>NA</v>
      </c>
      <c r="DS229" s="3" t="str">
        <f t="shared" si="1176"/>
        <v>NA</v>
      </c>
      <c r="DT229" s="9" t="str">
        <f t="shared" si="1105"/>
        <v>NA</v>
      </c>
      <c r="DU229" s="637" t="str">
        <f t="shared" si="1106"/>
        <v>NA</v>
      </c>
      <c r="DV229" s="637"/>
      <c r="DW229" s="682"/>
      <c r="DX229" s="682"/>
      <c r="DY229" s="682"/>
      <c r="DZ229" s="637"/>
      <c r="EA229" s="643"/>
    </row>
    <row r="230" spans="1:131" s="355" customFormat="1" ht="20.100000000000001" customHeight="1" outlineLevel="1" x14ac:dyDescent="0.25">
      <c r="A230" s="356"/>
      <c r="B230" s="355" t="s">
        <v>268</v>
      </c>
      <c r="C230" s="355" t="str">
        <f t="shared" si="1177"/>
        <v>Consumo</v>
      </c>
      <c r="D230" s="355" t="s">
        <v>53</v>
      </c>
      <c r="E230" s="18" t="s">
        <v>38</v>
      </c>
      <c r="F230" s="355" t="s">
        <v>53</v>
      </c>
      <c r="G230" s="357" t="str">
        <f t="shared" si="1178"/>
        <v>Geral</v>
      </c>
      <c r="H230" s="255" t="s">
        <v>377</v>
      </c>
      <c r="I230" s="356" t="str">
        <f t="shared" si="1112"/>
        <v>Sistema</v>
      </c>
      <c r="K230" s="318" t="s">
        <v>2983</v>
      </c>
      <c r="L230" s="749" t="str">
        <f>IF(Padrões!JF171&lt;&gt;"",Padrões!JF171,"")</f>
        <v/>
      </c>
      <c r="M230" s="358" t="str">
        <f t="shared" si="1113"/>
        <v>?</v>
      </c>
      <c r="N230" s="359">
        <f>Padrões!JI171</f>
        <v>0</v>
      </c>
      <c r="O230" s="381" t="str">
        <f t="shared" si="1114"/>
        <v>?</v>
      </c>
      <c r="P230" s="360">
        <f t="shared" si="1115"/>
        <v>0.12</v>
      </c>
      <c r="Q230" s="360" t="str">
        <f t="shared" si="1116"/>
        <v>?</v>
      </c>
      <c r="R230" s="360">
        <f t="shared" si="1117"/>
        <v>0</v>
      </c>
      <c r="S230" s="361">
        <f t="shared" si="1118"/>
        <v>0</v>
      </c>
      <c r="T230" s="362">
        <f t="shared" si="1119"/>
        <v>0</v>
      </c>
      <c r="U230" s="53" t="str" cm="1">
        <f t="array" ref="U230">IFERROR(IF(I230&lt;&gt;"Serviço",IF(AND(mlookup(tbl_DIFAL_data,UFdestino,tbl_DIFAL_UF,O230,tbl_DIFAL_NCM)&lt;&gt;"",C230="Consumo"),"Sim",""),""),"?")</f>
        <v>?</v>
      </c>
      <c r="V230" s="363" t="str">
        <f>IFERROR(IF(I230&lt;&gt;"Serviço",IF(AND(D230="Não",mlookup(tbl_ST_data,UFdestino,tbl_ST_UF,O230,tbl_ST_NCM)&lt;&gt;"",C230="Revenda",CD230="Não"),"Sim",""),""),"?")</f>
        <v>?</v>
      </c>
      <c r="W230" s="364">
        <f t="shared" si="1120"/>
        <v>0</v>
      </c>
      <c r="X230" s="365">
        <f>IF(V230="Sim",mlookup(tbl_ST_data,UFdestino,tbl_ST_UF,O230,tbl_ST_NCM),0)</f>
        <v>0</v>
      </c>
      <c r="Z230" s="355">
        <f t="shared" si="1121"/>
        <v>0</v>
      </c>
      <c r="AA230" s="355">
        <f t="shared" si="1107"/>
        <v>0</v>
      </c>
      <c r="AC230" s="366">
        <f t="shared" si="1179"/>
        <v>1.31243473968765E-2</v>
      </c>
      <c r="AD230" s="366">
        <f t="shared" si="1122"/>
        <v>0.15</v>
      </c>
      <c r="AF230" s="355">
        <f t="shared" si="1123"/>
        <v>0</v>
      </c>
      <c r="AG230" s="355">
        <f t="shared" si="1124"/>
        <v>0</v>
      </c>
      <c r="AI230" s="355">
        <f t="shared" si="1125"/>
        <v>0</v>
      </c>
      <c r="AK230" s="366">
        <f t="shared" si="1180"/>
        <v>0</v>
      </c>
      <c r="AL230" s="355">
        <f t="shared" si="1108"/>
        <v>0</v>
      </c>
      <c r="AM230" s="355">
        <f t="shared" si="1109"/>
        <v>0</v>
      </c>
      <c r="AO230" s="355" t="b">
        <f t="shared" si="1126"/>
        <v>1</v>
      </c>
      <c r="AQ230" s="367">
        <f t="shared" si="1127"/>
        <v>0</v>
      </c>
      <c r="AR230" s="367">
        <f t="shared" si="1110"/>
        <v>0</v>
      </c>
      <c r="AT230" s="367">
        <f t="shared" si="1128"/>
        <v>0</v>
      </c>
      <c r="AU230" s="367">
        <f t="shared" si="1129"/>
        <v>0</v>
      </c>
      <c r="AW230" s="367">
        <f t="shared" si="1130"/>
        <v>0</v>
      </c>
      <c r="AX230" s="367">
        <f t="shared" si="1131"/>
        <v>0</v>
      </c>
      <c r="AY230" s="367">
        <f t="shared" si="1132"/>
        <v>0</v>
      </c>
      <c r="AZ230" s="367">
        <f t="shared" si="1133"/>
        <v>0</v>
      </c>
      <c r="BB230" s="355">
        <f t="shared" si="1134"/>
        <v>0</v>
      </c>
      <c r="BC230" s="355">
        <f t="shared" si="1135"/>
        <v>0</v>
      </c>
      <c r="BD230" s="355">
        <f t="shared" si="1136"/>
        <v>0</v>
      </c>
      <c r="BE230" s="355">
        <f t="shared" si="1137"/>
        <v>0</v>
      </c>
      <c r="BF230" s="355">
        <f t="shared" si="1138"/>
        <v>0</v>
      </c>
      <c r="BH230" s="368">
        <f t="shared" si="1139"/>
        <v>0</v>
      </c>
      <c r="BJ230" s="369">
        <f t="shared" si="1140"/>
        <v>-0.12</v>
      </c>
      <c r="BK230" s="355">
        <f t="shared" si="1141"/>
        <v>0</v>
      </c>
      <c r="BL230" s="355">
        <f t="shared" si="1142"/>
        <v>0</v>
      </c>
      <c r="BN230" s="366">
        <f t="shared" si="1143"/>
        <v>0</v>
      </c>
      <c r="BO230" s="355">
        <f t="shared" si="1144"/>
        <v>0</v>
      </c>
      <c r="BP230" s="355">
        <f t="shared" si="1145"/>
        <v>0</v>
      </c>
      <c r="BQ230" s="355">
        <f t="shared" si="1146"/>
        <v>0</v>
      </c>
      <c r="BS230" s="367">
        <f t="shared" si="1147"/>
        <v>0</v>
      </c>
      <c r="BT230" s="355">
        <f t="shared" si="1148"/>
        <v>0</v>
      </c>
      <c r="BU230" s="355" t="b">
        <f t="shared" si="1111"/>
        <v>1</v>
      </c>
      <c r="BW230" s="355" t="str">
        <f t="shared" si="1149"/>
        <v/>
      </c>
      <c r="BX230" s="355">
        <f t="shared" si="1150"/>
        <v>0</v>
      </c>
      <c r="BY230" s="356">
        <f t="shared" si="1181"/>
        <v>0</v>
      </c>
      <c r="BZ230" s="355">
        <f t="shared" si="1151"/>
        <v>0</v>
      </c>
      <c r="CB230" s="102" t="str">
        <f t="shared" si="1152"/>
        <v>?</v>
      </c>
      <c r="CD230" s="355" t="str">
        <f t="shared" si="1153"/>
        <v>Não</v>
      </c>
      <c r="CE230" s="368">
        <f>ifzero(mlookup(tbl_ICMSinterest_data,UFdestino,tbl_ICMSinterest_ufdest,UForigem,tbl_ICMSinterest_uforig))</f>
        <v>0.12</v>
      </c>
      <c r="CF230" s="368">
        <f>IF(N230&gt;0,IF(I230&lt;&gt;"Serviço",ifzero(mlookup(tbl_ICMSinterno_data,UForigem,tbl_ICMSinterno_UF,O230,tbl_ICMSinterno_NCM),mlookup(tbl_ICMSinterest_data,UForigem,tbl_ICMSinterest_ufdest,UForigem,tbl_ICMSinterest_uforig)),""),0)</f>
        <v>0</v>
      </c>
      <c r="CG230" s="368">
        <f>IF(N230&gt;0,IF(I230&lt;&gt;"Serviço",ifzero(mlookup(tbl_ICMSinterno_data,UFdestino,tbl_ICMSinterno_UF,O230,tbl_ICMSinterno_NCM),mlookup(tbl_ICMSinterest_data,UFdestino,tbl_ICMSinterest_ufdest,UFdestino,tbl_ICMSinterest_uforig)),""),0)</f>
        <v>0</v>
      </c>
      <c r="CI230" s="355">
        <f t="shared" si="1154"/>
        <v>0</v>
      </c>
      <c r="CJ230" s="355">
        <f t="shared" si="1155"/>
        <v>0</v>
      </c>
      <c r="CK230" s="355">
        <f t="shared" si="1156"/>
        <v>0</v>
      </c>
      <c r="CL230" s="355">
        <f t="shared" si="1157"/>
        <v>0</v>
      </c>
      <c r="CN230" s="370">
        <f t="shared" si="1158"/>
        <v>1540</v>
      </c>
      <c r="CO230" s="355">
        <f t="shared" si="1159"/>
        <v>0</v>
      </c>
      <c r="CQ230" s="355" t="b">
        <f t="shared" si="1160"/>
        <v>0</v>
      </c>
      <c r="CR230" s="355" t="b">
        <f t="shared" si="1161"/>
        <v>1</v>
      </c>
      <c r="CS230" s="355" t="b">
        <f t="shared" si="1162"/>
        <v>0</v>
      </c>
      <c r="CU230" s="2">
        <f t="shared" si="1163"/>
        <v>0</v>
      </c>
      <c r="CV230" s="102">
        <f t="shared" si="1164"/>
        <v>0</v>
      </c>
      <c r="CW230" s="102">
        <f t="shared" si="1182"/>
        <v>0</v>
      </c>
      <c r="CX230" s="102">
        <f t="shared" si="1165"/>
        <v>0</v>
      </c>
      <c r="CY230" s="290">
        <f t="shared" si="1166"/>
        <v>0</v>
      </c>
      <c r="CZ230" s="102">
        <f t="shared" si="1100"/>
        <v>0</v>
      </c>
      <c r="DA230" s="290">
        <f t="shared" si="1167"/>
        <v>0</v>
      </c>
      <c r="DB230" s="102">
        <f t="shared" si="1101"/>
        <v>0</v>
      </c>
      <c r="DC230" s="290">
        <f t="shared" si="1168"/>
        <v>0</v>
      </c>
      <c r="DD230" s="102">
        <f t="shared" si="1099"/>
        <v>0</v>
      </c>
      <c r="DE230" s="592">
        <f>IF(D230="Sim",HLOOKUP($DH$5,Parametrização!$G$2:$H$4,2,FALSE),0)</f>
        <v>0</v>
      </c>
      <c r="DF230" s="102">
        <f t="shared" si="1102"/>
        <v>0</v>
      </c>
      <c r="DG230" s="592">
        <f>IF(D230="Sim",HLOOKUP($DH$5,Parametrização!$G$2:$H$4,3,FALSE),0)</f>
        <v>0</v>
      </c>
      <c r="DH230" s="102">
        <f t="shared" si="1103"/>
        <v>0</v>
      </c>
      <c r="DI230" s="102">
        <f t="shared" si="1104"/>
        <v>0</v>
      </c>
      <c r="DK230" s="3" t="str">
        <f t="shared" si="1169"/>
        <v>NA</v>
      </c>
      <c r="DL230" s="2" t="str">
        <f t="shared" si="1170"/>
        <v>NA</v>
      </c>
      <c r="DM230" s="3" t="str">
        <f t="shared" si="1171"/>
        <v>NA</v>
      </c>
      <c r="DN230" s="9" t="str">
        <f t="shared" si="1172"/>
        <v>NA</v>
      </c>
      <c r="DO230" s="637" t="str">
        <f t="shared" si="1173"/>
        <v>NA</v>
      </c>
      <c r="DP230" s="637"/>
      <c r="DQ230" s="3" t="str">
        <f t="shared" si="1174"/>
        <v>NA</v>
      </c>
      <c r="DR230" s="2" t="str">
        <f t="shared" si="1175"/>
        <v>NA</v>
      </c>
      <c r="DS230" s="3" t="str">
        <f t="shared" si="1176"/>
        <v>NA</v>
      </c>
      <c r="DT230" s="9" t="str">
        <f t="shared" si="1105"/>
        <v>NA</v>
      </c>
      <c r="DU230" s="637" t="str">
        <f t="shared" si="1106"/>
        <v>NA</v>
      </c>
      <c r="DV230" s="637"/>
      <c r="DW230" s="682"/>
      <c r="DX230" s="682"/>
      <c r="DY230" s="682"/>
      <c r="DZ230" s="637"/>
      <c r="EA230" s="643"/>
    </row>
    <row r="231" spans="1:131" s="355" customFormat="1" ht="20.100000000000001" customHeight="1" outlineLevel="1" x14ac:dyDescent="0.25">
      <c r="A231" s="356"/>
      <c r="B231" s="355" t="s">
        <v>268</v>
      </c>
      <c r="C231" s="355" t="str">
        <f t="shared" si="1177"/>
        <v>Consumo</v>
      </c>
      <c r="D231" s="355" t="s">
        <v>53</v>
      </c>
      <c r="E231" s="18" t="s">
        <v>38</v>
      </c>
      <c r="F231" s="355" t="s">
        <v>53</v>
      </c>
      <c r="G231" s="357" t="str">
        <f t="shared" si="1178"/>
        <v>Geral</v>
      </c>
      <c r="H231" s="255" t="s">
        <v>377</v>
      </c>
      <c r="I231" s="356" t="str">
        <f t="shared" si="1112"/>
        <v>Sistema</v>
      </c>
      <c r="K231" s="318" t="s">
        <v>2984</v>
      </c>
      <c r="L231" s="749" t="str">
        <f>IF(Padrões!JF172&lt;&gt;"",Padrões!JF172,"")</f>
        <v/>
      </c>
      <c r="M231" s="358" t="str">
        <f t="shared" si="1113"/>
        <v>?</v>
      </c>
      <c r="N231" s="359">
        <f>Padrões!JI172</f>
        <v>0</v>
      </c>
      <c r="O231" s="381" t="str">
        <f t="shared" si="1114"/>
        <v>?</v>
      </c>
      <c r="P231" s="360">
        <f t="shared" si="1115"/>
        <v>0.12</v>
      </c>
      <c r="Q231" s="360" t="str">
        <f t="shared" si="1116"/>
        <v>?</v>
      </c>
      <c r="R231" s="360">
        <f t="shared" si="1117"/>
        <v>0</v>
      </c>
      <c r="S231" s="361">
        <f t="shared" si="1118"/>
        <v>0</v>
      </c>
      <c r="T231" s="362">
        <f t="shared" si="1119"/>
        <v>0</v>
      </c>
      <c r="U231" s="53" t="str" cm="1">
        <f t="array" ref="U231">IFERROR(IF(I231&lt;&gt;"Serviço",IF(AND(mlookup(tbl_DIFAL_data,UFdestino,tbl_DIFAL_UF,O231,tbl_DIFAL_NCM)&lt;&gt;"",C231="Consumo"),"Sim",""),""),"?")</f>
        <v>?</v>
      </c>
      <c r="V231" s="363" t="str">
        <f>IFERROR(IF(I231&lt;&gt;"Serviço",IF(AND(D231="Não",mlookup(tbl_ST_data,UFdestino,tbl_ST_UF,O231,tbl_ST_NCM)&lt;&gt;"",C231="Revenda",CD231="Não"),"Sim",""),""),"?")</f>
        <v>?</v>
      </c>
      <c r="W231" s="364">
        <f t="shared" si="1120"/>
        <v>0</v>
      </c>
      <c r="X231" s="365">
        <f>IF(V231="Sim",mlookup(tbl_ST_data,UFdestino,tbl_ST_UF,O231,tbl_ST_NCM),0)</f>
        <v>0</v>
      </c>
      <c r="Z231" s="355">
        <f t="shared" si="1121"/>
        <v>0</v>
      </c>
      <c r="AA231" s="355">
        <f t="shared" si="1107"/>
        <v>0</v>
      </c>
      <c r="AC231" s="366">
        <f t="shared" si="1179"/>
        <v>1.31243473968765E-2</v>
      </c>
      <c r="AD231" s="366">
        <f t="shared" si="1122"/>
        <v>0.15</v>
      </c>
      <c r="AF231" s="355">
        <f t="shared" si="1123"/>
        <v>0</v>
      </c>
      <c r="AG231" s="355">
        <f t="shared" si="1124"/>
        <v>0</v>
      </c>
      <c r="AI231" s="355">
        <f t="shared" si="1125"/>
        <v>0</v>
      </c>
      <c r="AK231" s="366">
        <f t="shared" si="1180"/>
        <v>0</v>
      </c>
      <c r="AL231" s="355">
        <f t="shared" si="1108"/>
        <v>0</v>
      </c>
      <c r="AM231" s="355">
        <f t="shared" si="1109"/>
        <v>0</v>
      </c>
      <c r="AO231" s="355" t="b">
        <f t="shared" si="1126"/>
        <v>1</v>
      </c>
      <c r="AQ231" s="367">
        <f t="shared" si="1127"/>
        <v>0</v>
      </c>
      <c r="AR231" s="367">
        <f t="shared" si="1110"/>
        <v>0</v>
      </c>
      <c r="AT231" s="367">
        <f t="shared" si="1128"/>
        <v>0</v>
      </c>
      <c r="AU231" s="367">
        <f t="shared" si="1129"/>
        <v>0</v>
      </c>
      <c r="AW231" s="367">
        <f t="shared" si="1130"/>
        <v>0</v>
      </c>
      <c r="AX231" s="367">
        <f t="shared" si="1131"/>
        <v>0</v>
      </c>
      <c r="AY231" s="367">
        <f t="shared" si="1132"/>
        <v>0</v>
      </c>
      <c r="AZ231" s="367">
        <f t="shared" si="1133"/>
        <v>0</v>
      </c>
      <c r="BB231" s="355">
        <f t="shared" si="1134"/>
        <v>0</v>
      </c>
      <c r="BC231" s="355">
        <f t="shared" si="1135"/>
        <v>0</v>
      </c>
      <c r="BD231" s="355">
        <f t="shared" si="1136"/>
        <v>0</v>
      </c>
      <c r="BE231" s="355">
        <f t="shared" si="1137"/>
        <v>0</v>
      </c>
      <c r="BF231" s="355">
        <f t="shared" si="1138"/>
        <v>0</v>
      </c>
      <c r="BH231" s="368">
        <f t="shared" si="1139"/>
        <v>0</v>
      </c>
      <c r="BJ231" s="369">
        <f t="shared" si="1140"/>
        <v>-0.12</v>
      </c>
      <c r="BK231" s="355">
        <f t="shared" si="1141"/>
        <v>0</v>
      </c>
      <c r="BL231" s="355">
        <f t="shared" si="1142"/>
        <v>0</v>
      </c>
      <c r="BN231" s="366">
        <f t="shared" si="1143"/>
        <v>0</v>
      </c>
      <c r="BO231" s="355">
        <f t="shared" si="1144"/>
        <v>0</v>
      </c>
      <c r="BP231" s="355">
        <f t="shared" si="1145"/>
        <v>0</v>
      </c>
      <c r="BQ231" s="355">
        <f t="shared" si="1146"/>
        <v>0</v>
      </c>
      <c r="BS231" s="367">
        <f t="shared" si="1147"/>
        <v>0</v>
      </c>
      <c r="BT231" s="355">
        <f t="shared" si="1148"/>
        <v>0</v>
      </c>
      <c r="BU231" s="355" t="b">
        <f t="shared" si="1111"/>
        <v>1</v>
      </c>
      <c r="BW231" s="355" t="str">
        <f t="shared" si="1149"/>
        <v/>
      </c>
      <c r="BX231" s="355">
        <f t="shared" si="1150"/>
        <v>0</v>
      </c>
      <c r="BY231" s="356">
        <f t="shared" si="1181"/>
        <v>0</v>
      </c>
      <c r="BZ231" s="355">
        <f t="shared" si="1151"/>
        <v>0</v>
      </c>
      <c r="CB231" s="102" t="str">
        <f t="shared" si="1152"/>
        <v>?</v>
      </c>
      <c r="CD231" s="355" t="str">
        <f t="shared" si="1153"/>
        <v>Não</v>
      </c>
      <c r="CE231" s="368">
        <f>ifzero(mlookup(tbl_ICMSinterest_data,UFdestino,tbl_ICMSinterest_ufdest,UForigem,tbl_ICMSinterest_uforig))</f>
        <v>0.12</v>
      </c>
      <c r="CF231" s="368">
        <f>IF(N231&gt;0,IF(I231&lt;&gt;"Serviço",ifzero(mlookup(tbl_ICMSinterno_data,UForigem,tbl_ICMSinterno_UF,O231,tbl_ICMSinterno_NCM),mlookup(tbl_ICMSinterest_data,UForigem,tbl_ICMSinterest_ufdest,UForigem,tbl_ICMSinterest_uforig)),""),0)</f>
        <v>0</v>
      </c>
      <c r="CG231" s="368">
        <f>IF(N231&gt;0,IF(I231&lt;&gt;"Serviço",ifzero(mlookup(tbl_ICMSinterno_data,UFdestino,tbl_ICMSinterno_UF,O231,tbl_ICMSinterno_NCM),mlookup(tbl_ICMSinterest_data,UFdestino,tbl_ICMSinterest_ufdest,UFdestino,tbl_ICMSinterest_uforig)),""),0)</f>
        <v>0</v>
      </c>
      <c r="CI231" s="355">
        <f t="shared" si="1154"/>
        <v>0</v>
      </c>
      <c r="CJ231" s="355">
        <f t="shared" si="1155"/>
        <v>0</v>
      </c>
      <c r="CK231" s="355">
        <f t="shared" si="1156"/>
        <v>0</v>
      </c>
      <c r="CL231" s="355">
        <f t="shared" si="1157"/>
        <v>0</v>
      </c>
      <c r="CN231" s="370">
        <f t="shared" si="1158"/>
        <v>1540</v>
      </c>
      <c r="CO231" s="355">
        <f t="shared" si="1159"/>
        <v>0</v>
      </c>
      <c r="CQ231" s="355" t="b">
        <f t="shared" si="1160"/>
        <v>0</v>
      </c>
      <c r="CR231" s="355" t="b">
        <f t="shared" si="1161"/>
        <v>1</v>
      </c>
      <c r="CS231" s="355" t="b">
        <f t="shared" si="1162"/>
        <v>0</v>
      </c>
      <c r="CU231" s="2">
        <f t="shared" si="1163"/>
        <v>0</v>
      </c>
      <c r="CV231" s="102">
        <f t="shared" si="1164"/>
        <v>0</v>
      </c>
      <c r="CW231" s="102">
        <f t="shared" si="1182"/>
        <v>0</v>
      </c>
      <c r="CX231" s="102">
        <f t="shared" si="1165"/>
        <v>0</v>
      </c>
      <c r="CY231" s="290">
        <f t="shared" si="1166"/>
        <v>0</v>
      </c>
      <c r="CZ231" s="102">
        <f t="shared" si="1100"/>
        <v>0</v>
      </c>
      <c r="DA231" s="290">
        <f t="shared" si="1167"/>
        <v>0</v>
      </c>
      <c r="DB231" s="102">
        <f t="shared" si="1101"/>
        <v>0</v>
      </c>
      <c r="DC231" s="290">
        <f t="shared" si="1168"/>
        <v>0</v>
      </c>
      <c r="DD231" s="102">
        <f t="shared" si="1099"/>
        <v>0</v>
      </c>
      <c r="DE231" s="592">
        <f>IF(D231="Sim",HLOOKUP($DH$5,Parametrização!$G$2:$H$4,2,FALSE),0)</f>
        <v>0</v>
      </c>
      <c r="DF231" s="102">
        <f t="shared" si="1102"/>
        <v>0</v>
      </c>
      <c r="DG231" s="592">
        <f>IF(D231="Sim",HLOOKUP($DH$5,Parametrização!$G$2:$H$4,3,FALSE),0)</f>
        <v>0</v>
      </c>
      <c r="DH231" s="102">
        <f t="shared" si="1103"/>
        <v>0</v>
      </c>
      <c r="DI231" s="102">
        <f t="shared" si="1104"/>
        <v>0</v>
      </c>
      <c r="DK231" s="3" t="str">
        <f t="shared" si="1169"/>
        <v>NA</v>
      </c>
      <c r="DL231" s="2" t="str">
        <f t="shared" si="1170"/>
        <v>NA</v>
      </c>
      <c r="DM231" s="3" t="str">
        <f t="shared" si="1171"/>
        <v>NA</v>
      </c>
      <c r="DN231" s="9" t="str">
        <f t="shared" si="1172"/>
        <v>NA</v>
      </c>
      <c r="DO231" s="637" t="str">
        <f t="shared" si="1173"/>
        <v>NA</v>
      </c>
      <c r="DP231" s="637"/>
      <c r="DQ231" s="3" t="str">
        <f t="shared" si="1174"/>
        <v>NA</v>
      </c>
      <c r="DR231" s="2" t="str">
        <f t="shared" si="1175"/>
        <v>NA</v>
      </c>
      <c r="DS231" s="3" t="str">
        <f t="shared" si="1176"/>
        <v>NA</v>
      </c>
      <c r="DT231" s="9" t="str">
        <f t="shared" si="1105"/>
        <v>NA</v>
      </c>
      <c r="DU231" s="637" t="str">
        <f t="shared" si="1106"/>
        <v>NA</v>
      </c>
      <c r="DV231" s="637"/>
      <c r="DW231" s="682"/>
      <c r="DX231" s="682"/>
      <c r="DY231" s="682"/>
      <c r="DZ231" s="637"/>
      <c r="EA231" s="643"/>
    </row>
    <row r="232" spans="1:131" s="355" customFormat="1" ht="20.100000000000001" customHeight="1" outlineLevel="1" x14ac:dyDescent="0.25">
      <c r="A232" s="356"/>
      <c r="B232" s="355" t="s">
        <v>268</v>
      </c>
      <c r="C232" s="355" t="str">
        <f t="shared" si="1177"/>
        <v>Consumo</v>
      </c>
      <c r="D232" s="355" t="s">
        <v>53</v>
      </c>
      <c r="E232" s="18" t="s">
        <v>38</v>
      </c>
      <c r="F232" s="355" t="s">
        <v>53</v>
      </c>
      <c r="G232" s="357" t="str">
        <f t="shared" si="1178"/>
        <v>Geral</v>
      </c>
      <c r="H232" s="255" t="s">
        <v>377</v>
      </c>
      <c r="I232" s="356" t="str">
        <f t="shared" si="1112"/>
        <v>Sistema</v>
      </c>
      <c r="K232" s="318" t="s">
        <v>2985</v>
      </c>
      <c r="L232" s="749" t="str">
        <f>IF(Padrões!JF173&lt;&gt;"",Padrões!JF173,"")</f>
        <v/>
      </c>
      <c r="M232" s="358" t="str">
        <f t="shared" si="1113"/>
        <v>?</v>
      </c>
      <c r="N232" s="359">
        <f>Padrões!JI173</f>
        <v>0</v>
      </c>
      <c r="O232" s="381" t="str">
        <f t="shared" si="1114"/>
        <v>?</v>
      </c>
      <c r="P232" s="360">
        <f t="shared" si="1115"/>
        <v>0.12</v>
      </c>
      <c r="Q232" s="360" t="str">
        <f t="shared" si="1116"/>
        <v>?</v>
      </c>
      <c r="R232" s="360">
        <f t="shared" si="1117"/>
        <v>0</v>
      </c>
      <c r="S232" s="361">
        <f t="shared" si="1118"/>
        <v>0</v>
      </c>
      <c r="T232" s="362">
        <f t="shared" si="1119"/>
        <v>0</v>
      </c>
      <c r="U232" s="53" t="str" cm="1">
        <f t="array" ref="U232">IFERROR(IF(I232&lt;&gt;"Serviço",IF(AND(mlookup(tbl_DIFAL_data,UFdestino,tbl_DIFAL_UF,O232,tbl_DIFAL_NCM)&lt;&gt;"",C232="Consumo"),"Sim",""),""),"?")</f>
        <v>?</v>
      </c>
      <c r="V232" s="363" t="str">
        <f>IFERROR(IF(I232&lt;&gt;"Serviço",IF(AND(D232="Não",mlookup(tbl_ST_data,UFdestino,tbl_ST_UF,O232,tbl_ST_NCM)&lt;&gt;"",C232="Revenda",CD232="Não"),"Sim",""),""),"?")</f>
        <v>?</v>
      </c>
      <c r="W232" s="364">
        <f t="shared" si="1120"/>
        <v>0</v>
      </c>
      <c r="X232" s="365">
        <f>IF(V232="Sim",mlookup(tbl_ST_data,UFdestino,tbl_ST_UF,O232,tbl_ST_NCM),0)</f>
        <v>0</v>
      </c>
      <c r="Z232" s="355">
        <f t="shared" si="1121"/>
        <v>0</v>
      </c>
      <c r="AA232" s="355">
        <f t="shared" si="1107"/>
        <v>0</v>
      </c>
      <c r="AC232" s="366">
        <f t="shared" si="1179"/>
        <v>1.31243473968765E-2</v>
      </c>
      <c r="AD232" s="366">
        <f t="shared" si="1122"/>
        <v>0.15</v>
      </c>
      <c r="AF232" s="355">
        <f t="shared" si="1123"/>
        <v>0</v>
      </c>
      <c r="AG232" s="355">
        <f t="shared" si="1124"/>
        <v>0</v>
      </c>
      <c r="AI232" s="355">
        <f t="shared" si="1125"/>
        <v>0</v>
      </c>
      <c r="AK232" s="366">
        <f t="shared" si="1180"/>
        <v>0</v>
      </c>
      <c r="AL232" s="355">
        <f t="shared" si="1108"/>
        <v>0</v>
      </c>
      <c r="AM232" s="355">
        <f t="shared" si="1109"/>
        <v>0</v>
      </c>
      <c r="AO232" s="355" t="b">
        <f t="shared" si="1126"/>
        <v>1</v>
      </c>
      <c r="AQ232" s="367">
        <f t="shared" si="1127"/>
        <v>0</v>
      </c>
      <c r="AR232" s="367">
        <f t="shared" si="1110"/>
        <v>0</v>
      </c>
      <c r="AT232" s="367">
        <f t="shared" si="1128"/>
        <v>0</v>
      </c>
      <c r="AU232" s="367">
        <f t="shared" si="1129"/>
        <v>0</v>
      </c>
      <c r="AW232" s="367">
        <f t="shared" si="1130"/>
        <v>0</v>
      </c>
      <c r="AX232" s="367">
        <f t="shared" si="1131"/>
        <v>0</v>
      </c>
      <c r="AY232" s="367">
        <f t="shared" si="1132"/>
        <v>0</v>
      </c>
      <c r="AZ232" s="367">
        <f t="shared" si="1133"/>
        <v>0</v>
      </c>
      <c r="BB232" s="355">
        <f t="shared" si="1134"/>
        <v>0</v>
      </c>
      <c r="BC232" s="355">
        <f t="shared" si="1135"/>
        <v>0</v>
      </c>
      <c r="BD232" s="355">
        <f t="shared" si="1136"/>
        <v>0</v>
      </c>
      <c r="BE232" s="355">
        <f t="shared" si="1137"/>
        <v>0</v>
      </c>
      <c r="BF232" s="355">
        <f t="shared" si="1138"/>
        <v>0</v>
      </c>
      <c r="BH232" s="368">
        <f t="shared" si="1139"/>
        <v>0</v>
      </c>
      <c r="BJ232" s="369">
        <f t="shared" si="1140"/>
        <v>-0.12</v>
      </c>
      <c r="BK232" s="355">
        <f t="shared" si="1141"/>
        <v>0</v>
      </c>
      <c r="BL232" s="355">
        <f t="shared" si="1142"/>
        <v>0</v>
      </c>
      <c r="BN232" s="366">
        <f t="shared" si="1143"/>
        <v>0</v>
      </c>
      <c r="BO232" s="355">
        <f t="shared" si="1144"/>
        <v>0</v>
      </c>
      <c r="BP232" s="355">
        <f t="shared" si="1145"/>
        <v>0</v>
      </c>
      <c r="BQ232" s="355">
        <f t="shared" si="1146"/>
        <v>0</v>
      </c>
      <c r="BS232" s="367">
        <f t="shared" si="1147"/>
        <v>0</v>
      </c>
      <c r="BT232" s="355">
        <f t="shared" si="1148"/>
        <v>0</v>
      </c>
      <c r="BU232" s="355" t="b">
        <f t="shared" si="1111"/>
        <v>1</v>
      </c>
      <c r="BW232" s="355" t="str">
        <f t="shared" si="1149"/>
        <v/>
      </c>
      <c r="BX232" s="355">
        <f t="shared" si="1150"/>
        <v>0</v>
      </c>
      <c r="BY232" s="356">
        <f t="shared" si="1181"/>
        <v>0</v>
      </c>
      <c r="BZ232" s="355">
        <f t="shared" si="1151"/>
        <v>0</v>
      </c>
      <c r="CB232" s="102" t="str">
        <f t="shared" si="1152"/>
        <v>?</v>
      </c>
      <c r="CD232" s="355" t="str">
        <f t="shared" si="1153"/>
        <v>Não</v>
      </c>
      <c r="CE232" s="368">
        <f>ifzero(mlookup(tbl_ICMSinterest_data,UFdestino,tbl_ICMSinterest_ufdest,UForigem,tbl_ICMSinterest_uforig))</f>
        <v>0.12</v>
      </c>
      <c r="CF232" s="368">
        <f>IF(N232&gt;0,IF(I232&lt;&gt;"Serviço",ifzero(mlookup(tbl_ICMSinterno_data,UForigem,tbl_ICMSinterno_UF,O232,tbl_ICMSinterno_NCM),mlookup(tbl_ICMSinterest_data,UForigem,tbl_ICMSinterest_ufdest,UForigem,tbl_ICMSinterest_uforig)),""),0)</f>
        <v>0</v>
      </c>
      <c r="CG232" s="368">
        <f>IF(N232&gt;0,IF(I232&lt;&gt;"Serviço",ifzero(mlookup(tbl_ICMSinterno_data,UFdestino,tbl_ICMSinterno_UF,O232,tbl_ICMSinterno_NCM),mlookup(tbl_ICMSinterest_data,UFdestino,tbl_ICMSinterest_ufdest,UFdestino,tbl_ICMSinterest_uforig)),""),0)</f>
        <v>0</v>
      </c>
      <c r="CI232" s="355">
        <f t="shared" si="1154"/>
        <v>0</v>
      </c>
      <c r="CJ232" s="355">
        <f t="shared" si="1155"/>
        <v>0</v>
      </c>
      <c r="CK232" s="355">
        <f t="shared" si="1156"/>
        <v>0</v>
      </c>
      <c r="CL232" s="355">
        <f t="shared" si="1157"/>
        <v>0</v>
      </c>
      <c r="CN232" s="370">
        <f t="shared" si="1158"/>
        <v>1540</v>
      </c>
      <c r="CO232" s="355">
        <f t="shared" si="1159"/>
        <v>0</v>
      </c>
      <c r="CQ232" s="355" t="b">
        <f t="shared" si="1160"/>
        <v>0</v>
      </c>
      <c r="CR232" s="355" t="b">
        <f t="shared" si="1161"/>
        <v>1</v>
      </c>
      <c r="CS232" s="355" t="b">
        <f t="shared" si="1162"/>
        <v>0</v>
      </c>
      <c r="CU232" s="2">
        <f t="shared" si="1163"/>
        <v>0</v>
      </c>
      <c r="CV232" s="102">
        <f t="shared" si="1164"/>
        <v>0</v>
      </c>
      <c r="CW232" s="102">
        <f t="shared" si="1182"/>
        <v>0</v>
      </c>
      <c r="CX232" s="102">
        <f t="shared" si="1165"/>
        <v>0</v>
      </c>
      <c r="CY232" s="290">
        <f t="shared" si="1166"/>
        <v>0</v>
      </c>
      <c r="CZ232" s="102">
        <f t="shared" si="1100"/>
        <v>0</v>
      </c>
      <c r="DA232" s="290">
        <f t="shared" si="1167"/>
        <v>0</v>
      </c>
      <c r="DB232" s="102">
        <f t="shared" si="1101"/>
        <v>0</v>
      </c>
      <c r="DC232" s="290">
        <f t="shared" si="1168"/>
        <v>0</v>
      </c>
      <c r="DD232" s="102">
        <f t="shared" si="1099"/>
        <v>0</v>
      </c>
      <c r="DE232" s="592">
        <f>IF(D232="Sim",HLOOKUP($DH$5,Parametrização!$G$2:$H$4,2,FALSE),0)</f>
        <v>0</v>
      </c>
      <c r="DF232" s="102">
        <f t="shared" si="1102"/>
        <v>0</v>
      </c>
      <c r="DG232" s="592">
        <f>IF(D232="Sim",HLOOKUP($DH$5,Parametrização!$G$2:$H$4,3,FALSE),0)</f>
        <v>0</v>
      </c>
      <c r="DH232" s="102">
        <f t="shared" si="1103"/>
        <v>0</v>
      </c>
      <c r="DI232" s="102">
        <f t="shared" si="1104"/>
        <v>0</v>
      </c>
      <c r="DK232" s="3" t="str">
        <f t="shared" si="1169"/>
        <v>NA</v>
      </c>
      <c r="DL232" s="2" t="str">
        <f t="shared" si="1170"/>
        <v>NA</v>
      </c>
      <c r="DM232" s="3" t="str">
        <f t="shared" si="1171"/>
        <v>NA</v>
      </c>
      <c r="DN232" s="9" t="str">
        <f t="shared" si="1172"/>
        <v>NA</v>
      </c>
      <c r="DO232" s="637" t="str">
        <f t="shared" si="1173"/>
        <v>NA</v>
      </c>
      <c r="DP232" s="637"/>
      <c r="DQ232" s="3" t="str">
        <f t="shared" si="1174"/>
        <v>NA</v>
      </c>
      <c r="DR232" s="2" t="str">
        <f t="shared" si="1175"/>
        <v>NA</v>
      </c>
      <c r="DS232" s="3" t="str">
        <f t="shared" si="1176"/>
        <v>NA</v>
      </c>
      <c r="DT232" s="9" t="str">
        <f t="shared" si="1105"/>
        <v>NA</v>
      </c>
      <c r="DU232" s="637" t="str">
        <f t="shared" si="1106"/>
        <v>NA</v>
      </c>
      <c r="DV232" s="637"/>
      <c r="DW232" s="682"/>
      <c r="DX232" s="682"/>
      <c r="DY232" s="682"/>
      <c r="DZ232" s="637"/>
      <c r="EA232" s="643"/>
    </row>
    <row r="233" spans="1:131" s="355" customFormat="1" ht="20.100000000000001" customHeight="1" outlineLevel="1" x14ac:dyDescent="0.25">
      <c r="A233" s="356"/>
      <c r="B233" s="355" t="s">
        <v>268</v>
      </c>
      <c r="C233" s="355" t="str">
        <f t="shared" si="1177"/>
        <v>Consumo</v>
      </c>
      <c r="D233" s="355" t="s">
        <v>53</v>
      </c>
      <c r="E233" s="18" t="s">
        <v>38</v>
      </c>
      <c r="F233" s="355" t="s">
        <v>53</v>
      </c>
      <c r="G233" s="357" t="str">
        <f t="shared" si="1178"/>
        <v>Geral</v>
      </c>
      <c r="H233" s="255" t="s">
        <v>377</v>
      </c>
      <c r="I233" s="356" t="str">
        <f t="shared" si="1112"/>
        <v>Sistema</v>
      </c>
      <c r="K233" s="318" t="s">
        <v>2986</v>
      </c>
      <c r="L233" s="749" t="str">
        <f>IF(Padrões!JF174&lt;&gt;"",Padrões!JF174,"")</f>
        <v/>
      </c>
      <c r="M233" s="358" t="str">
        <f t="shared" si="1113"/>
        <v>?</v>
      </c>
      <c r="N233" s="359">
        <f>Padrões!JI174</f>
        <v>0</v>
      </c>
      <c r="O233" s="381" t="str">
        <f t="shared" si="1114"/>
        <v>?</v>
      </c>
      <c r="P233" s="360">
        <f t="shared" si="1115"/>
        <v>0.12</v>
      </c>
      <c r="Q233" s="360" t="str">
        <f t="shared" si="1116"/>
        <v>?</v>
      </c>
      <c r="R233" s="360">
        <f t="shared" si="1117"/>
        <v>0</v>
      </c>
      <c r="S233" s="361">
        <f t="shared" si="1118"/>
        <v>0</v>
      </c>
      <c r="T233" s="362">
        <f t="shared" si="1119"/>
        <v>0</v>
      </c>
      <c r="U233" s="53" t="str" cm="1">
        <f t="array" ref="U233">IFERROR(IF(I233&lt;&gt;"Serviço",IF(AND(mlookup(tbl_DIFAL_data,UFdestino,tbl_DIFAL_UF,O233,tbl_DIFAL_NCM)&lt;&gt;"",C233="Consumo"),"Sim",""),""),"?")</f>
        <v>?</v>
      </c>
      <c r="V233" s="363" t="str">
        <f>IFERROR(IF(I233&lt;&gt;"Serviço",IF(AND(D233="Não",mlookup(tbl_ST_data,UFdestino,tbl_ST_UF,O233,tbl_ST_NCM)&lt;&gt;"",C233="Revenda",CD233="Não"),"Sim",""),""),"?")</f>
        <v>?</v>
      </c>
      <c r="W233" s="364">
        <f t="shared" si="1120"/>
        <v>0</v>
      </c>
      <c r="X233" s="365">
        <f>IF(V233="Sim",mlookup(tbl_ST_data,UFdestino,tbl_ST_UF,O233,tbl_ST_NCM),0)</f>
        <v>0</v>
      </c>
      <c r="Z233" s="355">
        <f t="shared" si="1121"/>
        <v>0</v>
      </c>
      <c r="AA233" s="355">
        <f t="shared" si="1107"/>
        <v>0</v>
      </c>
      <c r="AC233" s="366">
        <f t="shared" si="1179"/>
        <v>1.31243473968765E-2</v>
      </c>
      <c r="AD233" s="366">
        <f t="shared" si="1122"/>
        <v>0.15</v>
      </c>
      <c r="AF233" s="355">
        <f t="shared" si="1123"/>
        <v>0</v>
      </c>
      <c r="AG233" s="355">
        <f t="shared" si="1124"/>
        <v>0</v>
      </c>
      <c r="AI233" s="355">
        <f t="shared" si="1125"/>
        <v>0</v>
      </c>
      <c r="AK233" s="366">
        <f t="shared" si="1180"/>
        <v>0</v>
      </c>
      <c r="AL233" s="355">
        <f t="shared" si="1108"/>
        <v>0</v>
      </c>
      <c r="AM233" s="355">
        <f t="shared" si="1109"/>
        <v>0</v>
      </c>
      <c r="AO233" s="355" t="b">
        <f t="shared" si="1126"/>
        <v>1</v>
      </c>
      <c r="AQ233" s="367">
        <f t="shared" si="1127"/>
        <v>0</v>
      </c>
      <c r="AR233" s="367">
        <f t="shared" si="1110"/>
        <v>0</v>
      </c>
      <c r="AT233" s="367">
        <f t="shared" si="1128"/>
        <v>0</v>
      </c>
      <c r="AU233" s="367">
        <f t="shared" si="1129"/>
        <v>0</v>
      </c>
      <c r="AW233" s="367">
        <f t="shared" si="1130"/>
        <v>0</v>
      </c>
      <c r="AX233" s="367">
        <f t="shared" si="1131"/>
        <v>0</v>
      </c>
      <c r="AY233" s="367">
        <f t="shared" si="1132"/>
        <v>0</v>
      </c>
      <c r="AZ233" s="367">
        <f t="shared" si="1133"/>
        <v>0</v>
      </c>
      <c r="BB233" s="355">
        <f t="shared" si="1134"/>
        <v>0</v>
      </c>
      <c r="BC233" s="355">
        <f t="shared" si="1135"/>
        <v>0</v>
      </c>
      <c r="BD233" s="355">
        <f t="shared" si="1136"/>
        <v>0</v>
      </c>
      <c r="BE233" s="355">
        <f t="shared" si="1137"/>
        <v>0</v>
      </c>
      <c r="BF233" s="355">
        <f t="shared" si="1138"/>
        <v>0</v>
      </c>
      <c r="BH233" s="368">
        <f t="shared" si="1139"/>
        <v>0</v>
      </c>
      <c r="BJ233" s="369">
        <f t="shared" si="1140"/>
        <v>-0.12</v>
      </c>
      <c r="BK233" s="355">
        <f t="shared" si="1141"/>
        <v>0</v>
      </c>
      <c r="BL233" s="355">
        <f t="shared" si="1142"/>
        <v>0</v>
      </c>
      <c r="BN233" s="366">
        <f t="shared" si="1143"/>
        <v>0</v>
      </c>
      <c r="BO233" s="355">
        <f t="shared" si="1144"/>
        <v>0</v>
      </c>
      <c r="BP233" s="355">
        <f t="shared" si="1145"/>
        <v>0</v>
      </c>
      <c r="BQ233" s="355">
        <f t="shared" si="1146"/>
        <v>0</v>
      </c>
      <c r="BS233" s="367">
        <f t="shared" si="1147"/>
        <v>0</v>
      </c>
      <c r="BT233" s="355">
        <f t="shared" si="1148"/>
        <v>0</v>
      </c>
      <c r="BU233" s="355" t="b">
        <f t="shared" si="1111"/>
        <v>1</v>
      </c>
      <c r="BW233" s="355" t="str">
        <f t="shared" si="1149"/>
        <v/>
      </c>
      <c r="BX233" s="355">
        <f t="shared" si="1150"/>
        <v>0</v>
      </c>
      <c r="BY233" s="356">
        <f t="shared" si="1181"/>
        <v>0</v>
      </c>
      <c r="BZ233" s="355">
        <f t="shared" si="1151"/>
        <v>0</v>
      </c>
      <c r="CB233" s="102" t="str">
        <f t="shared" si="1152"/>
        <v>?</v>
      </c>
      <c r="CD233" s="355" t="str">
        <f t="shared" si="1153"/>
        <v>Não</v>
      </c>
      <c r="CE233" s="368">
        <f>ifzero(mlookup(tbl_ICMSinterest_data,UFdestino,tbl_ICMSinterest_ufdest,UForigem,tbl_ICMSinterest_uforig))</f>
        <v>0.12</v>
      </c>
      <c r="CF233" s="368">
        <f>IF(N233&gt;0,IF(I233&lt;&gt;"Serviço",ifzero(mlookup(tbl_ICMSinterno_data,UForigem,tbl_ICMSinterno_UF,O233,tbl_ICMSinterno_NCM),mlookup(tbl_ICMSinterest_data,UForigem,tbl_ICMSinterest_ufdest,UForigem,tbl_ICMSinterest_uforig)),""),0)</f>
        <v>0</v>
      </c>
      <c r="CG233" s="368">
        <f>IF(N233&gt;0,IF(I233&lt;&gt;"Serviço",ifzero(mlookup(tbl_ICMSinterno_data,UFdestino,tbl_ICMSinterno_UF,O233,tbl_ICMSinterno_NCM),mlookup(tbl_ICMSinterest_data,UFdestino,tbl_ICMSinterest_ufdest,UFdestino,tbl_ICMSinterest_uforig)),""),0)</f>
        <v>0</v>
      </c>
      <c r="CI233" s="355">
        <f t="shared" si="1154"/>
        <v>0</v>
      </c>
      <c r="CJ233" s="355">
        <f t="shared" si="1155"/>
        <v>0</v>
      </c>
      <c r="CK233" s="355">
        <f t="shared" si="1156"/>
        <v>0</v>
      </c>
      <c r="CL233" s="355">
        <f t="shared" si="1157"/>
        <v>0</v>
      </c>
      <c r="CN233" s="370">
        <f t="shared" si="1158"/>
        <v>1540</v>
      </c>
      <c r="CO233" s="355">
        <f t="shared" si="1159"/>
        <v>0</v>
      </c>
      <c r="CQ233" s="355" t="b">
        <f t="shared" si="1160"/>
        <v>0</v>
      </c>
      <c r="CR233" s="355" t="b">
        <f t="shared" si="1161"/>
        <v>1</v>
      </c>
      <c r="CS233" s="355" t="b">
        <f t="shared" si="1162"/>
        <v>0</v>
      </c>
      <c r="CU233" s="2">
        <f t="shared" si="1163"/>
        <v>0</v>
      </c>
      <c r="CV233" s="102">
        <f t="shared" si="1164"/>
        <v>0</v>
      </c>
      <c r="CW233" s="102">
        <f t="shared" si="1182"/>
        <v>0</v>
      </c>
      <c r="CX233" s="102">
        <f t="shared" si="1165"/>
        <v>0</v>
      </c>
      <c r="CY233" s="290">
        <f t="shared" si="1166"/>
        <v>0</v>
      </c>
      <c r="CZ233" s="102">
        <f t="shared" si="1100"/>
        <v>0</v>
      </c>
      <c r="DA233" s="290">
        <f t="shared" si="1167"/>
        <v>0</v>
      </c>
      <c r="DB233" s="102">
        <f t="shared" si="1101"/>
        <v>0</v>
      </c>
      <c r="DC233" s="290">
        <f t="shared" si="1168"/>
        <v>0</v>
      </c>
      <c r="DD233" s="102">
        <f t="shared" si="1099"/>
        <v>0</v>
      </c>
      <c r="DE233" s="592">
        <f>IF(D233="Sim",HLOOKUP($DH$5,Parametrização!$G$2:$H$4,2,FALSE),0)</f>
        <v>0</v>
      </c>
      <c r="DF233" s="102">
        <f t="shared" si="1102"/>
        <v>0</v>
      </c>
      <c r="DG233" s="592">
        <f>IF(D233="Sim",HLOOKUP($DH$5,Parametrização!$G$2:$H$4,3,FALSE),0)</f>
        <v>0</v>
      </c>
      <c r="DH233" s="102">
        <f t="shared" si="1103"/>
        <v>0</v>
      </c>
      <c r="DI233" s="102">
        <f t="shared" si="1104"/>
        <v>0</v>
      </c>
      <c r="DK233" s="3" t="str">
        <f t="shared" si="1169"/>
        <v>NA</v>
      </c>
      <c r="DL233" s="2" t="str">
        <f t="shared" si="1170"/>
        <v>NA</v>
      </c>
      <c r="DM233" s="3" t="str">
        <f t="shared" si="1171"/>
        <v>NA</v>
      </c>
      <c r="DN233" s="9" t="str">
        <f t="shared" si="1172"/>
        <v>NA</v>
      </c>
      <c r="DO233" s="637" t="str">
        <f t="shared" si="1173"/>
        <v>NA</v>
      </c>
      <c r="DP233" s="637"/>
      <c r="DQ233" s="3" t="str">
        <f t="shared" si="1174"/>
        <v>NA</v>
      </c>
      <c r="DR233" s="2" t="str">
        <f t="shared" si="1175"/>
        <v>NA</v>
      </c>
      <c r="DS233" s="3" t="str">
        <f t="shared" si="1176"/>
        <v>NA</v>
      </c>
      <c r="DT233" s="9" t="str">
        <f t="shared" si="1105"/>
        <v>NA</v>
      </c>
      <c r="DU233" s="637" t="str">
        <f t="shared" si="1106"/>
        <v>NA</v>
      </c>
      <c r="DV233" s="637"/>
      <c r="DW233" s="682"/>
      <c r="DX233" s="682"/>
      <c r="DY233" s="682"/>
      <c r="DZ233" s="637"/>
      <c r="EA233" s="643"/>
    </row>
    <row r="234" spans="1:131" s="355" customFormat="1" ht="20.100000000000001" customHeight="1" outlineLevel="1" x14ac:dyDescent="0.25">
      <c r="A234" s="356"/>
      <c r="B234" s="355" t="s">
        <v>268</v>
      </c>
      <c r="C234" s="355" t="str">
        <f t="shared" si="1177"/>
        <v>Consumo</v>
      </c>
      <c r="D234" s="355" t="s">
        <v>53</v>
      </c>
      <c r="E234" s="18" t="s">
        <v>38</v>
      </c>
      <c r="F234" s="355" t="s">
        <v>53</v>
      </c>
      <c r="G234" s="357" t="str">
        <f t="shared" si="1178"/>
        <v>Geral</v>
      </c>
      <c r="H234" s="255" t="s">
        <v>377</v>
      </c>
      <c r="I234" s="356" t="str">
        <f t="shared" si="1112"/>
        <v>Sistema</v>
      </c>
      <c r="K234" s="318" t="s">
        <v>2987</v>
      </c>
      <c r="L234" s="749" t="str">
        <f>IF(Padrões!JF175&lt;&gt;"",Padrões!JF175,"")</f>
        <v/>
      </c>
      <c r="M234" s="358" t="str">
        <f t="shared" si="1113"/>
        <v>?</v>
      </c>
      <c r="N234" s="359">
        <f>Padrões!JI175</f>
        <v>0</v>
      </c>
      <c r="O234" s="381" t="str">
        <f t="shared" si="1114"/>
        <v>?</v>
      </c>
      <c r="P234" s="360">
        <f t="shared" si="1115"/>
        <v>0.12</v>
      </c>
      <c r="Q234" s="360" t="str">
        <f t="shared" si="1116"/>
        <v>?</v>
      </c>
      <c r="R234" s="360">
        <f t="shared" si="1117"/>
        <v>0</v>
      </c>
      <c r="S234" s="361">
        <f t="shared" si="1118"/>
        <v>0</v>
      </c>
      <c r="T234" s="362">
        <f t="shared" si="1119"/>
        <v>0</v>
      </c>
      <c r="U234" s="53" t="str" cm="1">
        <f t="array" ref="U234">IFERROR(IF(I234&lt;&gt;"Serviço",IF(AND(mlookup(tbl_DIFAL_data,UFdestino,tbl_DIFAL_UF,O234,tbl_DIFAL_NCM)&lt;&gt;"",C234="Consumo"),"Sim",""),""),"?")</f>
        <v>?</v>
      </c>
      <c r="V234" s="363" t="str">
        <f>IFERROR(IF(I234&lt;&gt;"Serviço",IF(AND(D234="Não",mlookup(tbl_ST_data,UFdestino,tbl_ST_UF,O234,tbl_ST_NCM)&lt;&gt;"",C234="Revenda",CD234="Não"),"Sim",""),""),"?")</f>
        <v>?</v>
      </c>
      <c r="W234" s="364">
        <f t="shared" si="1120"/>
        <v>0</v>
      </c>
      <c r="X234" s="365">
        <f>IF(V234="Sim",mlookup(tbl_ST_data,UFdestino,tbl_ST_UF,O234,tbl_ST_NCM),0)</f>
        <v>0</v>
      </c>
      <c r="Z234" s="355">
        <f t="shared" si="1121"/>
        <v>0</v>
      </c>
      <c r="AA234" s="355">
        <f t="shared" si="1107"/>
        <v>0</v>
      </c>
      <c r="AC234" s="366">
        <f t="shared" si="1179"/>
        <v>1.31243473968765E-2</v>
      </c>
      <c r="AD234" s="366">
        <f t="shared" si="1122"/>
        <v>0.15</v>
      </c>
      <c r="AF234" s="355">
        <f t="shared" si="1123"/>
        <v>0</v>
      </c>
      <c r="AG234" s="355">
        <f t="shared" si="1124"/>
        <v>0</v>
      </c>
      <c r="AI234" s="355">
        <f t="shared" si="1125"/>
        <v>0</v>
      </c>
      <c r="AK234" s="366">
        <f t="shared" si="1180"/>
        <v>0</v>
      </c>
      <c r="AL234" s="355">
        <f t="shared" si="1108"/>
        <v>0</v>
      </c>
      <c r="AM234" s="355">
        <f t="shared" si="1109"/>
        <v>0</v>
      </c>
      <c r="AO234" s="355" t="b">
        <f t="shared" si="1126"/>
        <v>1</v>
      </c>
      <c r="AQ234" s="367">
        <f t="shared" si="1127"/>
        <v>0</v>
      </c>
      <c r="AR234" s="367">
        <f t="shared" si="1110"/>
        <v>0</v>
      </c>
      <c r="AT234" s="367">
        <f t="shared" si="1128"/>
        <v>0</v>
      </c>
      <c r="AU234" s="367">
        <f t="shared" si="1129"/>
        <v>0</v>
      </c>
      <c r="AW234" s="367">
        <f t="shared" si="1130"/>
        <v>0</v>
      </c>
      <c r="AX234" s="367">
        <f t="shared" si="1131"/>
        <v>0</v>
      </c>
      <c r="AY234" s="367">
        <f t="shared" si="1132"/>
        <v>0</v>
      </c>
      <c r="AZ234" s="367">
        <f t="shared" si="1133"/>
        <v>0</v>
      </c>
      <c r="BB234" s="355">
        <f t="shared" si="1134"/>
        <v>0</v>
      </c>
      <c r="BC234" s="355">
        <f t="shared" si="1135"/>
        <v>0</v>
      </c>
      <c r="BD234" s="355">
        <f t="shared" si="1136"/>
        <v>0</v>
      </c>
      <c r="BE234" s="355">
        <f t="shared" si="1137"/>
        <v>0</v>
      </c>
      <c r="BF234" s="355">
        <f t="shared" si="1138"/>
        <v>0</v>
      </c>
      <c r="BH234" s="368">
        <f t="shared" si="1139"/>
        <v>0</v>
      </c>
      <c r="BJ234" s="369">
        <f t="shared" si="1140"/>
        <v>-0.12</v>
      </c>
      <c r="BK234" s="355">
        <f t="shared" si="1141"/>
        <v>0</v>
      </c>
      <c r="BL234" s="355">
        <f t="shared" si="1142"/>
        <v>0</v>
      </c>
      <c r="BN234" s="366">
        <f t="shared" si="1143"/>
        <v>0</v>
      </c>
      <c r="BO234" s="355">
        <f t="shared" si="1144"/>
        <v>0</v>
      </c>
      <c r="BP234" s="355">
        <f t="shared" si="1145"/>
        <v>0</v>
      </c>
      <c r="BQ234" s="355">
        <f t="shared" si="1146"/>
        <v>0</v>
      </c>
      <c r="BS234" s="367">
        <f t="shared" si="1147"/>
        <v>0</v>
      </c>
      <c r="BT234" s="355">
        <f t="shared" si="1148"/>
        <v>0</v>
      </c>
      <c r="BU234" s="355" t="b">
        <f t="shared" si="1111"/>
        <v>1</v>
      </c>
      <c r="BW234" s="355" t="str">
        <f t="shared" si="1149"/>
        <v/>
      </c>
      <c r="BX234" s="355">
        <f t="shared" si="1150"/>
        <v>0</v>
      </c>
      <c r="BY234" s="356">
        <f t="shared" si="1181"/>
        <v>0</v>
      </c>
      <c r="BZ234" s="355">
        <f t="shared" si="1151"/>
        <v>0</v>
      </c>
      <c r="CB234" s="102" t="str">
        <f t="shared" si="1152"/>
        <v>?</v>
      </c>
      <c r="CD234" s="355" t="str">
        <f t="shared" si="1153"/>
        <v>Não</v>
      </c>
      <c r="CE234" s="368">
        <f>ifzero(mlookup(tbl_ICMSinterest_data,UFdestino,tbl_ICMSinterest_ufdest,UForigem,tbl_ICMSinterest_uforig))</f>
        <v>0.12</v>
      </c>
      <c r="CF234" s="368">
        <f>IF(N234&gt;0,IF(I234&lt;&gt;"Serviço",ifzero(mlookup(tbl_ICMSinterno_data,UForigem,tbl_ICMSinterno_UF,O234,tbl_ICMSinterno_NCM),mlookup(tbl_ICMSinterest_data,UForigem,tbl_ICMSinterest_ufdest,UForigem,tbl_ICMSinterest_uforig)),""),0)</f>
        <v>0</v>
      </c>
      <c r="CG234" s="368">
        <f>IF(N234&gt;0,IF(I234&lt;&gt;"Serviço",ifzero(mlookup(tbl_ICMSinterno_data,UFdestino,tbl_ICMSinterno_UF,O234,tbl_ICMSinterno_NCM),mlookup(tbl_ICMSinterest_data,UFdestino,tbl_ICMSinterest_ufdest,UFdestino,tbl_ICMSinterest_uforig)),""),0)</f>
        <v>0</v>
      </c>
      <c r="CI234" s="355">
        <f t="shared" si="1154"/>
        <v>0</v>
      </c>
      <c r="CJ234" s="355">
        <f t="shared" si="1155"/>
        <v>0</v>
      </c>
      <c r="CK234" s="355">
        <f t="shared" si="1156"/>
        <v>0</v>
      </c>
      <c r="CL234" s="355">
        <f t="shared" si="1157"/>
        <v>0</v>
      </c>
      <c r="CN234" s="370">
        <f t="shared" si="1158"/>
        <v>1540</v>
      </c>
      <c r="CO234" s="355">
        <f t="shared" si="1159"/>
        <v>0</v>
      </c>
      <c r="CQ234" s="355" t="b">
        <f t="shared" si="1160"/>
        <v>0</v>
      </c>
      <c r="CR234" s="355" t="b">
        <f t="shared" si="1161"/>
        <v>1</v>
      </c>
      <c r="CS234" s="355" t="b">
        <f t="shared" si="1162"/>
        <v>0</v>
      </c>
      <c r="CU234" s="2">
        <f t="shared" si="1163"/>
        <v>0</v>
      </c>
      <c r="CV234" s="102">
        <f t="shared" si="1164"/>
        <v>0</v>
      </c>
      <c r="CW234" s="102">
        <f t="shared" si="1182"/>
        <v>0</v>
      </c>
      <c r="CX234" s="102">
        <f t="shared" si="1165"/>
        <v>0</v>
      </c>
      <c r="CY234" s="290">
        <f t="shared" si="1166"/>
        <v>0</v>
      </c>
      <c r="CZ234" s="102">
        <f t="shared" si="1100"/>
        <v>0</v>
      </c>
      <c r="DA234" s="290">
        <f t="shared" si="1167"/>
        <v>0</v>
      </c>
      <c r="DB234" s="102">
        <f t="shared" si="1101"/>
        <v>0</v>
      </c>
      <c r="DC234" s="290">
        <f t="shared" si="1168"/>
        <v>0</v>
      </c>
      <c r="DD234" s="102">
        <f t="shared" ref="DD234:DD272" si="1183">CX234*DC234/(1+DC234)</f>
        <v>0</v>
      </c>
      <c r="DE234" s="592">
        <f>IF(D234="Sim",HLOOKUP($DH$5,Parametrização!$G$2:$H$4,2,FALSE),0)</f>
        <v>0</v>
      </c>
      <c r="DF234" s="102">
        <f t="shared" si="1102"/>
        <v>0</v>
      </c>
      <c r="DG234" s="592">
        <f>IF(D234="Sim",HLOOKUP($DH$5,Parametrização!$G$2:$H$4,3,FALSE),0)</f>
        <v>0</v>
      </c>
      <c r="DH234" s="102">
        <f t="shared" si="1103"/>
        <v>0</v>
      </c>
      <c r="DI234" s="102">
        <f t="shared" si="1104"/>
        <v>0</v>
      </c>
      <c r="DK234" s="3" t="str">
        <f t="shared" si="1169"/>
        <v>NA</v>
      </c>
      <c r="DL234" s="2" t="str">
        <f t="shared" si="1170"/>
        <v>NA</v>
      </c>
      <c r="DM234" s="3" t="str">
        <f t="shared" si="1171"/>
        <v>NA</v>
      </c>
      <c r="DN234" s="9" t="str">
        <f t="shared" si="1172"/>
        <v>NA</v>
      </c>
      <c r="DO234" s="637" t="str">
        <f t="shared" si="1173"/>
        <v>NA</v>
      </c>
      <c r="DP234" s="637"/>
      <c r="DQ234" s="3" t="str">
        <f t="shared" si="1174"/>
        <v>NA</v>
      </c>
      <c r="DR234" s="2" t="str">
        <f t="shared" si="1175"/>
        <v>NA</v>
      </c>
      <c r="DS234" s="3" t="str">
        <f t="shared" si="1176"/>
        <v>NA</v>
      </c>
      <c r="DT234" s="9" t="str">
        <f t="shared" si="1105"/>
        <v>NA</v>
      </c>
      <c r="DU234" s="637" t="str">
        <f t="shared" si="1106"/>
        <v>NA</v>
      </c>
      <c r="DV234" s="637"/>
      <c r="DW234" s="682"/>
      <c r="DX234" s="682"/>
      <c r="DY234" s="682"/>
      <c r="DZ234" s="637"/>
      <c r="EA234" s="643"/>
    </row>
    <row r="235" spans="1:131" s="355" customFormat="1" ht="20.100000000000001" customHeight="1" outlineLevel="1" x14ac:dyDescent="0.25">
      <c r="A235" s="356"/>
      <c r="B235" s="355" t="s">
        <v>268</v>
      </c>
      <c r="C235" s="355" t="str">
        <f t="shared" si="1177"/>
        <v>Consumo</v>
      </c>
      <c r="D235" s="355" t="s">
        <v>53</v>
      </c>
      <c r="E235" s="18" t="s">
        <v>38</v>
      </c>
      <c r="F235" s="355" t="s">
        <v>53</v>
      </c>
      <c r="G235" s="357" t="str">
        <f t="shared" si="1178"/>
        <v>Geral</v>
      </c>
      <c r="H235" s="255" t="s">
        <v>377</v>
      </c>
      <c r="I235" s="356" t="str">
        <f t="shared" si="1112"/>
        <v>Sistema</v>
      </c>
      <c r="K235" s="318" t="s">
        <v>2988</v>
      </c>
      <c r="L235" s="749" t="str">
        <f>IF(Padrões!JF176&lt;&gt;"",Padrões!JF176,"")</f>
        <v/>
      </c>
      <c r="M235" s="358" t="str">
        <f t="shared" si="1113"/>
        <v>?</v>
      </c>
      <c r="N235" s="359">
        <f>Padrões!JI176</f>
        <v>0</v>
      </c>
      <c r="O235" s="381" t="str">
        <f t="shared" si="1114"/>
        <v>?</v>
      </c>
      <c r="P235" s="360">
        <f t="shared" si="1115"/>
        <v>0.12</v>
      </c>
      <c r="Q235" s="360" t="str">
        <f t="shared" si="1116"/>
        <v>?</v>
      </c>
      <c r="R235" s="360">
        <f t="shared" si="1117"/>
        <v>0</v>
      </c>
      <c r="S235" s="361">
        <f t="shared" si="1118"/>
        <v>0</v>
      </c>
      <c r="T235" s="362">
        <f t="shared" si="1119"/>
        <v>0</v>
      </c>
      <c r="U235" s="53" t="str" cm="1">
        <f t="array" ref="U235">IFERROR(IF(I235&lt;&gt;"Serviço",IF(AND(mlookup(tbl_DIFAL_data,UFdestino,tbl_DIFAL_UF,O235,tbl_DIFAL_NCM)&lt;&gt;"",C235="Consumo"),"Sim",""),""),"?")</f>
        <v>?</v>
      </c>
      <c r="V235" s="363" t="str">
        <f>IFERROR(IF(I235&lt;&gt;"Serviço",IF(AND(D235="Não",mlookup(tbl_ST_data,UFdestino,tbl_ST_UF,O235,tbl_ST_NCM)&lt;&gt;"",C235="Revenda",CD235="Não"),"Sim",""),""),"?")</f>
        <v>?</v>
      </c>
      <c r="W235" s="364">
        <f t="shared" si="1120"/>
        <v>0</v>
      </c>
      <c r="X235" s="365">
        <f>IF(V235="Sim",mlookup(tbl_ST_data,UFdestino,tbl_ST_UF,O235,tbl_ST_NCM),0)</f>
        <v>0</v>
      </c>
      <c r="Z235" s="355">
        <f t="shared" si="1121"/>
        <v>0</v>
      </c>
      <c r="AA235" s="355">
        <f t="shared" si="1107"/>
        <v>0</v>
      </c>
      <c r="AC235" s="366">
        <f t="shared" si="1179"/>
        <v>1.31243473968765E-2</v>
      </c>
      <c r="AD235" s="366">
        <f t="shared" si="1122"/>
        <v>0.15</v>
      </c>
      <c r="AF235" s="355">
        <f t="shared" si="1123"/>
        <v>0</v>
      </c>
      <c r="AG235" s="355">
        <f t="shared" si="1124"/>
        <v>0</v>
      </c>
      <c r="AI235" s="355">
        <f t="shared" si="1125"/>
        <v>0</v>
      </c>
      <c r="AK235" s="366">
        <f t="shared" si="1180"/>
        <v>0</v>
      </c>
      <c r="AL235" s="355">
        <f t="shared" si="1108"/>
        <v>0</v>
      </c>
      <c r="AM235" s="355">
        <f t="shared" si="1109"/>
        <v>0</v>
      </c>
      <c r="AO235" s="355" t="b">
        <f t="shared" si="1126"/>
        <v>1</v>
      </c>
      <c r="AQ235" s="367">
        <f t="shared" si="1127"/>
        <v>0</v>
      </c>
      <c r="AR235" s="367">
        <f t="shared" si="1110"/>
        <v>0</v>
      </c>
      <c r="AT235" s="367">
        <f t="shared" si="1128"/>
        <v>0</v>
      </c>
      <c r="AU235" s="367">
        <f t="shared" si="1129"/>
        <v>0</v>
      </c>
      <c r="AW235" s="367">
        <f t="shared" si="1130"/>
        <v>0</v>
      </c>
      <c r="AX235" s="367">
        <f t="shared" si="1131"/>
        <v>0</v>
      </c>
      <c r="AY235" s="367">
        <f t="shared" si="1132"/>
        <v>0</v>
      </c>
      <c r="AZ235" s="367">
        <f t="shared" si="1133"/>
        <v>0</v>
      </c>
      <c r="BB235" s="355">
        <f t="shared" si="1134"/>
        <v>0</v>
      </c>
      <c r="BC235" s="355">
        <f t="shared" si="1135"/>
        <v>0</v>
      </c>
      <c r="BD235" s="355">
        <f t="shared" si="1136"/>
        <v>0</v>
      </c>
      <c r="BE235" s="355">
        <f t="shared" si="1137"/>
        <v>0</v>
      </c>
      <c r="BF235" s="355">
        <f t="shared" si="1138"/>
        <v>0</v>
      </c>
      <c r="BH235" s="368">
        <f t="shared" si="1139"/>
        <v>0</v>
      </c>
      <c r="BJ235" s="369">
        <f t="shared" si="1140"/>
        <v>-0.12</v>
      </c>
      <c r="BK235" s="355">
        <f t="shared" si="1141"/>
        <v>0</v>
      </c>
      <c r="BL235" s="355">
        <f t="shared" si="1142"/>
        <v>0</v>
      </c>
      <c r="BN235" s="366">
        <f t="shared" si="1143"/>
        <v>0</v>
      </c>
      <c r="BO235" s="355">
        <f t="shared" si="1144"/>
        <v>0</v>
      </c>
      <c r="BP235" s="355">
        <f t="shared" si="1145"/>
        <v>0</v>
      </c>
      <c r="BQ235" s="355">
        <f t="shared" si="1146"/>
        <v>0</v>
      </c>
      <c r="BS235" s="367">
        <f t="shared" si="1147"/>
        <v>0</v>
      </c>
      <c r="BT235" s="355">
        <f t="shared" si="1148"/>
        <v>0</v>
      </c>
      <c r="BU235" s="355" t="b">
        <f t="shared" si="1111"/>
        <v>1</v>
      </c>
      <c r="BW235" s="355" t="str">
        <f t="shared" si="1149"/>
        <v/>
      </c>
      <c r="BX235" s="355">
        <f t="shared" si="1150"/>
        <v>0</v>
      </c>
      <c r="BY235" s="356">
        <f t="shared" si="1181"/>
        <v>0</v>
      </c>
      <c r="BZ235" s="355">
        <f t="shared" si="1151"/>
        <v>0</v>
      </c>
      <c r="CB235" s="102" t="str">
        <f t="shared" si="1152"/>
        <v>?</v>
      </c>
      <c r="CD235" s="355" t="str">
        <f t="shared" si="1153"/>
        <v>Não</v>
      </c>
      <c r="CE235" s="368">
        <f>ifzero(mlookup(tbl_ICMSinterest_data,UFdestino,tbl_ICMSinterest_ufdest,UForigem,tbl_ICMSinterest_uforig))</f>
        <v>0.12</v>
      </c>
      <c r="CF235" s="368">
        <f>IF(N235&gt;0,IF(I235&lt;&gt;"Serviço",ifzero(mlookup(tbl_ICMSinterno_data,UForigem,tbl_ICMSinterno_UF,O235,tbl_ICMSinterno_NCM),mlookup(tbl_ICMSinterest_data,UForigem,tbl_ICMSinterest_ufdest,UForigem,tbl_ICMSinterest_uforig)),""),0)</f>
        <v>0</v>
      </c>
      <c r="CG235" s="368">
        <f>IF(N235&gt;0,IF(I235&lt;&gt;"Serviço",ifzero(mlookup(tbl_ICMSinterno_data,UFdestino,tbl_ICMSinterno_UF,O235,tbl_ICMSinterno_NCM),mlookup(tbl_ICMSinterest_data,UFdestino,tbl_ICMSinterest_ufdest,UFdestino,tbl_ICMSinterest_uforig)),""),0)</f>
        <v>0</v>
      </c>
      <c r="CI235" s="355">
        <f t="shared" si="1154"/>
        <v>0</v>
      </c>
      <c r="CJ235" s="355">
        <f t="shared" si="1155"/>
        <v>0</v>
      </c>
      <c r="CK235" s="355">
        <f t="shared" si="1156"/>
        <v>0</v>
      </c>
      <c r="CL235" s="355">
        <f t="shared" si="1157"/>
        <v>0</v>
      </c>
      <c r="CN235" s="370">
        <f t="shared" si="1158"/>
        <v>1540</v>
      </c>
      <c r="CO235" s="355">
        <f t="shared" si="1159"/>
        <v>0</v>
      </c>
      <c r="CQ235" s="355" t="b">
        <f t="shared" si="1160"/>
        <v>0</v>
      </c>
      <c r="CR235" s="355" t="b">
        <f t="shared" si="1161"/>
        <v>1</v>
      </c>
      <c r="CS235" s="355" t="b">
        <f t="shared" si="1162"/>
        <v>0</v>
      </c>
      <c r="CU235" s="2">
        <f t="shared" si="1163"/>
        <v>0</v>
      </c>
      <c r="CV235" s="102">
        <f t="shared" si="1164"/>
        <v>0</v>
      </c>
      <c r="CW235" s="102">
        <f t="shared" si="1182"/>
        <v>0</v>
      </c>
      <c r="CX235" s="102">
        <f t="shared" si="1165"/>
        <v>0</v>
      </c>
      <c r="CY235" s="290">
        <f t="shared" si="1166"/>
        <v>0</v>
      </c>
      <c r="CZ235" s="102">
        <f t="shared" si="1100"/>
        <v>0</v>
      </c>
      <c r="DA235" s="290">
        <f t="shared" si="1167"/>
        <v>0</v>
      </c>
      <c r="DB235" s="102">
        <f t="shared" si="1101"/>
        <v>0</v>
      </c>
      <c r="DC235" s="290">
        <f t="shared" si="1168"/>
        <v>0</v>
      </c>
      <c r="DD235" s="102">
        <f t="shared" si="1183"/>
        <v>0</v>
      </c>
      <c r="DE235" s="592">
        <f>IF(D235="Sim",HLOOKUP($DH$5,Parametrização!$G$2:$H$4,2,FALSE),0)</f>
        <v>0</v>
      </c>
      <c r="DF235" s="102">
        <f t="shared" si="1102"/>
        <v>0</v>
      </c>
      <c r="DG235" s="592">
        <f>IF(D235="Sim",HLOOKUP($DH$5,Parametrização!$G$2:$H$4,3,FALSE),0)</f>
        <v>0</v>
      </c>
      <c r="DH235" s="102">
        <f t="shared" si="1103"/>
        <v>0</v>
      </c>
      <c r="DI235" s="102">
        <f t="shared" si="1104"/>
        <v>0</v>
      </c>
      <c r="DK235" s="3" t="str">
        <f t="shared" si="1169"/>
        <v>NA</v>
      </c>
      <c r="DL235" s="2" t="str">
        <f t="shared" si="1170"/>
        <v>NA</v>
      </c>
      <c r="DM235" s="3" t="str">
        <f t="shared" si="1171"/>
        <v>NA</v>
      </c>
      <c r="DN235" s="9" t="str">
        <f t="shared" si="1172"/>
        <v>NA</v>
      </c>
      <c r="DO235" s="637" t="str">
        <f t="shared" si="1173"/>
        <v>NA</v>
      </c>
      <c r="DP235" s="637"/>
      <c r="DQ235" s="3" t="str">
        <f t="shared" si="1174"/>
        <v>NA</v>
      </c>
      <c r="DR235" s="2" t="str">
        <f t="shared" si="1175"/>
        <v>NA</v>
      </c>
      <c r="DS235" s="3" t="str">
        <f t="shared" si="1176"/>
        <v>NA</v>
      </c>
      <c r="DT235" s="9" t="str">
        <f t="shared" si="1105"/>
        <v>NA</v>
      </c>
      <c r="DU235" s="637" t="str">
        <f t="shared" si="1106"/>
        <v>NA</v>
      </c>
      <c r="DV235" s="637"/>
      <c r="DW235" s="682"/>
      <c r="DX235" s="682"/>
      <c r="DY235" s="682"/>
      <c r="DZ235" s="637"/>
      <c r="EA235" s="643"/>
    </row>
    <row r="236" spans="1:131" s="355" customFormat="1" ht="20.100000000000001" customHeight="1" outlineLevel="1" x14ac:dyDescent="0.25">
      <c r="A236" s="356"/>
      <c r="B236" s="355" t="s">
        <v>268</v>
      </c>
      <c r="C236" s="355" t="str">
        <f t="shared" si="1177"/>
        <v>Consumo</v>
      </c>
      <c r="D236" s="355" t="s">
        <v>53</v>
      </c>
      <c r="E236" s="18" t="s">
        <v>38</v>
      </c>
      <c r="F236" s="355" t="s">
        <v>53</v>
      </c>
      <c r="G236" s="357" t="str">
        <f t="shared" si="1178"/>
        <v>Geral</v>
      </c>
      <c r="H236" s="255" t="s">
        <v>377</v>
      </c>
      <c r="I236" s="356" t="str">
        <f t="shared" si="1112"/>
        <v>Sistema</v>
      </c>
      <c r="K236" s="318" t="s">
        <v>2989</v>
      </c>
      <c r="L236" s="749" t="str">
        <f>IF(Padrões!JF177&lt;&gt;"",Padrões!JF177,"")</f>
        <v/>
      </c>
      <c r="M236" s="358" t="str">
        <f t="shared" si="1113"/>
        <v>?</v>
      </c>
      <c r="N236" s="359">
        <f>Padrões!JI177</f>
        <v>0</v>
      </c>
      <c r="O236" s="381" t="str">
        <f t="shared" si="1114"/>
        <v>?</v>
      </c>
      <c r="P236" s="360">
        <f t="shared" si="1115"/>
        <v>0.12</v>
      </c>
      <c r="Q236" s="360" t="str">
        <f t="shared" si="1116"/>
        <v>?</v>
      </c>
      <c r="R236" s="360">
        <f t="shared" si="1117"/>
        <v>0</v>
      </c>
      <c r="S236" s="361">
        <f t="shared" si="1118"/>
        <v>0</v>
      </c>
      <c r="T236" s="362">
        <f t="shared" si="1119"/>
        <v>0</v>
      </c>
      <c r="U236" s="53" t="str" cm="1">
        <f t="array" ref="U236">IFERROR(IF(I236&lt;&gt;"Serviço",IF(AND(mlookup(tbl_DIFAL_data,UFdestino,tbl_DIFAL_UF,O236,tbl_DIFAL_NCM)&lt;&gt;"",C236="Consumo"),"Sim",""),""),"?")</f>
        <v>?</v>
      </c>
      <c r="V236" s="363" t="str">
        <f>IFERROR(IF(I236&lt;&gt;"Serviço",IF(AND(D236="Não",mlookup(tbl_ST_data,UFdestino,tbl_ST_UF,O236,tbl_ST_NCM)&lt;&gt;"",C236="Revenda",CD236="Não"),"Sim",""),""),"?")</f>
        <v>?</v>
      </c>
      <c r="W236" s="364">
        <f t="shared" si="1120"/>
        <v>0</v>
      </c>
      <c r="X236" s="365">
        <f>IF(V236="Sim",mlookup(tbl_ST_data,UFdestino,tbl_ST_UF,O236,tbl_ST_NCM),0)</f>
        <v>0</v>
      </c>
      <c r="Z236" s="355">
        <f t="shared" si="1121"/>
        <v>0</v>
      </c>
      <c r="AA236" s="355">
        <f t="shared" si="1107"/>
        <v>0</v>
      </c>
      <c r="AC236" s="366">
        <f t="shared" si="1179"/>
        <v>1.31243473968765E-2</v>
      </c>
      <c r="AD236" s="366">
        <f t="shared" si="1122"/>
        <v>0.15</v>
      </c>
      <c r="AF236" s="355">
        <f t="shared" si="1123"/>
        <v>0</v>
      </c>
      <c r="AG236" s="355">
        <f t="shared" si="1124"/>
        <v>0</v>
      </c>
      <c r="AI236" s="355">
        <f t="shared" si="1125"/>
        <v>0</v>
      </c>
      <c r="AK236" s="366">
        <f t="shared" si="1180"/>
        <v>0</v>
      </c>
      <c r="AL236" s="355">
        <f t="shared" si="1108"/>
        <v>0</v>
      </c>
      <c r="AM236" s="355">
        <f t="shared" si="1109"/>
        <v>0</v>
      </c>
      <c r="AO236" s="355" t="b">
        <f t="shared" si="1126"/>
        <v>1</v>
      </c>
      <c r="AQ236" s="367">
        <f t="shared" si="1127"/>
        <v>0</v>
      </c>
      <c r="AR236" s="367">
        <f t="shared" si="1110"/>
        <v>0</v>
      </c>
      <c r="AT236" s="367">
        <f t="shared" si="1128"/>
        <v>0</v>
      </c>
      <c r="AU236" s="367">
        <f t="shared" si="1129"/>
        <v>0</v>
      </c>
      <c r="AW236" s="367">
        <f t="shared" si="1130"/>
        <v>0</v>
      </c>
      <c r="AX236" s="367">
        <f t="shared" si="1131"/>
        <v>0</v>
      </c>
      <c r="AY236" s="367">
        <f t="shared" si="1132"/>
        <v>0</v>
      </c>
      <c r="AZ236" s="367">
        <f t="shared" si="1133"/>
        <v>0</v>
      </c>
      <c r="BB236" s="355">
        <f t="shared" si="1134"/>
        <v>0</v>
      </c>
      <c r="BC236" s="355">
        <f t="shared" si="1135"/>
        <v>0</v>
      </c>
      <c r="BD236" s="355">
        <f t="shared" si="1136"/>
        <v>0</v>
      </c>
      <c r="BE236" s="355">
        <f t="shared" si="1137"/>
        <v>0</v>
      </c>
      <c r="BF236" s="355">
        <f t="shared" si="1138"/>
        <v>0</v>
      </c>
      <c r="BH236" s="368">
        <f t="shared" si="1139"/>
        <v>0</v>
      </c>
      <c r="BJ236" s="369">
        <f t="shared" si="1140"/>
        <v>-0.12</v>
      </c>
      <c r="BK236" s="355">
        <f t="shared" si="1141"/>
        <v>0</v>
      </c>
      <c r="BL236" s="355">
        <f t="shared" si="1142"/>
        <v>0</v>
      </c>
      <c r="BN236" s="366">
        <f t="shared" si="1143"/>
        <v>0</v>
      </c>
      <c r="BO236" s="355">
        <f t="shared" si="1144"/>
        <v>0</v>
      </c>
      <c r="BP236" s="355">
        <f t="shared" si="1145"/>
        <v>0</v>
      </c>
      <c r="BQ236" s="355">
        <f t="shared" si="1146"/>
        <v>0</v>
      </c>
      <c r="BS236" s="367">
        <f t="shared" si="1147"/>
        <v>0</v>
      </c>
      <c r="BT236" s="355">
        <f t="shared" si="1148"/>
        <v>0</v>
      </c>
      <c r="BU236" s="355" t="b">
        <f t="shared" si="1111"/>
        <v>1</v>
      </c>
      <c r="BW236" s="355" t="str">
        <f t="shared" si="1149"/>
        <v/>
      </c>
      <c r="BX236" s="355">
        <f t="shared" si="1150"/>
        <v>0</v>
      </c>
      <c r="BY236" s="356">
        <f t="shared" si="1181"/>
        <v>0</v>
      </c>
      <c r="BZ236" s="355">
        <f t="shared" si="1151"/>
        <v>0</v>
      </c>
      <c r="CB236" s="102" t="str">
        <f t="shared" si="1152"/>
        <v>?</v>
      </c>
      <c r="CD236" s="355" t="str">
        <f t="shared" si="1153"/>
        <v>Não</v>
      </c>
      <c r="CE236" s="368">
        <f>ifzero(mlookup(tbl_ICMSinterest_data,UFdestino,tbl_ICMSinterest_ufdest,UForigem,tbl_ICMSinterest_uforig))</f>
        <v>0.12</v>
      </c>
      <c r="CF236" s="368">
        <f>IF(N236&gt;0,IF(I236&lt;&gt;"Serviço",ifzero(mlookup(tbl_ICMSinterno_data,UForigem,tbl_ICMSinterno_UF,O236,tbl_ICMSinterno_NCM),mlookup(tbl_ICMSinterest_data,UForigem,tbl_ICMSinterest_ufdest,UForigem,tbl_ICMSinterest_uforig)),""),0)</f>
        <v>0</v>
      </c>
      <c r="CG236" s="368">
        <f>IF(N236&gt;0,IF(I236&lt;&gt;"Serviço",ifzero(mlookup(tbl_ICMSinterno_data,UFdestino,tbl_ICMSinterno_UF,O236,tbl_ICMSinterno_NCM),mlookup(tbl_ICMSinterest_data,UFdestino,tbl_ICMSinterest_ufdest,UFdestino,tbl_ICMSinterest_uforig)),""),0)</f>
        <v>0</v>
      </c>
      <c r="CI236" s="355">
        <f t="shared" si="1154"/>
        <v>0</v>
      </c>
      <c r="CJ236" s="355">
        <f t="shared" si="1155"/>
        <v>0</v>
      </c>
      <c r="CK236" s="355">
        <f t="shared" si="1156"/>
        <v>0</v>
      </c>
      <c r="CL236" s="355">
        <f t="shared" si="1157"/>
        <v>0</v>
      </c>
      <c r="CN236" s="370">
        <f t="shared" si="1158"/>
        <v>1540</v>
      </c>
      <c r="CO236" s="355">
        <f t="shared" si="1159"/>
        <v>0</v>
      </c>
      <c r="CQ236" s="355" t="b">
        <f t="shared" si="1160"/>
        <v>0</v>
      </c>
      <c r="CR236" s="355" t="b">
        <f t="shared" si="1161"/>
        <v>1</v>
      </c>
      <c r="CS236" s="355" t="b">
        <f t="shared" si="1162"/>
        <v>0</v>
      </c>
      <c r="CU236" s="2">
        <f t="shared" si="1163"/>
        <v>0</v>
      </c>
      <c r="CV236" s="102">
        <f t="shared" si="1164"/>
        <v>0</v>
      </c>
      <c r="CW236" s="102">
        <f t="shared" si="1182"/>
        <v>0</v>
      </c>
      <c r="CX236" s="102">
        <f t="shared" si="1165"/>
        <v>0</v>
      </c>
      <c r="CY236" s="290">
        <f t="shared" si="1166"/>
        <v>0</v>
      </c>
      <c r="CZ236" s="102">
        <f t="shared" si="1100"/>
        <v>0</v>
      </c>
      <c r="DA236" s="290">
        <f t="shared" si="1167"/>
        <v>0</v>
      </c>
      <c r="DB236" s="102">
        <f t="shared" si="1101"/>
        <v>0</v>
      </c>
      <c r="DC236" s="290">
        <f t="shared" si="1168"/>
        <v>0</v>
      </c>
      <c r="DD236" s="102">
        <f t="shared" si="1183"/>
        <v>0</v>
      </c>
      <c r="DE236" s="592">
        <f>IF(D236="Sim",HLOOKUP($DH$5,Parametrização!$G$2:$H$4,2,FALSE),0)</f>
        <v>0</v>
      </c>
      <c r="DF236" s="102">
        <f t="shared" si="1102"/>
        <v>0</v>
      </c>
      <c r="DG236" s="592">
        <f>IF(D236="Sim",HLOOKUP($DH$5,Parametrização!$G$2:$H$4,3,FALSE),0)</f>
        <v>0</v>
      </c>
      <c r="DH236" s="102">
        <f t="shared" si="1103"/>
        <v>0</v>
      </c>
      <c r="DI236" s="102">
        <f t="shared" si="1104"/>
        <v>0</v>
      </c>
      <c r="DK236" s="3" t="str">
        <f t="shared" si="1169"/>
        <v>NA</v>
      </c>
      <c r="DL236" s="2" t="str">
        <f t="shared" si="1170"/>
        <v>NA</v>
      </c>
      <c r="DM236" s="3" t="str">
        <f t="shared" si="1171"/>
        <v>NA</v>
      </c>
      <c r="DN236" s="9" t="str">
        <f t="shared" si="1172"/>
        <v>NA</v>
      </c>
      <c r="DO236" s="637" t="str">
        <f t="shared" si="1173"/>
        <v>NA</v>
      </c>
      <c r="DP236" s="637"/>
      <c r="DQ236" s="3" t="str">
        <f t="shared" si="1174"/>
        <v>NA</v>
      </c>
      <c r="DR236" s="2" t="str">
        <f t="shared" si="1175"/>
        <v>NA</v>
      </c>
      <c r="DS236" s="3" t="str">
        <f t="shared" si="1176"/>
        <v>NA</v>
      </c>
      <c r="DT236" s="9" t="str">
        <f t="shared" si="1105"/>
        <v>NA</v>
      </c>
      <c r="DU236" s="637" t="str">
        <f t="shared" si="1106"/>
        <v>NA</v>
      </c>
      <c r="DV236" s="637"/>
      <c r="DW236" s="682"/>
      <c r="DX236" s="682"/>
      <c r="DY236" s="682"/>
      <c r="DZ236" s="637"/>
      <c r="EA236" s="643"/>
    </row>
    <row r="237" spans="1:131" s="355" customFormat="1" ht="20.100000000000001" customHeight="1" outlineLevel="1" x14ac:dyDescent="0.25">
      <c r="A237" s="356"/>
      <c r="B237" s="355" t="s">
        <v>268</v>
      </c>
      <c r="C237" s="355" t="str">
        <f t="shared" si="1177"/>
        <v>Consumo</v>
      </c>
      <c r="D237" s="355" t="s">
        <v>53</v>
      </c>
      <c r="E237" s="18" t="s">
        <v>38</v>
      </c>
      <c r="F237" s="355" t="s">
        <v>53</v>
      </c>
      <c r="G237" s="357" t="str">
        <f t="shared" si="1178"/>
        <v>Geral</v>
      </c>
      <c r="H237" s="255" t="s">
        <v>377</v>
      </c>
      <c r="I237" s="356" t="str">
        <f t="shared" si="1112"/>
        <v>Sistema</v>
      </c>
      <c r="K237" s="318" t="s">
        <v>2990</v>
      </c>
      <c r="L237" s="749" t="str">
        <f>IF(Padrões!JF178&lt;&gt;"",Padrões!JF178,"")</f>
        <v/>
      </c>
      <c r="M237" s="358" t="str">
        <f t="shared" si="1113"/>
        <v>?</v>
      </c>
      <c r="N237" s="359">
        <f>Padrões!JI178</f>
        <v>0</v>
      </c>
      <c r="O237" s="381" t="str">
        <f t="shared" si="1114"/>
        <v>?</v>
      </c>
      <c r="P237" s="360">
        <f t="shared" si="1115"/>
        <v>0.12</v>
      </c>
      <c r="Q237" s="360" t="str">
        <f t="shared" si="1116"/>
        <v>?</v>
      </c>
      <c r="R237" s="360">
        <f t="shared" si="1117"/>
        <v>0</v>
      </c>
      <c r="S237" s="361">
        <f t="shared" si="1118"/>
        <v>0</v>
      </c>
      <c r="T237" s="362">
        <f t="shared" si="1119"/>
        <v>0</v>
      </c>
      <c r="U237" s="53" t="str" cm="1">
        <f t="array" ref="U237">IFERROR(IF(I237&lt;&gt;"Serviço",IF(AND(mlookup(tbl_DIFAL_data,UFdestino,tbl_DIFAL_UF,O237,tbl_DIFAL_NCM)&lt;&gt;"",C237="Consumo"),"Sim",""),""),"?")</f>
        <v>?</v>
      </c>
      <c r="V237" s="363" t="str">
        <f>IFERROR(IF(I237&lt;&gt;"Serviço",IF(AND(D237="Não",mlookup(tbl_ST_data,UFdestino,tbl_ST_UF,O237,tbl_ST_NCM)&lt;&gt;"",C237="Revenda",CD237="Não"),"Sim",""),""),"?")</f>
        <v>?</v>
      </c>
      <c r="W237" s="364">
        <f t="shared" si="1120"/>
        <v>0</v>
      </c>
      <c r="X237" s="365">
        <f>IF(V237="Sim",mlookup(tbl_ST_data,UFdestino,tbl_ST_UF,O237,tbl_ST_NCM),0)</f>
        <v>0</v>
      </c>
      <c r="Z237" s="355">
        <f t="shared" si="1121"/>
        <v>0</v>
      </c>
      <c r="AA237" s="355">
        <f t="shared" si="1107"/>
        <v>0</v>
      </c>
      <c r="AC237" s="366">
        <f t="shared" si="1179"/>
        <v>1.31243473968765E-2</v>
      </c>
      <c r="AD237" s="366">
        <f t="shared" si="1122"/>
        <v>0.15</v>
      </c>
      <c r="AF237" s="355">
        <f t="shared" si="1123"/>
        <v>0</v>
      </c>
      <c r="AG237" s="355">
        <f t="shared" si="1124"/>
        <v>0</v>
      </c>
      <c r="AI237" s="355">
        <f t="shared" si="1125"/>
        <v>0</v>
      </c>
      <c r="AK237" s="366">
        <f t="shared" si="1180"/>
        <v>0</v>
      </c>
      <c r="AL237" s="355">
        <f t="shared" si="1108"/>
        <v>0</v>
      </c>
      <c r="AM237" s="355">
        <f t="shared" si="1109"/>
        <v>0</v>
      </c>
      <c r="AO237" s="355" t="b">
        <f t="shared" si="1126"/>
        <v>1</v>
      </c>
      <c r="AQ237" s="367">
        <f t="shared" si="1127"/>
        <v>0</v>
      </c>
      <c r="AR237" s="367">
        <f t="shared" si="1110"/>
        <v>0</v>
      </c>
      <c r="AT237" s="367">
        <f t="shared" si="1128"/>
        <v>0</v>
      </c>
      <c r="AU237" s="367">
        <f t="shared" si="1129"/>
        <v>0</v>
      </c>
      <c r="AW237" s="367">
        <f t="shared" si="1130"/>
        <v>0</v>
      </c>
      <c r="AX237" s="367">
        <f t="shared" si="1131"/>
        <v>0</v>
      </c>
      <c r="AY237" s="367">
        <f t="shared" si="1132"/>
        <v>0</v>
      </c>
      <c r="AZ237" s="367">
        <f t="shared" si="1133"/>
        <v>0</v>
      </c>
      <c r="BB237" s="355">
        <f t="shared" si="1134"/>
        <v>0</v>
      </c>
      <c r="BC237" s="355">
        <f t="shared" si="1135"/>
        <v>0</v>
      </c>
      <c r="BD237" s="355">
        <f t="shared" si="1136"/>
        <v>0</v>
      </c>
      <c r="BE237" s="355">
        <f t="shared" si="1137"/>
        <v>0</v>
      </c>
      <c r="BF237" s="355">
        <f t="shared" si="1138"/>
        <v>0</v>
      </c>
      <c r="BH237" s="368">
        <f t="shared" si="1139"/>
        <v>0</v>
      </c>
      <c r="BJ237" s="369">
        <f t="shared" si="1140"/>
        <v>-0.12</v>
      </c>
      <c r="BK237" s="355">
        <f t="shared" si="1141"/>
        <v>0</v>
      </c>
      <c r="BL237" s="355">
        <f t="shared" si="1142"/>
        <v>0</v>
      </c>
      <c r="BN237" s="366">
        <f t="shared" si="1143"/>
        <v>0</v>
      </c>
      <c r="BO237" s="355">
        <f t="shared" si="1144"/>
        <v>0</v>
      </c>
      <c r="BP237" s="355">
        <f t="shared" si="1145"/>
        <v>0</v>
      </c>
      <c r="BQ237" s="355">
        <f t="shared" si="1146"/>
        <v>0</v>
      </c>
      <c r="BS237" s="367">
        <f t="shared" si="1147"/>
        <v>0</v>
      </c>
      <c r="BT237" s="355">
        <f t="shared" si="1148"/>
        <v>0</v>
      </c>
      <c r="BU237" s="355" t="b">
        <f t="shared" si="1111"/>
        <v>1</v>
      </c>
      <c r="BW237" s="355" t="str">
        <f t="shared" si="1149"/>
        <v/>
      </c>
      <c r="BX237" s="355">
        <f t="shared" si="1150"/>
        <v>0</v>
      </c>
      <c r="BY237" s="356">
        <f t="shared" si="1181"/>
        <v>0</v>
      </c>
      <c r="BZ237" s="355">
        <f t="shared" si="1151"/>
        <v>0</v>
      </c>
      <c r="CB237" s="102" t="str">
        <f t="shared" si="1152"/>
        <v>?</v>
      </c>
      <c r="CD237" s="355" t="str">
        <f t="shared" si="1153"/>
        <v>Não</v>
      </c>
      <c r="CE237" s="368">
        <f>ifzero(mlookup(tbl_ICMSinterest_data,UFdestino,tbl_ICMSinterest_ufdest,UForigem,tbl_ICMSinterest_uforig))</f>
        <v>0.12</v>
      </c>
      <c r="CF237" s="368">
        <f>IF(N237&gt;0,IF(I237&lt;&gt;"Serviço",ifzero(mlookup(tbl_ICMSinterno_data,UForigem,tbl_ICMSinterno_UF,O237,tbl_ICMSinterno_NCM),mlookup(tbl_ICMSinterest_data,UForigem,tbl_ICMSinterest_ufdest,UForigem,tbl_ICMSinterest_uforig)),""),0)</f>
        <v>0</v>
      </c>
      <c r="CG237" s="368">
        <f>IF(N237&gt;0,IF(I237&lt;&gt;"Serviço",ifzero(mlookup(tbl_ICMSinterno_data,UFdestino,tbl_ICMSinterno_UF,O237,tbl_ICMSinterno_NCM),mlookup(tbl_ICMSinterest_data,UFdestino,tbl_ICMSinterest_ufdest,UFdestino,tbl_ICMSinterest_uforig)),""),0)</f>
        <v>0</v>
      </c>
      <c r="CI237" s="355">
        <f t="shared" si="1154"/>
        <v>0</v>
      </c>
      <c r="CJ237" s="355">
        <f t="shared" si="1155"/>
        <v>0</v>
      </c>
      <c r="CK237" s="355">
        <f t="shared" si="1156"/>
        <v>0</v>
      </c>
      <c r="CL237" s="355">
        <f t="shared" si="1157"/>
        <v>0</v>
      </c>
      <c r="CN237" s="370">
        <f t="shared" si="1158"/>
        <v>1540</v>
      </c>
      <c r="CO237" s="355">
        <f t="shared" si="1159"/>
        <v>0</v>
      </c>
      <c r="CQ237" s="355" t="b">
        <f t="shared" si="1160"/>
        <v>0</v>
      </c>
      <c r="CR237" s="355" t="b">
        <f t="shared" si="1161"/>
        <v>1</v>
      </c>
      <c r="CS237" s="355" t="b">
        <f t="shared" si="1162"/>
        <v>0</v>
      </c>
      <c r="CU237" s="2">
        <f t="shared" si="1163"/>
        <v>0</v>
      </c>
      <c r="CV237" s="102">
        <f t="shared" si="1164"/>
        <v>0</v>
      </c>
      <c r="CW237" s="102">
        <f t="shared" si="1182"/>
        <v>0</v>
      </c>
      <c r="CX237" s="102">
        <f t="shared" si="1165"/>
        <v>0</v>
      </c>
      <c r="CY237" s="290">
        <f t="shared" si="1166"/>
        <v>0</v>
      </c>
      <c r="CZ237" s="102">
        <f t="shared" ref="CZ237:CZ272" si="1184">CX237*CY237</f>
        <v>0</v>
      </c>
      <c r="DA237" s="290">
        <f t="shared" si="1167"/>
        <v>0</v>
      </c>
      <c r="DB237" s="102">
        <f t="shared" ref="DB237:DB272" si="1185">CX237*DA237</f>
        <v>0</v>
      </c>
      <c r="DC237" s="290">
        <f t="shared" si="1168"/>
        <v>0</v>
      </c>
      <c r="DD237" s="102">
        <f t="shared" si="1183"/>
        <v>0</v>
      </c>
      <c r="DE237" s="592">
        <f>IF(D237="Sim",HLOOKUP($DH$5,Parametrização!$G$2:$H$4,2,FALSE),0)</f>
        <v>0</v>
      </c>
      <c r="DF237" s="102">
        <f t="shared" ref="DF237:DF272" si="1186">(CX237-DD237)*DE237</f>
        <v>0</v>
      </c>
      <c r="DG237" s="592">
        <f>IF(D237="Sim",HLOOKUP($DH$5,Parametrização!$G$2:$H$4,3,FALSE),0)</f>
        <v>0</v>
      </c>
      <c r="DH237" s="102">
        <f t="shared" ref="DH237:DH272" si="1187">(CX237-DD237)*DG237</f>
        <v>0</v>
      </c>
      <c r="DI237" s="102">
        <f t="shared" ref="DI237:DI272" si="1188">CX237-CZ237-DD237-DF237-DH237</f>
        <v>0</v>
      </c>
      <c r="DK237" s="3" t="str">
        <f t="shared" si="1169"/>
        <v>NA</v>
      </c>
      <c r="DL237" s="2" t="str">
        <f t="shared" si="1170"/>
        <v>NA</v>
      </c>
      <c r="DM237" s="3" t="str">
        <f t="shared" si="1171"/>
        <v>NA</v>
      </c>
      <c r="DN237" s="9" t="str">
        <f t="shared" si="1172"/>
        <v>NA</v>
      </c>
      <c r="DO237" s="637" t="str">
        <f t="shared" si="1173"/>
        <v>NA</v>
      </c>
      <c r="DP237" s="637"/>
      <c r="DQ237" s="3" t="str">
        <f t="shared" si="1174"/>
        <v>NA</v>
      </c>
      <c r="DR237" s="2" t="str">
        <f t="shared" si="1175"/>
        <v>NA</v>
      </c>
      <c r="DS237" s="3" t="str">
        <f t="shared" si="1176"/>
        <v>NA</v>
      </c>
      <c r="DT237" s="9" t="str">
        <f t="shared" ref="DT237:DT272" si="1189">IF(CU237&gt;0,DE237,"NA")</f>
        <v>NA</v>
      </c>
      <c r="DU237" s="637" t="str">
        <f t="shared" ref="DU237:DU272" si="1190">IF(CU237&gt;0,DG237,"NA")</f>
        <v>NA</v>
      </c>
      <c r="DV237" s="637"/>
      <c r="DW237" s="682"/>
      <c r="DX237" s="682"/>
      <c r="DY237" s="682"/>
      <c r="DZ237" s="637"/>
      <c r="EA237" s="643"/>
    </row>
    <row r="238" spans="1:131" s="355" customFormat="1" ht="20.100000000000001" customHeight="1" outlineLevel="1" x14ac:dyDescent="0.25">
      <c r="A238" s="356"/>
      <c r="B238" s="355" t="s">
        <v>268</v>
      </c>
      <c r="C238" s="355" t="str">
        <f t="shared" si="1177"/>
        <v>Consumo</v>
      </c>
      <c r="D238" s="355" t="s">
        <v>53</v>
      </c>
      <c r="E238" s="18" t="s">
        <v>38</v>
      </c>
      <c r="F238" s="355" t="s">
        <v>53</v>
      </c>
      <c r="G238" s="357" t="str">
        <f t="shared" si="1178"/>
        <v>Geral</v>
      </c>
      <c r="H238" s="255" t="s">
        <v>377</v>
      </c>
      <c r="I238" s="356" t="str">
        <f t="shared" si="1112"/>
        <v>Sistema</v>
      </c>
      <c r="K238" s="318" t="s">
        <v>2991</v>
      </c>
      <c r="L238" s="749" t="str">
        <f>IF(Padrões!JF179&lt;&gt;"",Padrões!JF179,"")</f>
        <v/>
      </c>
      <c r="M238" s="358" t="str">
        <f t="shared" si="1113"/>
        <v>?</v>
      </c>
      <c r="N238" s="359">
        <f>Padrões!JI179</f>
        <v>0</v>
      </c>
      <c r="O238" s="381" t="str">
        <f t="shared" si="1114"/>
        <v>?</v>
      </c>
      <c r="P238" s="360">
        <f t="shared" si="1115"/>
        <v>0.12</v>
      </c>
      <c r="Q238" s="360" t="str">
        <f t="shared" si="1116"/>
        <v>?</v>
      </c>
      <c r="R238" s="360">
        <f t="shared" si="1117"/>
        <v>0</v>
      </c>
      <c r="S238" s="361">
        <f t="shared" si="1118"/>
        <v>0</v>
      </c>
      <c r="T238" s="362">
        <f t="shared" si="1119"/>
        <v>0</v>
      </c>
      <c r="U238" s="53" t="str" cm="1">
        <f t="array" ref="U238">IFERROR(IF(I238&lt;&gt;"Serviço",IF(AND(mlookup(tbl_DIFAL_data,UFdestino,tbl_DIFAL_UF,O238,tbl_DIFAL_NCM)&lt;&gt;"",C238="Consumo"),"Sim",""),""),"?")</f>
        <v>?</v>
      </c>
      <c r="V238" s="363" t="str">
        <f>IFERROR(IF(I238&lt;&gt;"Serviço",IF(AND(D238="Não",mlookup(tbl_ST_data,UFdestino,tbl_ST_UF,O238,tbl_ST_NCM)&lt;&gt;"",C238="Revenda",CD238="Não"),"Sim",""),""),"?")</f>
        <v>?</v>
      </c>
      <c r="W238" s="364">
        <f t="shared" si="1120"/>
        <v>0</v>
      </c>
      <c r="X238" s="365">
        <f>IF(V238="Sim",mlookup(tbl_ST_data,UFdestino,tbl_ST_UF,O238,tbl_ST_NCM),0)</f>
        <v>0</v>
      </c>
      <c r="Z238" s="355">
        <f t="shared" si="1121"/>
        <v>0</v>
      </c>
      <c r="AA238" s="355">
        <f t="shared" si="1107"/>
        <v>0</v>
      </c>
      <c r="AC238" s="366">
        <f t="shared" si="1179"/>
        <v>1.31243473968765E-2</v>
      </c>
      <c r="AD238" s="366">
        <f t="shared" si="1122"/>
        <v>0.15</v>
      </c>
      <c r="AF238" s="355">
        <f t="shared" si="1123"/>
        <v>0</v>
      </c>
      <c r="AG238" s="355">
        <f t="shared" si="1124"/>
        <v>0</v>
      </c>
      <c r="AI238" s="355">
        <f t="shared" si="1125"/>
        <v>0</v>
      </c>
      <c r="AK238" s="366">
        <f t="shared" si="1180"/>
        <v>0</v>
      </c>
      <c r="AL238" s="355">
        <f t="shared" si="1108"/>
        <v>0</v>
      </c>
      <c r="AM238" s="355">
        <f t="shared" si="1109"/>
        <v>0</v>
      </c>
      <c r="AO238" s="355" t="b">
        <f t="shared" si="1126"/>
        <v>1</v>
      </c>
      <c r="AQ238" s="367">
        <f t="shared" si="1127"/>
        <v>0</v>
      </c>
      <c r="AR238" s="367">
        <f t="shared" si="1110"/>
        <v>0</v>
      </c>
      <c r="AT238" s="367">
        <f t="shared" si="1128"/>
        <v>0</v>
      </c>
      <c r="AU238" s="367">
        <f t="shared" si="1129"/>
        <v>0</v>
      </c>
      <c r="AW238" s="367">
        <f t="shared" si="1130"/>
        <v>0</v>
      </c>
      <c r="AX238" s="367">
        <f t="shared" si="1131"/>
        <v>0</v>
      </c>
      <c r="AY238" s="367">
        <f t="shared" si="1132"/>
        <v>0</v>
      </c>
      <c r="AZ238" s="367">
        <f t="shared" si="1133"/>
        <v>0</v>
      </c>
      <c r="BB238" s="355">
        <f t="shared" si="1134"/>
        <v>0</v>
      </c>
      <c r="BC238" s="355">
        <f t="shared" si="1135"/>
        <v>0</v>
      </c>
      <c r="BD238" s="355">
        <f t="shared" si="1136"/>
        <v>0</v>
      </c>
      <c r="BE238" s="355">
        <f t="shared" si="1137"/>
        <v>0</v>
      </c>
      <c r="BF238" s="355">
        <f t="shared" si="1138"/>
        <v>0</v>
      </c>
      <c r="BH238" s="368">
        <f t="shared" si="1139"/>
        <v>0</v>
      </c>
      <c r="BJ238" s="369">
        <f t="shared" si="1140"/>
        <v>-0.12</v>
      </c>
      <c r="BK238" s="355">
        <f t="shared" si="1141"/>
        <v>0</v>
      </c>
      <c r="BL238" s="355">
        <f t="shared" si="1142"/>
        <v>0</v>
      </c>
      <c r="BN238" s="366">
        <f t="shared" si="1143"/>
        <v>0</v>
      </c>
      <c r="BO238" s="355">
        <f t="shared" si="1144"/>
        <v>0</v>
      </c>
      <c r="BP238" s="355">
        <f t="shared" si="1145"/>
        <v>0</v>
      </c>
      <c r="BQ238" s="355">
        <f t="shared" si="1146"/>
        <v>0</v>
      </c>
      <c r="BS238" s="367">
        <f t="shared" si="1147"/>
        <v>0</v>
      </c>
      <c r="BT238" s="355">
        <f t="shared" si="1148"/>
        <v>0</v>
      </c>
      <c r="BU238" s="355" t="b">
        <f t="shared" si="1111"/>
        <v>1</v>
      </c>
      <c r="BW238" s="355" t="str">
        <f t="shared" si="1149"/>
        <v/>
      </c>
      <c r="BX238" s="355">
        <f t="shared" si="1150"/>
        <v>0</v>
      </c>
      <c r="BY238" s="356">
        <f t="shared" si="1181"/>
        <v>0</v>
      </c>
      <c r="BZ238" s="355">
        <f t="shared" si="1151"/>
        <v>0</v>
      </c>
      <c r="CB238" s="102" t="str">
        <f t="shared" si="1152"/>
        <v>?</v>
      </c>
      <c r="CD238" s="355" t="str">
        <f t="shared" si="1153"/>
        <v>Não</v>
      </c>
      <c r="CE238" s="368">
        <f>ifzero(mlookup(tbl_ICMSinterest_data,UFdestino,tbl_ICMSinterest_ufdest,UForigem,tbl_ICMSinterest_uforig))</f>
        <v>0.12</v>
      </c>
      <c r="CF238" s="368">
        <f>IF(N238&gt;0,IF(I238&lt;&gt;"Serviço",ifzero(mlookup(tbl_ICMSinterno_data,UForigem,tbl_ICMSinterno_UF,O238,tbl_ICMSinterno_NCM),mlookup(tbl_ICMSinterest_data,UForigem,tbl_ICMSinterest_ufdest,UForigem,tbl_ICMSinterest_uforig)),""),0)</f>
        <v>0</v>
      </c>
      <c r="CG238" s="368">
        <f>IF(N238&gt;0,IF(I238&lt;&gt;"Serviço",ifzero(mlookup(tbl_ICMSinterno_data,UFdestino,tbl_ICMSinterno_UF,O238,tbl_ICMSinterno_NCM),mlookup(tbl_ICMSinterest_data,UFdestino,tbl_ICMSinterest_ufdest,UFdestino,tbl_ICMSinterest_uforig)),""),0)</f>
        <v>0</v>
      </c>
      <c r="CI238" s="355">
        <f t="shared" si="1154"/>
        <v>0</v>
      </c>
      <c r="CJ238" s="355">
        <f t="shared" si="1155"/>
        <v>0</v>
      </c>
      <c r="CK238" s="355">
        <f t="shared" si="1156"/>
        <v>0</v>
      </c>
      <c r="CL238" s="355">
        <f t="shared" si="1157"/>
        <v>0</v>
      </c>
      <c r="CN238" s="370">
        <f t="shared" si="1158"/>
        <v>1540</v>
      </c>
      <c r="CO238" s="355">
        <f t="shared" si="1159"/>
        <v>0</v>
      </c>
      <c r="CQ238" s="355" t="b">
        <f t="shared" si="1160"/>
        <v>0</v>
      </c>
      <c r="CR238" s="355" t="b">
        <f t="shared" si="1161"/>
        <v>1</v>
      </c>
      <c r="CS238" s="355" t="b">
        <f t="shared" si="1162"/>
        <v>0</v>
      </c>
      <c r="CU238" s="2">
        <f t="shared" si="1163"/>
        <v>0</v>
      </c>
      <c r="CV238" s="102">
        <f t="shared" si="1164"/>
        <v>0</v>
      </c>
      <c r="CW238" s="102">
        <f t="shared" si="1182"/>
        <v>0</v>
      </c>
      <c r="CX238" s="102">
        <f t="shared" si="1165"/>
        <v>0</v>
      </c>
      <c r="CY238" s="290">
        <f t="shared" si="1166"/>
        <v>0</v>
      </c>
      <c r="CZ238" s="102">
        <f t="shared" si="1184"/>
        <v>0</v>
      </c>
      <c r="DA238" s="290">
        <f t="shared" si="1167"/>
        <v>0</v>
      </c>
      <c r="DB238" s="102">
        <f t="shared" si="1185"/>
        <v>0</v>
      </c>
      <c r="DC238" s="290">
        <f t="shared" si="1168"/>
        <v>0</v>
      </c>
      <c r="DD238" s="102">
        <f t="shared" si="1183"/>
        <v>0</v>
      </c>
      <c r="DE238" s="592">
        <f>IF(D238="Sim",HLOOKUP($DH$5,Parametrização!$G$2:$H$4,2,FALSE),0)</f>
        <v>0</v>
      </c>
      <c r="DF238" s="102">
        <f t="shared" si="1186"/>
        <v>0</v>
      </c>
      <c r="DG238" s="592">
        <f>IF(D238="Sim",HLOOKUP($DH$5,Parametrização!$G$2:$H$4,3,FALSE),0)</f>
        <v>0</v>
      </c>
      <c r="DH238" s="102">
        <f t="shared" si="1187"/>
        <v>0</v>
      </c>
      <c r="DI238" s="102">
        <f t="shared" si="1188"/>
        <v>0</v>
      </c>
      <c r="DK238" s="3" t="str">
        <f t="shared" si="1169"/>
        <v>NA</v>
      </c>
      <c r="DL238" s="2" t="str">
        <f t="shared" si="1170"/>
        <v>NA</v>
      </c>
      <c r="DM238" s="3" t="str">
        <f t="shared" si="1171"/>
        <v>NA</v>
      </c>
      <c r="DN238" s="9" t="str">
        <f t="shared" si="1172"/>
        <v>NA</v>
      </c>
      <c r="DO238" s="637" t="str">
        <f t="shared" si="1173"/>
        <v>NA</v>
      </c>
      <c r="DP238" s="637"/>
      <c r="DQ238" s="3" t="str">
        <f t="shared" si="1174"/>
        <v>NA</v>
      </c>
      <c r="DR238" s="2" t="str">
        <f t="shared" si="1175"/>
        <v>NA</v>
      </c>
      <c r="DS238" s="3" t="str">
        <f t="shared" si="1176"/>
        <v>NA</v>
      </c>
      <c r="DT238" s="9" t="str">
        <f t="shared" si="1189"/>
        <v>NA</v>
      </c>
      <c r="DU238" s="637" t="str">
        <f t="shared" si="1190"/>
        <v>NA</v>
      </c>
      <c r="DV238" s="637"/>
      <c r="DW238" s="682"/>
      <c r="DX238" s="682"/>
      <c r="DY238" s="682"/>
      <c r="DZ238" s="637"/>
      <c r="EA238" s="643"/>
    </row>
    <row r="239" spans="1:131" s="355" customFormat="1" ht="20.100000000000001" customHeight="1" outlineLevel="1" x14ac:dyDescent="0.25">
      <c r="A239" s="356"/>
      <c r="B239" s="355" t="s">
        <v>268</v>
      </c>
      <c r="C239" s="355" t="str">
        <f t="shared" si="1177"/>
        <v>Consumo</v>
      </c>
      <c r="D239" s="355" t="s">
        <v>53</v>
      </c>
      <c r="E239" s="18" t="s">
        <v>38</v>
      </c>
      <c r="F239" s="355" t="s">
        <v>53</v>
      </c>
      <c r="G239" s="357" t="str">
        <f t="shared" si="1178"/>
        <v>Geral</v>
      </c>
      <c r="H239" s="255" t="s">
        <v>377</v>
      </c>
      <c r="I239" s="356" t="str">
        <f t="shared" si="1112"/>
        <v>Sistema</v>
      </c>
      <c r="K239" s="318" t="s">
        <v>2992</v>
      </c>
      <c r="L239" s="749" t="str">
        <f>IF(Padrões!JF180&lt;&gt;"",Padrões!JF180,"")</f>
        <v/>
      </c>
      <c r="M239" s="358" t="str">
        <f t="shared" si="1113"/>
        <v>?</v>
      </c>
      <c r="N239" s="359">
        <f>Padrões!JI180</f>
        <v>0</v>
      </c>
      <c r="O239" s="381" t="str">
        <f t="shared" si="1114"/>
        <v>?</v>
      </c>
      <c r="P239" s="360">
        <f t="shared" si="1115"/>
        <v>0.12</v>
      </c>
      <c r="Q239" s="360" t="str">
        <f t="shared" si="1116"/>
        <v>?</v>
      </c>
      <c r="R239" s="360">
        <f t="shared" si="1117"/>
        <v>0</v>
      </c>
      <c r="S239" s="361">
        <f t="shared" si="1118"/>
        <v>0</v>
      </c>
      <c r="T239" s="362">
        <f t="shared" si="1119"/>
        <v>0</v>
      </c>
      <c r="U239" s="53" t="str" cm="1">
        <f t="array" ref="U239">IFERROR(IF(I239&lt;&gt;"Serviço",IF(AND(mlookup(tbl_DIFAL_data,UFdestino,tbl_DIFAL_UF,O239,tbl_DIFAL_NCM)&lt;&gt;"",C239="Consumo"),"Sim",""),""),"?")</f>
        <v>?</v>
      </c>
      <c r="V239" s="363" t="str">
        <f>IFERROR(IF(I239&lt;&gt;"Serviço",IF(AND(D239="Não",mlookup(tbl_ST_data,UFdestino,tbl_ST_UF,O239,tbl_ST_NCM)&lt;&gt;"",C239="Revenda",CD239="Não"),"Sim",""),""),"?")</f>
        <v>?</v>
      </c>
      <c r="W239" s="364">
        <f t="shared" si="1120"/>
        <v>0</v>
      </c>
      <c r="X239" s="365">
        <f>IF(V239="Sim",mlookup(tbl_ST_data,UFdestino,tbl_ST_UF,O239,tbl_ST_NCM),0)</f>
        <v>0</v>
      </c>
      <c r="Z239" s="355">
        <f t="shared" si="1121"/>
        <v>0</v>
      </c>
      <c r="AA239" s="355">
        <f t="shared" si="1107"/>
        <v>0</v>
      </c>
      <c r="AC239" s="366">
        <f t="shared" si="1179"/>
        <v>1.31243473968765E-2</v>
      </c>
      <c r="AD239" s="366">
        <f t="shared" si="1122"/>
        <v>0.15</v>
      </c>
      <c r="AF239" s="355">
        <f t="shared" si="1123"/>
        <v>0</v>
      </c>
      <c r="AG239" s="355">
        <f t="shared" si="1124"/>
        <v>0</v>
      </c>
      <c r="AI239" s="355">
        <f t="shared" si="1125"/>
        <v>0</v>
      </c>
      <c r="AK239" s="366">
        <f t="shared" si="1180"/>
        <v>0</v>
      </c>
      <c r="AL239" s="355">
        <f t="shared" si="1108"/>
        <v>0</v>
      </c>
      <c r="AM239" s="355">
        <f t="shared" si="1109"/>
        <v>0</v>
      </c>
      <c r="AO239" s="355" t="b">
        <f t="shared" si="1126"/>
        <v>1</v>
      </c>
      <c r="AQ239" s="367">
        <f t="shared" si="1127"/>
        <v>0</v>
      </c>
      <c r="AR239" s="367">
        <f t="shared" si="1110"/>
        <v>0</v>
      </c>
      <c r="AT239" s="367">
        <f t="shared" si="1128"/>
        <v>0</v>
      </c>
      <c r="AU239" s="367">
        <f t="shared" si="1129"/>
        <v>0</v>
      </c>
      <c r="AW239" s="367">
        <f t="shared" si="1130"/>
        <v>0</v>
      </c>
      <c r="AX239" s="367">
        <f t="shared" si="1131"/>
        <v>0</v>
      </c>
      <c r="AY239" s="367">
        <f t="shared" si="1132"/>
        <v>0</v>
      </c>
      <c r="AZ239" s="367">
        <f t="shared" si="1133"/>
        <v>0</v>
      </c>
      <c r="BB239" s="355">
        <f t="shared" si="1134"/>
        <v>0</v>
      </c>
      <c r="BC239" s="355">
        <f t="shared" si="1135"/>
        <v>0</v>
      </c>
      <c r="BD239" s="355">
        <f t="shared" si="1136"/>
        <v>0</v>
      </c>
      <c r="BE239" s="355">
        <f t="shared" si="1137"/>
        <v>0</v>
      </c>
      <c r="BF239" s="355">
        <f t="shared" si="1138"/>
        <v>0</v>
      </c>
      <c r="BH239" s="368">
        <f t="shared" si="1139"/>
        <v>0</v>
      </c>
      <c r="BJ239" s="369">
        <f t="shared" si="1140"/>
        <v>-0.12</v>
      </c>
      <c r="BK239" s="355">
        <f t="shared" si="1141"/>
        <v>0</v>
      </c>
      <c r="BL239" s="355">
        <f t="shared" si="1142"/>
        <v>0</v>
      </c>
      <c r="BN239" s="366">
        <f t="shared" si="1143"/>
        <v>0</v>
      </c>
      <c r="BO239" s="355">
        <f t="shared" si="1144"/>
        <v>0</v>
      </c>
      <c r="BP239" s="355">
        <f t="shared" si="1145"/>
        <v>0</v>
      </c>
      <c r="BQ239" s="355">
        <f t="shared" si="1146"/>
        <v>0</v>
      </c>
      <c r="BS239" s="367">
        <f t="shared" si="1147"/>
        <v>0</v>
      </c>
      <c r="BT239" s="355">
        <f t="shared" si="1148"/>
        <v>0</v>
      </c>
      <c r="BU239" s="355" t="b">
        <f t="shared" si="1111"/>
        <v>1</v>
      </c>
      <c r="BW239" s="355" t="str">
        <f t="shared" si="1149"/>
        <v/>
      </c>
      <c r="BX239" s="355">
        <f t="shared" si="1150"/>
        <v>0</v>
      </c>
      <c r="BY239" s="356">
        <f t="shared" si="1181"/>
        <v>0</v>
      </c>
      <c r="BZ239" s="355">
        <f t="shared" si="1151"/>
        <v>0</v>
      </c>
      <c r="CB239" s="102" t="str">
        <f t="shared" si="1152"/>
        <v>?</v>
      </c>
      <c r="CD239" s="355" t="str">
        <f t="shared" si="1153"/>
        <v>Não</v>
      </c>
      <c r="CE239" s="368">
        <f>ifzero(mlookup(tbl_ICMSinterest_data,UFdestino,tbl_ICMSinterest_ufdest,UForigem,tbl_ICMSinterest_uforig))</f>
        <v>0.12</v>
      </c>
      <c r="CF239" s="368">
        <f>IF(N239&gt;0,IF(I239&lt;&gt;"Serviço",ifzero(mlookup(tbl_ICMSinterno_data,UForigem,tbl_ICMSinterno_UF,O239,tbl_ICMSinterno_NCM),mlookup(tbl_ICMSinterest_data,UForigem,tbl_ICMSinterest_ufdest,UForigem,tbl_ICMSinterest_uforig)),""),0)</f>
        <v>0</v>
      </c>
      <c r="CG239" s="368">
        <f>IF(N239&gt;0,IF(I239&lt;&gt;"Serviço",ifzero(mlookup(tbl_ICMSinterno_data,UFdestino,tbl_ICMSinterno_UF,O239,tbl_ICMSinterno_NCM),mlookup(tbl_ICMSinterest_data,UFdestino,tbl_ICMSinterest_ufdest,UFdestino,tbl_ICMSinterest_uforig)),""),0)</f>
        <v>0</v>
      </c>
      <c r="CI239" s="355">
        <f t="shared" si="1154"/>
        <v>0</v>
      </c>
      <c r="CJ239" s="355">
        <f t="shared" si="1155"/>
        <v>0</v>
      </c>
      <c r="CK239" s="355">
        <f t="shared" si="1156"/>
        <v>0</v>
      </c>
      <c r="CL239" s="355">
        <f t="shared" si="1157"/>
        <v>0</v>
      </c>
      <c r="CN239" s="370">
        <f t="shared" si="1158"/>
        <v>1540</v>
      </c>
      <c r="CO239" s="355">
        <f t="shared" si="1159"/>
        <v>0</v>
      </c>
      <c r="CQ239" s="355" t="b">
        <f t="shared" si="1160"/>
        <v>0</v>
      </c>
      <c r="CR239" s="355" t="b">
        <f t="shared" si="1161"/>
        <v>1</v>
      </c>
      <c r="CS239" s="355" t="b">
        <f t="shared" si="1162"/>
        <v>0</v>
      </c>
      <c r="CU239" s="2">
        <f t="shared" si="1163"/>
        <v>0</v>
      </c>
      <c r="CV239" s="102">
        <f t="shared" si="1164"/>
        <v>0</v>
      </c>
      <c r="CW239" s="102">
        <f t="shared" si="1182"/>
        <v>0</v>
      </c>
      <c r="CX239" s="102">
        <f t="shared" si="1165"/>
        <v>0</v>
      </c>
      <c r="CY239" s="290">
        <f t="shared" si="1166"/>
        <v>0</v>
      </c>
      <c r="CZ239" s="102">
        <f t="shared" si="1184"/>
        <v>0</v>
      </c>
      <c r="DA239" s="290">
        <f t="shared" si="1167"/>
        <v>0</v>
      </c>
      <c r="DB239" s="102">
        <f t="shared" si="1185"/>
        <v>0</v>
      </c>
      <c r="DC239" s="290">
        <f t="shared" si="1168"/>
        <v>0</v>
      </c>
      <c r="DD239" s="102">
        <f t="shared" si="1183"/>
        <v>0</v>
      </c>
      <c r="DE239" s="592">
        <f>IF(D239="Sim",HLOOKUP($DH$5,Parametrização!$G$2:$H$4,2,FALSE),0)</f>
        <v>0</v>
      </c>
      <c r="DF239" s="102">
        <f t="shared" si="1186"/>
        <v>0</v>
      </c>
      <c r="DG239" s="592">
        <f>IF(D239="Sim",HLOOKUP($DH$5,Parametrização!$G$2:$H$4,3,FALSE),0)</f>
        <v>0</v>
      </c>
      <c r="DH239" s="102">
        <f t="shared" si="1187"/>
        <v>0</v>
      </c>
      <c r="DI239" s="102">
        <f t="shared" si="1188"/>
        <v>0</v>
      </c>
      <c r="DK239" s="3" t="str">
        <f t="shared" si="1169"/>
        <v>NA</v>
      </c>
      <c r="DL239" s="2" t="str">
        <f t="shared" si="1170"/>
        <v>NA</v>
      </c>
      <c r="DM239" s="3" t="str">
        <f t="shared" si="1171"/>
        <v>NA</v>
      </c>
      <c r="DN239" s="9" t="str">
        <f t="shared" si="1172"/>
        <v>NA</v>
      </c>
      <c r="DO239" s="637" t="str">
        <f t="shared" si="1173"/>
        <v>NA</v>
      </c>
      <c r="DP239" s="637"/>
      <c r="DQ239" s="3" t="str">
        <f t="shared" si="1174"/>
        <v>NA</v>
      </c>
      <c r="DR239" s="2" t="str">
        <f t="shared" si="1175"/>
        <v>NA</v>
      </c>
      <c r="DS239" s="3" t="str">
        <f t="shared" si="1176"/>
        <v>NA</v>
      </c>
      <c r="DT239" s="9" t="str">
        <f t="shared" si="1189"/>
        <v>NA</v>
      </c>
      <c r="DU239" s="637" t="str">
        <f t="shared" si="1190"/>
        <v>NA</v>
      </c>
      <c r="DV239" s="637"/>
      <c r="DW239" s="682"/>
      <c r="DX239" s="682"/>
      <c r="DY239" s="682"/>
      <c r="DZ239" s="637"/>
      <c r="EA239" s="643"/>
    </row>
    <row r="240" spans="1:131" s="355" customFormat="1" ht="20.100000000000001" customHeight="1" outlineLevel="1" x14ac:dyDescent="0.25">
      <c r="A240" s="356"/>
      <c r="B240" s="355" t="s">
        <v>268</v>
      </c>
      <c r="C240" s="355" t="str">
        <f t="shared" si="1177"/>
        <v>Consumo</v>
      </c>
      <c r="D240" s="355" t="s">
        <v>53</v>
      </c>
      <c r="E240" s="18" t="s">
        <v>38</v>
      </c>
      <c r="F240" s="355" t="s">
        <v>53</v>
      </c>
      <c r="G240" s="357" t="str">
        <f t="shared" si="1178"/>
        <v>Geral</v>
      </c>
      <c r="H240" s="255" t="s">
        <v>377</v>
      </c>
      <c r="I240" s="356" t="str">
        <f t="shared" si="1112"/>
        <v>Sistema</v>
      </c>
      <c r="K240" s="318" t="s">
        <v>2993</v>
      </c>
      <c r="L240" s="749" t="str">
        <f>IF(Padrões!JF181&lt;&gt;"",Padrões!JF181,"")</f>
        <v/>
      </c>
      <c r="M240" s="358" t="str">
        <f t="shared" si="1113"/>
        <v>?</v>
      </c>
      <c r="N240" s="359">
        <f>Padrões!JI181</f>
        <v>0</v>
      </c>
      <c r="O240" s="381" t="str">
        <f t="shared" si="1114"/>
        <v>?</v>
      </c>
      <c r="P240" s="360">
        <f t="shared" si="1115"/>
        <v>0.12</v>
      </c>
      <c r="Q240" s="360" t="str">
        <f t="shared" si="1116"/>
        <v>?</v>
      </c>
      <c r="R240" s="360">
        <f t="shared" si="1117"/>
        <v>0</v>
      </c>
      <c r="S240" s="361">
        <f t="shared" si="1118"/>
        <v>0</v>
      </c>
      <c r="T240" s="362">
        <f t="shared" si="1119"/>
        <v>0</v>
      </c>
      <c r="U240" s="53" t="str" cm="1">
        <f t="array" ref="U240">IFERROR(IF(I240&lt;&gt;"Serviço",IF(AND(mlookup(tbl_DIFAL_data,UFdestino,tbl_DIFAL_UF,O240,tbl_DIFAL_NCM)&lt;&gt;"",C240="Consumo"),"Sim",""),""),"?")</f>
        <v>?</v>
      </c>
      <c r="V240" s="363" t="str">
        <f>IFERROR(IF(I240&lt;&gt;"Serviço",IF(AND(D240="Não",mlookup(tbl_ST_data,UFdestino,tbl_ST_UF,O240,tbl_ST_NCM)&lt;&gt;"",C240="Revenda",CD240="Não"),"Sim",""),""),"?")</f>
        <v>?</v>
      </c>
      <c r="W240" s="364">
        <f t="shared" si="1120"/>
        <v>0</v>
      </c>
      <c r="X240" s="365">
        <f>IF(V240="Sim",mlookup(tbl_ST_data,UFdestino,tbl_ST_UF,O240,tbl_ST_NCM),0)</f>
        <v>0</v>
      </c>
      <c r="Z240" s="355">
        <f t="shared" si="1121"/>
        <v>0</v>
      </c>
      <c r="AA240" s="355">
        <f t="shared" si="1107"/>
        <v>0</v>
      </c>
      <c r="AC240" s="366">
        <f t="shared" si="1179"/>
        <v>1.31243473968765E-2</v>
      </c>
      <c r="AD240" s="366">
        <f t="shared" si="1122"/>
        <v>0.15</v>
      </c>
      <c r="AF240" s="355">
        <f t="shared" si="1123"/>
        <v>0</v>
      </c>
      <c r="AG240" s="355">
        <f t="shared" si="1124"/>
        <v>0</v>
      </c>
      <c r="AI240" s="355">
        <f t="shared" si="1125"/>
        <v>0</v>
      </c>
      <c r="AK240" s="366">
        <f t="shared" si="1180"/>
        <v>0</v>
      </c>
      <c r="AL240" s="355">
        <f t="shared" si="1108"/>
        <v>0</v>
      </c>
      <c r="AM240" s="355">
        <f t="shared" si="1109"/>
        <v>0</v>
      </c>
      <c r="AO240" s="355" t="b">
        <f t="shared" si="1126"/>
        <v>1</v>
      </c>
      <c r="AQ240" s="367">
        <f t="shared" si="1127"/>
        <v>0</v>
      </c>
      <c r="AR240" s="367">
        <f t="shared" si="1110"/>
        <v>0</v>
      </c>
      <c r="AT240" s="367">
        <f t="shared" si="1128"/>
        <v>0</v>
      </c>
      <c r="AU240" s="367">
        <f t="shared" si="1129"/>
        <v>0</v>
      </c>
      <c r="AW240" s="367">
        <f t="shared" si="1130"/>
        <v>0</v>
      </c>
      <c r="AX240" s="367">
        <f t="shared" si="1131"/>
        <v>0</v>
      </c>
      <c r="AY240" s="367">
        <f t="shared" si="1132"/>
        <v>0</v>
      </c>
      <c r="AZ240" s="367">
        <f t="shared" si="1133"/>
        <v>0</v>
      </c>
      <c r="BB240" s="355">
        <f t="shared" si="1134"/>
        <v>0</v>
      </c>
      <c r="BC240" s="355">
        <f t="shared" si="1135"/>
        <v>0</v>
      </c>
      <c r="BD240" s="355">
        <f t="shared" si="1136"/>
        <v>0</v>
      </c>
      <c r="BE240" s="355">
        <f t="shared" si="1137"/>
        <v>0</v>
      </c>
      <c r="BF240" s="355">
        <f t="shared" si="1138"/>
        <v>0</v>
      </c>
      <c r="BH240" s="368">
        <f t="shared" si="1139"/>
        <v>0</v>
      </c>
      <c r="BJ240" s="369">
        <f t="shared" si="1140"/>
        <v>-0.12</v>
      </c>
      <c r="BK240" s="355">
        <f t="shared" si="1141"/>
        <v>0</v>
      </c>
      <c r="BL240" s="355">
        <f t="shared" si="1142"/>
        <v>0</v>
      </c>
      <c r="BN240" s="366">
        <f t="shared" si="1143"/>
        <v>0</v>
      </c>
      <c r="BO240" s="355">
        <f t="shared" si="1144"/>
        <v>0</v>
      </c>
      <c r="BP240" s="355">
        <f t="shared" si="1145"/>
        <v>0</v>
      </c>
      <c r="BQ240" s="355">
        <f t="shared" si="1146"/>
        <v>0</v>
      </c>
      <c r="BS240" s="367">
        <f t="shared" si="1147"/>
        <v>0</v>
      </c>
      <c r="BT240" s="355">
        <f t="shared" si="1148"/>
        <v>0</v>
      </c>
      <c r="BU240" s="355" t="b">
        <f t="shared" si="1111"/>
        <v>1</v>
      </c>
      <c r="BW240" s="355" t="str">
        <f t="shared" si="1149"/>
        <v/>
      </c>
      <c r="BX240" s="355">
        <f t="shared" si="1150"/>
        <v>0</v>
      </c>
      <c r="BY240" s="356">
        <f t="shared" si="1181"/>
        <v>0</v>
      </c>
      <c r="BZ240" s="355">
        <f t="shared" si="1151"/>
        <v>0</v>
      </c>
      <c r="CB240" s="102" t="str">
        <f t="shared" si="1152"/>
        <v>?</v>
      </c>
      <c r="CD240" s="355" t="str">
        <f t="shared" si="1153"/>
        <v>Não</v>
      </c>
      <c r="CE240" s="368">
        <f>ifzero(mlookup(tbl_ICMSinterest_data,UFdestino,tbl_ICMSinterest_ufdest,UForigem,tbl_ICMSinterest_uforig))</f>
        <v>0.12</v>
      </c>
      <c r="CF240" s="368">
        <f>IF(N240&gt;0,IF(I240&lt;&gt;"Serviço",ifzero(mlookup(tbl_ICMSinterno_data,UForigem,tbl_ICMSinterno_UF,O240,tbl_ICMSinterno_NCM),mlookup(tbl_ICMSinterest_data,UForigem,tbl_ICMSinterest_ufdest,UForigem,tbl_ICMSinterest_uforig)),""),0)</f>
        <v>0</v>
      </c>
      <c r="CG240" s="368">
        <f>IF(N240&gt;0,IF(I240&lt;&gt;"Serviço",ifzero(mlookup(tbl_ICMSinterno_data,UFdestino,tbl_ICMSinterno_UF,O240,tbl_ICMSinterno_NCM),mlookup(tbl_ICMSinterest_data,UFdestino,tbl_ICMSinterest_ufdest,UFdestino,tbl_ICMSinterest_uforig)),""),0)</f>
        <v>0</v>
      </c>
      <c r="CI240" s="355">
        <f t="shared" si="1154"/>
        <v>0</v>
      </c>
      <c r="CJ240" s="355">
        <f t="shared" si="1155"/>
        <v>0</v>
      </c>
      <c r="CK240" s="355">
        <f t="shared" si="1156"/>
        <v>0</v>
      </c>
      <c r="CL240" s="355">
        <f t="shared" si="1157"/>
        <v>0</v>
      </c>
      <c r="CN240" s="370">
        <f t="shared" si="1158"/>
        <v>1540</v>
      </c>
      <c r="CO240" s="355">
        <f t="shared" si="1159"/>
        <v>0</v>
      </c>
      <c r="CQ240" s="355" t="b">
        <f t="shared" si="1160"/>
        <v>0</v>
      </c>
      <c r="CR240" s="355" t="b">
        <f t="shared" si="1161"/>
        <v>1</v>
      </c>
      <c r="CS240" s="355" t="b">
        <f t="shared" si="1162"/>
        <v>0</v>
      </c>
      <c r="CU240" s="2">
        <f t="shared" si="1163"/>
        <v>0</v>
      </c>
      <c r="CV240" s="102">
        <f t="shared" si="1164"/>
        <v>0</v>
      </c>
      <c r="CW240" s="102">
        <f t="shared" si="1182"/>
        <v>0</v>
      </c>
      <c r="CX240" s="102">
        <f t="shared" si="1165"/>
        <v>0</v>
      </c>
      <c r="CY240" s="290">
        <f t="shared" si="1166"/>
        <v>0</v>
      </c>
      <c r="CZ240" s="102">
        <f t="shared" si="1184"/>
        <v>0</v>
      </c>
      <c r="DA240" s="290">
        <f t="shared" si="1167"/>
        <v>0</v>
      </c>
      <c r="DB240" s="102">
        <f t="shared" si="1185"/>
        <v>0</v>
      </c>
      <c r="DC240" s="290">
        <f t="shared" si="1168"/>
        <v>0</v>
      </c>
      <c r="DD240" s="102">
        <f t="shared" si="1183"/>
        <v>0</v>
      </c>
      <c r="DE240" s="592">
        <f>IF(D240="Sim",HLOOKUP($DH$5,Parametrização!$G$2:$H$4,2,FALSE),0)</f>
        <v>0</v>
      </c>
      <c r="DF240" s="102">
        <f t="shared" si="1186"/>
        <v>0</v>
      </c>
      <c r="DG240" s="592">
        <f>IF(D240="Sim",HLOOKUP($DH$5,Parametrização!$G$2:$H$4,3,FALSE),0)</f>
        <v>0</v>
      </c>
      <c r="DH240" s="102">
        <f t="shared" si="1187"/>
        <v>0</v>
      </c>
      <c r="DI240" s="102">
        <f t="shared" si="1188"/>
        <v>0</v>
      </c>
      <c r="DK240" s="3" t="str">
        <f t="shared" si="1169"/>
        <v>NA</v>
      </c>
      <c r="DL240" s="2" t="str">
        <f t="shared" si="1170"/>
        <v>NA</v>
      </c>
      <c r="DM240" s="3" t="str">
        <f t="shared" si="1171"/>
        <v>NA</v>
      </c>
      <c r="DN240" s="9" t="str">
        <f t="shared" si="1172"/>
        <v>NA</v>
      </c>
      <c r="DO240" s="637" t="str">
        <f t="shared" si="1173"/>
        <v>NA</v>
      </c>
      <c r="DP240" s="637"/>
      <c r="DQ240" s="3" t="str">
        <f t="shared" si="1174"/>
        <v>NA</v>
      </c>
      <c r="DR240" s="2" t="str">
        <f t="shared" si="1175"/>
        <v>NA</v>
      </c>
      <c r="DS240" s="3" t="str">
        <f t="shared" si="1176"/>
        <v>NA</v>
      </c>
      <c r="DT240" s="9" t="str">
        <f t="shared" si="1189"/>
        <v>NA</v>
      </c>
      <c r="DU240" s="637" t="str">
        <f t="shared" si="1190"/>
        <v>NA</v>
      </c>
      <c r="DV240" s="637"/>
      <c r="DW240" s="682"/>
      <c r="DX240" s="682"/>
      <c r="DY240" s="682"/>
      <c r="DZ240" s="637"/>
      <c r="EA240" s="643"/>
    </row>
    <row r="241" spans="1:131" s="355" customFormat="1" ht="20.100000000000001" customHeight="1" outlineLevel="1" x14ac:dyDescent="0.25">
      <c r="A241" s="356"/>
      <c r="B241" s="355" t="s">
        <v>268</v>
      </c>
      <c r="C241" s="355" t="str">
        <f t="shared" si="1177"/>
        <v>Consumo</v>
      </c>
      <c r="D241" s="355" t="s">
        <v>53</v>
      </c>
      <c r="E241" s="18" t="s">
        <v>38</v>
      </c>
      <c r="F241" s="355" t="s">
        <v>53</v>
      </c>
      <c r="G241" s="357" t="str">
        <f t="shared" si="1178"/>
        <v>Geral</v>
      </c>
      <c r="H241" s="255" t="s">
        <v>377</v>
      </c>
      <c r="I241" s="356" t="str">
        <f t="shared" si="1112"/>
        <v>Sistema</v>
      </c>
      <c r="K241" s="318" t="s">
        <v>2994</v>
      </c>
      <c r="L241" s="749" t="str">
        <f>IF(Padrões!JF182&lt;&gt;"",Padrões!JF182,"")</f>
        <v/>
      </c>
      <c r="M241" s="358" t="str">
        <f t="shared" si="1113"/>
        <v>?</v>
      </c>
      <c r="N241" s="359">
        <f>Padrões!JI182</f>
        <v>0</v>
      </c>
      <c r="O241" s="381" t="str">
        <f t="shared" si="1114"/>
        <v>?</v>
      </c>
      <c r="P241" s="360">
        <f t="shared" si="1115"/>
        <v>0.12</v>
      </c>
      <c r="Q241" s="360" t="str">
        <f t="shared" si="1116"/>
        <v>?</v>
      </c>
      <c r="R241" s="360">
        <f t="shared" si="1117"/>
        <v>0</v>
      </c>
      <c r="S241" s="361">
        <f t="shared" si="1118"/>
        <v>0</v>
      </c>
      <c r="T241" s="362">
        <f t="shared" si="1119"/>
        <v>0</v>
      </c>
      <c r="U241" s="53" t="str" cm="1">
        <f t="array" ref="U241">IFERROR(IF(I241&lt;&gt;"Serviço",IF(AND(mlookup(tbl_DIFAL_data,UFdestino,tbl_DIFAL_UF,O241,tbl_DIFAL_NCM)&lt;&gt;"",C241="Consumo"),"Sim",""),""),"?")</f>
        <v>?</v>
      </c>
      <c r="V241" s="363" t="str">
        <f>IFERROR(IF(I241&lt;&gt;"Serviço",IF(AND(D241="Não",mlookup(tbl_ST_data,UFdestino,tbl_ST_UF,O241,tbl_ST_NCM)&lt;&gt;"",C241="Revenda",CD241="Não"),"Sim",""),""),"?")</f>
        <v>?</v>
      </c>
      <c r="W241" s="364">
        <f t="shared" si="1120"/>
        <v>0</v>
      </c>
      <c r="X241" s="365">
        <f>IF(V241="Sim",mlookup(tbl_ST_data,UFdestino,tbl_ST_UF,O241,tbl_ST_NCM),0)</f>
        <v>0</v>
      </c>
      <c r="Z241" s="355">
        <f t="shared" si="1121"/>
        <v>0</v>
      </c>
      <c r="AA241" s="355">
        <f t="shared" si="1107"/>
        <v>0</v>
      </c>
      <c r="AC241" s="366">
        <f t="shared" si="1179"/>
        <v>1.31243473968765E-2</v>
      </c>
      <c r="AD241" s="366">
        <f t="shared" si="1122"/>
        <v>0.15</v>
      </c>
      <c r="AF241" s="355">
        <f t="shared" si="1123"/>
        <v>0</v>
      </c>
      <c r="AG241" s="355">
        <f t="shared" si="1124"/>
        <v>0</v>
      </c>
      <c r="AI241" s="355">
        <f t="shared" si="1125"/>
        <v>0</v>
      </c>
      <c r="AK241" s="366">
        <f t="shared" si="1180"/>
        <v>0</v>
      </c>
      <c r="AL241" s="355">
        <f t="shared" si="1108"/>
        <v>0</v>
      </c>
      <c r="AM241" s="355">
        <f t="shared" si="1109"/>
        <v>0</v>
      </c>
      <c r="AO241" s="355" t="b">
        <f t="shared" si="1126"/>
        <v>1</v>
      </c>
      <c r="AQ241" s="367">
        <f t="shared" si="1127"/>
        <v>0</v>
      </c>
      <c r="AR241" s="367">
        <f t="shared" si="1110"/>
        <v>0</v>
      </c>
      <c r="AT241" s="367">
        <f t="shared" si="1128"/>
        <v>0</v>
      </c>
      <c r="AU241" s="367">
        <f t="shared" si="1129"/>
        <v>0</v>
      </c>
      <c r="AW241" s="367">
        <f t="shared" si="1130"/>
        <v>0</v>
      </c>
      <c r="AX241" s="367">
        <f t="shared" si="1131"/>
        <v>0</v>
      </c>
      <c r="AY241" s="367">
        <f t="shared" si="1132"/>
        <v>0</v>
      </c>
      <c r="AZ241" s="367">
        <f t="shared" si="1133"/>
        <v>0</v>
      </c>
      <c r="BB241" s="355">
        <f t="shared" si="1134"/>
        <v>0</v>
      </c>
      <c r="BC241" s="355">
        <f t="shared" si="1135"/>
        <v>0</v>
      </c>
      <c r="BD241" s="355">
        <f t="shared" si="1136"/>
        <v>0</v>
      </c>
      <c r="BE241" s="355">
        <f t="shared" si="1137"/>
        <v>0</v>
      </c>
      <c r="BF241" s="355">
        <f t="shared" si="1138"/>
        <v>0</v>
      </c>
      <c r="BH241" s="368">
        <f t="shared" si="1139"/>
        <v>0</v>
      </c>
      <c r="BJ241" s="369">
        <f t="shared" si="1140"/>
        <v>-0.12</v>
      </c>
      <c r="BK241" s="355">
        <f t="shared" si="1141"/>
        <v>0</v>
      </c>
      <c r="BL241" s="355">
        <f t="shared" si="1142"/>
        <v>0</v>
      </c>
      <c r="BN241" s="366">
        <f t="shared" si="1143"/>
        <v>0</v>
      </c>
      <c r="BO241" s="355">
        <f t="shared" si="1144"/>
        <v>0</v>
      </c>
      <c r="BP241" s="355">
        <f t="shared" si="1145"/>
        <v>0</v>
      </c>
      <c r="BQ241" s="355">
        <f t="shared" si="1146"/>
        <v>0</v>
      </c>
      <c r="BS241" s="367">
        <f t="shared" si="1147"/>
        <v>0</v>
      </c>
      <c r="BT241" s="355">
        <f t="shared" si="1148"/>
        <v>0</v>
      </c>
      <c r="BU241" s="355" t="b">
        <f t="shared" si="1111"/>
        <v>1</v>
      </c>
      <c r="BW241" s="355" t="str">
        <f t="shared" si="1149"/>
        <v/>
      </c>
      <c r="BX241" s="355">
        <f t="shared" si="1150"/>
        <v>0</v>
      </c>
      <c r="BY241" s="356">
        <f t="shared" si="1181"/>
        <v>0</v>
      </c>
      <c r="BZ241" s="355">
        <f t="shared" si="1151"/>
        <v>0</v>
      </c>
      <c r="CB241" s="102" t="str">
        <f t="shared" si="1152"/>
        <v>?</v>
      </c>
      <c r="CD241" s="355" t="str">
        <f t="shared" si="1153"/>
        <v>Não</v>
      </c>
      <c r="CE241" s="368">
        <f>ifzero(mlookup(tbl_ICMSinterest_data,UFdestino,tbl_ICMSinterest_ufdest,UForigem,tbl_ICMSinterest_uforig))</f>
        <v>0.12</v>
      </c>
      <c r="CF241" s="368">
        <f>IF(N241&gt;0,IF(I241&lt;&gt;"Serviço",ifzero(mlookup(tbl_ICMSinterno_data,UForigem,tbl_ICMSinterno_UF,O241,tbl_ICMSinterno_NCM),mlookup(tbl_ICMSinterest_data,UForigem,tbl_ICMSinterest_ufdest,UForigem,tbl_ICMSinterest_uforig)),""),0)</f>
        <v>0</v>
      </c>
      <c r="CG241" s="368">
        <f>IF(N241&gt;0,IF(I241&lt;&gt;"Serviço",ifzero(mlookup(tbl_ICMSinterno_data,UFdestino,tbl_ICMSinterno_UF,O241,tbl_ICMSinterno_NCM),mlookup(tbl_ICMSinterest_data,UFdestino,tbl_ICMSinterest_ufdest,UFdestino,tbl_ICMSinterest_uforig)),""),0)</f>
        <v>0</v>
      </c>
      <c r="CI241" s="355">
        <f t="shared" si="1154"/>
        <v>0</v>
      </c>
      <c r="CJ241" s="355">
        <f t="shared" si="1155"/>
        <v>0</v>
      </c>
      <c r="CK241" s="355">
        <f t="shared" si="1156"/>
        <v>0</v>
      </c>
      <c r="CL241" s="355">
        <f t="shared" si="1157"/>
        <v>0</v>
      </c>
      <c r="CN241" s="370">
        <f t="shared" si="1158"/>
        <v>1540</v>
      </c>
      <c r="CO241" s="355">
        <f t="shared" si="1159"/>
        <v>0</v>
      </c>
      <c r="CQ241" s="355" t="b">
        <f t="shared" si="1160"/>
        <v>0</v>
      </c>
      <c r="CR241" s="355" t="b">
        <f t="shared" si="1161"/>
        <v>1</v>
      </c>
      <c r="CS241" s="355" t="b">
        <f t="shared" si="1162"/>
        <v>0</v>
      </c>
      <c r="CU241" s="2">
        <f t="shared" si="1163"/>
        <v>0</v>
      </c>
      <c r="CV241" s="102">
        <f t="shared" si="1164"/>
        <v>0</v>
      </c>
      <c r="CW241" s="102">
        <f t="shared" si="1182"/>
        <v>0</v>
      </c>
      <c r="CX241" s="102">
        <f t="shared" si="1165"/>
        <v>0</v>
      </c>
      <c r="CY241" s="290">
        <f t="shared" si="1166"/>
        <v>0</v>
      </c>
      <c r="CZ241" s="102">
        <f t="shared" si="1184"/>
        <v>0</v>
      </c>
      <c r="DA241" s="290">
        <f t="shared" si="1167"/>
        <v>0</v>
      </c>
      <c r="DB241" s="102">
        <f t="shared" si="1185"/>
        <v>0</v>
      </c>
      <c r="DC241" s="290">
        <f t="shared" si="1168"/>
        <v>0</v>
      </c>
      <c r="DD241" s="102">
        <f t="shared" si="1183"/>
        <v>0</v>
      </c>
      <c r="DE241" s="592">
        <f>IF(D241="Sim",HLOOKUP($DH$5,Parametrização!$G$2:$H$4,2,FALSE),0)</f>
        <v>0</v>
      </c>
      <c r="DF241" s="102">
        <f t="shared" si="1186"/>
        <v>0</v>
      </c>
      <c r="DG241" s="592">
        <f>IF(D241="Sim",HLOOKUP($DH$5,Parametrização!$G$2:$H$4,3,FALSE),0)</f>
        <v>0</v>
      </c>
      <c r="DH241" s="102">
        <f t="shared" si="1187"/>
        <v>0</v>
      </c>
      <c r="DI241" s="102">
        <f t="shared" si="1188"/>
        <v>0</v>
      </c>
      <c r="DK241" s="3" t="str">
        <f t="shared" si="1169"/>
        <v>NA</v>
      </c>
      <c r="DL241" s="2" t="str">
        <f t="shared" si="1170"/>
        <v>NA</v>
      </c>
      <c r="DM241" s="3" t="str">
        <f t="shared" si="1171"/>
        <v>NA</v>
      </c>
      <c r="DN241" s="9" t="str">
        <f t="shared" si="1172"/>
        <v>NA</v>
      </c>
      <c r="DO241" s="637" t="str">
        <f t="shared" si="1173"/>
        <v>NA</v>
      </c>
      <c r="DP241" s="637"/>
      <c r="DQ241" s="3" t="str">
        <f t="shared" si="1174"/>
        <v>NA</v>
      </c>
      <c r="DR241" s="2" t="str">
        <f t="shared" si="1175"/>
        <v>NA</v>
      </c>
      <c r="DS241" s="3" t="str">
        <f t="shared" si="1176"/>
        <v>NA</v>
      </c>
      <c r="DT241" s="9" t="str">
        <f t="shared" si="1189"/>
        <v>NA</v>
      </c>
      <c r="DU241" s="637" t="str">
        <f t="shared" si="1190"/>
        <v>NA</v>
      </c>
      <c r="DV241" s="637"/>
      <c r="DW241" s="682"/>
      <c r="DX241" s="682"/>
      <c r="DY241" s="682"/>
      <c r="DZ241" s="637"/>
      <c r="EA241" s="643"/>
    </row>
    <row r="242" spans="1:131" s="355" customFormat="1" ht="20.100000000000001" customHeight="1" outlineLevel="1" x14ac:dyDescent="0.25">
      <c r="A242" s="356"/>
      <c r="B242" s="355" t="s">
        <v>268</v>
      </c>
      <c r="C242" s="355" t="str">
        <f t="shared" si="1177"/>
        <v>Consumo</v>
      </c>
      <c r="D242" s="355" t="s">
        <v>53</v>
      </c>
      <c r="E242" s="18" t="s">
        <v>38</v>
      </c>
      <c r="F242" s="355" t="s">
        <v>53</v>
      </c>
      <c r="G242" s="357" t="str">
        <f t="shared" si="1178"/>
        <v>Geral</v>
      </c>
      <c r="H242" s="255" t="s">
        <v>377</v>
      </c>
      <c r="I242" s="356" t="str">
        <f t="shared" si="1112"/>
        <v>Sistema</v>
      </c>
      <c r="K242" s="318" t="s">
        <v>2995</v>
      </c>
      <c r="L242" s="749" t="str">
        <f>IF(Padrões!JF183&lt;&gt;"",Padrões!JF183,"")</f>
        <v/>
      </c>
      <c r="M242" s="358" t="str">
        <f t="shared" si="1113"/>
        <v>?</v>
      </c>
      <c r="N242" s="359">
        <f>Padrões!JI183</f>
        <v>0</v>
      </c>
      <c r="O242" s="381" t="str">
        <f t="shared" si="1114"/>
        <v>?</v>
      </c>
      <c r="P242" s="360">
        <f t="shared" si="1115"/>
        <v>0.12</v>
      </c>
      <c r="Q242" s="360" t="str">
        <f t="shared" si="1116"/>
        <v>?</v>
      </c>
      <c r="R242" s="360">
        <f t="shared" si="1117"/>
        <v>0</v>
      </c>
      <c r="S242" s="361">
        <f t="shared" si="1118"/>
        <v>0</v>
      </c>
      <c r="T242" s="362">
        <f t="shared" si="1119"/>
        <v>0</v>
      </c>
      <c r="U242" s="53" t="str" cm="1">
        <f t="array" ref="U242">IFERROR(IF(I242&lt;&gt;"Serviço",IF(AND(mlookup(tbl_DIFAL_data,UFdestino,tbl_DIFAL_UF,O242,tbl_DIFAL_NCM)&lt;&gt;"",C242="Consumo"),"Sim",""),""),"?")</f>
        <v>?</v>
      </c>
      <c r="V242" s="363" t="str">
        <f>IFERROR(IF(I242&lt;&gt;"Serviço",IF(AND(D242="Não",mlookup(tbl_ST_data,UFdestino,tbl_ST_UF,O242,tbl_ST_NCM)&lt;&gt;"",C242="Revenda",CD242="Não"),"Sim",""),""),"?")</f>
        <v>?</v>
      </c>
      <c r="W242" s="364">
        <f t="shared" si="1120"/>
        <v>0</v>
      </c>
      <c r="X242" s="365">
        <f>IF(V242="Sim",mlookup(tbl_ST_data,UFdestino,tbl_ST_UF,O242,tbl_ST_NCM),0)</f>
        <v>0</v>
      </c>
      <c r="Z242" s="355">
        <f t="shared" si="1121"/>
        <v>0</v>
      </c>
      <c r="AA242" s="355">
        <f t="shared" si="1107"/>
        <v>0</v>
      </c>
      <c r="AC242" s="366">
        <f t="shared" si="1179"/>
        <v>1.31243473968765E-2</v>
      </c>
      <c r="AD242" s="366">
        <f t="shared" si="1122"/>
        <v>0.15</v>
      </c>
      <c r="AF242" s="355">
        <f t="shared" si="1123"/>
        <v>0</v>
      </c>
      <c r="AG242" s="355">
        <f t="shared" si="1124"/>
        <v>0</v>
      </c>
      <c r="AI242" s="355">
        <f t="shared" si="1125"/>
        <v>0</v>
      </c>
      <c r="AK242" s="366">
        <f t="shared" si="1180"/>
        <v>0</v>
      </c>
      <c r="AL242" s="355">
        <f t="shared" si="1108"/>
        <v>0</v>
      </c>
      <c r="AM242" s="355">
        <f t="shared" si="1109"/>
        <v>0</v>
      </c>
      <c r="AO242" s="355" t="b">
        <f t="shared" si="1126"/>
        <v>1</v>
      </c>
      <c r="AQ242" s="367">
        <f t="shared" si="1127"/>
        <v>0</v>
      </c>
      <c r="AR242" s="367">
        <f t="shared" si="1110"/>
        <v>0</v>
      </c>
      <c r="AT242" s="367">
        <f t="shared" si="1128"/>
        <v>0</v>
      </c>
      <c r="AU242" s="367">
        <f t="shared" si="1129"/>
        <v>0</v>
      </c>
      <c r="AW242" s="367">
        <f t="shared" si="1130"/>
        <v>0</v>
      </c>
      <c r="AX242" s="367">
        <f t="shared" si="1131"/>
        <v>0</v>
      </c>
      <c r="AY242" s="367">
        <f t="shared" si="1132"/>
        <v>0</v>
      </c>
      <c r="AZ242" s="367">
        <f t="shared" si="1133"/>
        <v>0</v>
      </c>
      <c r="BB242" s="355">
        <f t="shared" si="1134"/>
        <v>0</v>
      </c>
      <c r="BC242" s="355">
        <f t="shared" si="1135"/>
        <v>0</v>
      </c>
      <c r="BD242" s="355">
        <f t="shared" si="1136"/>
        <v>0</v>
      </c>
      <c r="BE242" s="355">
        <f t="shared" si="1137"/>
        <v>0</v>
      </c>
      <c r="BF242" s="355">
        <f t="shared" si="1138"/>
        <v>0</v>
      </c>
      <c r="BH242" s="368">
        <f t="shared" si="1139"/>
        <v>0</v>
      </c>
      <c r="BJ242" s="369">
        <f t="shared" si="1140"/>
        <v>-0.12</v>
      </c>
      <c r="BK242" s="355">
        <f t="shared" si="1141"/>
        <v>0</v>
      </c>
      <c r="BL242" s="355">
        <f t="shared" si="1142"/>
        <v>0</v>
      </c>
      <c r="BN242" s="366">
        <f t="shared" si="1143"/>
        <v>0</v>
      </c>
      <c r="BO242" s="355">
        <f t="shared" si="1144"/>
        <v>0</v>
      </c>
      <c r="BP242" s="355">
        <f t="shared" si="1145"/>
        <v>0</v>
      </c>
      <c r="BQ242" s="355">
        <f t="shared" si="1146"/>
        <v>0</v>
      </c>
      <c r="BS242" s="367">
        <f t="shared" si="1147"/>
        <v>0</v>
      </c>
      <c r="BT242" s="355">
        <f t="shared" si="1148"/>
        <v>0</v>
      </c>
      <c r="BU242" s="355" t="b">
        <f t="shared" si="1111"/>
        <v>1</v>
      </c>
      <c r="BW242" s="355" t="str">
        <f t="shared" si="1149"/>
        <v/>
      </c>
      <c r="BX242" s="355">
        <f t="shared" si="1150"/>
        <v>0</v>
      </c>
      <c r="BY242" s="356">
        <f t="shared" si="1181"/>
        <v>0</v>
      </c>
      <c r="BZ242" s="355">
        <f t="shared" si="1151"/>
        <v>0</v>
      </c>
      <c r="CB242" s="102" t="str">
        <f t="shared" si="1152"/>
        <v>?</v>
      </c>
      <c r="CD242" s="355" t="str">
        <f t="shared" si="1153"/>
        <v>Não</v>
      </c>
      <c r="CE242" s="368">
        <f>ifzero(mlookup(tbl_ICMSinterest_data,UFdestino,tbl_ICMSinterest_ufdest,UForigem,tbl_ICMSinterest_uforig))</f>
        <v>0.12</v>
      </c>
      <c r="CF242" s="368">
        <f>IF(N242&gt;0,IF(I242&lt;&gt;"Serviço",ifzero(mlookup(tbl_ICMSinterno_data,UForigem,tbl_ICMSinterno_UF,O242,tbl_ICMSinterno_NCM),mlookup(tbl_ICMSinterest_data,UForigem,tbl_ICMSinterest_ufdest,UForigem,tbl_ICMSinterest_uforig)),""),0)</f>
        <v>0</v>
      </c>
      <c r="CG242" s="368">
        <f>IF(N242&gt;0,IF(I242&lt;&gt;"Serviço",ifzero(mlookup(tbl_ICMSinterno_data,UFdestino,tbl_ICMSinterno_UF,O242,tbl_ICMSinterno_NCM),mlookup(tbl_ICMSinterest_data,UFdestino,tbl_ICMSinterest_ufdest,UFdestino,tbl_ICMSinterest_uforig)),""),0)</f>
        <v>0</v>
      </c>
      <c r="CI242" s="355">
        <f t="shared" si="1154"/>
        <v>0</v>
      </c>
      <c r="CJ242" s="355">
        <f t="shared" si="1155"/>
        <v>0</v>
      </c>
      <c r="CK242" s="355">
        <f t="shared" si="1156"/>
        <v>0</v>
      </c>
      <c r="CL242" s="355">
        <f t="shared" si="1157"/>
        <v>0</v>
      </c>
      <c r="CN242" s="370">
        <f t="shared" si="1158"/>
        <v>1540</v>
      </c>
      <c r="CO242" s="355">
        <f t="shared" si="1159"/>
        <v>0</v>
      </c>
      <c r="CQ242" s="355" t="b">
        <f t="shared" si="1160"/>
        <v>0</v>
      </c>
      <c r="CR242" s="355" t="b">
        <f t="shared" si="1161"/>
        <v>1</v>
      </c>
      <c r="CS242" s="355" t="b">
        <f t="shared" si="1162"/>
        <v>0</v>
      </c>
      <c r="CU242" s="2">
        <f t="shared" si="1163"/>
        <v>0</v>
      </c>
      <c r="CV242" s="102">
        <f t="shared" si="1164"/>
        <v>0</v>
      </c>
      <c r="CW242" s="102">
        <f t="shared" si="1182"/>
        <v>0</v>
      </c>
      <c r="CX242" s="102">
        <f t="shared" si="1165"/>
        <v>0</v>
      </c>
      <c r="CY242" s="290">
        <f t="shared" si="1166"/>
        <v>0</v>
      </c>
      <c r="CZ242" s="102">
        <f t="shared" si="1184"/>
        <v>0</v>
      </c>
      <c r="DA242" s="290">
        <f t="shared" si="1167"/>
        <v>0</v>
      </c>
      <c r="DB242" s="102">
        <f t="shared" si="1185"/>
        <v>0</v>
      </c>
      <c r="DC242" s="290">
        <f t="shared" si="1168"/>
        <v>0</v>
      </c>
      <c r="DD242" s="102">
        <f t="shared" si="1183"/>
        <v>0</v>
      </c>
      <c r="DE242" s="592">
        <f>IF(D242="Sim",HLOOKUP($DH$5,Parametrização!$G$2:$H$4,2,FALSE),0)</f>
        <v>0</v>
      </c>
      <c r="DF242" s="102">
        <f t="shared" si="1186"/>
        <v>0</v>
      </c>
      <c r="DG242" s="592">
        <f>IF(D242="Sim",HLOOKUP($DH$5,Parametrização!$G$2:$H$4,3,FALSE),0)</f>
        <v>0</v>
      </c>
      <c r="DH242" s="102">
        <f t="shared" si="1187"/>
        <v>0</v>
      </c>
      <c r="DI242" s="102">
        <f t="shared" si="1188"/>
        <v>0</v>
      </c>
      <c r="DK242" s="3" t="str">
        <f t="shared" si="1169"/>
        <v>NA</v>
      </c>
      <c r="DL242" s="2" t="str">
        <f t="shared" si="1170"/>
        <v>NA</v>
      </c>
      <c r="DM242" s="3" t="str">
        <f t="shared" si="1171"/>
        <v>NA</v>
      </c>
      <c r="DN242" s="9" t="str">
        <f t="shared" si="1172"/>
        <v>NA</v>
      </c>
      <c r="DO242" s="637" t="str">
        <f t="shared" si="1173"/>
        <v>NA</v>
      </c>
      <c r="DP242" s="637"/>
      <c r="DQ242" s="3" t="str">
        <f t="shared" si="1174"/>
        <v>NA</v>
      </c>
      <c r="DR242" s="2" t="str">
        <f t="shared" si="1175"/>
        <v>NA</v>
      </c>
      <c r="DS242" s="3" t="str">
        <f t="shared" si="1176"/>
        <v>NA</v>
      </c>
      <c r="DT242" s="9" t="str">
        <f t="shared" si="1189"/>
        <v>NA</v>
      </c>
      <c r="DU242" s="637" t="str">
        <f t="shared" si="1190"/>
        <v>NA</v>
      </c>
      <c r="DV242" s="637"/>
      <c r="DW242" s="682"/>
      <c r="DX242" s="682"/>
      <c r="DY242" s="682"/>
      <c r="DZ242" s="637"/>
      <c r="EA242" s="643"/>
    </row>
    <row r="243" spans="1:131" s="355" customFormat="1" ht="20.100000000000001" customHeight="1" outlineLevel="1" x14ac:dyDescent="0.25">
      <c r="A243" s="356"/>
      <c r="B243" s="355" t="s">
        <v>268</v>
      </c>
      <c r="C243" s="355" t="str">
        <f t="shared" si="1177"/>
        <v>Consumo</v>
      </c>
      <c r="D243" s="355" t="s">
        <v>53</v>
      </c>
      <c r="E243" s="18" t="s">
        <v>38</v>
      </c>
      <c r="F243" s="355" t="s">
        <v>53</v>
      </c>
      <c r="G243" s="357" t="str">
        <f t="shared" si="1178"/>
        <v>Geral</v>
      </c>
      <c r="H243" s="255" t="s">
        <v>377</v>
      </c>
      <c r="I243" s="356" t="str">
        <f t="shared" si="1112"/>
        <v>Sistema</v>
      </c>
      <c r="K243" s="318" t="s">
        <v>2996</v>
      </c>
      <c r="L243" s="749" t="str">
        <f>IF(Padrões!JF184&lt;&gt;"",Padrões!JF184,"")</f>
        <v/>
      </c>
      <c r="M243" s="358" t="str">
        <f t="shared" si="1113"/>
        <v>?</v>
      </c>
      <c r="N243" s="359">
        <f>Padrões!JI184</f>
        <v>0</v>
      </c>
      <c r="O243" s="381" t="str">
        <f t="shared" si="1114"/>
        <v>?</v>
      </c>
      <c r="P243" s="360">
        <f t="shared" si="1115"/>
        <v>0.12</v>
      </c>
      <c r="Q243" s="360" t="str">
        <f t="shared" si="1116"/>
        <v>?</v>
      </c>
      <c r="R243" s="360">
        <f t="shared" si="1117"/>
        <v>0</v>
      </c>
      <c r="S243" s="361">
        <f t="shared" si="1118"/>
        <v>0</v>
      </c>
      <c r="T243" s="362">
        <f t="shared" si="1119"/>
        <v>0</v>
      </c>
      <c r="U243" s="53" t="str" cm="1">
        <f t="array" ref="U243">IFERROR(IF(I243&lt;&gt;"Serviço",IF(AND(mlookup(tbl_DIFAL_data,UFdestino,tbl_DIFAL_UF,O243,tbl_DIFAL_NCM)&lt;&gt;"",C243="Consumo"),"Sim",""),""),"?")</f>
        <v>?</v>
      </c>
      <c r="V243" s="363" t="str">
        <f>IFERROR(IF(I243&lt;&gt;"Serviço",IF(AND(D243="Não",mlookup(tbl_ST_data,UFdestino,tbl_ST_UF,O243,tbl_ST_NCM)&lt;&gt;"",C243="Revenda",CD243="Não"),"Sim",""),""),"?")</f>
        <v>?</v>
      </c>
      <c r="W243" s="364">
        <f t="shared" si="1120"/>
        <v>0</v>
      </c>
      <c r="X243" s="365">
        <f>IF(V243="Sim",mlookup(tbl_ST_data,UFdestino,tbl_ST_UF,O243,tbl_ST_NCM),0)</f>
        <v>0</v>
      </c>
      <c r="Z243" s="355">
        <f t="shared" si="1121"/>
        <v>0</v>
      </c>
      <c r="AA243" s="355">
        <f t="shared" si="1107"/>
        <v>0</v>
      </c>
      <c r="AC243" s="366">
        <f t="shared" si="1179"/>
        <v>1.31243473968765E-2</v>
      </c>
      <c r="AD243" s="366">
        <f t="shared" si="1122"/>
        <v>0.15</v>
      </c>
      <c r="AF243" s="355">
        <f t="shared" si="1123"/>
        <v>0</v>
      </c>
      <c r="AG243" s="355">
        <f t="shared" si="1124"/>
        <v>0</v>
      </c>
      <c r="AI243" s="355">
        <f t="shared" si="1125"/>
        <v>0</v>
      </c>
      <c r="AK243" s="366">
        <f t="shared" si="1180"/>
        <v>0</v>
      </c>
      <c r="AL243" s="355">
        <f t="shared" si="1108"/>
        <v>0</v>
      </c>
      <c r="AM243" s="355">
        <f t="shared" si="1109"/>
        <v>0</v>
      </c>
      <c r="AO243" s="355" t="b">
        <f t="shared" si="1126"/>
        <v>1</v>
      </c>
      <c r="AQ243" s="367">
        <f t="shared" si="1127"/>
        <v>0</v>
      </c>
      <c r="AR243" s="367">
        <f t="shared" si="1110"/>
        <v>0</v>
      </c>
      <c r="AT243" s="367">
        <f t="shared" si="1128"/>
        <v>0</v>
      </c>
      <c r="AU243" s="367">
        <f t="shared" si="1129"/>
        <v>0</v>
      </c>
      <c r="AW243" s="367">
        <f t="shared" si="1130"/>
        <v>0</v>
      </c>
      <c r="AX243" s="367">
        <f t="shared" si="1131"/>
        <v>0</v>
      </c>
      <c r="AY243" s="367">
        <f t="shared" si="1132"/>
        <v>0</v>
      </c>
      <c r="AZ243" s="367">
        <f t="shared" si="1133"/>
        <v>0</v>
      </c>
      <c r="BB243" s="355">
        <f t="shared" si="1134"/>
        <v>0</v>
      </c>
      <c r="BC243" s="355">
        <f t="shared" si="1135"/>
        <v>0</v>
      </c>
      <c r="BD243" s="355">
        <f t="shared" si="1136"/>
        <v>0</v>
      </c>
      <c r="BE243" s="355">
        <f t="shared" si="1137"/>
        <v>0</v>
      </c>
      <c r="BF243" s="355">
        <f t="shared" si="1138"/>
        <v>0</v>
      </c>
      <c r="BH243" s="368">
        <f t="shared" si="1139"/>
        <v>0</v>
      </c>
      <c r="BJ243" s="369">
        <f t="shared" si="1140"/>
        <v>-0.12</v>
      </c>
      <c r="BK243" s="355">
        <f t="shared" si="1141"/>
        <v>0</v>
      </c>
      <c r="BL243" s="355">
        <f t="shared" si="1142"/>
        <v>0</v>
      </c>
      <c r="BN243" s="366">
        <f t="shared" si="1143"/>
        <v>0</v>
      </c>
      <c r="BO243" s="355">
        <f t="shared" si="1144"/>
        <v>0</v>
      </c>
      <c r="BP243" s="355">
        <f t="shared" si="1145"/>
        <v>0</v>
      </c>
      <c r="BQ243" s="355">
        <f t="shared" si="1146"/>
        <v>0</v>
      </c>
      <c r="BS243" s="367">
        <f t="shared" si="1147"/>
        <v>0</v>
      </c>
      <c r="BT243" s="355">
        <f t="shared" si="1148"/>
        <v>0</v>
      </c>
      <c r="BU243" s="355" t="b">
        <f t="shared" si="1111"/>
        <v>1</v>
      </c>
      <c r="BW243" s="355" t="str">
        <f t="shared" si="1149"/>
        <v/>
      </c>
      <c r="BX243" s="355">
        <f t="shared" si="1150"/>
        <v>0</v>
      </c>
      <c r="BY243" s="356">
        <f t="shared" si="1181"/>
        <v>0</v>
      </c>
      <c r="BZ243" s="355">
        <f t="shared" si="1151"/>
        <v>0</v>
      </c>
      <c r="CB243" s="102" t="str">
        <f t="shared" si="1152"/>
        <v>?</v>
      </c>
      <c r="CD243" s="355" t="str">
        <f t="shared" si="1153"/>
        <v>Não</v>
      </c>
      <c r="CE243" s="368">
        <f>ifzero(mlookup(tbl_ICMSinterest_data,UFdestino,tbl_ICMSinterest_ufdest,UForigem,tbl_ICMSinterest_uforig))</f>
        <v>0.12</v>
      </c>
      <c r="CF243" s="368">
        <f>IF(N243&gt;0,IF(I243&lt;&gt;"Serviço",ifzero(mlookup(tbl_ICMSinterno_data,UForigem,tbl_ICMSinterno_UF,O243,tbl_ICMSinterno_NCM),mlookup(tbl_ICMSinterest_data,UForigem,tbl_ICMSinterest_ufdest,UForigem,tbl_ICMSinterest_uforig)),""),0)</f>
        <v>0</v>
      </c>
      <c r="CG243" s="368">
        <f>IF(N243&gt;0,IF(I243&lt;&gt;"Serviço",ifzero(mlookup(tbl_ICMSinterno_data,UFdestino,tbl_ICMSinterno_UF,O243,tbl_ICMSinterno_NCM),mlookup(tbl_ICMSinterest_data,UFdestino,tbl_ICMSinterest_ufdest,UFdestino,tbl_ICMSinterest_uforig)),""),0)</f>
        <v>0</v>
      </c>
      <c r="CI243" s="355">
        <f t="shared" si="1154"/>
        <v>0</v>
      </c>
      <c r="CJ243" s="355">
        <f t="shared" si="1155"/>
        <v>0</v>
      </c>
      <c r="CK243" s="355">
        <f t="shared" si="1156"/>
        <v>0</v>
      </c>
      <c r="CL243" s="355">
        <f t="shared" si="1157"/>
        <v>0</v>
      </c>
      <c r="CN243" s="370">
        <f t="shared" si="1158"/>
        <v>1540</v>
      </c>
      <c r="CO243" s="355">
        <f t="shared" si="1159"/>
        <v>0</v>
      </c>
      <c r="CQ243" s="355" t="b">
        <f t="shared" si="1160"/>
        <v>0</v>
      </c>
      <c r="CR243" s="355" t="b">
        <f t="shared" si="1161"/>
        <v>1</v>
      </c>
      <c r="CS243" s="355" t="b">
        <f t="shared" si="1162"/>
        <v>0</v>
      </c>
      <c r="CU243" s="2">
        <f t="shared" si="1163"/>
        <v>0</v>
      </c>
      <c r="CV243" s="102">
        <f t="shared" si="1164"/>
        <v>0</v>
      </c>
      <c r="CW243" s="102">
        <f t="shared" si="1182"/>
        <v>0</v>
      </c>
      <c r="CX243" s="102">
        <f t="shared" si="1165"/>
        <v>0</v>
      </c>
      <c r="CY243" s="290">
        <f t="shared" si="1166"/>
        <v>0</v>
      </c>
      <c r="CZ243" s="102">
        <f t="shared" si="1184"/>
        <v>0</v>
      </c>
      <c r="DA243" s="290">
        <f t="shared" si="1167"/>
        <v>0</v>
      </c>
      <c r="DB243" s="102">
        <f t="shared" si="1185"/>
        <v>0</v>
      </c>
      <c r="DC243" s="290">
        <f t="shared" si="1168"/>
        <v>0</v>
      </c>
      <c r="DD243" s="102">
        <f t="shared" si="1183"/>
        <v>0</v>
      </c>
      <c r="DE243" s="592">
        <f>IF(D243="Sim",HLOOKUP($DH$5,Parametrização!$G$2:$H$4,2,FALSE),0)</f>
        <v>0</v>
      </c>
      <c r="DF243" s="102">
        <f t="shared" si="1186"/>
        <v>0</v>
      </c>
      <c r="DG243" s="592">
        <f>IF(D243="Sim",HLOOKUP($DH$5,Parametrização!$G$2:$H$4,3,FALSE),0)</f>
        <v>0</v>
      </c>
      <c r="DH243" s="102">
        <f t="shared" si="1187"/>
        <v>0</v>
      </c>
      <c r="DI243" s="102">
        <f t="shared" si="1188"/>
        <v>0</v>
      </c>
      <c r="DK243" s="3" t="str">
        <f t="shared" si="1169"/>
        <v>NA</v>
      </c>
      <c r="DL243" s="2" t="str">
        <f t="shared" si="1170"/>
        <v>NA</v>
      </c>
      <c r="DM243" s="3" t="str">
        <f t="shared" si="1171"/>
        <v>NA</v>
      </c>
      <c r="DN243" s="9" t="str">
        <f t="shared" si="1172"/>
        <v>NA</v>
      </c>
      <c r="DO243" s="637" t="str">
        <f t="shared" si="1173"/>
        <v>NA</v>
      </c>
      <c r="DP243" s="637"/>
      <c r="DQ243" s="3" t="str">
        <f t="shared" si="1174"/>
        <v>NA</v>
      </c>
      <c r="DR243" s="2" t="str">
        <f t="shared" si="1175"/>
        <v>NA</v>
      </c>
      <c r="DS243" s="3" t="str">
        <f t="shared" si="1176"/>
        <v>NA</v>
      </c>
      <c r="DT243" s="9" t="str">
        <f t="shared" si="1189"/>
        <v>NA</v>
      </c>
      <c r="DU243" s="637" t="str">
        <f t="shared" si="1190"/>
        <v>NA</v>
      </c>
      <c r="DV243" s="637"/>
      <c r="DW243" s="682"/>
      <c r="DX243" s="682"/>
      <c r="DY243" s="682"/>
      <c r="DZ243" s="637"/>
      <c r="EA243" s="643"/>
    </row>
    <row r="244" spans="1:131" s="355" customFormat="1" ht="20.100000000000001" customHeight="1" outlineLevel="1" x14ac:dyDescent="0.25">
      <c r="A244" s="356"/>
      <c r="B244" s="355" t="s">
        <v>268</v>
      </c>
      <c r="C244" s="355" t="str">
        <f t="shared" si="1177"/>
        <v>Consumo</v>
      </c>
      <c r="D244" s="355" t="s">
        <v>53</v>
      </c>
      <c r="E244" s="18" t="s">
        <v>38</v>
      </c>
      <c r="F244" s="355" t="s">
        <v>53</v>
      </c>
      <c r="G244" s="357" t="str">
        <f t="shared" si="1178"/>
        <v>Geral</v>
      </c>
      <c r="H244" s="255" t="s">
        <v>377</v>
      </c>
      <c r="I244" s="356" t="str">
        <f t="shared" si="1112"/>
        <v>Sistema</v>
      </c>
      <c r="K244" s="318" t="s">
        <v>2997</v>
      </c>
      <c r="L244" s="749" t="str">
        <f>IF(Padrões!JF185&lt;&gt;"",Padrões!JF185,"")</f>
        <v/>
      </c>
      <c r="M244" s="358" t="str">
        <f t="shared" si="1113"/>
        <v>?</v>
      </c>
      <c r="N244" s="359">
        <f>Padrões!JI185</f>
        <v>0</v>
      </c>
      <c r="O244" s="381" t="str">
        <f t="shared" si="1114"/>
        <v>?</v>
      </c>
      <c r="P244" s="360">
        <f t="shared" si="1115"/>
        <v>0.12</v>
      </c>
      <c r="Q244" s="360" t="str">
        <f t="shared" si="1116"/>
        <v>?</v>
      </c>
      <c r="R244" s="360">
        <f t="shared" si="1117"/>
        <v>0</v>
      </c>
      <c r="S244" s="361">
        <f t="shared" si="1118"/>
        <v>0</v>
      </c>
      <c r="T244" s="362">
        <f t="shared" si="1119"/>
        <v>0</v>
      </c>
      <c r="U244" s="53" t="str" cm="1">
        <f t="array" ref="U244">IFERROR(IF(I244&lt;&gt;"Serviço",IF(AND(mlookup(tbl_DIFAL_data,UFdestino,tbl_DIFAL_UF,O244,tbl_DIFAL_NCM)&lt;&gt;"",C244="Consumo"),"Sim",""),""),"?")</f>
        <v>?</v>
      </c>
      <c r="V244" s="363" t="str">
        <f>IFERROR(IF(I244&lt;&gt;"Serviço",IF(AND(D244="Não",mlookup(tbl_ST_data,UFdestino,tbl_ST_UF,O244,tbl_ST_NCM)&lt;&gt;"",C244="Revenda",CD244="Não"),"Sim",""),""),"?")</f>
        <v>?</v>
      </c>
      <c r="W244" s="364">
        <f t="shared" si="1120"/>
        <v>0</v>
      </c>
      <c r="X244" s="365">
        <f>IF(V244="Sim",mlookup(tbl_ST_data,UFdestino,tbl_ST_UF,O244,tbl_ST_NCM),0)</f>
        <v>0</v>
      </c>
      <c r="Z244" s="355">
        <f t="shared" si="1121"/>
        <v>0</v>
      </c>
      <c r="AA244" s="355">
        <f t="shared" si="1107"/>
        <v>0</v>
      </c>
      <c r="AC244" s="366">
        <f t="shared" si="1179"/>
        <v>1.31243473968765E-2</v>
      </c>
      <c r="AD244" s="366">
        <f t="shared" si="1122"/>
        <v>0.15</v>
      </c>
      <c r="AF244" s="355">
        <f t="shared" si="1123"/>
        <v>0</v>
      </c>
      <c r="AG244" s="355">
        <f t="shared" si="1124"/>
        <v>0</v>
      </c>
      <c r="AI244" s="355">
        <f t="shared" si="1125"/>
        <v>0</v>
      </c>
      <c r="AK244" s="366">
        <f t="shared" si="1180"/>
        <v>0</v>
      </c>
      <c r="AL244" s="355">
        <f t="shared" si="1108"/>
        <v>0</v>
      </c>
      <c r="AM244" s="355">
        <f t="shared" si="1109"/>
        <v>0</v>
      </c>
      <c r="AO244" s="355" t="b">
        <f t="shared" si="1126"/>
        <v>1</v>
      </c>
      <c r="AQ244" s="367">
        <f t="shared" si="1127"/>
        <v>0</v>
      </c>
      <c r="AR244" s="367">
        <f t="shared" si="1110"/>
        <v>0</v>
      </c>
      <c r="AT244" s="367">
        <f t="shared" si="1128"/>
        <v>0</v>
      </c>
      <c r="AU244" s="367">
        <f t="shared" si="1129"/>
        <v>0</v>
      </c>
      <c r="AW244" s="367">
        <f t="shared" si="1130"/>
        <v>0</v>
      </c>
      <c r="AX244" s="367">
        <f t="shared" si="1131"/>
        <v>0</v>
      </c>
      <c r="AY244" s="367">
        <f t="shared" si="1132"/>
        <v>0</v>
      </c>
      <c r="AZ244" s="367">
        <f t="shared" si="1133"/>
        <v>0</v>
      </c>
      <c r="BB244" s="355">
        <f t="shared" si="1134"/>
        <v>0</v>
      </c>
      <c r="BC244" s="355">
        <f t="shared" si="1135"/>
        <v>0</v>
      </c>
      <c r="BD244" s="355">
        <f t="shared" si="1136"/>
        <v>0</v>
      </c>
      <c r="BE244" s="355">
        <f t="shared" si="1137"/>
        <v>0</v>
      </c>
      <c r="BF244" s="355">
        <f t="shared" si="1138"/>
        <v>0</v>
      </c>
      <c r="BH244" s="368">
        <f t="shared" si="1139"/>
        <v>0</v>
      </c>
      <c r="BJ244" s="369">
        <f t="shared" si="1140"/>
        <v>-0.12</v>
      </c>
      <c r="BK244" s="355">
        <f t="shared" si="1141"/>
        <v>0</v>
      </c>
      <c r="BL244" s="355">
        <f t="shared" si="1142"/>
        <v>0</v>
      </c>
      <c r="BN244" s="366">
        <f t="shared" si="1143"/>
        <v>0</v>
      </c>
      <c r="BO244" s="355">
        <f t="shared" si="1144"/>
        <v>0</v>
      </c>
      <c r="BP244" s="355">
        <f t="shared" si="1145"/>
        <v>0</v>
      </c>
      <c r="BQ244" s="355">
        <f t="shared" si="1146"/>
        <v>0</v>
      </c>
      <c r="BS244" s="367">
        <f t="shared" si="1147"/>
        <v>0</v>
      </c>
      <c r="BT244" s="355">
        <f t="shared" si="1148"/>
        <v>0</v>
      </c>
      <c r="BU244" s="355" t="b">
        <f t="shared" si="1111"/>
        <v>1</v>
      </c>
      <c r="BW244" s="355" t="str">
        <f t="shared" si="1149"/>
        <v/>
      </c>
      <c r="BX244" s="355">
        <f t="shared" si="1150"/>
        <v>0</v>
      </c>
      <c r="BY244" s="356">
        <f t="shared" si="1181"/>
        <v>0</v>
      </c>
      <c r="BZ244" s="355">
        <f t="shared" si="1151"/>
        <v>0</v>
      </c>
      <c r="CB244" s="102" t="str">
        <f t="shared" si="1152"/>
        <v>?</v>
      </c>
      <c r="CD244" s="355" t="str">
        <f t="shared" si="1153"/>
        <v>Não</v>
      </c>
      <c r="CE244" s="368">
        <f>ifzero(mlookup(tbl_ICMSinterest_data,UFdestino,tbl_ICMSinterest_ufdest,UForigem,tbl_ICMSinterest_uforig))</f>
        <v>0.12</v>
      </c>
      <c r="CF244" s="368">
        <f>IF(N244&gt;0,IF(I244&lt;&gt;"Serviço",ifzero(mlookup(tbl_ICMSinterno_data,UForigem,tbl_ICMSinterno_UF,O244,tbl_ICMSinterno_NCM),mlookup(tbl_ICMSinterest_data,UForigem,tbl_ICMSinterest_ufdest,UForigem,tbl_ICMSinterest_uforig)),""),0)</f>
        <v>0</v>
      </c>
      <c r="CG244" s="368">
        <f>IF(N244&gt;0,IF(I244&lt;&gt;"Serviço",ifzero(mlookup(tbl_ICMSinterno_data,UFdestino,tbl_ICMSinterno_UF,O244,tbl_ICMSinterno_NCM),mlookup(tbl_ICMSinterest_data,UFdestino,tbl_ICMSinterest_ufdest,UFdestino,tbl_ICMSinterest_uforig)),""),0)</f>
        <v>0</v>
      </c>
      <c r="CI244" s="355">
        <f t="shared" si="1154"/>
        <v>0</v>
      </c>
      <c r="CJ244" s="355">
        <f t="shared" si="1155"/>
        <v>0</v>
      </c>
      <c r="CK244" s="355">
        <f t="shared" si="1156"/>
        <v>0</v>
      </c>
      <c r="CL244" s="355">
        <f t="shared" si="1157"/>
        <v>0</v>
      </c>
      <c r="CN244" s="370">
        <f t="shared" si="1158"/>
        <v>1540</v>
      </c>
      <c r="CO244" s="355">
        <f t="shared" si="1159"/>
        <v>0</v>
      </c>
      <c r="CQ244" s="355" t="b">
        <f t="shared" si="1160"/>
        <v>0</v>
      </c>
      <c r="CR244" s="355" t="b">
        <f t="shared" si="1161"/>
        <v>1</v>
      </c>
      <c r="CS244" s="355" t="b">
        <f t="shared" si="1162"/>
        <v>0</v>
      </c>
      <c r="CU244" s="2">
        <f t="shared" si="1163"/>
        <v>0</v>
      </c>
      <c r="CV244" s="102">
        <f t="shared" si="1164"/>
        <v>0</v>
      </c>
      <c r="CW244" s="102">
        <f t="shared" si="1182"/>
        <v>0</v>
      </c>
      <c r="CX244" s="102">
        <f t="shared" si="1165"/>
        <v>0</v>
      </c>
      <c r="CY244" s="290">
        <f t="shared" si="1166"/>
        <v>0</v>
      </c>
      <c r="CZ244" s="102">
        <f t="shared" si="1184"/>
        <v>0</v>
      </c>
      <c r="DA244" s="290">
        <f t="shared" si="1167"/>
        <v>0</v>
      </c>
      <c r="DB244" s="102">
        <f t="shared" si="1185"/>
        <v>0</v>
      </c>
      <c r="DC244" s="290">
        <f t="shared" si="1168"/>
        <v>0</v>
      </c>
      <c r="DD244" s="102">
        <f t="shared" si="1183"/>
        <v>0</v>
      </c>
      <c r="DE244" s="592">
        <f>IF(D244="Sim",HLOOKUP($DH$5,Parametrização!$G$2:$H$4,2,FALSE),0)</f>
        <v>0</v>
      </c>
      <c r="DF244" s="102">
        <f t="shared" si="1186"/>
        <v>0</v>
      </c>
      <c r="DG244" s="592">
        <f>IF(D244="Sim",HLOOKUP($DH$5,Parametrização!$G$2:$H$4,3,FALSE),0)</f>
        <v>0</v>
      </c>
      <c r="DH244" s="102">
        <f t="shared" si="1187"/>
        <v>0</v>
      </c>
      <c r="DI244" s="102">
        <f t="shared" si="1188"/>
        <v>0</v>
      </c>
      <c r="DK244" s="3" t="str">
        <f t="shared" si="1169"/>
        <v>NA</v>
      </c>
      <c r="DL244" s="2" t="str">
        <f t="shared" si="1170"/>
        <v>NA</v>
      </c>
      <c r="DM244" s="3" t="str">
        <f t="shared" si="1171"/>
        <v>NA</v>
      </c>
      <c r="DN244" s="9" t="str">
        <f t="shared" si="1172"/>
        <v>NA</v>
      </c>
      <c r="DO244" s="637" t="str">
        <f t="shared" si="1173"/>
        <v>NA</v>
      </c>
      <c r="DP244" s="637"/>
      <c r="DQ244" s="3" t="str">
        <f t="shared" si="1174"/>
        <v>NA</v>
      </c>
      <c r="DR244" s="2" t="str">
        <f t="shared" si="1175"/>
        <v>NA</v>
      </c>
      <c r="DS244" s="3" t="str">
        <f t="shared" si="1176"/>
        <v>NA</v>
      </c>
      <c r="DT244" s="9" t="str">
        <f t="shared" si="1189"/>
        <v>NA</v>
      </c>
      <c r="DU244" s="637" t="str">
        <f t="shared" si="1190"/>
        <v>NA</v>
      </c>
      <c r="DV244" s="637"/>
      <c r="DW244" s="682"/>
      <c r="DX244" s="682"/>
      <c r="DY244" s="682"/>
      <c r="DZ244" s="637"/>
      <c r="EA244" s="643"/>
    </row>
    <row r="245" spans="1:131" s="355" customFormat="1" ht="20.100000000000001" customHeight="1" outlineLevel="1" x14ac:dyDescent="0.25">
      <c r="A245" s="356"/>
      <c r="B245" s="355" t="s">
        <v>268</v>
      </c>
      <c r="C245" s="355" t="str">
        <f t="shared" si="1177"/>
        <v>Consumo</v>
      </c>
      <c r="D245" s="355" t="s">
        <v>53</v>
      </c>
      <c r="E245" s="18" t="s">
        <v>38</v>
      </c>
      <c r="F245" s="355" t="s">
        <v>53</v>
      </c>
      <c r="G245" s="357" t="str">
        <f t="shared" si="1178"/>
        <v>Geral</v>
      </c>
      <c r="H245" s="255" t="s">
        <v>377</v>
      </c>
      <c r="I245" s="356" t="str">
        <f t="shared" si="1112"/>
        <v>Sistema</v>
      </c>
      <c r="K245" s="318" t="s">
        <v>2998</v>
      </c>
      <c r="L245" s="749" t="str">
        <f>IF(Padrões!JF186&lt;&gt;"",Padrões!JF186,"")</f>
        <v/>
      </c>
      <c r="M245" s="358" t="str">
        <f t="shared" si="1113"/>
        <v>?</v>
      </c>
      <c r="N245" s="359">
        <f>Padrões!JI186</f>
        <v>0</v>
      </c>
      <c r="O245" s="381" t="str">
        <f t="shared" si="1114"/>
        <v>?</v>
      </c>
      <c r="P245" s="360">
        <f t="shared" si="1115"/>
        <v>0.12</v>
      </c>
      <c r="Q245" s="360" t="str">
        <f t="shared" si="1116"/>
        <v>?</v>
      </c>
      <c r="R245" s="360">
        <f t="shared" si="1117"/>
        <v>0</v>
      </c>
      <c r="S245" s="361">
        <f t="shared" si="1118"/>
        <v>0</v>
      </c>
      <c r="T245" s="362">
        <f t="shared" si="1119"/>
        <v>0</v>
      </c>
      <c r="U245" s="53" t="str" cm="1">
        <f t="array" ref="U245">IFERROR(IF(I245&lt;&gt;"Serviço",IF(AND(mlookup(tbl_DIFAL_data,UFdestino,tbl_DIFAL_UF,O245,tbl_DIFAL_NCM)&lt;&gt;"",C245="Consumo"),"Sim",""),""),"?")</f>
        <v>?</v>
      </c>
      <c r="V245" s="363" t="str">
        <f>IFERROR(IF(I245&lt;&gt;"Serviço",IF(AND(D245="Não",mlookup(tbl_ST_data,UFdestino,tbl_ST_UF,O245,tbl_ST_NCM)&lt;&gt;"",C245="Revenda",CD245="Não"),"Sim",""),""),"?")</f>
        <v>?</v>
      </c>
      <c r="W245" s="364">
        <f t="shared" si="1120"/>
        <v>0</v>
      </c>
      <c r="X245" s="365">
        <f>IF(V245="Sim",mlookup(tbl_ST_data,UFdestino,tbl_ST_UF,O245,tbl_ST_NCM),0)</f>
        <v>0</v>
      </c>
      <c r="Z245" s="355">
        <f t="shared" si="1121"/>
        <v>0</v>
      </c>
      <c r="AA245" s="355">
        <f t="shared" si="1107"/>
        <v>0</v>
      </c>
      <c r="AC245" s="366">
        <f t="shared" si="1179"/>
        <v>1.31243473968765E-2</v>
      </c>
      <c r="AD245" s="366">
        <f t="shared" si="1122"/>
        <v>0.15</v>
      </c>
      <c r="AF245" s="355">
        <f t="shared" si="1123"/>
        <v>0</v>
      </c>
      <c r="AG245" s="355">
        <f t="shared" si="1124"/>
        <v>0</v>
      </c>
      <c r="AI245" s="355">
        <f t="shared" si="1125"/>
        <v>0</v>
      </c>
      <c r="AK245" s="366">
        <f t="shared" si="1180"/>
        <v>0</v>
      </c>
      <c r="AL245" s="355">
        <f t="shared" si="1108"/>
        <v>0</v>
      </c>
      <c r="AM245" s="355">
        <f t="shared" si="1109"/>
        <v>0</v>
      </c>
      <c r="AO245" s="355" t="b">
        <f t="shared" si="1126"/>
        <v>1</v>
      </c>
      <c r="AQ245" s="367">
        <f t="shared" si="1127"/>
        <v>0</v>
      </c>
      <c r="AR245" s="367">
        <f t="shared" si="1110"/>
        <v>0</v>
      </c>
      <c r="AT245" s="367">
        <f t="shared" si="1128"/>
        <v>0</v>
      </c>
      <c r="AU245" s="367">
        <f t="shared" si="1129"/>
        <v>0</v>
      </c>
      <c r="AW245" s="367">
        <f t="shared" si="1130"/>
        <v>0</v>
      </c>
      <c r="AX245" s="367">
        <f t="shared" si="1131"/>
        <v>0</v>
      </c>
      <c r="AY245" s="367">
        <f t="shared" si="1132"/>
        <v>0</v>
      </c>
      <c r="AZ245" s="367">
        <f t="shared" si="1133"/>
        <v>0</v>
      </c>
      <c r="BB245" s="355">
        <f t="shared" si="1134"/>
        <v>0</v>
      </c>
      <c r="BC245" s="355">
        <f t="shared" si="1135"/>
        <v>0</v>
      </c>
      <c r="BD245" s="355">
        <f t="shared" si="1136"/>
        <v>0</v>
      </c>
      <c r="BE245" s="355">
        <f t="shared" si="1137"/>
        <v>0</v>
      </c>
      <c r="BF245" s="355">
        <f t="shared" si="1138"/>
        <v>0</v>
      </c>
      <c r="BH245" s="368">
        <f t="shared" si="1139"/>
        <v>0</v>
      </c>
      <c r="BJ245" s="369">
        <f t="shared" si="1140"/>
        <v>-0.12</v>
      </c>
      <c r="BK245" s="355">
        <f t="shared" si="1141"/>
        <v>0</v>
      </c>
      <c r="BL245" s="355">
        <f t="shared" si="1142"/>
        <v>0</v>
      </c>
      <c r="BN245" s="366">
        <f t="shared" si="1143"/>
        <v>0</v>
      </c>
      <c r="BO245" s="355">
        <f t="shared" si="1144"/>
        <v>0</v>
      </c>
      <c r="BP245" s="355">
        <f t="shared" si="1145"/>
        <v>0</v>
      </c>
      <c r="BQ245" s="355">
        <f t="shared" si="1146"/>
        <v>0</v>
      </c>
      <c r="BS245" s="367">
        <f t="shared" si="1147"/>
        <v>0</v>
      </c>
      <c r="BT245" s="355">
        <f t="shared" si="1148"/>
        <v>0</v>
      </c>
      <c r="BU245" s="355" t="b">
        <f t="shared" si="1111"/>
        <v>1</v>
      </c>
      <c r="BW245" s="355" t="str">
        <f t="shared" si="1149"/>
        <v/>
      </c>
      <c r="BX245" s="355">
        <f t="shared" si="1150"/>
        <v>0</v>
      </c>
      <c r="BY245" s="356">
        <f t="shared" si="1181"/>
        <v>0</v>
      </c>
      <c r="BZ245" s="355">
        <f t="shared" si="1151"/>
        <v>0</v>
      </c>
      <c r="CB245" s="102" t="str">
        <f t="shared" si="1152"/>
        <v>?</v>
      </c>
      <c r="CD245" s="355" t="str">
        <f t="shared" si="1153"/>
        <v>Não</v>
      </c>
      <c r="CE245" s="368">
        <f>ifzero(mlookup(tbl_ICMSinterest_data,UFdestino,tbl_ICMSinterest_ufdest,UForigem,tbl_ICMSinterest_uforig))</f>
        <v>0.12</v>
      </c>
      <c r="CF245" s="368">
        <f>IF(N245&gt;0,IF(I245&lt;&gt;"Serviço",ifzero(mlookup(tbl_ICMSinterno_data,UForigem,tbl_ICMSinterno_UF,O245,tbl_ICMSinterno_NCM),mlookup(tbl_ICMSinterest_data,UForigem,tbl_ICMSinterest_ufdest,UForigem,tbl_ICMSinterest_uforig)),""),0)</f>
        <v>0</v>
      </c>
      <c r="CG245" s="368">
        <f>IF(N245&gt;0,IF(I245&lt;&gt;"Serviço",ifzero(mlookup(tbl_ICMSinterno_data,UFdestino,tbl_ICMSinterno_UF,O245,tbl_ICMSinterno_NCM),mlookup(tbl_ICMSinterest_data,UFdestino,tbl_ICMSinterest_ufdest,UFdestino,tbl_ICMSinterest_uforig)),""),0)</f>
        <v>0</v>
      </c>
      <c r="CI245" s="355">
        <f t="shared" si="1154"/>
        <v>0</v>
      </c>
      <c r="CJ245" s="355">
        <f t="shared" si="1155"/>
        <v>0</v>
      </c>
      <c r="CK245" s="355">
        <f t="shared" si="1156"/>
        <v>0</v>
      </c>
      <c r="CL245" s="355">
        <f t="shared" si="1157"/>
        <v>0</v>
      </c>
      <c r="CN245" s="370">
        <f t="shared" si="1158"/>
        <v>1540</v>
      </c>
      <c r="CO245" s="355">
        <f t="shared" si="1159"/>
        <v>0</v>
      </c>
      <c r="CQ245" s="355" t="b">
        <f t="shared" si="1160"/>
        <v>0</v>
      </c>
      <c r="CR245" s="355" t="b">
        <f t="shared" si="1161"/>
        <v>1</v>
      </c>
      <c r="CS245" s="355" t="b">
        <f t="shared" si="1162"/>
        <v>0</v>
      </c>
      <c r="CU245" s="2">
        <f t="shared" si="1163"/>
        <v>0</v>
      </c>
      <c r="CV245" s="102">
        <f t="shared" si="1164"/>
        <v>0</v>
      </c>
      <c r="CW245" s="102">
        <f t="shared" si="1182"/>
        <v>0</v>
      </c>
      <c r="CX245" s="102">
        <f t="shared" si="1165"/>
        <v>0</v>
      </c>
      <c r="CY245" s="290">
        <f t="shared" si="1166"/>
        <v>0</v>
      </c>
      <c r="CZ245" s="102">
        <f t="shared" si="1184"/>
        <v>0</v>
      </c>
      <c r="DA245" s="290">
        <f t="shared" si="1167"/>
        <v>0</v>
      </c>
      <c r="DB245" s="102">
        <f t="shared" si="1185"/>
        <v>0</v>
      </c>
      <c r="DC245" s="290">
        <f t="shared" si="1168"/>
        <v>0</v>
      </c>
      <c r="DD245" s="102">
        <f t="shared" si="1183"/>
        <v>0</v>
      </c>
      <c r="DE245" s="592">
        <f>IF(D245="Sim",HLOOKUP($DH$5,Parametrização!$G$2:$H$4,2,FALSE),0)</f>
        <v>0</v>
      </c>
      <c r="DF245" s="102">
        <f t="shared" si="1186"/>
        <v>0</v>
      </c>
      <c r="DG245" s="592">
        <f>IF(D245="Sim",HLOOKUP($DH$5,Parametrização!$G$2:$H$4,3,FALSE),0)</f>
        <v>0</v>
      </c>
      <c r="DH245" s="102">
        <f t="shared" si="1187"/>
        <v>0</v>
      </c>
      <c r="DI245" s="102">
        <f t="shared" si="1188"/>
        <v>0</v>
      </c>
      <c r="DK245" s="3" t="str">
        <f t="shared" si="1169"/>
        <v>NA</v>
      </c>
      <c r="DL245" s="2" t="str">
        <f t="shared" si="1170"/>
        <v>NA</v>
      </c>
      <c r="DM245" s="3" t="str">
        <f t="shared" si="1171"/>
        <v>NA</v>
      </c>
      <c r="DN245" s="9" t="str">
        <f t="shared" si="1172"/>
        <v>NA</v>
      </c>
      <c r="DO245" s="637" t="str">
        <f t="shared" si="1173"/>
        <v>NA</v>
      </c>
      <c r="DP245" s="637"/>
      <c r="DQ245" s="3" t="str">
        <f t="shared" si="1174"/>
        <v>NA</v>
      </c>
      <c r="DR245" s="2" t="str">
        <f t="shared" si="1175"/>
        <v>NA</v>
      </c>
      <c r="DS245" s="3" t="str">
        <f t="shared" si="1176"/>
        <v>NA</v>
      </c>
      <c r="DT245" s="9" t="str">
        <f t="shared" si="1189"/>
        <v>NA</v>
      </c>
      <c r="DU245" s="637" t="str">
        <f t="shared" si="1190"/>
        <v>NA</v>
      </c>
      <c r="DV245" s="637"/>
      <c r="DW245" s="682"/>
      <c r="DX245" s="682"/>
      <c r="DY245" s="682"/>
      <c r="DZ245" s="637"/>
      <c r="EA245" s="643"/>
    </row>
    <row r="246" spans="1:131" s="355" customFormat="1" ht="20.100000000000001" customHeight="1" outlineLevel="1" x14ac:dyDescent="0.25">
      <c r="A246" s="356"/>
      <c r="B246" s="355" t="s">
        <v>268</v>
      </c>
      <c r="C246" s="355" t="str">
        <f t="shared" si="1177"/>
        <v>Consumo</v>
      </c>
      <c r="D246" s="355" t="s">
        <v>53</v>
      </c>
      <c r="E246" s="18" t="s">
        <v>38</v>
      </c>
      <c r="F246" s="355" t="s">
        <v>53</v>
      </c>
      <c r="G246" s="357" t="str">
        <f t="shared" si="1178"/>
        <v>Geral</v>
      </c>
      <c r="H246" s="255" t="s">
        <v>377</v>
      </c>
      <c r="I246" s="356" t="str">
        <f t="shared" si="1112"/>
        <v>Sistema</v>
      </c>
      <c r="K246" s="318" t="s">
        <v>2999</v>
      </c>
      <c r="L246" s="749" t="str">
        <f>IF(Padrões!JF187&lt;&gt;"",Padrões!JF187,"")</f>
        <v/>
      </c>
      <c r="M246" s="358" t="str">
        <f t="shared" si="1113"/>
        <v>?</v>
      </c>
      <c r="N246" s="359">
        <f>Padrões!JI187</f>
        <v>0</v>
      </c>
      <c r="O246" s="381" t="str">
        <f t="shared" si="1114"/>
        <v>?</v>
      </c>
      <c r="P246" s="360">
        <f t="shared" si="1115"/>
        <v>0.12</v>
      </c>
      <c r="Q246" s="360" t="str">
        <f t="shared" si="1116"/>
        <v>?</v>
      </c>
      <c r="R246" s="360">
        <f t="shared" si="1117"/>
        <v>0</v>
      </c>
      <c r="S246" s="361">
        <f t="shared" si="1118"/>
        <v>0</v>
      </c>
      <c r="T246" s="362">
        <f t="shared" si="1119"/>
        <v>0</v>
      </c>
      <c r="U246" s="53" t="str" cm="1">
        <f t="array" ref="U246">IFERROR(IF(I246&lt;&gt;"Serviço",IF(AND(mlookup(tbl_DIFAL_data,UFdestino,tbl_DIFAL_UF,O246,tbl_DIFAL_NCM)&lt;&gt;"",C246="Consumo"),"Sim",""),""),"?")</f>
        <v>?</v>
      </c>
      <c r="V246" s="363" t="str">
        <f>IFERROR(IF(I246&lt;&gt;"Serviço",IF(AND(D246="Não",mlookup(tbl_ST_data,UFdestino,tbl_ST_UF,O246,tbl_ST_NCM)&lt;&gt;"",C246="Revenda",CD246="Não"),"Sim",""),""),"?")</f>
        <v>?</v>
      </c>
      <c r="W246" s="364">
        <f t="shared" si="1120"/>
        <v>0</v>
      </c>
      <c r="X246" s="365">
        <f>IF(V246="Sim",mlookup(tbl_ST_data,UFdestino,tbl_ST_UF,O246,tbl_ST_NCM),0)</f>
        <v>0</v>
      </c>
      <c r="Z246" s="355">
        <f t="shared" si="1121"/>
        <v>0</v>
      </c>
      <c r="AA246" s="355">
        <f t="shared" ref="AA246:AA272" si="1191">Z246*N246</f>
        <v>0</v>
      </c>
      <c r="AC246" s="366">
        <f t="shared" si="1179"/>
        <v>1.31243473968765E-2</v>
      </c>
      <c r="AD246" s="366">
        <f t="shared" si="1122"/>
        <v>0.15</v>
      </c>
      <c r="AF246" s="355">
        <f t="shared" si="1123"/>
        <v>0</v>
      </c>
      <c r="AG246" s="355">
        <f t="shared" si="1124"/>
        <v>0</v>
      </c>
      <c r="AI246" s="355">
        <f t="shared" si="1125"/>
        <v>0</v>
      </c>
      <c r="AK246" s="366">
        <f t="shared" si="1180"/>
        <v>0</v>
      </c>
      <c r="AL246" s="355">
        <f t="shared" ref="AL246:AL272" si="1192">AM246*AK246</f>
        <v>0</v>
      </c>
      <c r="AM246" s="355">
        <f t="shared" ref="AM246:AM272" si="1193">AI246/(1-AK246)</f>
        <v>0</v>
      </c>
      <c r="AO246" s="355" t="b">
        <f t="shared" si="1126"/>
        <v>1</v>
      </c>
      <c r="AQ246" s="367">
        <f t="shared" si="1127"/>
        <v>0</v>
      </c>
      <c r="AR246" s="367">
        <f t="shared" ref="AR246:AR272" si="1194">AM246</f>
        <v>0</v>
      </c>
      <c r="AT246" s="367">
        <f t="shared" si="1128"/>
        <v>0</v>
      </c>
      <c r="AU246" s="367">
        <f t="shared" si="1129"/>
        <v>0</v>
      </c>
      <c r="AW246" s="367">
        <f t="shared" si="1130"/>
        <v>0</v>
      </c>
      <c r="AX246" s="367">
        <f t="shared" si="1131"/>
        <v>0</v>
      </c>
      <c r="AY246" s="367">
        <f t="shared" si="1132"/>
        <v>0</v>
      </c>
      <c r="AZ246" s="367">
        <f t="shared" si="1133"/>
        <v>0</v>
      </c>
      <c r="BB246" s="355">
        <f t="shared" si="1134"/>
        <v>0</v>
      </c>
      <c r="BC246" s="355">
        <f t="shared" si="1135"/>
        <v>0</v>
      </c>
      <c r="BD246" s="355">
        <f t="shared" si="1136"/>
        <v>0</v>
      </c>
      <c r="BE246" s="355">
        <f t="shared" si="1137"/>
        <v>0</v>
      </c>
      <c r="BF246" s="355">
        <f t="shared" si="1138"/>
        <v>0</v>
      </c>
      <c r="BH246" s="368">
        <f t="shared" si="1139"/>
        <v>0</v>
      </c>
      <c r="BJ246" s="369">
        <f t="shared" si="1140"/>
        <v>-0.12</v>
      </c>
      <c r="BK246" s="355">
        <f t="shared" si="1141"/>
        <v>0</v>
      </c>
      <c r="BL246" s="355">
        <f t="shared" si="1142"/>
        <v>0</v>
      </c>
      <c r="BN246" s="366">
        <f t="shared" si="1143"/>
        <v>0</v>
      </c>
      <c r="BO246" s="355">
        <f t="shared" si="1144"/>
        <v>0</v>
      </c>
      <c r="BP246" s="355">
        <f t="shared" si="1145"/>
        <v>0</v>
      </c>
      <c r="BQ246" s="355">
        <f t="shared" si="1146"/>
        <v>0</v>
      </c>
      <c r="BS246" s="367">
        <f t="shared" si="1147"/>
        <v>0</v>
      </c>
      <c r="BT246" s="355">
        <f t="shared" si="1148"/>
        <v>0</v>
      </c>
      <c r="BU246" s="355" t="b">
        <f t="shared" ref="BU246:BU272" si="1195">IF(ABS(BT246-BS246-SUM(BB246:BF246))&lt;0.01,TRUE,FALSE)</f>
        <v>1</v>
      </c>
      <c r="BW246" s="355" t="str">
        <f t="shared" si="1149"/>
        <v/>
      </c>
      <c r="BX246" s="355">
        <f t="shared" si="1150"/>
        <v>0</v>
      </c>
      <c r="BY246" s="356">
        <f t="shared" si="1181"/>
        <v>0</v>
      </c>
      <c r="BZ246" s="355">
        <f t="shared" si="1151"/>
        <v>0</v>
      </c>
      <c r="CB246" s="102" t="str">
        <f t="shared" si="1152"/>
        <v>?</v>
      </c>
      <c r="CD246" s="355" t="str">
        <f t="shared" si="1153"/>
        <v>Não</v>
      </c>
      <c r="CE246" s="368">
        <f>ifzero(mlookup(tbl_ICMSinterest_data,UFdestino,tbl_ICMSinterest_ufdest,UForigem,tbl_ICMSinterest_uforig))</f>
        <v>0.12</v>
      </c>
      <c r="CF246" s="368">
        <f>IF(N246&gt;0,IF(I246&lt;&gt;"Serviço",ifzero(mlookup(tbl_ICMSinterno_data,UForigem,tbl_ICMSinterno_UF,O246,tbl_ICMSinterno_NCM),mlookup(tbl_ICMSinterest_data,UForigem,tbl_ICMSinterest_ufdest,UForigem,tbl_ICMSinterest_uforig)),""),0)</f>
        <v>0</v>
      </c>
      <c r="CG246" s="368">
        <f>IF(N246&gt;0,IF(I246&lt;&gt;"Serviço",ifzero(mlookup(tbl_ICMSinterno_data,UFdestino,tbl_ICMSinterno_UF,O246,tbl_ICMSinterno_NCM),mlookup(tbl_ICMSinterest_data,UFdestino,tbl_ICMSinterest_ufdest,UFdestino,tbl_ICMSinterest_uforig)),""),0)</f>
        <v>0</v>
      </c>
      <c r="CI246" s="355">
        <f t="shared" si="1154"/>
        <v>0</v>
      </c>
      <c r="CJ246" s="355">
        <f t="shared" si="1155"/>
        <v>0</v>
      </c>
      <c r="CK246" s="355">
        <f t="shared" si="1156"/>
        <v>0</v>
      </c>
      <c r="CL246" s="355">
        <f t="shared" si="1157"/>
        <v>0</v>
      </c>
      <c r="CN246" s="370">
        <f t="shared" si="1158"/>
        <v>1540</v>
      </c>
      <c r="CO246" s="355">
        <f t="shared" si="1159"/>
        <v>0</v>
      </c>
      <c r="CQ246" s="355" t="b">
        <f t="shared" si="1160"/>
        <v>0</v>
      </c>
      <c r="CR246" s="355" t="b">
        <f t="shared" si="1161"/>
        <v>1</v>
      </c>
      <c r="CS246" s="355" t="b">
        <f t="shared" si="1162"/>
        <v>0</v>
      </c>
      <c r="CU246" s="2">
        <f t="shared" si="1163"/>
        <v>0</v>
      </c>
      <c r="CV246" s="102">
        <f t="shared" si="1164"/>
        <v>0</v>
      </c>
      <c r="CW246" s="102">
        <f t="shared" si="1182"/>
        <v>0</v>
      </c>
      <c r="CX246" s="102">
        <f t="shared" si="1165"/>
        <v>0</v>
      </c>
      <c r="CY246" s="290">
        <f t="shared" si="1166"/>
        <v>0</v>
      </c>
      <c r="CZ246" s="102">
        <f t="shared" si="1184"/>
        <v>0</v>
      </c>
      <c r="DA246" s="290">
        <f t="shared" si="1167"/>
        <v>0</v>
      </c>
      <c r="DB246" s="102">
        <f t="shared" si="1185"/>
        <v>0</v>
      </c>
      <c r="DC246" s="290">
        <f t="shared" si="1168"/>
        <v>0</v>
      </c>
      <c r="DD246" s="102">
        <f t="shared" si="1183"/>
        <v>0</v>
      </c>
      <c r="DE246" s="592">
        <f>IF(D246="Sim",HLOOKUP($DH$5,Parametrização!$G$2:$H$4,2,FALSE),0)</f>
        <v>0</v>
      </c>
      <c r="DF246" s="102">
        <f t="shared" si="1186"/>
        <v>0</v>
      </c>
      <c r="DG246" s="592">
        <f>IF(D246="Sim",HLOOKUP($DH$5,Parametrização!$G$2:$H$4,3,FALSE),0)</f>
        <v>0</v>
      </c>
      <c r="DH246" s="102">
        <f t="shared" si="1187"/>
        <v>0</v>
      </c>
      <c r="DI246" s="102">
        <f t="shared" si="1188"/>
        <v>0</v>
      </c>
      <c r="DK246" s="3" t="str">
        <f t="shared" si="1169"/>
        <v>NA</v>
      </c>
      <c r="DL246" s="2" t="str">
        <f t="shared" si="1170"/>
        <v>NA</v>
      </c>
      <c r="DM246" s="3" t="str">
        <f t="shared" si="1171"/>
        <v>NA</v>
      </c>
      <c r="DN246" s="9" t="str">
        <f t="shared" si="1172"/>
        <v>NA</v>
      </c>
      <c r="DO246" s="637" t="str">
        <f t="shared" si="1173"/>
        <v>NA</v>
      </c>
      <c r="DP246" s="637"/>
      <c r="DQ246" s="3" t="str">
        <f t="shared" si="1174"/>
        <v>NA</v>
      </c>
      <c r="DR246" s="2" t="str">
        <f t="shared" si="1175"/>
        <v>NA</v>
      </c>
      <c r="DS246" s="3" t="str">
        <f t="shared" si="1176"/>
        <v>NA</v>
      </c>
      <c r="DT246" s="9" t="str">
        <f t="shared" si="1189"/>
        <v>NA</v>
      </c>
      <c r="DU246" s="637" t="str">
        <f t="shared" si="1190"/>
        <v>NA</v>
      </c>
      <c r="DV246" s="637"/>
      <c r="DW246" s="682"/>
      <c r="DX246" s="682"/>
      <c r="DY246" s="682"/>
      <c r="DZ246" s="637"/>
      <c r="EA246" s="643"/>
    </row>
    <row r="247" spans="1:131" s="355" customFormat="1" ht="20.100000000000001" customHeight="1" outlineLevel="1" x14ac:dyDescent="0.25">
      <c r="A247" s="356"/>
      <c r="B247" s="355" t="s">
        <v>268</v>
      </c>
      <c r="C247" s="355" t="str">
        <f t="shared" si="1177"/>
        <v>Consumo</v>
      </c>
      <c r="D247" s="355" t="s">
        <v>53</v>
      </c>
      <c r="E247" s="18" t="s">
        <v>38</v>
      </c>
      <c r="F247" s="355" t="s">
        <v>53</v>
      </c>
      <c r="G247" s="357" t="str">
        <f t="shared" si="1178"/>
        <v>Geral</v>
      </c>
      <c r="H247" s="255" t="s">
        <v>377</v>
      </c>
      <c r="I247" s="356" t="str">
        <f t="shared" si="1112"/>
        <v>Sistema</v>
      </c>
      <c r="K247" s="318" t="s">
        <v>3000</v>
      </c>
      <c r="L247" s="749" t="str">
        <f>IF(Padrões!JF188&lt;&gt;"",Padrões!JF188,"")</f>
        <v/>
      </c>
      <c r="M247" s="358" t="str">
        <f t="shared" si="1113"/>
        <v>?</v>
      </c>
      <c r="N247" s="359">
        <f>Padrões!JI188</f>
        <v>0</v>
      </c>
      <c r="O247" s="381" t="str">
        <f t="shared" si="1114"/>
        <v>?</v>
      </c>
      <c r="P247" s="360">
        <f t="shared" si="1115"/>
        <v>0.12</v>
      </c>
      <c r="Q247" s="360" t="str">
        <f t="shared" si="1116"/>
        <v>?</v>
      </c>
      <c r="R247" s="360">
        <f t="shared" si="1117"/>
        <v>0</v>
      </c>
      <c r="S247" s="361">
        <f t="shared" si="1118"/>
        <v>0</v>
      </c>
      <c r="T247" s="362">
        <f t="shared" si="1119"/>
        <v>0</v>
      </c>
      <c r="U247" s="53" t="str" cm="1">
        <f t="array" ref="U247">IFERROR(IF(I247&lt;&gt;"Serviço",IF(AND(mlookup(tbl_DIFAL_data,UFdestino,tbl_DIFAL_UF,O247,tbl_DIFAL_NCM)&lt;&gt;"",C247="Consumo"),"Sim",""),""),"?")</f>
        <v>?</v>
      </c>
      <c r="V247" s="363" t="str">
        <f>IFERROR(IF(I247&lt;&gt;"Serviço",IF(AND(D247="Não",mlookup(tbl_ST_data,UFdestino,tbl_ST_UF,O247,tbl_ST_NCM)&lt;&gt;"",C247="Revenda",CD247="Não"),"Sim",""),""),"?")</f>
        <v>?</v>
      </c>
      <c r="W247" s="364">
        <f t="shared" si="1120"/>
        <v>0</v>
      </c>
      <c r="X247" s="365">
        <f>IF(V247="Sim",mlookup(tbl_ST_data,UFdestino,tbl_ST_UF,O247,tbl_ST_NCM),0)</f>
        <v>0</v>
      </c>
      <c r="Z247" s="355">
        <f t="shared" si="1121"/>
        <v>0</v>
      </c>
      <c r="AA247" s="355">
        <f t="shared" si="1191"/>
        <v>0</v>
      </c>
      <c r="AC247" s="366">
        <f t="shared" si="1179"/>
        <v>1.31243473968765E-2</v>
      </c>
      <c r="AD247" s="366">
        <f t="shared" si="1122"/>
        <v>0.15</v>
      </c>
      <c r="AF247" s="355">
        <f t="shared" si="1123"/>
        <v>0</v>
      </c>
      <c r="AG247" s="355">
        <f t="shared" si="1124"/>
        <v>0</v>
      </c>
      <c r="AI247" s="355">
        <f t="shared" si="1125"/>
        <v>0</v>
      </c>
      <c r="AK247" s="366">
        <f t="shared" si="1180"/>
        <v>0</v>
      </c>
      <c r="AL247" s="355">
        <f t="shared" si="1192"/>
        <v>0</v>
      </c>
      <c r="AM247" s="355">
        <f t="shared" si="1193"/>
        <v>0</v>
      </c>
      <c r="AO247" s="355" t="b">
        <f t="shared" si="1126"/>
        <v>1</v>
      </c>
      <c r="AQ247" s="367">
        <f t="shared" si="1127"/>
        <v>0</v>
      </c>
      <c r="AR247" s="367">
        <f t="shared" si="1194"/>
        <v>0</v>
      </c>
      <c r="AT247" s="367">
        <f t="shared" si="1128"/>
        <v>0</v>
      </c>
      <c r="AU247" s="367">
        <f t="shared" si="1129"/>
        <v>0</v>
      </c>
      <c r="AW247" s="367">
        <f t="shared" si="1130"/>
        <v>0</v>
      </c>
      <c r="AX247" s="367">
        <f t="shared" si="1131"/>
        <v>0</v>
      </c>
      <c r="AY247" s="367">
        <f t="shared" si="1132"/>
        <v>0</v>
      </c>
      <c r="AZ247" s="367">
        <f t="shared" si="1133"/>
        <v>0</v>
      </c>
      <c r="BB247" s="355">
        <f t="shared" si="1134"/>
        <v>0</v>
      </c>
      <c r="BC247" s="355">
        <f t="shared" si="1135"/>
        <v>0</v>
      </c>
      <c r="BD247" s="355">
        <f t="shared" si="1136"/>
        <v>0</v>
      </c>
      <c r="BE247" s="355">
        <f t="shared" si="1137"/>
        <v>0</v>
      </c>
      <c r="BF247" s="355">
        <f t="shared" si="1138"/>
        <v>0</v>
      </c>
      <c r="BH247" s="368">
        <f t="shared" si="1139"/>
        <v>0</v>
      </c>
      <c r="BJ247" s="369">
        <f t="shared" si="1140"/>
        <v>-0.12</v>
      </c>
      <c r="BK247" s="355">
        <f t="shared" si="1141"/>
        <v>0</v>
      </c>
      <c r="BL247" s="355">
        <f t="shared" si="1142"/>
        <v>0</v>
      </c>
      <c r="BN247" s="366">
        <f t="shared" si="1143"/>
        <v>0</v>
      </c>
      <c r="BO247" s="355">
        <f t="shared" si="1144"/>
        <v>0</v>
      </c>
      <c r="BP247" s="355">
        <f t="shared" si="1145"/>
        <v>0</v>
      </c>
      <c r="BQ247" s="355">
        <f t="shared" si="1146"/>
        <v>0</v>
      </c>
      <c r="BS247" s="367">
        <f t="shared" si="1147"/>
        <v>0</v>
      </c>
      <c r="BT247" s="355">
        <f t="shared" si="1148"/>
        <v>0</v>
      </c>
      <c r="BU247" s="355" t="b">
        <f t="shared" si="1195"/>
        <v>1</v>
      </c>
      <c r="BW247" s="355" t="str">
        <f t="shared" si="1149"/>
        <v/>
      </c>
      <c r="BX247" s="355">
        <f t="shared" si="1150"/>
        <v>0</v>
      </c>
      <c r="BY247" s="356">
        <f t="shared" si="1181"/>
        <v>0</v>
      </c>
      <c r="BZ247" s="355">
        <f t="shared" si="1151"/>
        <v>0</v>
      </c>
      <c r="CB247" s="102" t="str">
        <f t="shared" si="1152"/>
        <v>?</v>
      </c>
      <c r="CD247" s="355" t="str">
        <f t="shared" si="1153"/>
        <v>Não</v>
      </c>
      <c r="CE247" s="368">
        <f>ifzero(mlookup(tbl_ICMSinterest_data,UFdestino,tbl_ICMSinterest_ufdest,UForigem,tbl_ICMSinterest_uforig))</f>
        <v>0.12</v>
      </c>
      <c r="CF247" s="368">
        <f>IF(N247&gt;0,IF(I247&lt;&gt;"Serviço",ifzero(mlookup(tbl_ICMSinterno_data,UForigem,tbl_ICMSinterno_UF,O247,tbl_ICMSinterno_NCM),mlookup(tbl_ICMSinterest_data,UForigem,tbl_ICMSinterest_ufdest,UForigem,tbl_ICMSinterest_uforig)),""),0)</f>
        <v>0</v>
      </c>
      <c r="CG247" s="368">
        <f>IF(N247&gt;0,IF(I247&lt;&gt;"Serviço",ifzero(mlookup(tbl_ICMSinterno_data,UFdestino,tbl_ICMSinterno_UF,O247,tbl_ICMSinterno_NCM),mlookup(tbl_ICMSinterest_data,UFdestino,tbl_ICMSinterest_ufdest,UFdestino,tbl_ICMSinterest_uforig)),""),0)</f>
        <v>0</v>
      </c>
      <c r="CI247" s="355">
        <f t="shared" si="1154"/>
        <v>0</v>
      </c>
      <c r="CJ247" s="355">
        <f t="shared" si="1155"/>
        <v>0</v>
      </c>
      <c r="CK247" s="355">
        <f t="shared" si="1156"/>
        <v>0</v>
      </c>
      <c r="CL247" s="355">
        <f t="shared" si="1157"/>
        <v>0</v>
      </c>
      <c r="CN247" s="370">
        <f t="shared" si="1158"/>
        <v>1540</v>
      </c>
      <c r="CO247" s="355">
        <f t="shared" si="1159"/>
        <v>0</v>
      </c>
      <c r="CQ247" s="355" t="b">
        <f t="shared" si="1160"/>
        <v>0</v>
      </c>
      <c r="CR247" s="355" t="b">
        <f t="shared" si="1161"/>
        <v>1</v>
      </c>
      <c r="CS247" s="355" t="b">
        <f t="shared" si="1162"/>
        <v>0</v>
      </c>
      <c r="CU247" s="2">
        <f t="shared" si="1163"/>
        <v>0</v>
      </c>
      <c r="CV247" s="102">
        <f t="shared" si="1164"/>
        <v>0</v>
      </c>
      <c r="CW247" s="102">
        <f t="shared" si="1182"/>
        <v>0</v>
      </c>
      <c r="CX247" s="102">
        <f t="shared" si="1165"/>
        <v>0</v>
      </c>
      <c r="CY247" s="290">
        <f t="shared" si="1166"/>
        <v>0</v>
      </c>
      <c r="CZ247" s="102">
        <f t="shared" si="1184"/>
        <v>0</v>
      </c>
      <c r="DA247" s="290">
        <f t="shared" si="1167"/>
        <v>0</v>
      </c>
      <c r="DB247" s="102">
        <f t="shared" si="1185"/>
        <v>0</v>
      </c>
      <c r="DC247" s="290">
        <f t="shared" si="1168"/>
        <v>0</v>
      </c>
      <c r="DD247" s="102">
        <f t="shared" si="1183"/>
        <v>0</v>
      </c>
      <c r="DE247" s="592">
        <f>IF(D247="Sim",HLOOKUP($DH$5,Parametrização!$G$2:$H$4,2,FALSE),0)</f>
        <v>0</v>
      </c>
      <c r="DF247" s="102">
        <f t="shared" si="1186"/>
        <v>0</v>
      </c>
      <c r="DG247" s="592">
        <f>IF(D247="Sim",HLOOKUP($DH$5,Parametrização!$G$2:$H$4,3,FALSE),0)</f>
        <v>0</v>
      </c>
      <c r="DH247" s="102">
        <f t="shared" si="1187"/>
        <v>0</v>
      </c>
      <c r="DI247" s="102">
        <f t="shared" si="1188"/>
        <v>0</v>
      </c>
      <c r="DK247" s="3" t="str">
        <f t="shared" si="1169"/>
        <v>NA</v>
      </c>
      <c r="DL247" s="2" t="str">
        <f t="shared" si="1170"/>
        <v>NA</v>
      </c>
      <c r="DM247" s="3" t="str">
        <f t="shared" si="1171"/>
        <v>NA</v>
      </c>
      <c r="DN247" s="9" t="str">
        <f t="shared" si="1172"/>
        <v>NA</v>
      </c>
      <c r="DO247" s="637" t="str">
        <f t="shared" si="1173"/>
        <v>NA</v>
      </c>
      <c r="DP247" s="637"/>
      <c r="DQ247" s="3" t="str">
        <f t="shared" si="1174"/>
        <v>NA</v>
      </c>
      <c r="DR247" s="2" t="str">
        <f t="shared" si="1175"/>
        <v>NA</v>
      </c>
      <c r="DS247" s="3" t="str">
        <f t="shared" si="1176"/>
        <v>NA</v>
      </c>
      <c r="DT247" s="9" t="str">
        <f t="shared" si="1189"/>
        <v>NA</v>
      </c>
      <c r="DU247" s="637" t="str">
        <f t="shared" si="1190"/>
        <v>NA</v>
      </c>
      <c r="DV247" s="637"/>
      <c r="DW247" s="682"/>
      <c r="DX247" s="682"/>
      <c r="DY247" s="682"/>
      <c r="DZ247" s="637"/>
      <c r="EA247" s="643"/>
    </row>
    <row r="248" spans="1:131" s="355" customFormat="1" ht="20.100000000000001" customHeight="1" outlineLevel="1" x14ac:dyDescent="0.25">
      <c r="A248" s="356"/>
      <c r="B248" s="355" t="s">
        <v>268</v>
      </c>
      <c r="C248" s="355" t="str">
        <f t="shared" si="1177"/>
        <v>Consumo</v>
      </c>
      <c r="D248" s="355" t="s">
        <v>53</v>
      </c>
      <c r="E248" s="18" t="s">
        <v>38</v>
      </c>
      <c r="F248" s="355" t="s">
        <v>53</v>
      </c>
      <c r="G248" s="357" t="str">
        <f t="shared" si="1178"/>
        <v>Geral</v>
      </c>
      <c r="H248" s="255" t="s">
        <v>377</v>
      </c>
      <c r="I248" s="356" t="str">
        <f t="shared" si="1112"/>
        <v>Sistema</v>
      </c>
      <c r="K248" s="318" t="s">
        <v>3001</v>
      </c>
      <c r="L248" s="749" t="str">
        <f>IF(Padrões!JF189&lt;&gt;"",Padrões!JF189,"")</f>
        <v/>
      </c>
      <c r="M248" s="358" t="str">
        <f t="shared" si="1113"/>
        <v>?</v>
      </c>
      <c r="N248" s="359">
        <f>Padrões!JI189</f>
        <v>0</v>
      </c>
      <c r="O248" s="381" t="str">
        <f t="shared" si="1114"/>
        <v>?</v>
      </c>
      <c r="P248" s="360">
        <f t="shared" si="1115"/>
        <v>0.12</v>
      </c>
      <c r="Q248" s="360" t="str">
        <f t="shared" si="1116"/>
        <v>?</v>
      </c>
      <c r="R248" s="360">
        <f t="shared" si="1117"/>
        <v>0</v>
      </c>
      <c r="S248" s="361">
        <f t="shared" si="1118"/>
        <v>0</v>
      </c>
      <c r="T248" s="362">
        <f t="shared" si="1119"/>
        <v>0</v>
      </c>
      <c r="U248" s="53" t="str" cm="1">
        <f t="array" ref="U248">IFERROR(IF(I248&lt;&gt;"Serviço",IF(AND(mlookup(tbl_DIFAL_data,UFdestino,tbl_DIFAL_UF,O248,tbl_DIFAL_NCM)&lt;&gt;"",C248="Consumo"),"Sim",""),""),"?")</f>
        <v>?</v>
      </c>
      <c r="V248" s="363" t="str">
        <f>IFERROR(IF(I248&lt;&gt;"Serviço",IF(AND(D248="Não",mlookup(tbl_ST_data,UFdestino,tbl_ST_UF,O248,tbl_ST_NCM)&lt;&gt;"",C248="Revenda",CD248="Não"),"Sim",""),""),"?")</f>
        <v>?</v>
      </c>
      <c r="W248" s="364">
        <f t="shared" si="1120"/>
        <v>0</v>
      </c>
      <c r="X248" s="365">
        <f>IF(V248="Sim",mlookup(tbl_ST_data,UFdestino,tbl_ST_UF,O248,tbl_ST_NCM),0)</f>
        <v>0</v>
      </c>
      <c r="Z248" s="355">
        <f t="shared" si="1121"/>
        <v>0</v>
      </c>
      <c r="AA248" s="355">
        <f t="shared" si="1191"/>
        <v>0</v>
      </c>
      <c r="AC248" s="366">
        <f t="shared" si="1179"/>
        <v>1.31243473968765E-2</v>
      </c>
      <c r="AD248" s="366">
        <f t="shared" si="1122"/>
        <v>0.15</v>
      </c>
      <c r="AF248" s="355">
        <f t="shared" si="1123"/>
        <v>0</v>
      </c>
      <c r="AG248" s="355">
        <f t="shared" si="1124"/>
        <v>0</v>
      </c>
      <c r="AI248" s="355">
        <f t="shared" si="1125"/>
        <v>0</v>
      </c>
      <c r="AK248" s="366">
        <f t="shared" si="1180"/>
        <v>0</v>
      </c>
      <c r="AL248" s="355">
        <f t="shared" si="1192"/>
        <v>0</v>
      </c>
      <c r="AM248" s="355">
        <f t="shared" si="1193"/>
        <v>0</v>
      </c>
      <c r="AO248" s="355" t="b">
        <f t="shared" si="1126"/>
        <v>1</v>
      </c>
      <c r="AQ248" s="367">
        <f t="shared" si="1127"/>
        <v>0</v>
      </c>
      <c r="AR248" s="367">
        <f t="shared" si="1194"/>
        <v>0</v>
      </c>
      <c r="AT248" s="367">
        <f t="shared" si="1128"/>
        <v>0</v>
      </c>
      <c r="AU248" s="367">
        <f t="shared" si="1129"/>
        <v>0</v>
      </c>
      <c r="AW248" s="367">
        <f t="shared" si="1130"/>
        <v>0</v>
      </c>
      <c r="AX248" s="367">
        <f t="shared" si="1131"/>
        <v>0</v>
      </c>
      <c r="AY248" s="367">
        <f t="shared" si="1132"/>
        <v>0</v>
      </c>
      <c r="AZ248" s="367">
        <f t="shared" si="1133"/>
        <v>0</v>
      </c>
      <c r="BB248" s="355">
        <f t="shared" si="1134"/>
        <v>0</v>
      </c>
      <c r="BC248" s="355">
        <f t="shared" si="1135"/>
        <v>0</v>
      </c>
      <c r="BD248" s="355">
        <f t="shared" si="1136"/>
        <v>0</v>
      </c>
      <c r="BE248" s="355">
        <f t="shared" si="1137"/>
        <v>0</v>
      </c>
      <c r="BF248" s="355">
        <f t="shared" si="1138"/>
        <v>0</v>
      </c>
      <c r="BH248" s="368">
        <f t="shared" si="1139"/>
        <v>0</v>
      </c>
      <c r="BJ248" s="369">
        <f t="shared" si="1140"/>
        <v>-0.12</v>
      </c>
      <c r="BK248" s="355">
        <f t="shared" si="1141"/>
        <v>0</v>
      </c>
      <c r="BL248" s="355">
        <f t="shared" si="1142"/>
        <v>0</v>
      </c>
      <c r="BN248" s="366">
        <f t="shared" si="1143"/>
        <v>0</v>
      </c>
      <c r="BO248" s="355">
        <f t="shared" si="1144"/>
        <v>0</v>
      </c>
      <c r="BP248" s="355">
        <f t="shared" si="1145"/>
        <v>0</v>
      </c>
      <c r="BQ248" s="355">
        <f t="shared" si="1146"/>
        <v>0</v>
      </c>
      <c r="BS248" s="367">
        <f t="shared" si="1147"/>
        <v>0</v>
      </c>
      <c r="BT248" s="355">
        <f t="shared" si="1148"/>
        <v>0</v>
      </c>
      <c r="BU248" s="355" t="b">
        <f t="shared" si="1195"/>
        <v>1</v>
      </c>
      <c r="BW248" s="355" t="str">
        <f t="shared" si="1149"/>
        <v/>
      </c>
      <c r="BX248" s="355">
        <f t="shared" si="1150"/>
        <v>0</v>
      </c>
      <c r="BY248" s="356">
        <f t="shared" si="1181"/>
        <v>0</v>
      </c>
      <c r="BZ248" s="355">
        <f t="shared" si="1151"/>
        <v>0</v>
      </c>
      <c r="CB248" s="102" t="str">
        <f t="shared" si="1152"/>
        <v>?</v>
      </c>
      <c r="CD248" s="355" t="str">
        <f t="shared" si="1153"/>
        <v>Não</v>
      </c>
      <c r="CE248" s="368">
        <f>ifzero(mlookup(tbl_ICMSinterest_data,UFdestino,tbl_ICMSinterest_ufdest,UForigem,tbl_ICMSinterest_uforig))</f>
        <v>0.12</v>
      </c>
      <c r="CF248" s="368">
        <f>IF(N248&gt;0,IF(I248&lt;&gt;"Serviço",ifzero(mlookup(tbl_ICMSinterno_data,UForigem,tbl_ICMSinterno_UF,O248,tbl_ICMSinterno_NCM),mlookup(tbl_ICMSinterest_data,UForigem,tbl_ICMSinterest_ufdest,UForigem,tbl_ICMSinterest_uforig)),""),0)</f>
        <v>0</v>
      </c>
      <c r="CG248" s="368">
        <f>IF(N248&gt;0,IF(I248&lt;&gt;"Serviço",ifzero(mlookup(tbl_ICMSinterno_data,UFdestino,tbl_ICMSinterno_UF,O248,tbl_ICMSinterno_NCM),mlookup(tbl_ICMSinterest_data,UFdestino,tbl_ICMSinterest_ufdest,UFdestino,tbl_ICMSinterest_uforig)),""),0)</f>
        <v>0</v>
      </c>
      <c r="CI248" s="355">
        <f t="shared" si="1154"/>
        <v>0</v>
      </c>
      <c r="CJ248" s="355">
        <f t="shared" si="1155"/>
        <v>0</v>
      </c>
      <c r="CK248" s="355">
        <f t="shared" si="1156"/>
        <v>0</v>
      </c>
      <c r="CL248" s="355">
        <f t="shared" si="1157"/>
        <v>0</v>
      </c>
      <c r="CN248" s="370">
        <f t="shared" si="1158"/>
        <v>1540</v>
      </c>
      <c r="CO248" s="355">
        <f t="shared" si="1159"/>
        <v>0</v>
      </c>
      <c r="CQ248" s="355" t="b">
        <f t="shared" si="1160"/>
        <v>0</v>
      </c>
      <c r="CR248" s="355" t="b">
        <f t="shared" si="1161"/>
        <v>1</v>
      </c>
      <c r="CS248" s="355" t="b">
        <f t="shared" si="1162"/>
        <v>0</v>
      </c>
      <c r="CU248" s="2">
        <f t="shared" si="1163"/>
        <v>0</v>
      </c>
      <c r="CV248" s="102">
        <f t="shared" si="1164"/>
        <v>0</v>
      </c>
      <c r="CW248" s="102">
        <f t="shared" si="1182"/>
        <v>0</v>
      </c>
      <c r="CX248" s="102">
        <f t="shared" si="1165"/>
        <v>0</v>
      </c>
      <c r="CY248" s="290">
        <f t="shared" si="1166"/>
        <v>0</v>
      </c>
      <c r="CZ248" s="102">
        <f t="shared" si="1184"/>
        <v>0</v>
      </c>
      <c r="DA248" s="290">
        <f t="shared" si="1167"/>
        <v>0</v>
      </c>
      <c r="DB248" s="102">
        <f t="shared" si="1185"/>
        <v>0</v>
      </c>
      <c r="DC248" s="290">
        <f t="shared" si="1168"/>
        <v>0</v>
      </c>
      <c r="DD248" s="102">
        <f t="shared" si="1183"/>
        <v>0</v>
      </c>
      <c r="DE248" s="592">
        <f>IF(D248="Sim",HLOOKUP($DH$5,Parametrização!$G$2:$H$4,2,FALSE),0)</f>
        <v>0</v>
      </c>
      <c r="DF248" s="102">
        <f t="shared" si="1186"/>
        <v>0</v>
      </c>
      <c r="DG248" s="592">
        <f>IF(D248="Sim",HLOOKUP($DH$5,Parametrização!$G$2:$H$4,3,FALSE),0)</f>
        <v>0</v>
      </c>
      <c r="DH248" s="102">
        <f t="shared" si="1187"/>
        <v>0</v>
      </c>
      <c r="DI248" s="102">
        <f t="shared" si="1188"/>
        <v>0</v>
      </c>
      <c r="DK248" s="3" t="str">
        <f t="shared" si="1169"/>
        <v>NA</v>
      </c>
      <c r="DL248" s="2" t="str">
        <f t="shared" si="1170"/>
        <v>NA</v>
      </c>
      <c r="DM248" s="3" t="str">
        <f t="shared" si="1171"/>
        <v>NA</v>
      </c>
      <c r="DN248" s="9" t="str">
        <f t="shared" si="1172"/>
        <v>NA</v>
      </c>
      <c r="DO248" s="637" t="str">
        <f t="shared" si="1173"/>
        <v>NA</v>
      </c>
      <c r="DP248" s="637"/>
      <c r="DQ248" s="3" t="str">
        <f t="shared" si="1174"/>
        <v>NA</v>
      </c>
      <c r="DR248" s="2" t="str">
        <f t="shared" si="1175"/>
        <v>NA</v>
      </c>
      <c r="DS248" s="3" t="str">
        <f t="shared" si="1176"/>
        <v>NA</v>
      </c>
      <c r="DT248" s="9" t="str">
        <f t="shared" si="1189"/>
        <v>NA</v>
      </c>
      <c r="DU248" s="637" t="str">
        <f t="shared" si="1190"/>
        <v>NA</v>
      </c>
      <c r="DV248" s="637"/>
      <c r="DW248" s="682"/>
      <c r="DX248" s="682"/>
      <c r="DY248" s="682"/>
      <c r="DZ248" s="637"/>
      <c r="EA248" s="643"/>
    </row>
    <row r="249" spans="1:131" s="355" customFormat="1" ht="20.100000000000001" customHeight="1" outlineLevel="1" x14ac:dyDescent="0.25">
      <c r="A249" s="356"/>
      <c r="B249" s="355" t="s">
        <v>268</v>
      </c>
      <c r="C249" s="355" t="str">
        <f t="shared" si="1177"/>
        <v>Consumo</v>
      </c>
      <c r="D249" s="355" t="s">
        <v>53</v>
      </c>
      <c r="E249" s="18" t="s">
        <v>38</v>
      </c>
      <c r="F249" s="355" t="s">
        <v>53</v>
      </c>
      <c r="G249" s="357" t="str">
        <f t="shared" si="1178"/>
        <v>Geral</v>
      </c>
      <c r="H249" s="255" t="s">
        <v>377</v>
      </c>
      <c r="I249" s="356" t="str">
        <f t="shared" si="1112"/>
        <v>Sistema</v>
      </c>
      <c r="K249" s="318" t="s">
        <v>3002</v>
      </c>
      <c r="L249" s="749" t="str">
        <f>IF(Padrões!JF190&lt;&gt;"",Padrões!JF190,"")</f>
        <v/>
      </c>
      <c r="M249" s="358" t="str">
        <f t="shared" si="1113"/>
        <v>?</v>
      </c>
      <c r="N249" s="359">
        <f>Padrões!JI190</f>
        <v>0</v>
      </c>
      <c r="O249" s="381" t="str">
        <f t="shared" si="1114"/>
        <v>?</v>
      </c>
      <c r="P249" s="360">
        <f t="shared" si="1115"/>
        <v>0.12</v>
      </c>
      <c r="Q249" s="360" t="str">
        <f t="shared" si="1116"/>
        <v>?</v>
      </c>
      <c r="R249" s="360">
        <f t="shared" si="1117"/>
        <v>0</v>
      </c>
      <c r="S249" s="361">
        <f t="shared" si="1118"/>
        <v>0</v>
      </c>
      <c r="T249" s="362">
        <f t="shared" si="1119"/>
        <v>0</v>
      </c>
      <c r="U249" s="53" t="str" cm="1">
        <f t="array" ref="U249">IFERROR(IF(I249&lt;&gt;"Serviço",IF(AND(mlookup(tbl_DIFAL_data,UFdestino,tbl_DIFAL_UF,O249,tbl_DIFAL_NCM)&lt;&gt;"",C249="Consumo"),"Sim",""),""),"?")</f>
        <v>?</v>
      </c>
      <c r="V249" s="363" t="str">
        <f>IFERROR(IF(I249&lt;&gt;"Serviço",IF(AND(D249="Não",mlookup(tbl_ST_data,UFdestino,tbl_ST_UF,O249,tbl_ST_NCM)&lt;&gt;"",C249="Revenda",CD249="Não"),"Sim",""),""),"?")</f>
        <v>?</v>
      </c>
      <c r="W249" s="364">
        <f t="shared" si="1120"/>
        <v>0</v>
      </c>
      <c r="X249" s="365">
        <f>IF(V249="Sim",mlookup(tbl_ST_data,UFdestino,tbl_ST_UF,O249,tbl_ST_NCM),0)</f>
        <v>0</v>
      </c>
      <c r="Z249" s="355">
        <f t="shared" si="1121"/>
        <v>0</v>
      </c>
      <c r="AA249" s="355">
        <f t="shared" si="1191"/>
        <v>0</v>
      </c>
      <c r="AC249" s="366">
        <f t="shared" si="1179"/>
        <v>1.31243473968765E-2</v>
      </c>
      <c r="AD249" s="366">
        <f t="shared" si="1122"/>
        <v>0.15</v>
      </c>
      <c r="AF249" s="355">
        <f t="shared" si="1123"/>
        <v>0</v>
      </c>
      <c r="AG249" s="355">
        <f t="shared" si="1124"/>
        <v>0</v>
      </c>
      <c r="AI249" s="355">
        <f t="shared" si="1125"/>
        <v>0</v>
      </c>
      <c r="AK249" s="366">
        <f t="shared" si="1180"/>
        <v>0</v>
      </c>
      <c r="AL249" s="355">
        <f t="shared" si="1192"/>
        <v>0</v>
      </c>
      <c r="AM249" s="355">
        <f t="shared" si="1193"/>
        <v>0</v>
      </c>
      <c r="AO249" s="355" t="b">
        <f t="shared" si="1126"/>
        <v>1</v>
      </c>
      <c r="AQ249" s="367">
        <f t="shared" si="1127"/>
        <v>0</v>
      </c>
      <c r="AR249" s="367">
        <f t="shared" si="1194"/>
        <v>0</v>
      </c>
      <c r="AT249" s="367">
        <f t="shared" si="1128"/>
        <v>0</v>
      </c>
      <c r="AU249" s="367">
        <f t="shared" si="1129"/>
        <v>0</v>
      </c>
      <c r="AW249" s="367">
        <f t="shared" si="1130"/>
        <v>0</v>
      </c>
      <c r="AX249" s="367">
        <f t="shared" si="1131"/>
        <v>0</v>
      </c>
      <c r="AY249" s="367">
        <f t="shared" si="1132"/>
        <v>0</v>
      </c>
      <c r="AZ249" s="367">
        <f t="shared" si="1133"/>
        <v>0</v>
      </c>
      <c r="BB249" s="355">
        <f t="shared" si="1134"/>
        <v>0</v>
      </c>
      <c r="BC249" s="355">
        <f t="shared" si="1135"/>
        <v>0</v>
      </c>
      <c r="BD249" s="355">
        <f t="shared" si="1136"/>
        <v>0</v>
      </c>
      <c r="BE249" s="355">
        <f t="shared" si="1137"/>
        <v>0</v>
      </c>
      <c r="BF249" s="355">
        <f t="shared" si="1138"/>
        <v>0</v>
      </c>
      <c r="BH249" s="368">
        <f t="shared" si="1139"/>
        <v>0</v>
      </c>
      <c r="BJ249" s="369">
        <f t="shared" si="1140"/>
        <v>-0.12</v>
      </c>
      <c r="BK249" s="355">
        <f t="shared" si="1141"/>
        <v>0</v>
      </c>
      <c r="BL249" s="355">
        <f t="shared" si="1142"/>
        <v>0</v>
      </c>
      <c r="BN249" s="366">
        <f t="shared" si="1143"/>
        <v>0</v>
      </c>
      <c r="BO249" s="355">
        <f t="shared" si="1144"/>
        <v>0</v>
      </c>
      <c r="BP249" s="355">
        <f t="shared" si="1145"/>
        <v>0</v>
      </c>
      <c r="BQ249" s="355">
        <f t="shared" si="1146"/>
        <v>0</v>
      </c>
      <c r="BS249" s="367">
        <f t="shared" si="1147"/>
        <v>0</v>
      </c>
      <c r="BT249" s="355">
        <f t="shared" si="1148"/>
        <v>0</v>
      </c>
      <c r="BU249" s="355" t="b">
        <f t="shared" si="1195"/>
        <v>1</v>
      </c>
      <c r="BW249" s="355" t="str">
        <f t="shared" si="1149"/>
        <v/>
      </c>
      <c r="BX249" s="355">
        <f t="shared" si="1150"/>
        <v>0</v>
      </c>
      <c r="BY249" s="356">
        <f t="shared" si="1181"/>
        <v>0</v>
      </c>
      <c r="BZ249" s="355">
        <f t="shared" si="1151"/>
        <v>0</v>
      </c>
      <c r="CB249" s="102" t="str">
        <f t="shared" si="1152"/>
        <v>?</v>
      </c>
      <c r="CD249" s="355" t="str">
        <f t="shared" si="1153"/>
        <v>Não</v>
      </c>
      <c r="CE249" s="368">
        <f>ifzero(mlookup(tbl_ICMSinterest_data,UFdestino,tbl_ICMSinterest_ufdest,UForigem,tbl_ICMSinterest_uforig))</f>
        <v>0.12</v>
      </c>
      <c r="CF249" s="368">
        <f>IF(N249&gt;0,IF(I249&lt;&gt;"Serviço",ifzero(mlookup(tbl_ICMSinterno_data,UForigem,tbl_ICMSinterno_UF,O249,tbl_ICMSinterno_NCM),mlookup(tbl_ICMSinterest_data,UForigem,tbl_ICMSinterest_ufdest,UForigem,tbl_ICMSinterest_uforig)),""),0)</f>
        <v>0</v>
      </c>
      <c r="CG249" s="368">
        <f>IF(N249&gt;0,IF(I249&lt;&gt;"Serviço",ifzero(mlookup(tbl_ICMSinterno_data,UFdestino,tbl_ICMSinterno_UF,O249,tbl_ICMSinterno_NCM),mlookup(tbl_ICMSinterest_data,UFdestino,tbl_ICMSinterest_ufdest,UFdestino,tbl_ICMSinterest_uforig)),""),0)</f>
        <v>0</v>
      </c>
      <c r="CI249" s="355">
        <f t="shared" si="1154"/>
        <v>0</v>
      </c>
      <c r="CJ249" s="355">
        <f t="shared" si="1155"/>
        <v>0</v>
      </c>
      <c r="CK249" s="355">
        <f t="shared" si="1156"/>
        <v>0</v>
      </c>
      <c r="CL249" s="355">
        <f t="shared" si="1157"/>
        <v>0</v>
      </c>
      <c r="CN249" s="370">
        <f t="shared" si="1158"/>
        <v>1540</v>
      </c>
      <c r="CO249" s="355">
        <f t="shared" si="1159"/>
        <v>0</v>
      </c>
      <c r="CQ249" s="355" t="b">
        <f t="shared" si="1160"/>
        <v>0</v>
      </c>
      <c r="CR249" s="355" t="b">
        <f t="shared" si="1161"/>
        <v>1</v>
      </c>
      <c r="CS249" s="355" t="b">
        <f t="shared" si="1162"/>
        <v>0</v>
      </c>
      <c r="CU249" s="2">
        <f t="shared" si="1163"/>
        <v>0</v>
      </c>
      <c r="CV249" s="102">
        <f t="shared" si="1164"/>
        <v>0</v>
      </c>
      <c r="CW249" s="102">
        <f t="shared" si="1182"/>
        <v>0</v>
      </c>
      <c r="CX249" s="102">
        <f t="shared" si="1165"/>
        <v>0</v>
      </c>
      <c r="CY249" s="290">
        <f t="shared" si="1166"/>
        <v>0</v>
      </c>
      <c r="CZ249" s="102">
        <f t="shared" si="1184"/>
        <v>0</v>
      </c>
      <c r="DA249" s="290">
        <f t="shared" si="1167"/>
        <v>0</v>
      </c>
      <c r="DB249" s="102">
        <f t="shared" si="1185"/>
        <v>0</v>
      </c>
      <c r="DC249" s="290">
        <f t="shared" si="1168"/>
        <v>0</v>
      </c>
      <c r="DD249" s="102">
        <f t="shared" si="1183"/>
        <v>0</v>
      </c>
      <c r="DE249" s="592">
        <f>IF(D249="Sim",HLOOKUP($DH$5,Parametrização!$G$2:$H$4,2,FALSE),0)</f>
        <v>0</v>
      </c>
      <c r="DF249" s="102">
        <f t="shared" si="1186"/>
        <v>0</v>
      </c>
      <c r="DG249" s="592">
        <f>IF(D249="Sim",HLOOKUP($DH$5,Parametrização!$G$2:$H$4,3,FALSE),0)</f>
        <v>0</v>
      </c>
      <c r="DH249" s="102">
        <f t="shared" si="1187"/>
        <v>0</v>
      </c>
      <c r="DI249" s="102">
        <f t="shared" si="1188"/>
        <v>0</v>
      </c>
      <c r="DK249" s="3" t="str">
        <f t="shared" si="1169"/>
        <v>NA</v>
      </c>
      <c r="DL249" s="2" t="str">
        <f t="shared" si="1170"/>
        <v>NA</v>
      </c>
      <c r="DM249" s="3" t="str">
        <f t="shared" si="1171"/>
        <v>NA</v>
      </c>
      <c r="DN249" s="9" t="str">
        <f t="shared" si="1172"/>
        <v>NA</v>
      </c>
      <c r="DO249" s="637" t="str">
        <f t="shared" si="1173"/>
        <v>NA</v>
      </c>
      <c r="DP249" s="637"/>
      <c r="DQ249" s="3" t="str">
        <f t="shared" si="1174"/>
        <v>NA</v>
      </c>
      <c r="DR249" s="2" t="str">
        <f t="shared" si="1175"/>
        <v>NA</v>
      </c>
      <c r="DS249" s="3" t="str">
        <f t="shared" si="1176"/>
        <v>NA</v>
      </c>
      <c r="DT249" s="9" t="str">
        <f t="shared" si="1189"/>
        <v>NA</v>
      </c>
      <c r="DU249" s="637" t="str">
        <f t="shared" si="1190"/>
        <v>NA</v>
      </c>
      <c r="DV249" s="637"/>
      <c r="DW249" s="682"/>
      <c r="DX249" s="682"/>
      <c r="DY249" s="682"/>
      <c r="DZ249" s="637"/>
      <c r="EA249" s="643"/>
    </row>
    <row r="250" spans="1:131" s="355" customFormat="1" ht="20.100000000000001" customHeight="1" outlineLevel="1" x14ac:dyDescent="0.25">
      <c r="A250" s="356"/>
      <c r="B250" s="355" t="s">
        <v>268</v>
      </c>
      <c r="C250" s="355" t="str">
        <f t="shared" si="1177"/>
        <v>Consumo</v>
      </c>
      <c r="D250" s="355" t="s">
        <v>53</v>
      </c>
      <c r="E250" s="18" t="s">
        <v>38</v>
      </c>
      <c r="F250" s="355" t="s">
        <v>53</v>
      </c>
      <c r="G250" s="357" t="str">
        <f t="shared" si="1178"/>
        <v>Geral</v>
      </c>
      <c r="H250" s="255" t="s">
        <v>377</v>
      </c>
      <c r="I250" s="356" t="str">
        <f t="shared" si="1112"/>
        <v>Sistema</v>
      </c>
      <c r="K250" s="318" t="s">
        <v>3003</v>
      </c>
      <c r="L250" s="749" t="str">
        <f>IF(Padrões!JF191&lt;&gt;"",Padrões!JF191,"")</f>
        <v/>
      </c>
      <c r="M250" s="358" t="str">
        <f t="shared" si="1113"/>
        <v>?</v>
      </c>
      <c r="N250" s="359">
        <f>Padrões!JI191</f>
        <v>0</v>
      </c>
      <c r="O250" s="381" t="str">
        <f t="shared" si="1114"/>
        <v>?</v>
      </c>
      <c r="P250" s="360">
        <f t="shared" si="1115"/>
        <v>0.12</v>
      </c>
      <c r="Q250" s="360" t="str">
        <f t="shared" si="1116"/>
        <v>?</v>
      </c>
      <c r="R250" s="360">
        <f t="shared" si="1117"/>
        <v>0</v>
      </c>
      <c r="S250" s="361">
        <f t="shared" si="1118"/>
        <v>0</v>
      </c>
      <c r="T250" s="362">
        <f t="shared" si="1119"/>
        <v>0</v>
      </c>
      <c r="U250" s="53" t="str" cm="1">
        <f t="array" ref="U250">IFERROR(IF(I250&lt;&gt;"Serviço",IF(AND(mlookup(tbl_DIFAL_data,UFdestino,tbl_DIFAL_UF,O250,tbl_DIFAL_NCM)&lt;&gt;"",C250="Consumo"),"Sim",""),""),"?")</f>
        <v>?</v>
      </c>
      <c r="V250" s="363" t="str">
        <f>IFERROR(IF(I250&lt;&gt;"Serviço",IF(AND(D250="Não",mlookup(tbl_ST_data,UFdestino,tbl_ST_UF,O250,tbl_ST_NCM)&lt;&gt;"",C250="Revenda",CD250="Não"),"Sim",""),""),"?")</f>
        <v>?</v>
      </c>
      <c r="W250" s="364">
        <f t="shared" si="1120"/>
        <v>0</v>
      </c>
      <c r="X250" s="365">
        <f>IF(V250="Sim",mlookup(tbl_ST_data,UFdestino,tbl_ST_UF,O250,tbl_ST_NCM),0)</f>
        <v>0</v>
      </c>
      <c r="Z250" s="355">
        <f t="shared" si="1121"/>
        <v>0</v>
      </c>
      <c r="AA250" s="355">
        <f t="shared" si="1191"/>
        <v>0</v>
      </c>
      <c r="AC250" s="366">
        <f t="shared" si="1179"/>
        <v>1.31243473968765E-2</v>
      </c>
      <c r="AD250" s="366">
        <f t="shared" si="1122"/>
        <v>0.15</v>
      </c>
      <c r="AF250" s="355">
        <f t="shared" si="1123"/>
        <v>0</v>
      </c>
      <c r="AG250" s="355">
        <f t="shared" si="1124"/>
        <v>0</v>
      </c>
      <c r="AI250" s="355">
        <f t="shared" si="1125"/>
        <v>0</v>
      </c>
      <c r="AK250" s="366">
        <f t="shared" si="1180"/>
        <v>0</v>
      </c>
      <c r="AL250" s="355">
        <f t="shared" si="1192"/>
        <v>0</v>
      </c>
      <c r="AM250" s="355">
        <f t="shared" si="1193"/>
        <v>0</v>
      </c>
      <c r="AO250" s="355" t="b">
        <f t="shared" si="1126"/>
        <v>1</v>
      </c>
      <c r="AQ250" s="367">
        <f t="shared" si="1127"/>
        <v>0</v>
      </c>
      <c r="AR250" s="367">
        <f t="shared" si="1194"/>
        <v>0</v>
      </c>
      <c r="AT250" s="367">
        <f t="shared" si="1128"/>
        <v>0</v>
      </c>
      <c r="AU250" s="367">
        <f t="shared" si="1129"/>
        <v>0</v>
      </c>
      <c r="AW250" s="367">
        <f t="shared" si="1130"/>
        <v>0</v>
      </c>
      <c r="AX250" s="367">
        <f t="shared" si="1131"/>
        <v>0</v>
      </c>
      <c r="AY250" s="367">
        <f t="shared" si="1132"/>
        <v>0</v>
      </c>
      <c r="AZ250" s="367">
        <f t="shared" si="1133"/>
        <v>0</v>
      </c>
      <c r="BB250" s="355">
        <f t="shared" si="1134"/>
        <v>0</v>
      </c>
      <c r="BC250" s="355">
        <f t="shared" si="1135"/>
        <v>0</v>
      </c>
      <c r="BD250" s="355">
        <f t="shared" si="1136"/>
        <v>0</v>
      </c>
      <c r="BE250" s="355">
        <f t="shared" si="1137"/>
        <v>0</v>
      </c>
      <c r="BF250" s="355">
        <f t="shared" si="1138"/>
        <v>0</v>
      </c>
      <c r="BH250" s="368">
        <f t="shared" si="1139"/>
        <v>0</v>
      </c>
      <c r="BJ250" s="369">
        <f t="shared" si="1140"/>
        <v>-0.12</v>
      </c>
      <c r="BK250" s="355">
        <f t="shared" si="1141"/>
        <v>0</v>
      </c>
      <c r="BL250" s="355">
        <f t="shared" si="1142"/>
        <v>0</v>
      </c>
      <c r="BN250" s="366">
        <f t="shared" si="1143"/>
        <v>0</v>
      </c>
      <c r="BO250" s="355">
        <f t="shared" si="1144"/>
        <v>0</v>
      </c>
      <c r="BP250" s="355">
        <f t="shared" si="1145"/>
        <v>0</v>
      </c>
      <c r="BQ250" s="355">
        <f t="shared" si="1146"/>
        <v>0</v>
      </c>
      <c r="BS250" s="367">
        <f t="shared" si="1147"/>
        <v>0</v>
      </c>
      <c r="BT250" s="355">
        <f t="shared" si="1148"/>
        <v>0</v>
      </c>
      <c r="BU250" s="355" t="b">
        <f t="shared" si="1195"/>
        <v>1</v>
      </c>
      <c r="BW250" s="355" t="str">
        <f t="shared" si="1149"/>
        <v/>
      </c>
      <c r="BX250" s="355">
        <f t="shared" si="1150"/>
        <v>0</v>
      </c>
      <c r="BY250" s="356">
        <f t="shared" si="1181"/>
        <v>0</v>
      </c>
      <c r="BZ250" s="355">
        <f t="shared" si="1151"/>
        <v>0</v>
      </c>
      <c r="CB250" s="102" t="str">
        <f t="shared" si="1152"/>
        <v>?</v>
      </c>
      <c r="CD250" s="355" t="str">
        <f t="shared" si="1153"/>
        <v>Não</v>
      </c>
      <c r="CE250" s="368">
        <f>ifzero(mlookup(tbl_ICMSinterest_data,UFdestino,tbl_ICMSinterest_ufdest,UForigem,tbl_ICMSinterest_uforig))</f>
        <v>0.12</v>
      </c>
      <c r="CF250" s="368">
        <f>IF(N250&gt;0,IF(I250&lt;&gt;"Serviço",ifzero(mlookup(tbl_ICMSinterno_data,UForigem,tbl_ICMSinterno_UF,O250,tbl_ICMSinterno_NCM),mlookup(tbl_ICMSinterest_data,UForigem,tbl_ICMSinterest_ufdest,UForigem,tbl_ICMSinterest_uforig)),""),0)</f>
        <v>0</v>
      </c>
      <c r="CG250" s="368">
        <f>IF(N250&gt;0,IF(I250&lt;&gt;"Serviço",ifzero(mlookup(tbl_ICMSinterno_data,UFdestino,tbl_ICMSinterno_UF,O250,tbl_ICMSinterno_NCM),mlookup(tbl_ICMSinterest_data,UFdestino,tbl_ICMSinterest_ufdest,UFdestino,tbl_ICMSinterest_uforig)),""),0)</f>
        <v>0</v>
      </c>
      <c r="CI250" s="355">
        <f t="shared" si="1154"/>
        <v>0</v>
      </c>
      <c r="CJ250" s="355">
        <f t="shared" si="1155"/>
        <v>0</v>
      </c>
      <c r="CK250" s="355">
        <f t="shared" si="1156"/>
        <v>0</v>
      </c>
      <c r="CL250" s="355">
        <f t="shared" si="1157"/>
        <v>0</v>
      </c>
      <c r="CN250" s="370">
        <f t="shared" si="1158"/>
        <v>1540</v>
      </c>
      <c r="CO250" s="355">
        <f t="shared" si="1159"/>
        <v>0</v>
      </c>
      <c r="CQ250" s="355" t="b">
        <f t="shared" si="1160"/>
        <v>0</v>
      </c>
      <c r="CR250" s="355" t="b">
        <f t="shared" si="1161"/>
        <v>1</v>
      </c>
      <c r="CS250" s="355" t="b">
        <f t="shared" si="1162"/>
        <v>0</v>
      </c>
      <c r="CU250" s="2">
        <f t="shared" si="1163"/>
        <v>0</v>
      </c>
      <c r="CV250" s="102">
        <f t="shared" si="1164"/>
        <v>0</v>
      </c>
      <c r="CW250" s="102">
        <f t="shared" si="1182"/>
        <v>0</v>
      </c>
      <c r="CX250" s="102">
        <f t="shared" si="1165"/>
        <v>0</v>
      </c>
      <c r="CY250" s="290">
        <f t="shared" si="1166"/>
        <v>0</v>
      </c>
      <c r="CZ250" s="102">
        <f t="shared" si="1184"/>
        <v>0</v>
      </c>
      <c r="DA250" s="290">
        <f t="shared" si="1167"/>
        <v>0</v>
      </c>
      <c r="DB250" s="102">
        <f t="shared" si="1185"/>
        <v>0</v>
      </c>
      <c r="DC250" s="290">
        <f t="shared" si="1168"/>
        <v>0</v>
      </c>
      <c r="DD250" s="102">
        <f t="shared" si="1183"/>
        <v>0</v>
      </c>
      <c r="DE250" s="592">
        <f>IF(D250="Sim",HLOOKUP($DH$5,Parametrização!$G$2:$H$4,2,FALSE),0)</f>
        <v>0</v>
      </c>
      <c r="DF250" s="102">
        <f t="shared" si="1186"/>
        <v>0</v>
      </c>
      <c r="DG250" s="592">
        <f>IF(D250="Sim",HLOOKUP($DH$5,Parametrização!$G$2:$H$4,3,FALSE),0)</f>
        <v>0</v>
      </c>
      <c r="DH250" s="102">
        <f t="shared" si="1187"/>
        <v>0</v>
      </c>
      <c r="DI250" s="102">
        <f t="shared" si="1188"/>
        <v>0</v>
      </c>
      <c r="DK250" s="3" t="str">
        <f t="shared" si="1169"/>
        <v>NA</v>
      </c>
      <c r="DL250" s="2" t="str">
        <f t="shared" si="1170"/>
        <v>NA</v>
      </c>
      <c r="DM250" s="3" t="str">
        <f t="shared" si="1171"/>
        <v>NA</v>
      </c>
      <c r="DN250" s="9" t="str">
        <f t="shared" si="1172"/>
        <v>NA</v>
      </c>
      <c r="DO250" s="637" t="str">
        <f t="shared" si="1173"/>
        <v>NA</v>
      </c>
      <c r="DP250" s="637"/>
      <c r="DQ250" s="3" t="str">
        <f t="shared" si="1174"/>
        <v>NA</v>
      </c>
      <c r="DR250" s="2" t="str">
        <f t="shared" si="1175"/>
        <v>NA</v>
      </c>
      <c r="DS250" s="3" t="str">
        <f t="shared" si="1176"/>
        <v>NA</v>
      </c>
      <c r="DT250" s="9" t="str">
        <f t="shared" si="1189"/>
        <v>NA</v>
      </c>
      <c r="DU250" s="637" t="str">
        <f t="shared" si="1190"/>
        <v>NA</v>
      </c>
      <c r="DV250" s="637"/>
      <c r="DW250" s="682"/>
      <c r="DX250" s="682"/>
      <c r="DY250" s="682"/>
      <c r="DZ250" s="637"/>
      <c r="EA250" s="643"/>
    </row>
    <row r="251" spans="1:131" s="355" customFormat="1" ht="20.100000000000001" customHeight="1" outlineLevel="1" x14ac:dyDescent="0.25">
      <c r="A251" s="356"/>
      <c r="B251" s="355" t="s">
        <v>268</v>
      </c>
      <c r="C251" s="355" t="str">
        <f t="shared" si="1177"/>
        <v>Consumo</v>
      </c>
      <c r="D251" s="355" t="s">
        <v>53</v>
      </c>
      <c r="E251" s="18" t="s">
        <v>38</v>
      </c>
      <c r="F251" s="355" t="s">
        <v>53</v>
      </c>
      <c r="G251" s="357" t="str">
        <f t="shared" si="1178"/>
        <v>Geral</v>
      </c>
      <c r="H251" s="255" t="s">
        <v>377</v>
      </c>
      <c r="I251" s="356" t="str">
        <f t="shared" si="1112"/>
        <v>Sistema</v>
      </c>
      <c r="K251" s="318" t="s">
        <v>3004</v>
      </c>
      <c r="L251" s="749" t="str">
        <f>IF(Padrões!JF192&lt;&gt;"",Padrões!JF192,"")</f>
        <v/>
      </c>
      <c r="M251" s="358" t="str">
        <f t="shared" si="1113"/>
        <v>?</v>
      </c>
      <c r="N251" s="359">
        <f>Padrões!JI192</f>
        <v>0</v>
      </c>
      <c r="O251" s="381" t="str">
        <f t="shared" si="1114"/>
        <v>?</v>
      </c>
      <c r="P251" s="360">
        <f t="shared" si="1115"/>
        <v>0.12</v>
      </c>
      <c r="Q251" s="360" t="str">
        <f t="shared" si="1116"/>
        <v>?</v>
      </c>
      <c r="R251" s="360">
        <f t="shared" si="1117"/>
        <v>0</v>
      </c>
      <c r="S251" s="361">
        <f t="shared" si="1118"/>
        <v>0</v>
      </c>
      <c r="T251" s="362">
        <f t="shared" si="1119"/>
        <v>0</v>
      </c>
      <c r="U251" s="53" t="str" cm="1">
        <f t="array" ref="U251">IFERROR(IF(I251&lt;&gt;"Serviço",IF(AND(mlookup(tbl_DIFAL_data,UFdestino,tbl_DIFAL_UF,O251,tbl_DIFAL_NCM)&lt;&gt;"",C251="Consumo"),"Sim",""),""),"?")</f>
        <v>?</v>
      </c>
      <c r="V251" s="363" t="str">
        <f>IFERROR(IF(I251&lt;&gt;"Serviço",IF(AND(D251="Não",mlookup(tbl_ST_data,UFdestino,tbl_ST_UF,O251,tbl_ST_NCM)&lt;&gt;"",C251="Revenda",CD251="Não"),"Sim",""),""),"?")</f>
        <v>?</v>
      </c>
      <c r="W251" s="364">
        <f t="shared" si="1120"/>
        <v>0</v>
      </c>
      <c r="X251" s="365">
        <f>IF(V251="Sim",mlookup(tbl_ST_data,UFdestino,tbl_ST_UF,O251,tbl_ST_NCM),0)</f>
        <v>0</v>
      </c>
      <c r="Z251" s="355">
        <f t="shared" si="1121"/>
        <v>0</v>
      </c>
      <c r="AA251" s="355">
        <f t="shared" si="1191"/>
        <v>0</v>
      </c>
      <c r="AC251" s="366">
        <f t="shared" si="1179"/>
        <v>1.31243473968765E-2</v>
      </c>
      <c r="AD251" s="366">
        <f t="shared" si="1122"/>
        <v>0.15</v>
      </c>
      <c r="AF251" s="355">
        <f t="shared" si="1123"/>
        <v>0</v>
      </c>
      <c r="AG251" s="355">
        <f t="shared" si="1124"/>
        <v>0</v>
      </c>
      <c r="AI251" s="355">
        <f t="shared" si="1125"/>
        <v>0</v>
      </c>
      <c r="AK251" s="366">
        <f t="shared" si="1180"/>
        <v>0</v>
      </c>
      <c r="AL251" s="355">
        <f t="shared" si="1192"/>
        <v>0</v>
      </c>
      <c r="AM251" s="355">
        <f t="shared" si="1193"/>
        <v>0</v>
      </c>
      <c r="AO251" s="355" t="b">
        <f t="shared" si="1126"/>
        <v>1</v>
      </c>
      <c r="AQ251" s="367">
        <f t="shared" si="1127"/>
        <v>0</v>
      </c>
      <c r="AR251" s="367">
        <f t="shared" si="1194"/>
        <v>0</v>
      </c>
      <c r="AT251" s="367">
        <f t="shared" si="1128"/>
        <v>0</v>
      </c>
      <c r="AU251" s="367">
        <f t="shared" si="1129"/>
        <v>0</v>
      </c>
      <c r="AW251" s="367">
        <f t="shared" si="1130"/>
        <v>0</v>
      </c>
      <c r="AX251" s="367">
        <f t="shared" si="1131"/>
        <v>0</v>
      </c>
      <c r="AY251" s="367">
        <f t="shared" si="1132"/>
        <v>0</v>
      </c>
      <c r="AZ251" s="367">
        <f t="shared" si="1133"/>
        <v>0</v>
      </c>
      <c r="BB251" s="355">
        <f t="shared" si="1134"/>
        <v>0</v>
      </c>
      <c r="BC251" s="355">
        <f t="shared" si="1135"/>
        <v>0</v>
      </c>
      <c r="BD251" s="355">
        <f t="shared" si="1136"/>
        <v>0</v>
      </c>
      <c r="BE251" s="355">
        <f t="shared" si="1137"/>
        <v>0</v>
      </c>
      <c r="BF251" s="355">
        <f t="shared" si="1138"/>
        <v>0</v>
      </c>
      <c r="BH251" s="368">
        <f t="shared" si="1139"/>
        <v>0</v>
      </c>
      <c r="BJ251" s="369">
        <f t="shared" si="1140"/>
        <v>-0.12</v>
      </c>
      <c r="BK251" s="355">
        <f t="shared" si="1141"/>
        <v>0</v>
      </c>
      <c r="BL251" s="355">
        <f t="shared" si="1142"/>
        <v>0</v>
      </c>
      <c r="BN251" s="366">
        <f t="shared" si="1143"/>
        <v>0</v>
      </c>
      <c r="BO251" s="355">
        <f t="shared" si="1144"/>
        <v>0</v>
      </c>
      <c r="BP251" s="355">
        <f t="shared" si="1145"/>
        <v>0</v>
      </c>
      <c r="BQ251" s="355">
        <f t="shared" si="1146"/>
        <v>0</v>
      </c>
      <c r="BS251" s="367">
        <f t="shared" si="1147"/>
        <v>0</v>
      </c>
      <c r="BT251" s="355">
        <f t="shared" si="1148"/>
        <v>0</v>
      </c>
      <c r="BU251" s="355" t="b">
        <f t="shared" si="1195"/>
        <v>1</v>
      </c>
      <c r="BW251" s="355" t="str">
        <f t="shared" si="1149"/>
        <v/>
      </c>
      <c r="BX251" s="355">
        <f t="shared" si="1150"/>
        <v>0</v>
      </c>
      <c r="BY251" s="356">
        <f t="shared" si="1181"/>
        <v>0</v>
      </c>
      <c r="BZ251" s="355">
        <f t="shared" si="1151"/>
        <v>0</v>
      </c>
      <c r="CB251" s="102" t="str">
        <f t="shared" si="1152"/>
        <v>?</v>
      </c>
      <c r="CD251" s="355" t="str">
        <f t="shared" si="1153"/>
        <v>Não</v>
      </c>
      <c r="CE251" s="368">
        <f>ifzero(mlookup(tbl_ICMSinterest_data,UFdestino,tbl_ICMSinterest_ufdest,UForigem,tbl_ICMSinterest_uforig))</f>
        <v>0.12</v>
      </c>
      <c r="CF251" s="368">
        <f>IF(N251&gt;0,IF(I251&lt;&gt;"Serviço",ifzero(mlookup(tbl_ICMSinterno_data,UForigem,tbl_ICMSinterno_UF,O251,tbl_ICMSinterno_NCM),mlookup(tbl_ICMSinterest_data,UForigem,tbl_ICMSinterest_ufdest,UForigem,tbl_ICMSinterest_uforig)),""),0)</f>
        <v>0</v>
      </c>
      <c r="CG251" s="368">
        <f>IF(N251&gt;0,IF(I251&lt;&gt;"Serviço",ifzero(mlookup(tbl_ICMSinterno_data,UFdestino,tbl_ICMSinterno_UF,O251,tbl_ICMSinterno_NCM),mlookup(tbl_ICMSinterest_data,UFdestino,tbl_ICMSinterest_ufdest,UFdestino,tbl_ICMSinterest_uforig)),""),0)</f>
        <v>0</v>
      </c>
      <c r="CI251" s="355">
        <f t="shared" si="1154"/>
        <v>0</v>
      </c>
      <c r="CJ251" s="355">
        <f t="shared" si="1155"/>
        <v>0</v>
      </c>
      <c r="CK251" s="355">
        <f t="shared" si="1156"/>
        <v>0</v>
      </c>
      <c r="CL251" s="355">
        <f t="shared" si="1157"/>
        <v>0</v>
      </c>
      <c r="CN251" s="370">
        <f t="shared" si="1158"/>
        <v>1540</v>
      </c>
      <c r="CO251" s="355">
        <f t="shared" si="1159"/>
        <v>0</v>
      </c>
      <c r="CQ251" s="355" t="b">
        <f t="shared" si="1160"/>
        <v>0</v>
      </c>
      <c r="CR251" s="355" t="b">
        <f t="shared" si="1161"/>
        <v>1</v>
      </c>
      <c r="CS251" s="355" t="b">
        <f t="shared" si="1162"/>
        <v>0</v>
      </c>
      <c r="CU251" s="2">
        <f t="shared" si="1163"/>
        <v>0</v>
      </c>
      <c r="CV251" s="102">
        <f t="shared" si="1164"/>
        <v>0</v>
      </c>
      <c r="CW251" s="102">
        <f t="shared" si="1182"/>
        <v>0</v>
      </c>
      <c r="CX251" s="102">
        <f t="shared" si="1165"/>
        <v>0</v>
      </c>
      <c r="CY251" s="290">
        <f t="shared" si="1166"/>
        <v>0</v>
      </c>
      <c r="CZ251" s="102">
        <f t="shared" si="1184"/>
        <v>0</v>
      </c>
      <c r="DA251" s="290">
        <f t="shared" si="1167"/>
        <v>0</v>
      </c>
      <c r="DB251" s="102">
        <f t="shared" si="1185"/>
        <v>0</v>
      </c>
      <c r="DC251" s="290">
        <f t="shared" si="1168"/>
        <v>0</v>
      </c>
      <c r="DD251" s="102">
        <f t="shared" si="1183"/>
        <v>0</v>
      </c>
      <c r="DE251" s="592">
        <f>IF(D251="Sim",HLOOKUP($DH$5,Parametrização!$G$2:$H$4,2,FALSE),0)</f>
        <v>0</v>
      </c>
      <c r="DF251" s="102">
        <f t="shared" si="1186"/>
        <v>0</v>
      </c>
      <c r="DG251" s="592">
        <f>IF(D251="Sim",HLOOKUP($DH$5,Parametrização!$G$2:$H$4,3,FALSE),0)</f>
        <v>0</v>
      </c>
      <c r="DH251" s="102">
        <f t="shared" si="1187"/>
        <v>0</v>
      </c>
      <c r="DI251" s="102">
        <f t="shared" si="1188"/>
        <v>0</v>
      </c>
      <c r="DK251" s="3" t="str">
        <f t="shared" si="1169"/>
        <v>NA</v>
      </c>
      <c r="DL251" s="2" t="str">
        <f t="shared" si="1170"/>
        <v>NA</v>
      </c>
      <c r="DM251" s="3" t="str">
        <f t="shared" si="1171"/>
        <v>NA</v>
      </c>
      <c r="DN251" s="9" t="str">
        <f t="shared" si="1172"/>
        <v>NA</v>
      </c>
      <c r="DO251" s="637" t="str">
        <f t="shared" si="1173"/>
        <v>NA</v>
      </c>
      <c r="DP251" s="637"/>
      <c r="DQ251" s="3" t="str">
        <f t="shared" si="1174"/>
        <v>NA</v>
      </c>
      <c r="DR251" s="2" t="str">
        <f t="shared" si="1175"/>
        <v>NA</v>
      </c>
      <c r="DS251" s="3" t="str">
        <f t="shared" si="1176"/>
        <v>NA</v>
      </c>
      <c r="DT251" s="9" t="str">
        <f t="shared" si="1189"/>
        <v>NA</v>
      </c>
      <c r="DU251" s="637" t="str">
        <f t="shared" si="1190"/>
        <v>NA</v>
      </c>
      <c r="DV251" s="637"/>
      <c r="DW251" s="682"/>
      <c r="DX251" s="682"/>
      <c r="DY251" s="682"/>
      <c r="DZ251" s="637"/>
      <c r="EA251" s="643"/>
    </row>
    <row r="252" spans="1:131" s="355" customFormat="1" ht="20.100000000000001" customHeight="1" outlineLevel="1" x14ac:dyDescent="0.25">
      <c r="A252" s="356"/>
      <c r="B252" s="355" t="s">
        <v>268</v>
      </c>
      <c r="C252" s="355" t="str">
        <f t="shared" si="1177"/>
        <v>Consumo</v>
      </c>
      <c r="D252" s="355" t="s">
        <v>53</v>
      </c>
      <c r="E252" s="18" t="s">
        <v>38</v>
      </c>
      <c r="F252" s="355" t="s">
        <v>53</v>
      </c>
      <c r="G252" s="357" t="str">
        <f t="shared" si="1178"/>
        <v>Geral</v>
      </c>
      <c r="H252" s="255" t="s">
        <v>377</v>
      </c>
      <c r="I252" s="356" t="str">
        <f t="shared" si="1112"/>
        <v>Sistema</v>
      </c>
      <c r="K252" s="318" t="s">
        <v>3005</v>
      </c>
      <c r="L252" s="749" t="str">
        <f>IF(Padrões!JF193&lt;&gt;"",Padrões!JF193,"")</f>
        <v/>
      </c>
      <c r="M252" s="358" t="str">
        <f t="shared" si="1113"/>
        <v>?</v>
      </c>
      <c r="N252" s="359">
        <f>Padrões!JI193</f>
        <v>0</v>
      </c>
      <c r="O252" s="381" t="str">
        <f t="shared" si="1114"/>
        <v>?</v>
      </c>
      <c r="P252" s="360">
        <f t="shared" si="1115"/>
        <v>0.12</v>
      </c>
      <c r="Q252" s="360" t="str">
        <f t="shared" si="1116"/>
        <v>?</v>
      </c>
      <c r="R252" s="360">
        <f t="shared" si="1117"/>
        <v>0</v>
      </c>
      <c r="S252" s="361">
        <f t="shared" si="1118"/>
        <v>0</v>
      </c>
      <c r="T252" s="362">
        <f t="shared" si="1119"/>
        <v>0</v>
      </c>
      <c r="U252" s="53" t="str" cm="1">
        <f t="array" ref="U252">IFERROR(IF(I252&lt;&gt;"Serviço",IF(AND(mlookup(tbl_DIFAL_data,UFdestino,tbl_DIFAL_UF,O252,tbl_DIFAL_NCM)&lt;&gt;"",C252="Consumo"),"Sim",""),""),"?")</f>
        <v>?</v>
      </c>
      <c r="V252" s="363" t="str">
        <f>IFERROR(IF(I252&lt;&gt;"Serviço",IF(AND(D252="Não",mlookup(tbl_ST_data,UFdestino,tbl_ST_UF,O252,tbl_ST_NCM)&lt;&gt;"",C252="Revenda",CD252="Não"),"Sim",""),""),"?")</f>
        <v>?</v>
      </c>
      <c r="W252" s="364">
        <f t="shared" si="1120"/>
        <v>0</v>
      </c>
      <c r="X252" s="365">
        <f>IF(V252="Sim",mlookup(tbl_ST_data,UFdestino,tbl_ST_UF,O252,tbl_ST_NCM),0)</f>
        <v>0</v>
      </c>
      <c r="Z252" s="355">
        <f t="shared" si="1121"/>
        <v>0</v>
      </c>
      <c r="AA252" s="355">
        <f t="shared" si="1191"/>
        <v>0</v>
      </c>
      <c r="AC252" s="366">
        <f t="shared" si="1179"/>
        <v>1.31243473968765E-2</v>
      </c>
      <c r="AD252" s="366">
        <f t="shared" si="1122"/>
        <v>0.15</v>
      </c>
      <c r="AF252" s="355">
        <f t="shared" si="1123"/>
        <v>0</v>
      </c>
      <c r="AG252" s="355">
        <f t="shared" si="1124"/>
        <v>0</v>
      </c>
      <c r="AI252" s="355">
        <f t="shared" si="1125"/>
        <v>0</v>
      </c>
      <c r="AK252" s="366">
        <f t="shared" si="1180"/>
        <v>0</v>
      </c>
      <c r="AL252" s="355">
        <f t="shared" si="1192"/>
        <v>0</v>
      </c>
      <c r="AM252" s="355">
        <f t="shared" si="1193"/>
        <v>0</v>
      </c>
      <c r="AO252" s="355" t="b">
        <f t="shared" si="1126"/>
        <v>1</v>
      </c>
      <c r="AQ252" s="367">
        <f t="shared" si="1127"/>
        <v>0</v>
      </c>
      <c r="AR252" s="367">
        <f t="shared" si="1194"/>
        <v>0</v>
      </c>
      <c r="AT252" s="367">
        <f t="shared" si="1128"/>
        <v>0</v>
      </c>
      <c r="AU252" s="367">
        <f t="shared" si="1129"/>
        <v>0</v>
      </c>
      <c r="AW252" s="367">
        <f t="shared" si="1130"/>
        <v>0</v>
      </c>
      <c r="AX252" s="367">
        <f t="shared" si="1131"/>
        <v>0</v>
      </c>
      <c r="AY252" s="367">
        <f t="shared" si="1132"/>
        <v>0</v>
      </c>
      <c r="AZ252" s="367">
        <f t="shared" si="1133"/>
        <v>0</v>
      </c>
      <c r="BB252" s="355">
        <f t="shared" si="1134"/>
        <v>0</v>
      </c>
      <c r="BC252" s="355">
        <f t="shared" si="1135"/>
        <v>0</v>
      </c>
      <c r="BD252" s="355">
        <f t="shared" si="1136"/>
        <v>0</v>
      </c>
      <c r="BE252" s="355">
        <f t="shared" si="1137"/>
        <v>0</v>
      </c>
      <c r="BF252" s="355">
        <f t="shared" si="1138"/>
        <v>0</v>
      </c>
      <c r="BH252" s="368">
        <f t="shared" si="1139"/>
        <v>0</v>
      </c>
      <c r="BJ252" s="369">
        <f t="shared" si="1140"/>
        <v>-0.12</v>
      </c>
      <c r="BK252" s="355">
        <f t="shared" si="1141"/>
        <v>0</v>
      </c>
      <c r="BL252" s="355">
        <f t="shared" si="1142"/>
        <v>0</v>
      </c>
      <c r="BN252" s="366">
        <f t="shared" si="1143"/>
        <v>0</v>
      </c>
      <c r="BO252" s="355">
        <f t="shared" si="1144"/>
        <v>0</v>
      </c>
      <c r="BP252" s="355">
        <f t="shared" si="1145"/>
        <v>0</v>
      </c>
      <c r="BQ252" s="355">
        <f t="shared" si="1146"/>
        <v>0</v>
      </c>
      <c r="BS252" s="367">
        <f t="shared" si="1147"/>
        <v>0</v>
      </c>
      <c r="BT252" s="355">
        <f t="shared" si="1148"/>
        <v>0</v>
      </c>
      <c r="BU252" s="355" t="b">
        <f t="shared" si="1195"/>
        <v>1</v>
      </c>
      <c r="BW252" s="355" t="str">
        <f t="shared" si="1149"/>
        <v/>
      </c>
      <c r="BX252" s="355">
        <f t="shared" si="1150"/>
        <v>0</v>
      </c>
      <c r="BY252" s="356">
        <f t="shared" si="1181"/>
        <v>0</v>
      </c>
      <c r="BZ252" s="355">
        <f t="shared" si="1151"/>
        <v>0</v>
      </c>
      <c r="CB252" s="102" t="str">
        <f t="shared" si="1152"/>
        <v>?</v>
      </c>
      <c r="CD252" s="355" t="str">
        <f t="shared" si="1153"/>
        <v>Não</v>
      </c>
      <c r="CE252" s="368">
        <f>ifzero(mlookup(tbl_ICMSinterest_data,UFdestino,tbl_ICMSinterest_ufdest,UForigem,tbl_ICMSinterest_uforig))</f>
        <v>0.12</v>
      </c>
      <c r="CF252" s="368">
        <f>IF(N252&gt;0,IF(I252&lt;&gt;"Serviço",ifzero(mlookup(tbl_ICMSinterno_data,UForigem,tbl_ICMSinterno_UF,O252,tbl_ICMSinterno_NCM),mlookup(tbl_ICMSinterest_data,UForigem,tbl_ICMSinterest_ufdest,UForigem,tbl_ICMSinterest_uforig)),""),0)</f>
        <v>0</v>
      </c>
      <c r="CG252" s="368">
        <f>IF(N252&gt;0,IF(I252&lt;&gt;"Serviço",ifzero(mlookup(tbl_ICMSinterno_data,UFdestino,tbl_ICMSinterno_UF,O252,tbl_ICMSinterno_NCM),mlookup(tbl_ICMSinterest_data,UFdestino,tbl_ICMSinterest_ufdest,UFdestino,tbl_ICMSinterest_uforig)),""),0)</f>
        <v>0</v>
      </c>
      <c r="CI252" s="355">
        <f t="shared" si="1154"/>
        <v>0</v>
      </c>
      <c r="CJ252" s="355">
        <f t="shared" si="1155"/>
        <v>0</v>
      </c>
      <c r="CK252" s="355">
        <f t="shared" si="1156"/>
        <v>0</v>
      </c>
      <c r="CL252" s="355">
        <f t="shared" si="1157"/>
        <v>0</v>
      </c>
      <c r="CN252" s="370">
        <f t="shared" si="1158"/>
        <v>1540</v>
      </c>
      <c r="CO252" s="355">
        <f t="shared" si="1159"/>
        <v>0</v>
      </c>
      <c r="CQ252" s="355" t="b">
        <f t="shared" si="1160"/>
        <v>0</v>
      </c>
      <c r="CR252" s="355" t="b">
        <f t="shared" si="1161"/>
        <v>1</v>
      </c>
      <c r="CS252" s="355" t="b">
        <f t="shared" si="1162"/>
        <v>0</v>
      </c>
      <c r="CU252" s="2">
        <f t="shared" si="1163"/>
        <v>0</v>
      </c>
      <c r="CV252" s="102">
        <f t="shared" si="1164"/>
        <v>0</v>
      </c>
      <c r="CW252" s="102">
        <f t="shared" si="1182"/>
        <v>0</v>
      </c>
      <c r="CX252" s="102">
        <f t="shared" si="1165"/>
        <v>0</v>
      </c>
      <c r="CY252" s="290">
        <f t="shared" si="1166"/>
        <v>0</v>
      </c>
      <c r="CZ252" s="102">
        <f t="shared" si="1184"/>
        <v>0</v>
      </c>
      <c r="DA252" s="290">
        <f t="shared" si="1167"/>
        <v>0</v>
      </c>
      <c r="DB252" s="102">
        <f t="shared" si="1185"/>
        <v>0</v>
      </c>
      <c r="DC252" s="290">
        <f t="shared" si="1168"/>
        <v>0</v>
      </c>
      <c r="DD252" s="102">
        <f t="shared" si="1183"/>
        <v>0</v>
      </c>
      <c r="DE252" s="592">
        <f>IF(D252="Sim",HLOOKUP($DH$5,Parametrização!$G$2:$H$4,2,FALSE),0)</f>
        <v>0</v>
      </c>
      <c r="DF252" s="102">
        <f t="shared" si="1186"/>
        <v>0</v>
      </c>
      <c r="DG252" s="592">
        <f>IF(D252="Sim",HLOOKUP($DH$5,Parametrização!$G$2:$H$4,3,FALSE),0)</f>
        <v>0</v>
      </c>
      <c r="DH252" s="102">
        <f t="shared" si="1187"/>
        <v>0</v>
      </c>
      <c r="DI252" s="102">
        <f t="shared" si="1188"/>
        <v>0</v>
      </c>
      <c r="DK252" s="3" t="str">
        <f t="shared" si="1169"/>
        <v>NA</v>
      </c>
      <c r="DL252" s="2" t="str">
        <f t="shared" si="1170"/>
        <v>NA</v>
      </c>
      <c r="DM252" s="3" t="str">
        <f t="shared" si="1171"/>
        <v>NA</v>
      </c>
      <c r="DN252" s="9" t="str">
        <f t="shared" si="1172"/>
        <v>NA</v>
      </c>
      <c r="DO252" s="637" t="str">
        <f t="shared" si="1173"/>
        <v>NA</v>
      </c>
      <c r="DP252" s="637"/>
      <c r="DQ252" s="3" t="str">
        <f t="shared" si="1174"/>
        <v>NA</v>
      </c>
      <c r="DR252" s="2" t="str">
        <f t="shared" si="1175"/>
        <v>NA</v>
      </c>
      <c r="DS252" s="3" t="str">
        <f t="shared" si="1176"/>
        <v>NA</v>
      </c>
      <c r="DT252" s="9" t="str">
        <f t="shared" si="1189"/>
        <v>NA</v>
      </c>
      <c r="DU252" s="637" t="str">
        <f t="shared" si="1190"/>
        <v>NA</v>
      </c>
      <c r="DV252" s="637"/>
      <c r="DW252" s="682"/>
      <c r="DX252" s="682"/>
      <c r="DY252" s="682"/>
      <c r="DZ252" s="637"/>
      <c r="EA252" s="643"/>
    </row>
    <row r="253" spans="1:131" s="355" customFormat="1" ht="20.100000000000001" customHeight="1" outlineLevel="1" x14ac:dyDescent="0.25">
      <c r="A253" s="356"/>
      <c r="B253" s="355" t="s">
        <v>268</v>
      </c>
      <c r="C253" s="355" t="str">
        <f t="shared" si="1177"/>
        <v>Consumo</v>
      </c>
      <c r="D253" s="355" t="s">
        <v>53</v>
      </c>
      <c r="E253" s="18" t="s">
        <v>38</v>
      </c>
      <c r="F253" s="355" t="s">
        <v>53</v>
      </c>
      <c r="G253" s="357" t="str">
        <f t="shared" si="1178"/>
        <v>Geral</v>
      </c>
      <c r="H253" s="255" t="s">
        <v>377</v>
      </c>
      <c r="I253" s="356" t="str">
        <f t="shared" si="1112"/>
        <v>Sistema</v>
      </c>
      <c r="K253" s="318" t="s">
        <v>3006</v>
      </c>
      <c r="L253" s="749" t="str">
        <f>IF(Padrões!JF194&lt;&gt;"",Padrões!JF194,"")</f>
        <v/>
      </c>
      <c r="M253" s="358" t="str">
        <f t="shared" si="1113"/>
        <v>?</v>
      </c>
      <c r="N253" s="359">
        <f>Padrões!JI194</f>
        <v>0</v>
      </c>
      <c r="O253" s="381" t="str">
        <f t="shared" si="1114"/>
        <v>?</v>
      </c>
      <c r="P253" s="360">
        <f t="shared" si="1115"/>
        <v>0.12</v>
      </c>
      <c r="Q253" s="360" t="str">
        <f t="shared" si="1116"/>
        <v>?</v>
      </c>
      <c r="R253" s="360">
        <f t="shared" si="1117"/>
        <v>0</v>
      </c>
      <c r="S253" s="361">
        <f t="shared" si="1118"/>
        <v>0</v>
      </c>
      <c r="T253" s="362">
        <f t="shared" si="1119"/>
        <v>0</v>
      </c>
      <c r="U253" s="53" t="str" cm="1">
        <f t="array" ref="U253">IFERROR(IF(I253&lt;&gt;"Serviço",IF(AND(mlookup(tbl_DIFAL_data,UFdestino,tbl_DIFAL_UF,O253,tbl_DIFAL_NCM)&lt;&gt;"",C253="Consumo"),"Sim",""),""),"?")</f>
        <v>?</v>
      </c>
      <c r="V253" s="363" t="str">
        <f>IFERROR(IF(I253&lt;&gt;"Serviço",IF(AND(D253="Não",mlookup(tbl_ST_data,UFdestino,tbl_ST_UF,O253,tbl_ST_NCM)&lt;&gt;"",C253="Revenda",CD253="Não"),"Sim",""),""),"?")</f>
        <v>?</v>
      </c>
      <c r="W253" s="364">
        <f t="shared" si="1120"/>
        <v>0</v>
      </c>
      <c r="X253" s="365">
        <f>IF(V253="Sim",mlookup(tbl_ST_data,UFdestino,tbl_ST_UF,O253,tbl_ST_NCM),0)</f>
        <v>0</v>
      </c>
      <c r="Z253" s="355">
        <f t="shared" si="1121"/>
        <v>0</v>
      </c>
      <c r="AA253" s="355">
        <f t="shared" si="1191"/>
        <v>0</v>
      </c>
      <c r="AC253" s="366">
        <f t="shared" si="1179"/>
        <v>1.31243473968765E-2</v>
      </c>
      <c r="AD253" s="366">
        <f t="shared" si="1122"/>
        <v>0.15</v>
      </c>
      <c r="AF253" s="355">
        <f t="shared" si="1123"/>
        <v>0</v>
      </c>
      <c r="AG253" s="355">
        <f t="shared" si="1124"/>
        <v>0</v>
      </c>
      <c r="AI253" s="355">
        <f t="shared" si="1125"/>
        <v>0</v>
      </c>
      <c r="AK253" s="366">
        <f t="shared" si="1180"/>
        <v>0</v>
      </c>
      <c r="AL253" s="355">
        <f t="shared" si="1192"/>
        <v>0</v>
      </c>
      <c r="AM253" s="355">
        <f t="shared" si="1193"/>
        <v>0</v>
      </c>
      <c r="AO253" s="355" t="b">
        <f t="shared" si="1126"/>
        <v>1</v>
      </c>
      <c r="AQ253" s="367">
        <f t="shared" si="1127"/>
        <v>0</v>
      </c>
      <c r="AR253" s="367">
        <f t="shared" si="1194"/>
        <v>0</v>
      </c>
      <c r="AT253" s="367">
        <f t="shared" si="1128"/>
        <v>0</v>
      </c>
      <c r="AU253" s="367">
        <f t="shared" si="1129"/>
        <v>0</v>
      </c>
      <c r="AW253" s="367">
        <f t="shared" si="1130"/>
        <v>0</v>
      </c>
      <c r="AX253" s="367">
        <f t="shared" si="1131"/>
        <v>0</v>
      </c>
      <c r="AY253" s="367">
        <f t="shared" si="1132"/>
        <v>0</v>
      </c>
      <c r="AZ253" s="367">
        <f t="shared" si="1133"/>
        <v>0</v>
      </c>
      <c r="BB253" s="355">
        <f t="shared" si="1134"/>
        <v>0</v>
      </c>
      <c r="BC253" s="355">
        <f t="shared" si="1135"/>
        <v>0</v>
      </c>
      <c r="BD253" s="355">
        <f t="shared" si="1136"/>
        <v>0</v>
      </c>
      <c r="BE253" s="355">
        <f t="shared" si="1137"/>
        <v>0</v>
      </c>
      <c r="BF253" s="355">
        <f t="shared" si="1138"/>
        <v>0</v>
      </c>
      <c r="BH253" s="368">
        <f t="shared" si="1139"/>
        <v>0</v>
      </c>
      <c r="BJ253" s="369">
        <f t="shared" si="1140"/>
        <v>-0.12</v>
      </c>
      <c r="BK253" s="355">
        <f t="shared" si="1141"/>
        <v>0</v>
      </c>
      <c r="BL253" s="355">
        <f t="shared" si="1142"/>
        <v>0</v>
      </c>
      <c r="BN253" s="366">
        <f t="shared" si="1143"/>
        <v>0</v>
      </c>
      <c r="BO253" s="355">
        <f t="shared" si="1144"/>
        <v>0</v>
      </c>
      <c r="BP253" s="355">
        <f t="shared" si="1145"/>
        <v>0</v>
      </c>
      <c r="BQ253" s="355">
        <f t="shared" si="1146"/>
        <v>0</v>
      </c>
      <c r="BS253" s="367">
        <f t="shared" si="1147"/>
        <v>0</v>
      </c>
      <c r="BT253" s="355">
        <f t="shared" si="1148"/>
        <v>0</v>
      </c>
      <c r="BU253" s="355" t="b">
        <f t="shared" si="1195"/>
        <v>1</v>
      </c>
      <c r="BW253" s="355" t="str">
        <f t="shared" si="1149"/>
        <v/>
      </c>
      <c r="BX253" s="355">
        <f t="shared" si="1150"/>
        <v>0</v>
      </c>
      <c r="BY253" s="356">
        <f t="shared" si="1181"/>
        <v>0</v>
      </c>
      <c r="BZ253" s="355">
        <f t="shared" si="1151"/>
        <v>0</v>
      </c>
      <c r="CB253" s="102" t="str">
        <f t="shared" si="1152"/>
        <v>?</v>
      </c>
      <c r="CD253" s="355" t="str">
        <f t="shared" si="1153"/>
        <v>Não</v>
      </c>
      <c r="CE253" s="368">
        <f>ifzero(mlookup(tbl_ICMSinterest_data,UFdestino,tbl_ICMSinterest_ufdest,UForigem,tbl_ICMSinterest_uforig))</f>
        <v>0.12</v>
      </c>
      <c r="CF253" s="368">
        <f>IF(N253&gt;0,IF(I253&lt;&gt;"Serviço",ifzero(mlookup(tbl_ICMSinterno_data,UForigem,tbl_ICMSinterno_UF,O253,tbl_ICMSinterno_NCM),mlookup(tbl_ICMSinterest_data,UForigem,tbl_ICMSinterest_ufdest,UForigem,tbl_ICMSinterest_uforig)),""),0)</f>
        <v>0</v>
      </c>
      <c r="CG253" s="368">
        <f>IF(N253&gt;0,IF(I253&lt;&gt;"Serviço",ifzero(mlookup(tbl_ICMSinterno_data,UFdestino,tbl_ICMSinterno_UF,O253,tbl_ICMSinterno_NCM),mlookup(tbl_ICMSinterest_data,UFdestino,tbl_ICMSinterest_ufdest,UFdestino,tbl_ICMSinterest_uforig)),""),0)</f>
        <v>0</v>
      </c>
      <c r="CI253" s="355">
        <f t="shared" si="1154"/>
        <v>0</v>
      </c>
      <c r="CJ253" s="355">
        <f t="shared" si="1155"/>
        <v>0</v>
      </c>
      <c r="CK253" s="355">
        <f t="shared" si="1156"/>
        <v>0</v>
      </c>
      <c r="CL253" s="355">
        <f t="shared" si="1157"/>
        <v>0</v>
      </c>
      <c r="CN253" s="370">
        <f t="shared" si="1158"/>
        <v>1540</v>
      </c>
      <c r="CO253" s="355">
        <f t="shared" si="1159"/>
        <v>0</v>
      </c>
      <c r="CQ253" s="355" t="b">
        <f t="shared" si="1160"/>
        <v>0</v>
      </c>
      <c r="CR253" s="355" t="b">
        <f t="shared" si="1161"/>
        <v>1</v>
      </c>
      <c r="CS253" s="355" t="b">
        <f t="shared" si="1162"/>
        <v>0</v>
      </c>
      <c r="CU253" s="2">
        <f t="shared" si="1163"/>
        <v>0</v>
      </c>
      <c r="CV253" s="102">
        <f t="shared" si="1164"/>
        <v>0</v>
      </c>
      <c r="CW253" s="102">
        <f t="shared" si="1182"/>
        <v>0</v>
      </c>
      <c r="CX253" s="102">
        <f t="shared" si="1165"/>
        <v>0</v>
      </c>
      <c r="CY253" s="290">
        <f t="shared" si="1166"/>
        <v>0</v>
      </c>
      <c r="CZ253" s="102">
        <f t="shared" si="1184"/>
        <v>0</v>
      </c>
      <c r="DA253" s="290">
        <f t="shared" si="1167"/>
        <v>0</v>
      </c>
      <c r="DB253" s="102">
        <f t="shared" si="1185"/>
        <v>0</v>
      </c>
      <c r="DC253" s="290">
        <f t="shared" si="1168"/>
        <v>0</v>
      </c>
      <c r="DD253" s="102">
        <f t="shared" si="1183"/>
        <v>0</v>
      </c>
      <c r="DE253" s="592">
        <f>IF(D253="Sim",HLOOKUP($DH$5,Parametrização!$G$2:$H$4,2,FALSE),0)</f>
        <v>0</v>
      </c>
      <c r="DF253" s="102">
        <f t="shared" si="1186"/>
        <v>0</v>
      </c>
      <c r="DG253" s="592">
        <f>IF(D253="Sim",HLOOKUP($DH$5,Parametrização!$G$2:$H$4,3,FALSE),0)</f>
        <v>0</v>
      </c>
      <c r="DH253" s="102">
        <f t="shared" si="1187"/>
        <v>0</v>
      </c>
      <c r="DI253" s="102">
        <f t="shared" si="1188"/>
        <v>0</v>
      </c>
      <c r="DK253" s="3" t="str">
        <f t="shared" si="1169"/>
        <v>NA</v>
      </c>
      <c r="DL253" s="2" t="str">
        <f t="shared" si="1170"/>
        <v>NA</v>
      </c>
      <c r="DM253" s="3" t="str">
        <f t="shared" si="1171"/>
        <v>NA</v>
      </c>
      <c r="DN253" s="9" t="str">
        <f t="shared" si="1172"/>
        <v>NA</v>
      </c>
      <c r="DO253" s="637" t="str">
        <f t="shared" si="1173"/>
        <v>NA</v>
      </c>
      <c r="DP253" s="637"/>
      <c r="DQ253" s="3" t="str">
        <f t="shared" si="1174"/>
        <v>NA</v>
      </c>
      <c r="DR253" s="2" t="str">
        <f t="shared" si="1175"/>
        <v>NA</v>
      </c>
      <c r="DS253" s="3" t="str">
        <f t="shared" si="1176"/>
        <v>NA</v>
      </c>
      <c r="DT253" s="9" t="str">
        <f t="shared" si="1189"/>
        <v>NA</v>
      </c>
      <c r="DU253" s="637" t="str">
        <f t="shared" si="1190"/>
        <v>NA</v>
      </c>
      <c r="DV253" s="637"/>
      <c r="DW253" s="682"/>
      <c r="DX253" s="682"/>
      <c r="DY253" s="682"/>
      <c r="DZ253" s="637"/>
      <c r="EA253" s="643"/>
    </row>
    <row r="254" spans="1:131" s="355" customFormat="1" ht="20.100000000000001" customHeight="1" outlineLevel="1" x14ac:dyDescent="0.25">
      <c r="A254" s="356"/>
      <c r="B254" s="355" t="s">
        <v>268</v>
      </c>
      <c r="C254" s="355" t="str">
        <f t="shared" si="1177"/>
        <v>Consumo</v>
      </c>
      <c r="D254" s="355" t="s">
        <v>53</v>
      </c>
      <c r="E254" s="18" t="s">
        <v>38</v>
      </c>
      <c r="F254" s="355" t="s">
        <v>53</v>
      </c>
      <c r="G254" s="357" t="str">
        <f t="shared" si="1178"/>
        <v>Geral</v>
      </c>
      <c r="H254" s="255" t="s">
        <v>377</v>
      </c>
      <c r="I254" s="356" t="str">
        <f t="shared" si="1112"/>
        <v>Sistema</v>
      </c>
      <c r="K254" s="318" t="s">
        <v>3007</v>
      </c>
      <c r="L254" s="749" t="str">
        <f>IF(Padrões!JF195&lt;&gt;"",Padrões!JF195,"")</f>
        <v/>
      </c>
      <c r="M254" s="358" t="str">
        <f t="shared" ref="M254:M263" si="1196">IFERROR(IFERROR(VLOOKUP(L254,tbl_materiais,COLUMN(head_mat_descricao)-COLUMN(head_mat_item)+1,FALSE),VLOOKUP(L254,tbl_servicos,COLUMN(head_serv_descricao)-COLUMN(head_serv_item)+1,FALSE)),"?")</f>
        <v>?</v>
      </c>
      <c r="N254" s="359">
        <f>Padrões!JI195</f>
        <v>0</v>
      </c>
      <c r="O254" s="381" t="str">
        <f t="shared" si="1114"/>
        <v>?</v>
      </c>
      <c r="P254" s="360">
        <f t="shared" si="1115"/>
        <v>0.12</v>
      </c>
      <c r="Q254" s="360" t="str">
        <f t="shared" si="1116"/>
        <v>?</v>
      </c>
      <c r="R254" s="360">
        <f t="shared" si="1117"/>
        <v>0</v>
      </c>
      <c r="S254" s="361">
        <f t="shared" si="1118"/>
        <v>0</v>
      </c>
      <c r="T254" s="362">
        <f t="shared" si="1119"/>
        <v>0</v>
      </c>
      <c r="U254" s="53" t="str" cm="1">
        <f t="array" ref="U254">IFERROR(IF(I254&lt;&gt;"Serviço",IF(AND(mlookup(tbl_DIFAL_data,UFdestino,tbl_DIFAL_UF,O254,tbl_DIFAL_NCM)&lt;&gt;"",C254="Consumo"),"Sim",""),""),"?")</f>
        <v>?</v>
      </c>
      <c r="V254" s="363" t="str">
        <f>IFERROR(IF(I254&lt;&gt;"Serviço",IF(AND(D254="Não",mlookup(tbl_ST_data,UFdestino,tbl_ST_UF,O254,tbl_ST_NCM)&lt;&gt;"",C254="Revenda",CD254="Não"),"Sim",""),""),"?")</f>
        <v>?</v>
      </c>
      <c r="W254" s="364">
        <f t="shared" si="1120"/>
        <v>0</v>
      </c>
      <c r="X254" s="365">
        <f>IF(V254="Sim",mlookup(tbl_ST_data,UFdestino,tbl_ST_UF,O254,tbl_ST_NCM),0)</f>
        <v>0</v>
      </c>
      <c r="Z254" s="355">
        <f t="shared" si="1121"/>
        <v>0</v>
      </c>
      <c r="AA254" s="355">
        <f t="shared" ref="AA254:AA263" si="1197">Z254*N254</f>
        <v>0</v>
      </c>
      <c r="AC254" s="366">
        <f t="shared" si="1179"/>
        <v>1.31243473968765E-2</v>
      </c>
      <c r="AD254" s="366">
        <f t="shared" si="1122"/>
        <v>0.15</v>
      </c>
      <c r="AF254" s="355">
        <f t="shared" si="1123"/>
        <v>0</v>
      </c>
      <c r="AG254" s="355">
        <f t="shared" si="1124"/>
        <v>0</v>
      </c>
      <c r="AI254" s="355">
        <f t="shared" si="1125"/>
        <v>0</v>
      </c>
      <c r="AK254" s="366">
        <f t="shared" si="1180"/>
        <v>0</v>
      </c>
      <c r="AL254" s="355">
        <f t="shared" ref="AL254:AL263" si="1198">AM254*AK254</f>
        <v>0</v>
      </c>
      <c r="AM254" s="355">
        <f t="shared" ref="AM254:AM263" si="1199">AI254/(1-AK254)</f>
        <v>0</v>
      </c>
      <c r="AO254" s="355" t="b">
        <f t="shared" si="1126"/>
        <v>1</v>
      </c>
      <c r="AQ254" s="367">
        <f t="shared" si="1127"/>
        <v>0</v>
      </c>
      <c r="AR254" s="367">
        <f t="shared" ref="AR254:AR263" si="1200">AM254</f>
        <v>0</v>
      </c>
      <c r="AT254" s="367">
        <f t="shared" si="1128"/>
        <v>0</v>
      </c>
      <c r="AU254" s="367">
        <f t="shared" si="1129"/>
        <v>0</v>
      </c>
      <c r="AW254" s="367">
        <f t="shared" si="1130"/>
        <v>0</v>
      </c>
      <c r="AX254" s="367">
        <f t="shared" si="1131"/>
        <v>0</v>
      </c>
      <c r="AY254" s="367">
        <f t="shared" si="1132"/>
        <v>0</v>
      </c>
      <c r="AZ254" s="367">
        <f t="shared" si="1133"/>
        <v>0</v>
      </c>
      <c r="BB254" s="355">
        <f t="shared" si="1134"/>
        <v>0</v>
      </c>
      <c r="BC254" s="355">
        <f t="shared" si="1135"/>
        <v>0</v>
      </c>
      <c r="BD254" s="355">
        <f t="shared" si="1136"/>
        <v>0</v>
      </c>
      <c r="BE254" s="355">
        <f t="shared" si="1137"/>
        <v>0</v>
      </c>
      <c r="BF254" s="355">
        <f t="shared" si="1138"/>
        <v>0</v>
      </c>
      <c r="BH254" s="368">
        <f t="shared" si="1139"/>
        <v>0</v>
      </c>
      <c r="BJ254" s="369">
        <f t="shared" si="1140"/>
        <v>-0.12</v>
      </c>
      <c r="BK254" s="355">
        <f t="shared" si="1141"/>
        <v>0</v>
      </c>
      <c r="BL254" s="355">
        <f t="shared" si="1142"/>
        <v>0</v>
      </c>
      <c r="BN254" s="366">
        <f t="shared" si="1143"/>
        <v>0</v>
      </c>
      <c r="BO254" s="355">
        <f t="shared" si="1144"/>
        <v>0</v>
      </c>
      <c r="BP254" s="355">
        <f t="shared" si="1145"/>
        <v>0</v>
      </c>
      <c r="BQ254" s="355">
        <f t="shared" si="1146"/>
        <v>0</v>
      </c>
      <c r="BS254" s="367">
        <f t="shared" si="1147"/>
        <v>0</v>
      </c>
      <c r="BT254" s="355">
        <f t="shared" si="1148"/>
        <v>0</v>
      </c>
      <c r="BU254" s="355" t="b">
        <f t="shared" ref="BU254:BU263" si="1201">IF(ABS(BT254-BS254-SUM(BB254:BF254))&lt;0.01,TRUE,FALSE)</f>
        <v>1</v>
      </c>
      <c r="BW254" s="355" t="str">
        <f t="shared" si="1149"/>
        <v/>
      </c>
      <c r="BX254" s="355">
        <f t="shared" si="1150"/>
        <v>0</v>
      </c>
      <c r="BY254" s="356">
        <f t="shared" si="1181"/>
        <v>0</v>
      </c>
      <c r="BZ254" s="355">
        <f t="shared" si="1151"/>
        <v>0</v>
      </c>
      <c r="CB254" s="102" t="str">
        <f t="shared" si="1152"/>
        <v>?</v>
      </c>
      <c r="CD254" s="355" t="str">
        <f t="shared" si="1153"/>
        <v>Não</v>
      </c>
      <c r="CE254" s="368">
        <f>ifzero(mlookup(tbl_ICMSinterest_data,UFdestino,tbl_ICMSinterest_ufdest,UForigem,tbl_ICMSinterest_uforig))</f>
        <v>0.12</v>
      </c>
      <c r="CF254" s="368">
        <f>IF(N254&gt;0,IF(I254&lt;&gt;"Serviço",ifzero(mlookup(tbl_ICMSinterno_data,UForigem,tbl_ICMSinterno_UF,O254,tbl_ICMSinterno_NCM),mlookup(tbl_ICMSinterest_data,UForigem,tbl_ICMSinterest_ufdest,UForigem,tbl_ICMSinterest_uforig)),""),0)</f>
        <v>0</v>
      </c>
      <c r="CG254" s="368">
        <f>IF(N254&gt;0,IF(I254&lt;&gt;"Serviço",ifzero(mlookup(tbl_ICMSinterno_data,UFdestino,tbl_ICMSinterno_UF,O254,tbl_ICMSinterno_NCM),mlookup(tbl_ICMSinterest_data,UFdestino,tbl_ICMSinterest_ufdest,UFdestino,tbl_ICMSinterest_uforig)),""),0)</f>
        <v>0</v>
      </c>
      <c r="CI254" s="355">
        <f t="shared" si="1154"/>
        <v>0</v>
      </c>
      <c r="CJ254" s="355">
        <f t="shared" si="1155"/>
        <v>0</v>
      </c>
      <c r="CK254" s="355">
        <f t="shared" si="1156"/>
        <v>0</v>
      </c>
      <c r="CL254" s="355">
        <f t="shared" si="1157"/>
        <v>0</v>
      </c>
      <c r="CN254" s="370">
        <f t="shared" si="1158"/>
        <v>1540</v>
      </c>
      <c r="CO254" s="355">
        <f t="shared" si="1159"/>
        <v>0</v>
      </c>
      <c r="CQ254" s="355" t="b">
        <f t="shared" si="1160"/>
        <v>0</v>
      </c>
      <c r="CR254" s="355" t="b">
        <f t="shared" si="1161"/>
        <v>1</v>
      </c>
      <c r="CS254" s="355" t="b">
        <f t="shared" si="1162"/>
        <v>0</v>
      </c>
      <c r="CU254" s="2">
        <f t="shared" si="1163"/>
        <v>0</v>
      </c>
      <c r="CV254" s="102">
        <f t="shared" si="1164"/>
        <v>0</v>
      </c>
      <c r="CW254" s="102">
        <f t="shared" si="1182"/>
        <v>0</v>
      </c>
      <c r="CX254" s="102">
        <f t="shared" si="1165"/>
        <v>0</v>
      </c>
      <c r="CY254" s="290">
        <f t="shared" si="1166"/>
        <v>0</v>
      </c>
      <c r="CZ254" s="102">
        <f t="shared" si="1184"/>
        <v>0</v>
      </c>
      <c r="DA254" s="290">
        <f t="shared" si="1167"/>
        <v>0</v>
      </c>
      <c r="DB254" s="102">
        <f t="shared" si="1185"/>
        <v>0</v>
      </c>
      <c r="DC254" s="290">
        <f t="shared" si="1168"/>
        <v>0</v>
      </c>
      <c r="DD254" s="102">
        <f t="shared" si="1183"/>
        <v>0</v>
      </c>
      <c r="DE254" s="592">
        <f>IF(D254="Sim",HLOOKUP($DH$5,Parametrização!$G$2:$H$4,2,FALSE),0)</f>
        <v>0</v>
      </c>
      <c r="DF254" s="102">
        <f t="shared" si="1186"/>
        <v>0</v>
      </c>
      <c r="DG254" s="592">
        <f>IF(D254="Sim",HLOOKUP($DH$5,Parametrização!$G$2:$H$4,3,FALSE),0)</f>
        <v>0</v>
      </c>
      <c r="DH254" s="102">
        <f t="shared" si="1187"/>
        <v>0</v>
      </c>
      <c r="DI254" s="102">
        <f t="shared" si="1188"/>
        <v>0</v>
      </c>
      <c r="DK254" s="3" t="str">
        <f t="shared" si="1169"/>
        <v>NA</v>
      </c>
      <c r="DL254" s="2" t="str">
        <f t="shared" si="1170"/>
        <v>NA</v>
      </c>
      <c r="DM254" s="3" t="str">
        <f t="shared" si="1171"/>
        <v>NA</v>
      </c>
      <c r="DN254" s="9" t="str">
        <f t="shared" si="1172"/>
        <v>NA</v>
      </c>
      <c r="DO254" s="637" t="str">
        <f t="shared" si="1173"/>
        <v>NA</v>
      </c>
      <c r="DP254" s="637"/>
      <c r="DQ254" s="3" t="str">
        <f t="shared" si="1174"/>
        <v>NA</v>
      </c>
      <c r="DR254" s="2" t="str">
        <f t="shared" si="1175"/>
        <v>NA</v>
      </c>
      <c r="DS254" s="3" t="str">
        <f t="shared" si="1176"/>
        <v>NA</v>
      </c>
      <c r="DT254" s="9" t="str">
        <f t="shared" si="1189"/>
        <v>NA</v>
      </c>
      <c r="DU254" s="637" t="str">
        <f t="shared" si="1190"/>
        <v>NA</v>
      </c>
      <c r="DV254" s="637"/>
      <c r="DW254" s="682"/>
      <c r="DX254" s="682"/>
      <c r="DY254" s="682"/>
      <c r="DZ254" s="637"/>
      <c r="EA254" s="643"/>
    </row>
    <row r="255" spans="1:131" s="355" customFormat="1" ht="20.100000000000001" customHeight="1" outlineLevel="1" x14ac:dyDescent="0.25">
      <c r="A255" s="356"/>
      <c r="B255" s="355" t="s">
        <v>268</v>
      </c>
      <c r="C255" s="355" t="str">
        <f t="shared" si="1177"/>
        <v>Consumo</v>
      </c>
      <c r="D255" s="355" t="s">
        <v>53</v>
      </c>
      <c r="E255" s="18" t="s">
        <v>38</v>
      </c>
      <c r="F255" s="355" t="s">
        <v>53</v>
      </c>
      <c r="G255" s="357" t="str">
        <f t="shared" si="1178"/>
        <v>Geral</v>
      </c>
      <c r="H255" s="255" t="s">
        <v>377</v>
      </c>
      <c r="I255" s="356" t="str">
        <f t="shared" ref="I255:I272" si="1202">std_tiponcm</f>
        <v>Sistema</v>
      </c>
      <c r="K255" s="318" t="s">
        <v>3008</v>
      </c>
      <c r="L255" s="749" t="str">
        <f>IF(Padrões!JF196&lt;&gt;"",Padrões!JF196,"")</f>
        <v/>
      </c>
      <c r="M255" s="358" t="str">
        <f t="shared" si="1196"/>
        <v>?</v>
      </c>
      <c r="N255" s="359">
        <f>Padrões!JI196</f>
        <v>0</v>
      </c>
      <c r="O255" s="381" t="str">
        <f t="shared" ref="O255:O272" si="1203">IF(CQ255,std_ncm,IF(I255="Serviço","NA",IF(I255="Material",IFERROR(VLOOKUP(L255,tbl_materiais,COLUMN(head_mat_NCM)-COLUMN(head_mat_item)+1,FALSE),"?"),IFERROR(VLOOKUP(I255,tbl_TipoLinha,2,FALSE),"?"))))</f>
        <v>?</v>
      </c>
      <c r="P255" s="360">
        <f t="shared" ref="P255:P272" si="1204">IF(AND(D255="Não",I255&lt;&gt;"Serviço",CD255="Não"),IFERROR(IF(flag_interestadual,CE255,IF(CF255,CF255,CE255)),"?"),0)</f>
        <v>0.12</v>
      </c>
      <c r="Q255" s="360" t="str">
        <f t="shared" ref="Q255:Q272" si="1205">IF(AND(D255="Não",I255&lt;&gt;"Serviço"),IF(I255="Material",IFERROR(VLOOKUP(L255,tbl_materiais,COLUMN(head_mat_IPI)-COLUMN(head_mat_item)+1,FALSE),"?"),IFERROR(VLOOKUP(O255,tbl_NCM_info,COLUMN(head_porNCM_IPI)-COLUMN(head_porNCM_NCM)+1,FALSE),"?")),0)</f>
        <v>?</v>
      </c>
      <c r="R255" s="360">
        <f t="shared" ref="R255:R272" si="1206">IF(AND(D255="Não",I255="Serviço"),IFERROR(VLOOKUP(CB255,tbl_ISS,5,FALSE),"?"),0)</f>
        <v>0</v>
      </c>
      <c r="S255" s="361">
        <f t="shared" ref="S255:S272" si="1207">IF(D255="Não",IF(reidi="Sim",0,IF(B255="Real",pis_naocum,pis_cum)),0)</f>
        <v>0</v>
      </c>
      <c r="T255" s="362">
        <f t="shared" ref="T255:T272" si="1208">IF(D255="Não",IF(reidi="Sim",0,IF(B255="Real",cofins_naocum,cofins_cum)),0)</f>
        <v>0</v>
      </c>
      <c r="U255" s="53" t="str" cm="1">
        <f t="array" ref="U255">IFERROR(IF(I255&lt;&gt;"Serviço",IF(AND(mlookup(tbl_DIFAL_data,UFdestino,tbl_DIFAL_UF,O255,tbl_DIFAL_NCM)&lt;&gt;"",C255="Consumo"),"Sim",""),""),"?")</f>
        <v>?</v>
      </c>
      <c r="V255" s="363" t="str">
        <f>IFERROR(IF(I255&lt;&gt;"Serviço",IF(AND(D255="Não",mlookup(tbl_ST_data,UFdestino,tbl_ST_UF,O255,tbl_ST_NCM)&lt;&gt;"",C255="Revenda",CD255="Não"),"Sim",""),""),"?")</f>
        <v>?</v>
      </c>
      <c r="W255" s="364">
        <f t="shared" ref="W255:W272" si="1209">IF(OR(U255="Sim",V255="Sim"),CG255,0)</f>
        <v>0</v>
      </c>
      <c r="X255" s="365">
        <f>IF(V255="Sim",mlookup(tbl_ST_data,UFdestino,tbl_ST_UF,O255,tbl_ST_NCM),0)</f>
        <v>0</v>
      </c>
      <c r="Z255" s="355">
        <f t="shared" ref="Z255:Z272" si="1210">IF(AND(N255&gt;0,CQ255=FALSE),IFERROR(VLOOKUP(L255,tbl_servicos,COLUMN(head_serv_CL)-COLUMN(head_serv_item)+1,FALSE),IF(D255="Sim",0,IF(B255="Real",VLOOKUP(L255,tbl_materiais,COLUMN(head_mat_CLreal)-COLUMN(head_mat_item)+1,FALSE),VLOOKUP(L255,tbl_materiais,COLUMN(head_mat_CLpresumido)-COLUMN(head_mat_item)+1,FALSE)))),0)</f>
        <v>0</v>
      </c>
      <c r="AA255" s="355">
        <f t="shared" si="1197"/>
        <v>0</v>
      </c>
      <c r="AC255" s="366">
        <f t="shared" si="1179"/>
        <v>1.31243473968765E-2</v>
      </c>
      <c r="AD255" s="366">
        <f t="shared" ref="AD255:AD272" si="1211">IF(F255="Sim",0,VLOOKUP(E255,tbl_mb,2,FALSE))</f>
        <v>0.15</v>
      </c>
      <c r="AF255" s="355">
        <f t="shared" ref="AF255:AF272" si="1212">AI255*AC255</f>
        <v>0</v>
      </c>
      <c r="AG255" s="355">
        <f t="shared" ref="AG255:AG272" si="1213">AI255*AD255</f>
        <v>0</v>
      </c>
      <c r="AI255" s="355">
        <f t="shared" ref="AI255:AI272" si="1214">AA255/(1-AC255-AD255)</f>
        <v>0</v>
      </c>
      <c r="AK255" s="366">
        <f t="shared" si="1180"/>
        <v>0</v>
      </c>
      <c r="AL255" s="355">
        <f t="shared" si="1198"/>
        <v>0</v>
      </c>
      <c r="AM255" s="355">
        <f t="shared" si="1199"/>
        <v>0</v>
      </c>
      <c r="AO255" s="355" t="b">
        <f t="shared" ref="AO255:AO272" si="1215">IF(ABS(SUM(AA255,AF255:AG255,AL255)-AM255)&lt;0.01,TRUE,FALSE)</f>
        <v>1</v>
      </c>
      <c r="AQ255" s="367">
        <f t="shared" ref="AQ255:AQ272" si="1216">IFERROR(AR255/N255,0)</f>
        <v>0</v>
      </c>
      <c r="AR255" s="367">
        <f t="shared" si="1200"/>
        <v>0</v>
      </c>
      <c r="AT255" s="367">
        <f t="shared" ref="AT255:AT272" si="1217">IFERROR(AU255/N255,0)</f>
        <v>0</v>
      </c>
      <c r="AU255" s="367">
        <f t="shared" ref="AU255:AU272" si="1218">IF(AND(N255&gt;0,CQ255=FALSE),IF(C255="Consumo",AR255*(1+Q255)/(1-P255*(1+Q255)-R255-S255-T255),AR255*(1+Q255)/(1-P255-R255-S255-T255)),0)</f>
        <v>0</v>
      </c>
      <c r="AW255" s="367">
        <f t="shared" ref="AW255:AW272" si="1219">IF(AU255&gt;0,AU255/(1+Q255),0)</f>
        <v>0</v>
      </c>
      <c r="AX255" s="367">
        <f t="shared" ref="AX255:AX272" si="1220">IF(AU255&gt;0,IF(C255="Consumo",AW255-AU255*P255,AW255*(1-P255)),0)</f>
        <v>0</v>
      </c>
      <c r="AY255" s="367">
        <f t="shared" ref="AY255:AY272" si="1221">AX255-AW255*R255</f>
        <v>0</v>
      </c>
      <c r="AZ255" s="367">
        <f t="shared" ref="AZ255:AZ272" si="1222">AY255-AW255*(S255+T255)</f>
        <v>0</v>
      </c>
      <c r="BB255" s="355">
        <f t="shared" ref="BB255:BB272" si="1223">IF(AW255&gt;0,AW255*Q255,0)</f>
        <v>0</v>
      </c>
      <c r="BC255" s="355">
        <f t="shared" ref="BC255:BC272" si="1224">IF(AW255&gt;0,IF(C255="Consumo",AU255*P255,AW255*P255),0)</f>
        <v>0</v>
      </c>
      <c r="BD255" s="355">
        <f t="shared" ref="BD255:BD272" si="1225">AW255*R255</f>
        <v>0</v>
      </c>
      <c r="BE255" s="355">
        <f t="shared" ref="BE255:BE272" si="1226">AW255*S255</f>
        <v>0</v>
      </c>
      <c r="BF255" s="355">
        <f t="shared" ref="BF255:BF272" si="1227">AW255*T255</f>
        <v>0</v>
      </c>
      <c r="BH255" s="368">
        <f t="shared" ref="BH255:BH272" si="1228">W255</f>
        <v>0</v>
      </c>
      <c r="BJ255" s="369">
        <f t="shared" ref="BJ255:BJ272" si="1229">IF(AND(U255&lt;&gt;"",C255="Consumo"),BH255-P255,0)</f>
        <v>-0.12</v>
      </c>
      <c r="BK255" s="355">
        <f t="shared" ref="BK255:BK272" si="1230">BJ255*AU255</f>
        <v>0</v>
      </c>
      <c r="BL255" s="355">
        <f t="shared" ref="BL255:BL272" si="1231">AU255+BK255</f>
        <v>0</v>
      </c>
      <c r="BN255" s="366">
        <f t="shared" ref="BN255:BN272" si="1232">X255</f>
        <v>0</v>
      </c>
      <c r="BO255" s="355">
        <f t="shared" ref="BO255:BO272" si="1233">AU255*(1+BN255)</f>
        <v>0</v>
      </c>
      <c r="BP255" s="355">
        <f t="shared" ref="BP255:BP272" si="1234">IF(AND(V255&lt;&gt;"",C255="Revenda"),BO255*BH255-BC255,0)</f>
        <v>0</v>
      </c>
      <c r="BQ255" s="355">
        <f t="shared" ref="BQ255:BQ272" si="1235">AU255+BP255</f>
        <v>0</v>
      </c>
      <c r="BS255" s="367">
        <f t="shared" ref="BS255:BS272" si="1236">AU255-SUM(BB255:BF255)</f>
        <v>0</v>
      </c>
      <c r="BT255" s="355">
        <f t="shared" ref="BT255:BT272" si="1237">AR255+SUM(BB255:BF255)</f>
        <v>0</v>
      </c>
      <c r="BU255" s="355" t="b">
        <f t="shared" si="1201"/>
        <v>1</v>
      </c>
      <c r="BW255" s="355" t="str">
        <f t="shared" ref="BW255:BW272" si="1238">IF(AND(N255&gt;0,CQ255=FALSE),IF(D255="Sim","Fat. Direto",VLOOKUP(CB255,tbl_IRPJaux,2,FALSE)),"")</f>
        <v/>
      </c>
      <c r="BX255" s="355">
        <f t="shared" ref="BX255:BX272" si="1239">IF(AND(BW255&lt;&gt;"NA",D255="Não"),MAX(BL255,BQ255),0)</f>
        <v>0</v>
      </c>
      <c r="BY255" s="356">
        <f t="shared" si="1181"/>
        <v>0</v>
      </c>
      <c r="BZ255" s="355">
        <f t="shared" ref="BZ255:BZ272" si="1240">IF(BX255&gt;0,AA255*BY255+AG255*recuperavel_MB_ir_real+AF255*recuperavel_coberturas_ir_real+SUM(BB255:BF255,BK255,BP255),0)</f>
        <v>0</v>
      </c>
      <c r="CB255" s="102" t="str">
        <f t="shared" ref="CB255:CB272" si="1241">IFERROR(VLOOKUP(L255,tbl_materiais,COLUMN(head_mat_WBS)-COLUMN(head_mat_item)+1,FALSE),IFERROR(VLOOKUP(L255,tbl_servicos,COLUMN(head_serv_WBS)-COLUMN(head_serv_item)+1,FALSE),"?"))</f>
        <v>?</v>
      </c>
      <c r="CD255" s="355" t="str">
        <f t="shared" ref="CD255:CD272" si="1242">IFERROR(VLOOKUP(L255,tbl_materiais,COLUMN(head_mat_st)-COLUMN(head_mat_item)+1,FALSE),"Não")</f>
        <v>Não</v>
      </c>
      <c r="CE255" s="368">
        <f>ifzero(mlookup(tbl_ICMSinterest_data,UFdestino,tbl_ICMSinterest_ufdest,UForigem,tbl_ICMSinterest_uforig))</f>
        <v>0.12</v>
      </c>
      <c r="CF255" s="368">
        <f>IF(N255&gt;0,IF(I255&lt;&gt;"Serviço",ifzero(mlookup(tbl_ICMSinterno_data,UForigem,tbl_ICMSinterno_UF,O255,tbl_ICMSinterno_NCM),mlookup(tbl_ICMSinterest_data,UForigem,tbl_ICMSinterest_ufdest,UForigem,tbl_ICMSinterest_uforig)),""),0)</f>
        <v>0</v>
      </c>
      <c r="CG255" s="368">
        <f>IF(N255&gt;0,IF(I255&lt;&gt;"Serviço",ifzero(mlookup(tbl_ICMSinterno_data,UFdestino,tbl_ICMSinterno_UF,O255,tbl_ICMSinterno_NCM),mlookup(tbl_ICMSinterest_data,UFdestino,tbl_ICMSinterest_ufdest,UFdestino,tbl_ICMSinterest_uforig)),""),0)</f>
        <v>0</v>
      </c>
      <c r="CI255" s="355">
        <f t="shared" ref="CI255:CI272" si="1243">IFERROR(IF(AND(I255&lt;&gt;"Serviço",D255="Não"),N255*VLOOKUP(L255,tbl_materiais,COLUMN(head_mat_credito_ICMS)-COLUMN(head_mat_item)+1,FALSE),0),0)</f>
        <v>0</v>
      </c>
      <c r="CJ255" s="355">
        <f t="shared" ref="CJ255:CJ272" si="1244">IFERROR(IF(AND(I255&lt;&gt;"Serviço",D255="Não"),N255*VLOOKUP(L255,tbl_materiais,COLUMN(head_mat_credito_IPI)-COLUMN(head_mat_item)+1,FALSE),0),0)</f>
        <v>0</v>
      </c>
      <c r="CK255" s="355">
        <f t="shared" ref="CK255:CK272" si="1245">IFERROR(IF(AND(I255&lt;&gt;"Serviço",D255="Não",B255="Real"),N255*VLOOKUP(L255,tbl_materiais,COLUMN(head_mat_credito_PIS)-COLUMN(head_mat_item)+1,FALSE),0),0)</f>
        <v>0</v>
      </c>
      <c r="CL255" s="355">
        <f t="shared" ref="CL255:CL272" si="1246">IFERROR(IF(AND(I255&lt;&gt;"Serviço",D255="Não",B255="Real"),N255*VLOOKUP(L255,tbl_materiais,COLUMN(head_mat_credito_COFINS)-COLUMN(head_mat_item)+1,FALSE),0),0)</f>
        <v>0</v>
      </c>
      <c r="CN255" s="370">
        <f t="shared" ref="CN255:CN272" si="1247">IFERROR(SUMIF(serv_col_item,"="&amp;L255,serv_col_totalhh),0)</f>
        <v>1540</v>
      </c>
      <c r="CO255" s="355">
        <f t="shared" ref="CO255:CO272" si="1248">IFERROR(SUMIF(serv_col_item,"="&amp;L255,serv_col_gdv),0)</f>
        <v>0</v>
      </c>
      <c r="CQ255" s="355" t="b">
        <f t="shared" ref="CQ255:CQ272" si="1249">IF(N255&gt;0,IF(ISERROR(HLOOKUP(L255,std_tbl4,1,FALSE)),FALSE,TRUE),FALSE)</f>
        <v>0</v>
      </c>
      <c r="CR255" s="355" t="b">
        <f t="shared" ref="CR255:CR272" si="1250">IF(AND(CQ255,I255&lt;&gt;std_tiponcm),FALSE,TRUE)</f>
        <v>1</v>
      </c>
      <c r="CS255" s="355" t="b">
        <f t="shared" ref="CS255:CS272" si="1251">IF(AND(CQ255,D255="Sim"),TRUE,FALSE)</f>
        <v>0</v>
      </c>
      <c r="CU255" s="2">
        <f t="shared" ref="CU255:CU272" si="1252">IF(D255="Sim",VLOOKUP(L255,tbl_materiais,COLUMN(head_mat_fatdir)-COLUMN(head_mat_item)+1,FALSE),0)</f>
        <v>0</v>
      </c>
      <c r="CV255" s="102">
        <f t="shared" ref="CV255:CV272" si="1253">CU255*N255</f>
        <v>0</v>
      </c>
      <c r="CW255" s="102">
        <f t="shared" si="1182"/>
        <v>0</v>
      </c>
      <c r="CX255" s="102">
        <f t="shared" ref="CX255:CX272" si="1254">CV255/(1-AK255)</f>
        <v>0</v>
      </c>
      <c r="CY255" s="290">
        <f t="shared" ref="CY255:CY272" si="1255">IF(D255="Sim",VLOOKUP(L255,tbl_materiais,COLUMN(head_mat_ICMS_input)-COLUMN(head_mat_item)+1,FALSE),0)</f>
        <v>0</v>
      </c>
      <c r="CZ255" s="102">
        <f t="shared" si="1184"/>
        <v>0</v>
      </c>
      <c r="DA255" s="290">
        <f t="shared" ref="DA255:DA272" si="1256">IF(D255="Sim",VLOOKUP(L255,tbl_materiais,COLUMN(head_mat_ISS_input)-COLUMN(head_mat_item)+1,FALSE),0)</f>
        <v>0</v>
      </c>
      <c r="DB255" s="102">
        <f t="shared" si="1185"/>
        <v>0</v>
      </c>
      <c r="DC255" s="290">
        <f t="shared" ref="DC255:DC272" si="1257">IF(D255="Sim",VLOOKUP(L255,tbl_materiais,COLUMN(head_mat_IPI_input)-COLUMN(head_mat_item)+1,FALSE),0)</f>
        <v>0</v>
      </c>
      <c r="DD255" s="102">
        <f t="shared" si="1183"/>
        <v>0</v>
      </c>
      <c r="DE255" s="592">
        <f>IF(D255="Sim",HLOOKUP($DH$5,Parametrização!$G$2:$H$4,2,FALSE),0)</f>
        <v>0</v>
      </c>
      <c r="DF255" s="102">
        <f t="shared" si="1186"/>
        <v>0</v>
      </c>
      <c r="DG255" s="592">
        <f>IF(D255="Sim",HLOOKUP($DH$5,Parametrização!$G$2:$H$4,3,FALSE),0)</f>
        <v>0</v>
      </c>
      <c r="DH255" s="102">
        <f t="shared" si="1187"/>
        <v>0</v>
      </c>
      <c r="DI255" s="102">
        <f t="shared" si="1188"/>
        <v>0</v>
      </c>
      <c r="DK255" s="3" t="str">
        <f t="shared" ref="DK255:DK272" si="1258">IF(AND(I255&lt;&gt;"Serviço",Z255&gt;0),P255,"NA")</f>
        <v>NA</v>
      </c>
      <c r="DL255" s="2" t="str">
        <f t="shared" ref="DL255:DL272" si="1259">IF(AND(I255="Serviço",Z255&gt;0),R255,"NA")</f>
        <v>NA</v>
      </c>
      <c r="DM255" s="3" t="str">
        <f t="shared" ref="DM255:DM272" si="1260">IF(AND(I255&lt;&gt;"Serviço",Z255&gt;0),Q255,"NA")</f>
        <v>NA</v>
      </c>
      <c r="DN255" s="9" t="str">
        <f t="shared" ref="DN255:DN272" si="1261">IF(Z255&gt;0,S255,"NA")</f>
        <v>NA</v>
      </c>
      <c r="DO255" s="637" t="str">
        <f t="shared" ref="DO255:DO272" si="1262">IF(Z255&gt;0,T255,"NA")</f>
        <v>NA</v>
      </c>
      <c r="DP255" s="637"/>
      <c r="DQ255" s="3" t="str">
        <f t="shared" ref="DQ255:DQ272" si="1263">IF(AND(I255&lt;&gt;"Serviço",CU255&gt;0),CY255,"NA")</f>
        <v>NA</v>
      </c>
      <c r="DR255" s="2" t="str">
        <f t="shared" ref="DR255:DR272" si="1264">IF(AND(I255="Serviço",CU255&gt;0),DA255,"NA")</f>
        <v>NA</v>
      </c>
      <c r="DS255" s="3" t="str">
        <f t="shared" ref="DS255:DS272" si="1265">IF(AND(I255&lt;&gt;"Serviço",CU255&gt;0),DC255,"NA")</f>
        <v>NA</v>
      </c>
      <c r="DT255" s="9" t="str">
        <f t="shared" si="1189"/>
        <v>NA</v>
      </c>
      <c r="DU255" s="637" t="str">
        <f t="shared" si="1190"/>
        <v>NA</v>
      </c>
      <c r="DV255" s="637"/>
      <c r="DW255" s="682"/>
      <c r="DX255" s="682"/>
      <c r="DY255" s="682"/>
      <c r="DZ255" s="637"/>
      <c r="EA255" s="643"/>
    </row>
    <row r="256" spans="1:131" s="355" customFormat="1" ht="20.100000000000001" customHeight="1" outlineLevel="1" x14ac:dyDescent="0.25">
      <c r="A256" s="356"/>
      <c r="B256" s="355" t="s">
        <v>268</v>
      </c>
      <c r="C256" s="355" t="str">
        <f t="shared" si="1177"/>
        <v>Consumo</v>
      </c>
      <c r="D256" s="355" t="s">
        <v>53</v>
      </c>
      <c r="E256" s="18" t="s">
        <v>38</v>
      </c>
      <c r="F256" s="355" t="s">
        <v>53</v>
      </c>
      <c r="G256" s="357" t="str">
        <f t="shared" si="1178"/>
        <v>Geral</v>
      </c>
      <c r="H256" s="255" t="s">
        <v>377</v>
      </c>
      <c r="I256" s="356" t="str">
        <f t="shared" si="1202"/>
        <v>Sistema</v>
      </c>
      <c r="K256" s="318" t="s">
        <v>3009</v>
      </c>
      <c r="L256" s="749" t="str">
        <f>IF(Padrões!JF197&lt;&gt;"",Padrões!JF197,"")</f>
        <v/>
      </c>
      <c r="M256" s="358" t="str">
        <f t="shared" si="1196"/>
        <v>?</v>
      </c>
      <c r="N256" s="359">
        <f>Padrões!JI197</f>
        <v>0</v>
      </c>
      <c r="O256" s="381" t="str">
        <f t="shared" si="1203"/>
        <v>?</v>
      </c>
      <c r="P256" s="360">
        <f t="shared" si="1204"/>
        <v>0.12</v>
      </c>
      <c r="Q256" s="360" t="str">
        <f t="shared" si="1205"/>
        <v>?</v>
      </c>
      <c r="R256" s="360">
        <f t="shared" si="1206"/>
        <v>0</v>
      </c>
      <c r="S256" s="361">
        <f t="shared" si="1207"/>
        <v>0</v>
      </c>
      <c r="T256" s="362">
        <f t="shared" si="1208"/>
        <v>0</v>
      </c>
      <c r="U256" s="53" t="str" cm="1">
        <f t="array" ref="U256">IFERROR(IF(I256&lt;&gt;"Serviço",IF(AND(mlookup(tbl_DIFAL_data,UFdestino,tbl_DIFAL_UF,O256,tbl_DIFAL_NCM)&lt;&gt;"",C256="Consumo"),"Sim",""),""),"?")</f>
        <v>?</v>
      </c>
      <c r="V256" s="363" t="str">
        <f>IFERROR(IF(I256&lt;&gt;"Serviço",IF(AND(D256="Não",mlookup(tbl_ST_data,UFdestino,tbl_ST_UF,O256,tbl_ST_NCM)&lt;&gt;"",C256="Revenda",CD256="Não"),"Sim",""),""),"?")</f>
        <v>?</v>
      </c>
      <c r="W256" s="364">
        <f t="shared" si="1209"/>
        <v>0</v>
      </c>
      <c r="X256" s="365">
        <f>IF(V256="Sim",mlookup(tbl_ST_data,UFdestino,tbl_ST_UF,O256,tbl_ST_NCM),0)</f>
        <v>0</v>
      </c>
      <c r="Z256" s="355">
        <f t="shared" si="1210"/>
        <v>0</v>
      </c>
      <c r="AA256" s="355">
        <f t="shared" si="1197"/>
        <v>0</v>
      </c>
      <c r="AC256" s="366">
        <f t="shared" si="1179"/>
        <v>1.31243473968765E-2</v>
      </c>
      <c r="AD256" s="366">
        <f t="shared" si="1211"/>
        <v>0.15</v>
      </c>
      <c r="AF256" s="355">
        <f t="shared" si="1212"/>
        <v>0</v>
      </c>
      <c r="AG256" s="355">
        <f t="shared" si="1213"/>
        <v>0</v>
      </c>
      <c r="AI256" s="355">
        <f t="shared" si="1214"/>
        <v>0</v>
      </c>
      <c r="AK256" s="366">
        <f t="shared" si="1180"/>
        <v>0</v>
      </c>
      <c r="AL256" s="355">
        <f t="shared" si="1198"/>
        <v>0</v>
      </c>
      <c r="AM256" s="355">
        <f t="shared" si="1199"/>
        <v>0</v>
      </c>
      <c r="AO256" s="355" t="b">
        <f t="shared" si="1215"/>
        <v>1</v>
      </c>
      <c r="AQ256" s="367">
        <f t="shared" si="1216"/>
        <v>0</v>
      </c>
      <c r="AR256" s="367">
        <f t="shared" si="1200"/>
        <v>0</v>
      </c>
      <c r="AT256" s="367">
        <f t="shared" si="1217"/>
        <v>0</v>
      </c>
      <c r="AU256" s="367">
        <f t="shared" si="1218"/>
        <v>0</v>
      </c>
      <c r="AW256" s="367">
        <f t="shared" si="1219"/>
        <v>0</v>
      </c>
      <c r="AX256" s="367">
        <f t="shared" si="1220"/>
        <v>0</v>
      </c>
      <c r="AY256" s="367">
        <f t="shared" si="1221"/>
        <v>0</v>
      </c>
      <c r="AZ256" s="367">
        <f t="shared" si="1222"/>
        <v>0</v>
      </c>
      <c r="BB256" s="355">
        <f t="shared" si="1223"/>
        <v>0</v>
      </c>
      <c r="BC256" s="355">
        <f t="shared" si="1224"/>
        <v>0</v>
      </c>
      <c r="BD256" s="355">
        <f t="shared" si="1225"/>
        <v>0</v>
      </c>
      <c r="BE256" s="355">
        <f t="shared" si="1226"/>
        <v>0</v>
      </c>
      <c r="BF256" s="355">
        <f t="shared" si="1227"/>
        <v>0</v>
      </c>
      <c r="BH256" s="368">
        <f t="shared" si="1228"/>
        <v>0</v>
      </c>
      <c r="BJ256" s="369">
        <f t="shared" si="1229"/>
        <v>-0.12</v>
      </c>
      <c r="BK256" s="355">
        <f t="shared" si="1230"/>
        <v>0</v>
      </c>
      <c r="BL256" s="355">
        <f t="shared" si="1231"/>
        <v>0</v>
      </c>
      <c r="BN256" s="366">
        <f t="shared" si="1232"/>
        <v>0</v>
      </c>
      <c r="BO256" s="355">
        <f t="shared" si="1233"/>
        <v>0</v>
      </c>
      <c r="BP256" s="355">
        <f t="shared" si="1234"/>
        <v>0</v>
      </c>
      <c r="BQ256" s="355">
        <f t="shared" si="1235"/>
        <v>0</v>
      </c>
      <c r="BS256" s="367">
        <f t="shared" si="1236"/>
        <v>0</v>
      </c>
      <c r="BT256" s="355">
        <f t="shared" si="1237"/>
        <v>0</v>
      </c>
      <c r="BU256" s="355" t="b">
        <f t="shared" si="1201"/>
        <v>1</v>
      </c>
      <c r="BW256" s="355" t="str">
        <f t="shared" si="1238"/>
        <v/>
      </c>
      <c r="BX256" s="355">
        <f t="shared" si="1239"/>
        <v>0</v>
      </c>
      <c r="BY256" s="356">
        <f t="shared" si="1181"/>
        <v>0</v>
      </c>
      <c r="BZ256" s="355">
        <f t="shared" si="1240"/>
        <v>0</v>
      </c>
      <c r="CB256" s="102" t="str">
        <f t="shared" si="1241"/>
        <v>?</v>
      </c>
      <c r="CD256" s="355" t="str">
        <f t="shared" si="1242"/>
        <v>Não</v>
      </c>
      <c r="CE256" s="368">
        <f>ifzero(mlookup(tbl_ICMSinterest_data,UFdestino,tbl_ICMSinterest_ufdest,UForigem,tbl_ICMSinterest_uforig))</f>
        <v>0.12</v>
      </c>
      <c r="CF256" s="368">
        <f>IF(N256&gt;0,IF(I256&lt;&gt;"Serviço",ifzero(mlookup(tbl_ICMSinterno_data,UForigem,tbl_ICMSinterno_UF,O256,tbl_ICMSinterno_NCM),mlookup(tbl_ICMSinterest_data,UForigem,tbl_ICMSinterest_ufdest,UForigem,tbl_ICMSinterest_uforig)),""),0)</f>
        <v>0</v>
      </c>
      <c r="CG256" s="368">
        <f>IF(N256&gt;0,IF(I256&lt;&gt;"Serviço",ifzero(mlookup(tbl_ICMSinterno_data,UFdestino,tbl_ICMSinterno_UF,O256,tbl_ICMSinterno_NCM),mlookup(tbl_ICMSinterest_data,UFdestino,tbl_ICMSinterest_ufdest,UFdestino,tbl_ICMSinterest_uforig)),""),0)</f>
        <v>0</v>
      </c>
      <c r="CI256" s="355">
        <f t="shared" si="1243"/>
        <v>0</v>
      </c>
      <c r="CJ256" s="355">
        <f t="shared" si="1244"/>
        <v>0</v>
      </c>
      <c r="CK256" s="355">
        <f t="shared" si="1245"/>
        <v>0</v>
      </c>
      <c r="CL256" s="355">
        <f t="shared" si="1246"/>
        <v>0</v>
      </c>
      <c r="CN256" s="370">
        <f t="shared" si="1247"/>
        <v>1540</v>
      </c>
      <c r="CO256" s="355">
        <f t="shared" si="1248"/>
        <v>0</v>
      </c>
      <c r="CQ256" s="355" t="b">
        <f t="shared" si="1249"/>
        <v>0</v>
      </c>
      <c r="CR256" s="355" t="b">
        <f t="shared" si="1250"/>
        <v>1</v>
      </c>
      <c r="CS256" s="355" t="b">
        <f t="shared" si="1251"/>
        <v>0</v>
      </c>
      <c r="CU256" s="2">
        <f t="shared" si="1252"/>
        <v>0</v>
      </c>
      <c r="CV256" s="102">
        <f t="shared" si="1253"/>
        <v>0</v>
      </c>
      <c r="CW256" s="102">
        <f t="shared" si="1182"/>
        <v>0</v>
      </c>
      <c r="CX256" s="102">
        <f t="shared" si="1254"/>
        <v>0</v>
      </c>
      <c r="CY256" s="290">
        <f t="shared" si="1255"/>
        <v>0</v>
      </c>
      <c r="CZ256" s="102">
        <f t="shared" si="1184"/>
        <v>0</v>
      </c>
      <c r="DA256" s="290">
        <f t="shared" si="1256"/>
        <v>0</v>
      </c>
      <c r="DB256" s="102">
        <f t="shared" si="1185"/>
        <v>0</v>
      </c>
      <c r="DC256" s="290">
        <f t="shared" si="1257"/>
        <v>0</v>
      </c>
      <c r="DD256" s="102">
        <f t="shared" si="1183"/>
        <v>0</v>
      </c>
      <c r="DE256" s="592">
        <f>IF(D256="Sim",HLOOKUP($DH$5,Parametrização!$G$2:$H$4,2,FALSE),0)</f>
        <v>0</v>
      </c>
      <c r="DF256" s="102">
        <f t="shared" si="1186"/>
        <v>0</v>
      </c>
      <c r="DG256" s="592">
        <f>IF(D256="Sim",HLOOKUP($DH$5,Parametrização!$G$2:$H$4,3,FALSE),0)</f>
        <v>0</v>
      </c>
      <c r="DH256" s="102">
        <f t="shared" si="1187"/>
        <v>0</v>
      </c>
      <c r="DI256" s="102">
        <f t="shared" si="1188"/>
        <v>0</v>
      </c>
      <c r="DK256" s="3" t="str">
        <f t="shared" si="1258"/>
        <v>NA</v>
      </c>
      <c r="DL256" s="2" t="str">
        <f t="shared" si="1259"/>
        <v>NA</v>
      </c>
      <c r="DM256" s="3" t="str">
        <f t="shared" si="1260"/>
        <v>NA</v>
      </c>
      <c r="DN256" s="9" t="str">
        <f t="shared" si="1261"/>
        <v>NA</v>
      </c>
      <c r="DO256" s="637" t="str">
        <f t="shared" si="1262"/>
        <v>NA</v>
      </c>
      <c r="DP256" s="637"/>
      <c r="DQ256" s="3" t="str">
        <f t="shared" si="1263"/>
        <v>NA</v>
      </c>
      <c r="DR256" s="2" t="str">
        <f t="shared" si="1264"/>
        <v>NA</v>
      </c>
      <c r="DS256" s="3" t="str">
        <f t="shared" si="1265"/>
        <v>NA</v>
      </c>
      <c r="DT256" s="9" t="str">
        <f t="shared" si="1189"/>
        <v>NA</v>
      </c>
      <c r="DU256" s="637" t="str">
        <f t="shared" si="1190"/>
        <v>NA</v>
      </c>
      <c r="DV256" s="637"/>
      <c r="DW256" s="682"/>
      <c r="DX256" s="682"/>
      <c r="DY256" s="682"/>
      <c r="DZ256" s="637"/>
      <c r="EA256" s="643"/>
    </row>
    <row r="257" spans="1:131" s="355" customFormat="1" ht="20.100000000000001" customHeight="1" outlineLevel="1" x14ac:dyDescent="0.25">
      <c r="A257" s="356"/>
      <c r="B257" s="355" t="s">
        <v>268</v>
      </c>
      <c r="C257" s="355" t="str">
        <f t="shared" ref="C257:C272" si="1266">$C$63</f>
        <v>Consumo</v>
      </c>
      <c r="D257" s="355" t="s">
        <v>53</v>
      </c>
      <c r="E257" s="18" t="s">
        <v>38</v>
      </c>
      <c r="F257" s="355" t="s">
        <v>53</v>
      </c>
      <c r="G257" s="357" t="str">
        <f t="shared" ref="G257:G272" si="1267">$G$63</f>
        <v>Geral</v>
      </c>
      <c r="H257" s="255" t="s">
        <v>377</v>
      </c>
      <c r="I257" s="356" t="str">
        <f t="shared" si="1202"/>
        <v>Sistema</v>
      </c>
      <c r="K257" s="318" t="s">
        <v>3010</v>
      </c>
      <c r="L257" s="749" t="str">
        <f>IF(Padrões!JF198&lt;&gt;"",Padrões!JF198,"")</f>
        <v/>
      </c>
      <c r="M257" s="358" t="str">
        <f t="shared" si="1196"/>
        <v>?</v>
      </c>
      <c r="N257" s="359">
        <f>Padrões!JI198</f>
        <v>0</v>
      </c>
      <c r="O257" s="381" t="str">
        <f t="shared" si="1203"/>
        <v>?</v>
      </c>
      <c r="P257" s="360">
        <f t="shared" si="1204"/>
        <v>0.12</v>
      </c>
      <c r="Q257" s="360" t="str">
        <f t="shared" si="1205"/>
        <v>?</v>
      </c>
      <c r="R257" s="360">
        <f t="shared" si="1206"/>
        <v>0</v>
      </c>
      <c r="S257" s="361">
        <f t="shared" si="1207"/>
        <v>0</v>
      </c>
      <c r="T257" s="362">
        <f t="shared" si="1208"/>
        <v>0</v>
      </c>
      <c r="U257" s="53" t="str" cm="1">
        <f t="array" ref="U257">IFERROR(IF(I257&lt;&gt;"Serviço",IF(AND(mlookup(tbl_DIFAL_data,UFdestino,tbl_DIFAL_UF,O257,tbl_DIFAL_NCM)&lt;&gt;"",C257="Consumo"),"Sim",""),""),"?")</f>
        <v>?</v>
      </c>
      <c r="V257" s="363" t="str">
        <f>IFERROR(IF(I257&lt;&gt;"Serviço",IF(AND(D257="Não",mlookup(tbl_ST_data,UFdestino,tbl_ST_UF,O257,tbl_ST_NCM)&lt;&gt;"",C257="Revenda",CD257="Não"),"Sim",""),""),"?")</f>
        <v>?</v>
      </c>
      <c r="W257" s="364">
        <f t="shared" si="1209"/>
        <v>0</v>
      </c>
      <c r="X257" s="365">
        <f>IF(V257="Sim",mlookup(tbl_ST_data,UFdestino,tbl_ST_UF,O257,tbl_ST_NCM),0)</f>
        <v>0</v>
      </c>
      <c r="Z257" s="355">
        <f t="shared" si="1210"/>
        <v>0</v>
      </c>
      <c r="AA257" s="355">
        <f t="shared" si="1197"/>
        <v>0</v>
      </c>
      <c r="AC257" s="366">
        <f t="shared" si="1179"/>
        <v>1.31243473968765E-2</v>
      </c>
      <c r="AD257" s="366">
        <f t="shared" si="1211"/>
        <v>0.15</v>
      </c>
      <c r="AF257" s="355">
        <f t="shared" si="1212"/>
        <v>0</v>
      </c>
      <c r="AG257" s="355">
        <f t="shared" si="1213"/>
        <v>0</v>
      </c>
      <c r="AI257" s="355">
        <f t="shared" si="1214"/>
        <v>0</v>
      </c>
      <c r="AK257" s="366">
        <f t="shared" si="1180"/>
        <v>0</v>
      </c>
      <c r="AL257" s="355">
        <f t="shared" si="1198"/>
        <v>0</v>
      </c>
      <c r="AM257" s="355">
        <f t="shared" si="1199"/>
        <v>0</v>
      </c>
      <c r="AO257" s="355" t="b">
        <f t="shared" si="1215"/>
        <v>1</v>
      </c>
      <c r="AQ257" s="367">
        <f t="shared" si="1216"/>
        <v>0</v>
      </c>
      <c r="AR257" s="367">
        <f t="shared" si="1200"/>
        <v>0</v>
      </c>
      <c r="AT257" s="367">
        <f t="shared" si="1217"/>
        <v>0</v>
      </c>
      <c r="AU257" s="367">
        <f t="shared" si="1218"/>
        <v>0</v>
      </c>
      <c r="AW257" s="367">
        <f t="shared" si="1219"/>
        <v>0</v>
      </c>
      <c r="AX257" s="367">
        <f t="shared" si="1220"/>
        <v>0</v>
      </c>
      <c r="AY257" s="367">
        <f t="shared" si="1221"/>
        <v>0</v>
      </c>
      <c r="AZ257" s="367">
        <f t="shared" si="1222"/>
        <v>0</v>
      </c>
      <c r="BB257" s="355">
        <f t="shared" si="1223"/>
        <v>0</v>
      </c>
      <c r="BC257" s="355">
        <f t="shared" si="1224"/>
        <v>0</v>
      </c>
      <c r="BD257" s="355">
        <f t="shared" si="1225"/>
        <v>0</v>
      </c>
      <c r="BE257" s="355">
        <f t="shared" si="1226"/>
        <v>0</v>
      </c>
      <c r="BF257" s="355">
        <f t="shared" si="1227"/>
        <v>0</v>
      </c>
      <c r="BH257" s="368">
        <f t="shared" si="1228"/>
        <v>0</v>
      </c>
      <c r="BJ257" s="369">
        <f t="shared" si="1229"/>
        <v>-0.12</v>
      </c>
      <c r="BK257" s="355">
        <f t="shared" si="1230"/>
        <v>0</v>
      </c>
      <c r="BL257" s="355">
        <f t="shared" si="1231"/>
        <v>0</v>
      </c>
      <c r="BN257" s="366">
        <f t="shared" si="1232"/>
        <v>0</v>
      </c>
      <c r="BO257" s="355">
        <f t="shared" si="1233"/>
        <v>0</v>
      </c>
      <c r="BP257" s="355">
        <f t="shared" si="1234"/>
        <v>0</v>
      </c>
      <c r="BQ257" s="355">
        <f t="shared" si="1235"/>
        <v>0</v>
      </c>
      <c r="BS257" s="367">
        <f t="shared" si="1236"/>
        <v>0</v>
      </c>
      <c r="BT257" s="355">
        <f t="shared" si="1237"/>
        <v>0</v>
      </c>
      <c r="BU257" s="355" t="b">
        <f t="shared" si="1201"/>
        <v>1</v>
      </c>
      <c r="BW257" s="355" t="str">
        <f t="shared" si="1238"/>
        <v/>
      </c>
      <c r="BX257" s="355">
        <f t="shared" si="1239"/>
        <v>0</v>
      </c>
      <c r="BY257" s="356">
        <f t="shared" si="1181"/>
        <v>0</v>
      </c>
      <c r="BZ257" s="355">
        <f t="shared" si="1240"/>
        <v>0</v>
      </c>
      <c r="CB257" s="102" t="str">
        <f t="shared" si="1241"/>
        <v>?</v>
      </c>
      <c r="CD257" s="355" t="str">
        <f t="shared" si="1242"/>
        <v>Não</v>
      </c>
      <c r="CE257" s="368">
        <f>ifzero(mlookup(tbl_ICMSinterest_data,UFdestino,tbl_ICMSinterest_ufdest,UForigem,tbl_ICMSinterest_uforig))</f>
        <v>0.12</v>
      </c>
      <c r="CF257" s="368">
        <f>IF(N257&gt;0,IF(I257&lt;&gt;"Serviço",ifzero(mlookup(tbl_ICMSinterno_data,UForigem,tbl_ICMSinterno_UF,O257,tbl_ICMSinterno_NCM),mlookup(tbl_ICMSinterest_data,UForigem,tbl_ICMSinterest_ufdest,UForigem,tbl_ICMSinterest_uforig)),""),0)</f>
        <v>0</v>
      </c>
      <c r="CG257" s="368">
        <f>IF(N257&gt;0,IF(I257&lt;&gt;"Serviço",ifzero(mlookup(tbl_ICMSinterno_data,UFdestino,tbl_ICMSinterno_UF,O257,tbl_ICMSinterno_NCM),mlookup(tbl_ICMSinterest_data,UFdestino,tbl_ICMSinterest_ufdest,UFdestino,tbl_ICMSinterest_uforig)),""),0)</f>
        <v>0</v>
      </c>
      <c r="CI257" s="355">
        <f t="shared" si="1243"/>
        <v>0</v>
      </c>
      <c r="CJ257" s="355">
        <f t="shared" si="1244"/>
        <v>0</v>
      </c>
      <c r="CK257" s="355">
        <f t="shared" si="1245"/>
        <v>0</v>
      </c>
      <c r="CL257" s="355">
        <f t="shared" si="1246"/>
        <v>0</v>
      </c>
      <c r="CN257" s="370">
        <f t="shared" si="1247"/>
        <v>1540</v>
      </c>
      <c r="CO257" s="355">
        <f t="shared" si="1248"/>
        <v>0</v>
      </c>
      <c r="CQ257" s="355" t="b">
        <f t="shared" si="1249"/>
        <v>0</v>
      </c>
      <c r="CR257" s="355" t="b">
        <f t="shared" si="1250"/>
        <v>1</v>
      </c>
      <c r="CS257" s="355" t="b">
        <f t="shared" si="1251"/>
        <v>0</v>
      </c>
      <c r="CU257" s="2">
        <f t="shared" si="1252"/>
        <v>0</v>
      </c>
      <c r="CV257" s="102">
        <f t="shared" si="1253"/>
        <v>0</v>
      </c>
      <c r="CW257" s="102">
        <f t="shared" si="1182"/>
        <v>0</v>
      </c>
      <c r="CX257" s="102">
        <f t="shared" si="1254"/>
        <v>0</v>
      </c>
      <c r="CY257" s="290">
        <f t="shared" si="1255"/>
        <v>0</v>
      </c>
      <c r="CZ257" s="102">
        <f t="shared" si="1184"/>
        <v>0</v>
      </c>
      <c r="DA257" s="290">
        <f t="shared" si="1256"/>
        <v>0</v>
      </c>
      <c r="DB257" s="102">
        <f t="shared" si="1185"/>
        <v>0</v>
      </c>
      <c r="DC257" s="290">
        <f t="shared" si="1257"/>
        <v>0</v>
      </c>
      <c r="DD257" s="102">
        <f t="shared" si="1183"/>
        <v>0</v>
      </c>
      <c r="DE257" s="592">
        <f>IF(D257="Sim",HLOOKUP($DH$5,Parametrização!$G$2:$H$4,2,FALSE),0)</f>
        <v>0</v>
      </c>
      <c r="DF257" s="102">
        <f t="shared" si="1186"/>
        <v>0</v>
      </c>
      <c r="DG257" s="592">
        <f>IF(D257="Sim",HLOOKUP($DH$5,Parametrização!$G$2:$H$4,3,FALSE),0)</f>
        <v>0</v>
      </c>
      <c r="DH257" s="102">
        <f t="shared" si="1187"/>
        <v>0</v>
      </c>
      <c r="DI257" s="102">
        <f t="shared" si="1188"/>
        <v>0</v>
      </c>
      <c r="DK257" s="3" t="str">
        <f t="shared" si="1258"/>
        <v>NA</v>
      </c>
      <c r="DL257" s="2" t="str">
        <f t="shared" si="1259"/>
        <v>NA</v>
      </c>
      <c r="DM257" s="3" t="str">
        <f t="shared" si="1260"/>
        <v>NA</v>
      </c>
      <c r="DN257" s="9" t="str">
        <f t="shared" si="1261"/>
        <v>NA</v>
      </c>
      <c r="DO257" s="637" t="str">
        <f t="shared" si="1262"/>
        <v>NA</v>
      </c>
      <c r="DP257" s="637"/>
      <c r="DQ257" s="3" t="str">
        <f t="shared" si="1263"/>
        <v>NA</v>
      </c>
      <c r="DR257" s="2" t="str">
        <f t="shared" si="1264"/>
        <v>NA</v>
      </c>
      <c r="DS257" s="3" t="str">
        <f t="shared" si="1265"/>
        <v>NA</v>
      </c>
      <c r="DT257" s="9" t="str">
        <f t="shared" si="1189"/>
        <v>NA</v>
      </c>
      <c r="DU257" s="637" t="str">
        <f t="shared" si="1190"/>
        <v>NA</v>
      </c>
      <c r="DV257" s="637"/>
      <c r="DW257" s="682"/>
      <c r="DX257" s="682"/>
      <c r="DY257" s="682"/>
      <c r="DZ257" s="637"/>
      <c r="EA257" s="643"/>
    </row>
    <row r="258" spans="1:131" s="355" customFormat="1" ht="20.100000000000001" customHeight="1" outlineLevel="1" x14ac:dyDescent="0.25">
      <c r="A258" s="356"/>
      <c r="B258" s="355" t="s">
        <v>268</v>
      </c>
      <c r="C258" s="355" t="str">
        <f t="shared" si="1266"/>
        <v>Consumo</v>
      </c>
      <c r="D258" s="355" t="s">
        <v>53</v>
      </c>
      <c r="E258" s="18" t="s">
        <v>38</v>
      </c>
      <c r="F258" s="355" t="s">
        <v>53</v>
      </c>
      <c r="G258" s="357" t="str">
        <f t="shared" si="1267"/>
        <v>Geral</v>
      </c>
      <c r="H258" s="255" t="s">
        <v>377</v>
      </c>
      <c r="I258" s="356" t="str">
        <f t="shared" si="1202"/>
        <v>Sistema</v>
      </c>
      <c r="K258" s="318" t="s">
        <v>3011</v>
      </c>
      <c r="L258" s="749" t="str">
        <f>IF(Padrões!JF199&lt;&gt;"",Padrões!JF199,"")</f>
        <v/>
      </c>
      <c r="M258" s="358" t="str">
        <f t="shared" si="1196"/>
        <v>?</v>
      </c>
      <c r="N258" s="359">
        <f>Padrões!JI199</f>
        <v>0</v>
      </c>
      <c r="O258" s="381" t="str">
        <f t="shared" si="1203"/>
        <v>?</v>
      </c>
      <c r="P258" s="360">
        <f t="shared" si="1204"/>
        <v>0.12</v>
      </c>
      <c r="Q258" s="360" t="str">
        <f t="shared" si="1205"/>
        <v>?</v>
      </c>
      <c r="R258" s="360">
        <f t="shared" si="1206"/>
        <v>0</v>
      </c>
      <c r="S258" s="361">
        <f t="shared" si="1207"/>
        <v>0</v>
      </c>
      <c r="T258" s="362">
        <f t="shared" si="1208"/>
        <v>0</v>
      </c>
      <c r="U258" s="53" t="str" cm="1">
        <f t="array" ref="U258">IFERROR(IF(I258&lt;&gt;"Serviço",IF(AND(mlookup(tbl_DIFAL_data,UFdestino,tbl_DIFAL_UF,O258,tbl_DIFAL_NCM)&lt;&gt;"",C258="Consumo"),"Sim",""),""),"?")</f>
        <v>?</v>
      </c>
      <c r="V258" s="363" t="str">
        <f>IFERROR(IF(I258&lt;&gt;"Serviço",IF(AND(D258="Não",mlookup(tbl_ST_data,UFdestino,tbl_ST_UF,O258,tbl_ST_NCM)&lt;&gt;"",C258="Revenda",CD258="Não"),"Sim",""),""),"?")</f>
        <v>?</v>
      </c>
      <c r="W258" s="364">
        <f t="shared" si="1209"/>
        <v>0</v>
      </c>
      <c r="X258" s="365">
        <f>IF(V258="Sim",mlookup(tbl_ST_data,UFdestino,tbl_ST_UF,O258,tbl_ST_NCM),0)</f>
        <v>0</v>
      </c>
      <c r="Z258" s="355">
        <f t="shared" si="1210"/>
        <v>0</v>
      </c>
      <c r="AA258" s="355">
        <f t="shared" si="1197"/>
        <v>0</v>
      </c>
      <c r="AC258" s="366">
        <f t="shared" si="1179"/>
        <v>1.31243473968765E-2</v>
      </c>
      <c r="AD258" s="366">
        <f t="shared" si="1211"/>
        <v>0.15</v>
      </c>
      <c r="AF258" s="355">
        <f t="shared" si="1212"/>
        <v>0</v>
      </c>
      <c r="AG258" s="355">
        <f t="shared" si="1213"/>
        <v>0</v>
      </c>
      <c r="AI258" s="355">
        <f t="shared" si="1214"/>
        <v>0</v>
      </c>
      <c r="AK258" s="366">
        <f t="shared" si="1180"/>
        <v>0</v>
      </c>
      <c r="AL258" s="355">
        <f t="shared" si="1198"/>
        <v>0</v>
      </c>
      <c r="AM258" s="355">
        <f t="shared" si="1199"/>
        <v>0</v>
      </c>
      <c r="AO258" s="355" t="b">
        <f t="shared" si="1215"/>
        <v>1</v>
      </c>
      <c r="AQ258" s="367">
        <f t="shared" si="1216"/>
        <v>0</v>
      </c>
      <c r="AR258" s="367">
        <f t="shared" si="1200"/>
        <v>0</v>
      </c>
      <c r="AT258" s="367">
        <f t="shared" si="1217"/>
        <v>0</v>
      </c>
      <c r="AU258" s="367">
        <f t="shared" si="1218"/>
        <v>0</v>
      </c>
      <c r="AW258" s="367">
        <f t="shared" si="1219"/>
        <v>0</v>
      </c>
      <c r="AX258" s="367">
        <f t="shared" si="1220"/>
        <v>0</v>
      </c>
      <c r="AY258" s="367">
        <f t="shared" si="1221"/>
        <v>0</v>
      </c>
      <c r="AZ258" s="367">
        <f t="shared" si="1222"/>
        <v>0</v>
      </c>
      <c r="BB258" s="355">
        <f t="shared" si="1223"/>
        <v>0</v>
      </c>
      <c r="BC258" s="355">
        <f t="shared" si="1224"/>
        <v>0</v>
      </c>
      <c r="BD258" s="355">
        <f t="shared" si="1225"/>
        <v>0</v>
      </c>
      <c r="BE258" s="355">
        <f t="shared" si="1226"/>
        <v>0</v>
      </c>
      <c r="BF258" s="355">
        <f t="shared" si="1227"/>
        <v>0</v>
      </c>
      <c r="BH258" s="368">
        <f t="shared" si="1228"/>
        <v>0</v>
      </c>
      <c r="BJ258" s="369">
        <f t="shared" si="1229"/>
        <v>-0.12</v>
      </c>
      <c r="BK258" s="355">
        <f t="shared" si="1230"/>
        <v>0</v>
      </c>
      <c r="BL258" s="355">
        <f t="shared" si="1231"/>
        <v>0</v>
      </c>
      <c r="BN258" s="366">
        <f t="shared" si="1232"/>
        <v>0</v>
      </c>
      <c r="BO258" s="355">
        <f t="shared" si="1233"/>
        <v>0</v>
      </c>
      <c r="BP258" s="355">
        <f t="shared" si="1234"/>
        <v>0</v>
      </c>
      <c r="BQ258" s="355">
        <f t="shared" si="1235"/>
        <v>0</v>
      </c>
      <c r="BS258" s="367">
        <f t="shared" si="1236"/>
        <v>0</v>
      </c>
      <c r="BT258" s="355">
        <f t="shared" si="1237"/>
        <v>0</v>
      </c>
      <c r="BU258" s="355" t="b">
        <f t="shared" si="1201"/>
        <v>1</v>
      </c>
      <c r="BW258" s="355" t="str">
        <f t="shared" si="1238"/>
        <v/>
      </c>
      <c r="BX258" s="355">
        <f t="shared" si="1239"/>
        <v>0</v>
      </c>
      <c r="BY258" s="356">
        <f t="shared" si="1181"/>
        <v>0</v>
      </c>
      <c r="BZ258" s="355">
        <f t="shared" si="1240"/>
        <v>0</v>
      </c>
      <c r="CB258" s="102" t="str">
        <f t="shared" si="1241"/>
        <v>?</v>
      </c>
      <c r="CD258" s="355" t="str">
        <f t="shared" si="1242"/>
        <v>Não</v>
      </c>
      <c r="CE258" s="368">
        <f>ifzero(mlookup(tbl_ICMSinterest_data,UFdestino,tbl_ICMSinterest_ufdest,UForigem,tbl_ICMSinterest_uforig))</f>
        <v>0.12</v>
      </c>
      <c r="CF258" s="368">
        <f>IF(N258&gt;0,IF(I258&lt;&gt;"Serviço",ifzero(mlookup(tbl_ICMSinterno_data,UForigem,tbl_ICMSinterno_UF,O258,tbl_ICMSinterno_NCM),mlookup(tbl_ICMSinterest_data,UForigem,tbl_ICMSinterest_ufdest,UForigem,tbl_ICMSinterest_uforig)),""),0)</f>
        <v>0</v>
      </c>
      <c r="CG258" s="368">
        <f>IF(N258&gt;0,IF(I258&lt;&gt;"Serviço",ifzero(mlookup(tbl_ICMSinterno_data,UFdestino,tbl_ICMSinterno_UF,O258,tbl_ICMSinterno_NCM),mlookup(tbl_ICMSinterest_data,UFdestino,tbl_ICMSinterest_ufdest,UFdestino,tbl_ICMSinterest_uforig)),""),0)</f>
        <v>0</v>
      </c>
      <c r="CI258" s="355">
        <f t="shared" si="1243"/>
        <v>0</v>
      </c>
      <c r="CJ258" s="355">
        <f t="shared" si="1244"/>
        <v>0</v>
      </c>
      <c r="CK258" s="355">
        <f t="shared" si="1245"/>
        <v>0</v>
      </c>
      <c r="CL258" s="355">
        <f t="shared" si="1246"/>
        <v>0</v>
      </c>
      <c r="CN258" s="370">
        <f t="shared" si="1247"/>
        <v>1540</v>
      </c>
      <c r="CO258" s="355">
        <f t="shared" si="1248"/>
        <v>0</v>
      </c>
      <c r="CQ258" s="355" t="b">
        <f t="shared" si="1249"/>
        <v>0</v>
      </c>
      <c r="CR258" s="355" t="b">
        <f t="shared" si="1250"/>
        <v>1</v>
      </c>
      <c r="CS258" s="355" t="b">
        <f t="shared" si="1251"/>
        <v>0</v>
      </c>
      <c r="CU258" s="2">
        <f t="shared" si="1252"/>
        <v>0</v>
      </c>
      <c r="CV258" s="102">
        <f t="shared" si="1253"/>
        <v>0</v>
      </c>
      <c r="CW258" s="102">
        <f t="shared" si="1182"/>
        <v>0</v>
      </c>
      <c r="CX258" s="102">
        <f t="shared" si="1254"/>
        <v>0</v>
      </c>
      <c r="CY258" s="290">
        <f t="shared" si="1255"/>
        <v>0</v>
      </c>
      <c r="CZ258" s="102">
        <f t="shared" si="1184"/>
        <v>0</v>
      </c>
      <c r="DA258" s="290">
        <f t="shared" si="1256"/>
        <v>0</v>
      </c>
      <c r="DB258" s="102">
        <f t="shared" si="1185"/>
        <v>0</v>
      </c>
      <c r="DC258" s="290">
        <f t="shared" si="1257"/>
        <v>0</v>
      </c>
      <c r="DD258" s="102">
        <f t="shared" si="1183"/>
        <v>0</v>
      </c>
      <c r="DE258" s="592">
        <f>IF(D258="Sim",HLOOKUP($DH$5,Parametrização!$G$2:$H$4,2,FALSE),0)</f>
        <v>0</v>
      </c>
      <c r="DF258" s="102">
        <f t="shared" si="1186"/>
        <v>0</v>
      </c>
      <c r="DG258" s="592">
        <f>IF(D258="Sim",HLOOKUP($DH$5,Parametrização!$G$2:$H$4,3,FALSE),0)</f>
        <v>0</v>
      </c>
      <c r="DH258" s="102">
        <f t="shared" si="1187"/>
        <v>0</v>
      </c>
      <c r="DI258" s="102">
        <f t="shared" si="1188"/>
        <v>0</v>
      </c>
      <c r="DK258" s="3" t="str">
        <f t="shared" si="1258"/>
        <v>NA</v>
      </c>
      <c r="DL258" s="2" t="str">
        <f t="shared" si="1259"/>
        <v>NA</v>
      </c>
      <c r="DM258" s="3" t="str">
        <f t="shared" si="1260"/>
        <v>NA</v>
      </c>
      <c r="DN258" s="9" t="str">
        <f t="shared" si="1261"/>
        <v>NA</v>
      </c>
      <c r="DO258" s="637" t="str">
        <f t="shared" si="1262"/>
        <v>NA</v>
      </c>
      <c r="DP258" s="637"/>
      <c r="DQ258" s="3" t="str">
        <f t="shared" si="1263"/>
        <v>NA</v>
      </c>
      <c r="DR258" s="2" t="str">
        <f t="shared" si="1264"/>
        <v>NA</v>
      </c>
      <c r="DS258" s="3" t="str">
        <f t="shared" si="1265"/>
        <v>NA</v>
      </c>
      <c r="DT258" s="9" t="str">
        <f t="shared" si="1189"/>
        <v>NA</v>
      </c>
      <c r="DU258" s="637" t="str">
        <f t="shared" si="1190"/>
        <v>NA</v>
      </c>
      <c r="DV258" s="637"/>
      <c r="DW258" s="682"/>
      <c r="DX258" s="682"/>
      <c r="DY258" s="682"/>
      <c r="DZ258" s="637"/>
      <c r="EA258" s="643"/>
    </row>
    <row r="259" spans="1:131" s="355" customFormat="1" ht="20.100000000000001" customHeight="1" outlineLevel="1" x14ac:dyDescent="0.25">
      <c r="A259" s="356"/>
      <c r="B259" s="355" t="s">
        <v>268</v>
      </c>
      <c r="C259" s="355" t="str">
        <f t="shared" si="1266"/>
        <v>Consumo</v>
      </c>
      <c r="D259" s="355" t="s">
        <v>53</v>
      </c>
      <c r="E259" s="18" t="s">
        <v>38</v>
      </c>
      <c r="F259" s="355" t="s">
        <v>53</v>
      </c>
      <c r="G259" s="357" t="str">
        <f t="shared" si="1267"/>
        <v>Geral</v>
      </c>
      <c r="H259" s="255" t="s">
        <v>377</v>
      </c>
      <c r="I259" s="356" t="str">
        <f t="shared" si="1202"/>
        <v>Sistema</v>
      </c>
      <c r="K259" s="318" t="s">
        <v>3012</v>
      </c>
      <c r="L259" s="749" t="str">
        <f>IF(Padrões!JF200&lt;&gt;"",Padrões!JF200,"")</f>
        <v/>
      </c>
      <c r="M259" s="358" t="str">
        <f t="shared" si="1196"/>
        <v>?</v>
      </c>
      <c r="N259" s="359">
        <f>Padrões!JI200</f>
        <v>0</v>
      </c>
      <c r="O259" s="381" t="str">
        <f t="shared" si="1203"/>
        <v>?</v>
      </c>
      <c r="P259" s="360">
        <f t="shared" si="1204"/>
        <v>0.12</v>
      </c>
      <c r="Q259" s="360" t="str">
        <f t="shared" si="1205"/>
        <v>?</v>
      </c>
      <c r="R259" s="360">
        <f t="shared" si="1206"/>
        <v>0</v>
      </c>
      <c r="S259" s="361">
        <f t="shared" si="1207"/>
        <v>0</v>
      </c>
      <c r="T259" s="362">
        <f t="shared" si="1208"/>
        <v>0</v>
      </c>
      <c r="U259" s="53" t="str" cm="1">
        <f t="array" ref="U259">IFERROR(IF(I259&lt;&gt;"Serviço",IF(AND(mlookup(tbl_DIFAL_data,UFdestino,tbl_DIFAL_UF,O259,tbl_DIFAL_NCM)&lt;&gt;"",C259="Consumo"),"Sim",""),""),"?")</f>
        <v>?</v>
      </c>
      <c r="V259" s="363" t="str">
        <f>IFERROR(IF(I259&lt;&gt;"Serviço",IF(AND(D259="Não",mlookup(tbl_ST_data,UFdestino,tbl_ST_UF,O259,tbl_ST_NCM)&lt;&gt;"",C259="Revenda",CD259="Não"),"Sim",""),""),"?")</f>
        <v>?</v>
      </c>
      <c r="W259" s="364">
        <f t="shared" si="1209"/>
        <v>0</v>
      </c>
      <c r="X259" s="365">
        <f>IF(V259="Sim",mlookup(tbl_ST_data,UFdestino,tbl_ST_UF,O259,tbl_ST_NCM),0)</f>
        <v>0</v>
      </c>
      <c r="Z259" s="355">
        <f t="shared" si="1210"/>
        <v>0</v>
      </c>
      <c r="AA259" s="355">
        <f t="shared" si="1197"/>
        <v>0</v>
      </c>
      <c r="AC259" s="366">
        <f t="shared" si="1179"/>
        <v>1.31243473968765E-2</v>
      </c>
      <c r="AD259" s="366">
        <f t="shared" si="1211"/>
        <v>0.15</v>
      </c>
      <c r="AF259" s="355">
        <f t="shared" si="1212"/>
        <v>0</v>
      </c>
      <c r="AG259" s="355">
        <f t="shared" si="1213"/>
        <v>0</v>
      </c>
      <c r="AI259" s="355">
        <f t="shared" si="1214"/>
        <v>0</v>
      </c>
      <c r="AK259" s="366">
        <f t="shared" si="1180"/>
        <v>0</v>
      </c>
      <c r="AL259" s="355">
        <f t="shared" si="1198"/>
        <v>0</v>
      </c>
      <c r="AM259" s="355">
        <f t="shared" si="1199"/>
        <v>0</v>
      </c>
      <c r="AO259" s="355" t="b">
        <f t="shared" si="1215"/>
        <v>1</v>
      </c>
      <c r="AQ259" s="367">
        <f t="shared" si="1216"/>
        <v>0</v>
      </c>
      <c r="AR259" s="367">
        <f t="shared" si="1200"/>
        <v>0</v>
      </c>
      <c r="AT259" s="367">
        <f t="shared" si="1217"/>
        <v>0</v>
      </c>
      <c r="AU259" s="367">
        <f t="shared" si="1218"/>
        <v>0</v>
      </c>
      <c r="AW259" s="367">
        <f t="shared" si="1219"/>
        <v>0</v>
      </c>
      <c r="AX259" s="367">
        <f t="shared" si="1220"/>
        <v>0</v>
      </c>
      <c r="AY259" s="367">
        <f t="shared" si="1221"/>
        <v>0</v>
      </c>
      <c r="AZ259" s="367">
        <f t="shared" si="1222"/>
        <v>0</v>
      </c>
      <c r="BB259" s="355">
        <f t="shared" si="1223"/>
        <v>0</v>
      </c>
      <c r="BC259" s="355">
        <f t="shared" si="1224"/>
        <v>0</v>
      </c>
      <c r="BD259" s="355">
        <f t="shared" si="1225"/>
        <v>0</v>
      </c>
      <c r="BE259" s="355">
        <f t="shared" si="1226"/>
        <v>0</v>
      </c>
      <c r="BF259" s="355">
        <f t="shared" si="1227"/>
        <v>0</v>
      </c>
      <c r="BH259" s="368">
        <f t="shared" si="1228"/>
        <v>0</v>
      </c>
      <c r="BJ259" s="369">
        <f t="shared" si="1229"/>
        <v>-0.12</v>
      </c>
      <c r="BK259" s="355">
        <f t="shared" si="1230"/>
        <v>0</v>
      </c>
      <c r="BL259" s="355">
        <f t="shared" si="1231"/>
        <v>0</v>
      </c>
      <c r="BN259" s="366">
        <f t="shared" si="1232"/>
        <v>0</v>
      </c>
      <c r="BO259" s="355">
        <f t="shared" si="1233"/>
        <v>0</v>
      </c>
      <c r="BP259" s="355">
        <f t="shared" si="1234"/>
        <v>0</v>
      </c>
      <c r="BQ259" s="355">
        <f t="shared" si="1235"/>
        <v>0</v>
      </c>
      <c r="BS259" s="367">
        <f t="shared" si="1236"/>
        <v>0</v>
      </c>
      <c r="BT259" s="355">
        <f t="shared" si="1237"/>
        <v>0</v>
      </c>
      <c r="BU259" s="355" t="b">
        <f t="shared" si="1201"/>
        <v>1</v>
      </c>
      <c r="BW259" s="355" t="str">
        <f t="shared" si="1238"/>
        <v/>
      </c>
      <c r="BX259" s="355">
        <f t="shared" si="1239"/>
        <v>0</v>
      </c>
      <c r="BY259" s="356">
        <f t="shared" si="1181"/>
        <v>0</v>
      </c>
      <c r="BZ259" s="355">
        <f t="shared" si="1240"/>
        <v>0</v>
      </c>
      <c r="CB259" s="102" t="str">
        <f t="shared" si="1241"/>
        <v>?</v>
      </c>
      <c r="CD259" s="355" t="str">
        <f t="shared" si="1242"/>
        <v>Não</v>
      </c>
      <c r="CE259" s="368">
        <f>ifzero(mlookup(tbl_ICMSinterest_data,UFdestino,tbl_ICMSinterest_ufdest,UForigem,tbl_ICMSinterest_uforig))</f>
        <v>0.12</v>
      </c>
      <c r="CF259" s="368">
        <f>IF(N259&gt;0,IF(I259&lt;&gt;"Serviço",ifzero(mlookup(tbl_ICMSinterno_data,UForigem,tbl_ICMSinterno_UF,O259,tbl_ICMSinterno_NCM),mlookup(tbl_ICMSinterest_data,UForigem,tbl_ICMSinterest_ufdest,UForigem,tbl_ICMSinterest_uforig)),""),0)</f>
        <v>0</v>
      </c>
      <c r="CG259" s="368">
        <f>IF(N259&gt;0,IF(I259&lt;&gt;"Serviço",ifzero(mlookup(tbl_ICMSinterno_data,UFdestino,tbl_ICMSinterno_UF,O259,tbl_ICMSinterno_NCM),mlookup(tbl_ICMSinterest_data,UFdestino,tbl_ICMSinterest_ufdest,UFdestino,tbl_ICMSinterest_uforig)),""),0)</f>
        <v>0</v>
      </c>
      <c r="CI259" s="355">
        <f t="shared" si="1243"/>
        <v>0</v>
      </c>
      <c r="CJ259" s="355">
        <f t="shared" si="1244"/>
        <v>0</v>
      </c>
      <c r="CK259" s="355">
        <f t="shared" si="1245"/>
        <v>0</v>
      </c>
      <c r="CL259" s="355">
        <f t="shared" si="1246"/>
        <v>0</v>
      </c>
      <c r="CN259" s="370">
        <f t="shared" si="1247"/>
        <v>1540</v>
      </c>
      <c r="CO259" s="355">
        <f t="shared" si="1248"/>
        <v>0</v>
      </c>
      <c r="CQ259" s="355" t="b">
        <f t="shared" si="1249"/>
        <v>0</v>
      </c>
      <c r="CR259" s="355" t="b">
        <f t="shared" si="1250"/>
        <v>1</v>
      </c>
      <c r="CS259" s="355" t="b">
        <f t="shared" si="1251"/>
        <v>0</v>
      </c>
      <c r="CU259" s="2">
        <f t="shared" si="1252"/>
        <v>0</v>
      </c>
      <c r="CV259" s="102">
        <f t="shared" si="1253"/>
        <v>0</v>
      </c>
      <c r="CW259" s="102">
        <f t="shared" si="1182"/>
        <v>0</v>
      </c>
      <c r="CX259" s="102">
        <f t="shared" si="1254"/>
        <v>0</v>
      </c>
      <c r="CY259" s="290">
        <f t="shared" si="1255"/>
        <v>0</v>
      </c>
      <c r="CZ259" s="102">
        <f t="shared" si="1184"/>
        <v>0</v>
      </c>
      <c r="DA259" s="290">
        <f t="shared" si="1256"/>
        <v>0</v>
      </c>
      <c r="DB259" s="102">
        <f t="shared" si="1185"/>
        <v>0</v>
      </c>
      <c r="DC259" s="290">
        <f t="shared" si="1257"/>
        <v>0</v>
      </c>
      <c r="DD259" s="102">
        <f t="shared" si="1183"/>
        <v>0</v>
      </c>
      <c r="DE259" s="592">
        <f>IF(D259="Sim",HLOOKUP($DH$5,Parametrização!$G$2:$H$4,2,FALSE),0)</f>
        <v>0</v>
      </c>
      <c r="DF259" s="102">
        <f t="shared" si="1186"/>
        <v>0</v>
      </c>
      <c r="DG259" s="592">
        <f>IF(D259="Sim",HLOOKUP($DH$5,Parametrização!$G$2:$H$4,3,FALSE),0)</f>
        <v>0</v>
      </c>
      <c r="DH259" s="102">
        <f t="shared" si="1187"/>
        <v>0</v>
      </c>
      <c r="DI259" s="102">
        <f t="shared" si="1188"/>
        <v>0</v>
      </c>
      <c r="DK259" s="3" t="str">
        <f t="shared" si="1258"/>
        <v>NA</v>
      </c>
      <c r="DL259" s="2" t="str">
        <f t="shared" si="1259"/>
        <v>NA</v>
      </c>
      <c r="DM259" s="3" t="str">
        <f t="shared" si="1260"/>
        <v>NA</v>
      </c>
      <c r="DN259" s="9" t="str">
        <f t="shared" si="1261"/>
        <v>NA</v>
      </c>
      <c r="DO259" s="637" t="str">
        <f t="shared" si="1262"/>
        <v>NA</v>
      </c>
      <c r="DP259" s="637"/>
      <c r="DQ259" s="3" t="str">
        <f t="shared" si="1263"/>
        <v>NA</v>
      </c>
      <c r="DR259" s="2" t="str">
        <f t="shared" si="1264"/>
        <v>NA</v>
      </c>
      <c r="DS259" s="3" t="str">
        <f t="shared" si="1265"/>
        <v>NA</v>
      </c>
      <c r="DT259" s="9" t="str">
        <f t="shared" si="1189"/>
        <v>NA</v>
      </c>
      <c r="DU259" s="637" t="str">
        <f t="shared" si="1190"/>
        <v>NA</v>
      </c>
      <c r="DV259" s="637"/>
      <c r="DW259" s="682"/>
      <c r="DX259" s="682"/>
      <c r="DY259" s="682"/>
      <c r="DZ259" s="637"/>
      <c r="EA259" s="643"/>
    </row>
    <row r="260" spans="1:131" s="355" customFormat="1" ht="20.100000000000001" customHeight="1" outlineLevel="1" x14ac:dyDescent="0.25">
      <c r="A260" s="356"/>
      <c r="B260" s="355" t="s">
        <v>268</v>
      </c>
      <c r="C260" s="355" t="str">
        <f t="shared" si="1266"/>
        <v>Consumo</v>
      </c>
      <c r="D260" s="355" t="s">
        <v>53</v>
      </c>
      <c r="E260" s="18" t="s">
        <v>38</v>
      </c>
      <c r="F260" s="355" t="s">
        <v>53</v>
      </c>
      <c r="G260" s="357" t="str">
        <f t="shared" si="1267"/>
        <v>Geral</v>
      </c>
      <c r="H260" s="255" t="s">
        <v>377</v>
      </c>
      <c r="I260" s="356" t="str">
        <f t="shared" si="1202"/>
        <v>Sistema</v>
      </c>
      <c r="K260" s="318" t="s">
        <v>3013</v>
      </c>
      <c r="L260" s="749" t="str">
        <f>IF(Padrões!JF201&lt;&gt;"",Padrões!JF201,"")</f>
        <v/>
      </c>
      <c r="M260" s="358" t="str">
        <f t="shared" si="1196"/>
        <v>?</v>
      </c>
      <c r="N260" s="359">
        <f>Padrões!JI201</f>
        <v>0</v>
      </c>
      <c r="O260" s="381" t="str">
        <f t="shared" si="1203"/>
        <v>?</v>
      </c>
      <c r="P260" s="360">
        <f t="shared" si="1204"/>
        <v>0.12</v>
      </c>
      <c r="Q260" s="360" t="str">
        <f t="shared" si="1205"/>
        <v>?</v>
      </c>
      <c r="R260" s="360">
        <f t="shared" si="1206"/>
        <v>0</v>
      </c>
      <c r="S260" s="361">
        <f t="shared" si="1207"/>
        <v>0</v>
      </c>
      <c r="T260" s="362">
        <f t="shared" si="1208"/>
        <v>0</v>
      </c>
      <c r="U260" s="53" t="str" cm="1">
        <f t="array" ref="U260">IFERROR(IF(I260&lt;&gt;"Serviço",IF(AND(mlookup(tbl_DIFAL_data,UFdestino,tbl_DIFAL_UF,O260,tbl_DIFAL_NCM)&lt;&gt;"",C260="Consumo"),"Sim",""),""),"?")</f>
        <v>?</v>
      </c>
      <c r="V260" s="363" t="str">
        <f>IFERROR(IF(I260&lt;&gt;"Serviço",IF(AND(D260="Não",mlookup(tbl_ST_data,UFdestino,tbl_ST_UF,O260,tbl_ST_NCM)&lt;&gt;"",C260="Revenda",CD260="Não"),"Sim",""),""),"?")</f>
        <v>?</v>
      </c>
      <c r="W260" s="364">
        <f t="shared" si="1209"/>
        <v>0</v>
      </c>
      <c r="X260" s="365">
        <f>IF(V260="Sim",mlookup(tbl_ST_data,UFdestino,tbl_ST_UF,O260,tbl_ST_NCM),0)</f>
        <v>0</v>
      </c>
      <c r="Z260" s="355">
        <f t="shared" si="1210"/>
        <v>0</v>
      </c>
      <c r="AA260" s="355">
        <f t="shared" si="1197"/>
        <v>0</v>
      </c>
      <c r="AC260" s="366">
        <f t="shared" ref="AC260:AC272" si="1268">cobertura_pc</f>
        <v>1.31243473968765E-2</v>
      </c>
      <c r="AD260" s="366">
        <f t="shared" si="1211"/>
        <v>0.15</v>
      </c>
      <c r="AF260" s="355">
        <f t="shared" si="1212"/>
        <v>0</v>
      </c>
      <c r="AG260" s="355">
        <f t="shared" si="1213"/>
        <v>0</v>
      </c>
      <c r="AI260" s="355">
        <f t="shared" si="1214"/>
        <v>0</v>
      </c>
      <c r="AK260" s="366">
        <f t="shared" ref="AK260:AK272" si="1269">mn_pc</f>
        <v>0</v>
      </c>
      <c r="AL260" s="355">
        <f t="shared" si="1198"/>
        <v>0</v>
      </c>
      <c r="AM260" s="355">
        <f t="shared" si="1199"/>
        <v>0</v>
      </c>
      <c r="AO260" s="355" t="b">
        <f t="shared" si="1215"/>
        <v>1</v>
      </c>
      <c r="AQ260" s="367">
        <f t="shared" si="1216"/>
        <v>0</v>
      </c>
      <c r="AR260" s="367">
        <f t="shared" si="1200"/>
        <v>0</v>
      </c>
      <c r="AT260" s="367">
        <f t="shared" si="1217"/>
        <v>0</v>
      </c>
      <c r="AU260" s="367">
        <f t="shared" si="1218"/>
        <v>0</v>
      </c>
      <c r="AW260" s="367">
        <f t="shared" si="1219"/>
        <v>0</v>
      </c>
      <c r="AX260" s="367">
        <f t="shared" si="1220"/>
        <v>0</v>
      </c>
      <c r="AY260" s="367">
        <f t="shared" si="1221"/>
        <v>0</v>
      </c>
      <c r="AZ260" s="367">
        <f t="shared" si="1222"/>
        <v>0</v>
      </c>
      <c r="BB260" s="355">
        <f t="shared" si="1223"/>
        <v>0</v>
      </c>
      <c r="BC260" s="355">
        <f t="shared" si="1224"/>
        <v>0</v>
      </c>
      <c r="BD260" s="355">
        <f t="shared" si="1225"/>
        <v>0</v>
      </c>
      <c r="BE260" s="355">
        <f t="shared" si="1226"/>
        <v>0</v>
      </c>
      <c r="BF260" s="355">
        <f t="shared" si="1227"/>
        <v>0</v>
      </c>
      <c r="BH260" s="368">
        <f t="shared" si="1228"/>
        <v>0</v>
      </c>
      <c r="BJ260" s="369">
        <f t="shared" si="1229"/>
        <v>-0.12</v>
      </c>
      <c r="BK260" s="355">
        <f t="shared" si="1230"/>
        <v>0</v>
      </c>
      <c r="BL260" s="355">
        <f t="shared" si="1231"/>
        <v>0</v>
      </c>
      <c r="BN260" s="366">
        <f t="shared" si="1232"/>
        <v>0</v>
      </c>
      <c r="BO260" s="355">
        <f t="shared" si="1233"/>
        <v>0</v>
      </c>
      <c r="BP260" s="355">
        <f t="shared" si="1234"/>
        <v>0</v>
      </c>
      <c r="BQ260" s="355">
        <f t="shared" si="1235"/>
        <v>0</v>
      </c>
      <c r="BS260" s="367">
        <f t="shared" si="1236"/>
        <v>0</v>
      </c>
      <c r="BT260" s="355">
        <f t="shared" si="1237"/>
        <v>0</v>
      </c>
      <c r="BU260" s="355" t="b">
        <f t="shared" si="1201"/>
        <v>1</v>
      </c>
      <c r="BW260" s="355" t="str">
        <f t="shared" si="1238"/>
        <v/>
      </c>
      <c r="BX260" s="355">
        <f t="shared" si="1239"/>
        <v>0</v>
      </c>
      <c r="BY260" s="356">
        <f t="shared" si="1181"/>
        <v>0</v>
      </c>
      <c r="BZ260" s="355">
        <f t="shared" si="1240"/>
        <v>0</v>
      </c>
      <c r="CB260" s="102" t="str">
        <f t="shared" si="1241"/>
        <v>?</v>
      </c>
      <c r="CD260" s="355" t="str">
        <f t="shared" si="1242"/>
        <v>Não</v>
      </c>
      <c r="CE260" s="368">
        <f>ifzero(mlookup(tbl_ICMSinterest_data,UFdestino,tbl_ICMSinterest_ufdest,UForigem,tbl_ICMSinterest_uforig))</f>
        <v>0.12</v>
      </c>
      <c r="CF260" s="368">
        <f>IF(N260&gt;0,IF(I260&lt;&gt;"Serviço",ifzero(mlookup(tbl_ICMSinterno_data,UForigem,tbl_ICMSinterno_UF,O260,tbl_ICMSinterno_NCM),mlookup(tbl_ICMSinterest_data,UForigem,tbl_ICMSinterest_ufdest,UForigem,tbl_ICMSinterest_uforig)),""),0)</f>
        <v>0</v>
      </c>
      <c r="CG260" s="368">
        <f>IF(N260&gt;0,IF(I260&lt;&gt;"Serviço",ifzero(mlookup(tbl_ICMSinterno_data,UFdestino,tbl_ICMSinterno_UF,O260,tbl_ICMSinterno_NCM),mlookup(tbl_ICMSinterest_data,UFdestino,tbl_ICMSinterest_ufdest,UFdestino,tbl_ICMSinterest_uforig)),""),0)</f>
        <v>0</v>
      </c>
      <c r="CI260" s="355">
        <f t="shared" si="1243"/>
        <v>0</v>
      </c>
      <c r="CJ260" s="355">
        <f t="shared" si="1244"/>
        <v>0</v>
      </c>
      <c r="CK260" s="355">
        <f t="shared" si="1245"/>
        <v>0</v>
      </c>
      <c r="CL260" s="355">
        <f t="shared" si="1246"/>
        <v>0</v>
      </c>
      <c r="CN260" s="370">
        <f t="shared" si="1247"/>
        <v>1540</v>
      </c>
      <c r="CO260" s="355">
        <f t="shared" si="1248"/>
        <v>0</v>
      </c>
      <c r="CQ260" s="355" t="b">
        <f t="shared" si="1249"/>
        <v>0</v>
      </c>
      <c r="CR260" s="355" t="b">
        <f t="shared" si="1250"/>
        <v>1</v>
      </c>
      <c r="CS260" s="355" t="b">
        <f t="shared" si="1251"/>
        <v>0</v>
      </c>
      <c r="CU260" s="2">
        <f t="shared" si="1252"/>
        <v>0</v>
      </c>
      <c r="CV260" s="102">
        <f t="shared" si="1253"/>
        <v>0</v>
      </c>
      <c r="CW260" s="102">
        <f t="shared" si="1182"/>
        <v>0</v>
      </c>
      <c r="CX260" s="102">
        <f t="shared" si="1254"/>
        <v>0</v>
      </c>
      <c r="CY260" s="290">
        <f t="shared" si="1255"/>
        <v>0</v>
      </c>
      <c r="CZ260" s="102">
        <f t="shared" si="1184"/>
        <v>0</v>
      </c>
      <c r="DA260" s="290">
        <f t="shared" si="1256"/>
        <v>0</v>
      </c>
      <c r="DB260" s="102">
        <f t="shared" si="1185"/>
        <v>0</v>
      </c>
      <c r="DC260" s="290">
        <f t="shared" si="1257"/>
        <v>0</v>
      </c>
      <c r="DD260" s="102">
        <f t="shared" si="1183"/>
        <v>0</v>
      </c>
      <c r="DE260" s="592">
        <f>IF(D260="Sim",HLOOKUP($DH$5,Parametrização!$G$2:$H$4,2,FALSE),0)</f>
        <v>0</v>
      </c>
      <c r="DF260" s="102">
        <f t="shared" si="1186"/>
        <v>0</v>
      </c>
      <c r="DG260" s="592">
        <f>IF(D260="Sim",HLOOKUP($DH$5,Parametrização!$G$2:$H$4,3,FALSE),0)</f>
        <v>0</v>
      </c>
      <c r="DH260" s="102">
        <f t="shared" si="1187"/>
        <v>0</v>
      </c>
      <c r="DI260" s="102">
        <f t="shared" si="1188"/>
        <v>0</v>
      </c>
      <c r="DK260" s="3" t="str">
        <f t="shared" si="1258"/>
        <v>NA</v>
      </c>
      <c r="DL260" s="2" t="str">
        <f t="shared" si="1259"/>
        <v>NA</v>
      </c>
      <c r="DM260" s="3" t="str">
        <f t="shared" si="1260"/>
        <v>NA</v>
      </c>
      <c r="DN260" s="9" t="str">
        <f t="shared" si="1261"/>
        <v>NA</v>
      </c>
      <c r="DO260" s="637" t="str">
        <f t="shared" si="1262"/>
        <v>NA</v>
      </c>
      <c r="DP260" s="637"/>
      <c r="DQ260" s="3" t="str">
        <f t="shared" si="1263"/>
        <v>NA</v>
      </c>
      <c r="DR260" s="2" t="str">
        <f t="shared" si="1264"/>
        <v>NA</v>
      </c>
      <c r="DS260" s="3" t="str">
        <f t="shared" si="1265"/>
        <v>NA</v>
      </c>
      <c r="DT260" s="9" t="str">
        <f t="shared" si="1189"/>
        <v>NA</v>
      </c>
      <c r="DU260" s="637" t="str">
        <f t="shared" si="1190"/>
        <v>NA</v>
      </c>
      <c r="DV260" s="637"/>
      <c r="DW260" s="682"/>
      <c r="DX260" s="682"/>
      <c r="DY260" s="682"/>
      <c r="DZ260" s="637"/>
      <c r="EA260" s="643"/>
    </row>
    <row r="261" spans="1:131" s="355" customFormat="1" ht="20.100000000000001" customHeight="1" outlineLevel="1" x14ac:dyDescent="0.25">
      <c r="A261" s="356"/>
      <c r="B261" s="355" t="s">
        <v>268</v>
      </c>
      <c r="C261" s="355" t="str">
        <f t="shared" si="1266"/>
        <v>Consumo</v>
      </c>
      <c r="D261" s="355" t="s">
        <v>53</v>
      </c>
      <c r="E261" s="18" t="s">
        <v>38</v>
      </c>
      <c r="F261" s="355" t="s">
        <v>53</v>
      </c>
      <c r="G261" s="357" t="str">
        <f t="shared" si="1267"/>
        <v>Geral</v>
      </c>
      <c r="H261" s="255" t="s">
        <v>377</v>
      </c>
      <c r="I261" s="356" t="str">
        <f t="shared" si="1202"/>
        <v>Sistema</v>
      </c>
      <c r="K261" s="318" t="s">
        <v>3014</v>
      </c>
      <c r="L261" s="749" t="str">
        <f>IF(Padrões!JF202&lt;&gt;"",Padrões!JF202,"")</f>
        <v/>
      </c>
      <c r="M261" s="358" t="str">
        <f t="shared" si="1196"/>
        <v>?</v>
      </c>
      <c r="N261" s="359">
        <f>Padrões!JI202</f>
        <v>0</v>
      </c>
      <c r="O261" s="381" t="str">
        <f t="shared" si="1203"/>
        <v>?</v>
      </c>
      <c r="P261" s="360">
        <f t="shared" si="1204"/>
        <v>0.12</v>
      </c>
      <c r="Q261" s="360" t="str">
        <f t="shared" si="1205"/>
        <v>?</v>
      </c>
      <c r="R261" s="360">
        <f t="shared" si="1206"/>
        <v>0</v>
      </c>
      <c r="S261" s="361">
        <f t="shared" si="1207"/>
        <v>0</v>
      </c>
      <c r="T261" s="362">
        <f t="shared" si="1208"/>
        <v>0</v>
      </c>
      <c r="U261" s="53" t="str" cm="1">
        <f t="array" ref="U261">IFERROR(IF(I261&lt;&gt;"Serviço",IF(AND(mlookup(tbl_DIFAL_data,UFdestino,tbl_DIFAL_UF,O261,tbl_DIFAL_NCM)&lt;&gt;"",C261="Consumo"),"Sim",""),""),"?")</f>
        <v>?</v>
      </c>
      <c r="V261" s="363" t="str">
        <f>IFERROR(IF(I261&lt;&gt;"Serviço",IF(AND(D261="Não",mlookup(tbl_ST_data,UFdestino,tbl_ST_UF,O261,tbl_ST_NCM)&lt;&gt;"",C261="Revenda",CD261="Não"),"Sim",""),""),"?")</f>
        <v>?</v>
      </c>
      <c r="W261" s="364">
        <f t="shared" si="1209"/>
        <v>0</v>
      </c>
      <c r="X261" s="365">
        <f>IF(V261="Sim",mlookup(tbl_ST_data,UFdestino,tbl_ST_UF,O261,tbl_ST_NCM),0)</f>
        <v>0</v>
      </c>
      <c r="Z261" s="355">
        <f t="shared" si="1210"/>
        <v>0</v>
      </c>
      <c r="AA261" s="355">
        <f t="shared" si="1197"/>
        <v>0</v>
      </c>
      <c r="AC261" s="366">
        <f t="shared" si="1268"/>
        <v>1.31243473968765E-2</v>
      </c>
      <c r="AD261" s="366">
        <f t="shared" si="1211"/>
        <v>0.15</v>
      </c>
      <c r="AF261" s="355">
        <f t="shared" si="1212"/>
        <v>0</v>
      </c>
      <c r="AG261" s="355">
        <f t="shared" si="1213"/>
        <v>0</v>
      </c>
      <c r="AI261" s="355">
        <f t="shared" si="1214"/>
        <v>0</v>
      </c>
      <c r="AK261" s="366">
        <f t="shared" si="1269"/>
        <v>0</v>
      </c>
      <c r="AL261" s="355">
        <f t="shared" si="1198"/>
        <v>0</v>
      </c>
      <c r="AM261" s="355">
        <f t="shared" si="1199"/>
        <v>0</v>
      </c>
      <c r="AO261" s="355" t="b">
        <f t="shared" si="1215"/>
        <v>1</v>
      </c>
      <c r="AQ261" s="367">
        <f t="shared" si="1216"/>
        <v>0</v>
      </c>
      <c r="AR261" s="367">
        <f t="shared" si="1200"/>
        <v>0</v>
      </c>
      <c r="AT261" s="367">
        <f t="shared" si="1217"/>
        <v>0</v>
      </c>
      <c r="AU261" s="367">
        <f t="shared" si="1218"/>
        <v>0</v>
      </c>
      <c r="AW261" s="367">
        <f t="shared" si="1219"/>
        <v>0</v>
      </c>
      <c r="AX261" s="367">
        <f t="shared" si="1220"/>
        <v>0</v>
      </c>
      <c r="AY261" s="367">
        <f t="shared" si="1221"/>
        <v>0</v>
      </c>
      <c r="AZ261" s="367">
        <f t="shared" si="1222"/>
        <v>0</v>
      </c>
      <c r="BB261" s="355">
        <f t="shared" si="1223"/>
        <v>0</v>
      </c>
      <c r="BC261" s="355">
        <f t="shared" si="1224"/>
        <v>0</v>
      </c>
      <c r="BD261" s="355">
        <f t="shared" si="1225"/>
        <v>0</v>
      </c>
      <c r="BE261" s="355">
        <f t="shared" si="1226"/>
        <v>0</v>
      </c>
      <c r="BF261" s="355">
        <f t="shared" si="1227"/>
        <v>0</v>
      </c>
      <c r="BH261" s="368">
        <f t="shared" si="1228"/>
        <v>0</v>
      </c>
      <c r="BJ261" s="369">
        <f t="shared" si="1229"/>
        <v>-0.12</v>
      </c>
      <c r="BK261" s="355">
        <f t="shared" si="1230"/>
        <v>0</v>
      </c>
      <c r="BL261" s="355">
        <f t="shared" si="1231"/>
        <v>0</v>
      </c>
      <c r="BN261" s="366">
        <f t="shared" si="1232"/>
        <v>0</v>
      </c>
      <c r="BO261" s="355">
        <f t="shared" si="1233"/>
        <v>0</v>
      </c>
      <c r="BP261" s="355">
        <f t="shared" si="1234"/>
        <v>0</v>
      </c>
      <c r="BQ261" s="355">
        <f t="shared" si="1235"/>
        <v>0</v>
      </c>
      <c r="BS261" s="367">
        <f t="shared" si="1236"/>
        <v>0</v>
      </c>
      <c r="BT261" s="355">
        <f t="shared" si="1237"/>
        <v>0</v>
      </c>
      <c r="BU261" s="355" t="b">
        <f t="shared" si="1201"/>
        <v>1</v>
      </c>
      <c r="BW261" s="355" t="str">
        <f t="shared" si="1238"/>
        <v/>
      </c>
      <c r="BX261" s="355">
        <f t="shared" si="1239"/>
        <v>0</v>
      </c>
      <c r="BY261" s="356">
        <f t="shared" si="1181"/>
        <v>0</v>
      </c>
      <c r="BZ261" s="355">
        <f t="shared" si="1240"/>
        <v>0</v>
      </c>
      <c r="CB261" s="102" t="str">
        <f t="shared" si="1241"/>
        <v>?</v>
      </c>
      <c r="CD261" s="355" t="str">
        <f t="shared" si="1242"/>
        <v>Não</v>
      </c>
      <c r="CE261" s="368">
        <f>ifzero(mlookup(tbl_ICMSinterest_data,UFdestino,tbl_ICMSinterest_ufdest,UForigem,tbl_ICMSinterest_uforig))</f>
        <v>0.12</v>
      </c>
      <c r="CF261" s="368">
        <f>IF(N261&gt;0,IF(I261&lt;&gt;"Serviço",ifzero(mlookup(tbl_ICMSinterno_data,UForigem,tbl_ICMSinterno_UF,O261,tbl_ICMSinterno_NCM),mlookup(tbl_ICMSinterest_data,UForigem,tbl_ICMSinterest_ufdest,UForigem,tbl_ICMSinterest_uforig)),""),0)</f>
        <v>0</v>
      </c>
      <c r="CG261" s="368">
        <f>IF(N261&gt;0,IF(I261&lt;&gt;"Serviço",ifzero(mlookup(tbl_ICMSinterno_data,UFdestino,tbl_ICMSinterno_UF,O261,tbl_ICMSinterno_NCM),mlookup(tbl_ICMSinterest_data,UFdestino,tbl_ICMSinterest_ufdest,UFdestino,tbl_ICMSinterest_uforig)),""),0)</f>
        <v>0</v>
      </c>
      <c r="CI261" s="355">
        <f t="shared" si="1243"/>
        <v>0</v>
      </c>
      <c r="CJ261" s="355">
        <f t="shared" si="1244"/>
        <v>0</v>
      </c>
      <c r="CK261" s="355">
        <f t="shared" si="1245"/>
        <v>0</v>
      </c>
      <c r="CL261" s="355">
        <f t="shared" si="1246"/>
        <v>0</v>
      </c>
      <c r="CN261" s="370">
        <f t="shared" si="1247"/>
        <v>1540</v>
      </c>
      <c r="CO261" s="355">
        <f t="shared" si="1248"/>
        <v>0</v>
      </c>
      <c r="CQ261" s="355" t="b">
        <f t="shared" si="1249"/>
        <v>0</v>
      </c>
      <c r="CR261" s="355" t="b">
        <f t="shared" si="1250"/>
        <v>1</v>
      </c>
      <c r="CS261" s="355" t="b">
        <f t="shared" si="1251"/>
        <v>0</v>
      </c>
      <c r="CU261" s="2">
        <f t="shared" si="1252"/>
        <v>0</v>
      </c>
      <c r="CV261" s="102">
        <f t="shared" si="1253"/>
        <v>0</v>
      </c>
      <c r="CW261" s="102">
        <f t="shared" si="1182"/>
        <v>0</v>
      </c>
      <c r="CX261" s="102">
        <f t="shared" si="1254"/>
        <v>0</v>
      </c>
      <c r="CY261" s="290">
        <f t="shared" si="1255"/>
        <v>0</v>
      </c>
      <c r="CZ261" s="102">
        <f t="shared" si="1184"/>
        <v>0</v>
      </c>
      <c r="DA261" s="290">
        <f t="shared" si="1256"/>
        <v>0</v>
      </c>
      <c r="DB261" s="102">
        <f t="shared" si="1185"/>
        <v>0</v>
      </c>
      <c r="DC261" s="290">
        <f t="shared" si="1257"/>
        <v>0</v>
      </c>
      <c r="DD261" s="102">
        <f t="shared" si="1183"/>
        <v>0</v>
      </c>
      <c r="DE261" s="592">
        <f>IF(D261="Sim",HLOOKUP($DH$5,Parametrização!$G$2:$H$4,2,FALSE),0)</f>
        <v>0</v>
      </c>
      <c r="DF261" s="102">
        <f t="shared" si="1186"/>
        <v>0</v>
      </c>
      <c r="DG261" s="592">
        <f>IF(D261="Sim",HLOOKUP($DH$5,Parametrização!$G$2:$H$4,3,FALSE),0)</f>
        <v>0</v>
      </c>
      <c r="DH261" s="102">
        <f t="shared" si="1187"/>
        <v>0</v>
      </c>
      <c r="DI261" s="102">
        <f t="shared" si="1188"/>
        <v>0</v>
      </c>
      <c r="DK261" s="3" t="str">
        <f t="shared" si="1258"/>
        <v>NA</v>
      </c>
      <c r="DL261" s="2" t="str">
        <f t="shared" si="1259"/>
        <v>NA</v>
      </c>
      <c r="DM261" s="3" t="str">
        <f t="shared" si="1260"/>
        <v>NA</v>
      </c>
      <c r="DN261" s="9" t="str">
        <f t="shared" si="1261"/>
        <v>NA</v>
      </c>
      <c r="DO261" s="637" t="str">
        <f t="shared" si="1262"/>
        <v>NA</v>
      </c>
      <c r="DP261" s="637"/>
      <c r="DQ261" s="3" t="str">
        <f t="shared" si="1263"/>
        <v>NA</v>
      </c>
      <c r="DR261" s="2" t="str">
        <f t="shared" si="1264"/>
        <v>NA</v>
      </c>
      <c r="DS261" s="3" t="str">
        <f t="shared" si="1265"/>
        <v>NA</v>
      </c>
      <c r="DT261" s="9" t="str">
        <f t="shared" si="1189"/>
        <v>NA</v>
      </c>
      <c r="DU261" s="637" t="str">
        <f t="shared" si="1190"/>
        <v>NA</v>
      </c>
      <c r="DV261" s="637"/>
      <c r="DW261" s="682"/>
      <c r="DX261" s="682"/>
      <c r="DY261" s="682"/>
      <c r="DZ261" s="637"/>
      <c r="EA261" s="643"/>
    </row>
    <row r="262" spans="1:131" s="355" customFormat="1" ht="20.100000000000001" customHeight="1" outlineLevel="1" x14ac:dyDescent="0.25">
      <c r="A262" s="356"/>
      <c r="B262" s="355" t="s">
        <v>268</v>
      </c>
      <c r="C262" s="355" t="str">
        <f t="shared" si="1266"/>
        <v>Consumo</v>
      </c>
      <c r="D262" s="355" t="s">
        <v>53</v>
      </c>
      <c r="E262" s="18" t="s">
        <v>38</v>
      </c>
      <c r="F262" s="355" t="s">
        <v>53</v>
      </c>
      <c r="G262" s="357" t="str">
        <f t="shared" si="1267"/>
        <v>Geral</v>
      </c>
      <c r="H262" s="255" t="s">
        <v>377</v>
      </c>
      <c r="I262" s="356" t="str">
        <f t="shared" si="1202"/>
        <v>Sistema</v>
      </c>
      <c r="K262" s="318" t="s">
        <v>3015</v>
      </c>
      <c r="L262" s="749" t="str">
        <f>IF(Padrões!JF203&lt;&gt;"",Padrões!JF203,"")</f>
        <v/>
      </c>
      <c r="M262" s="358" t="str">
        <f t="shared" si="1196"/>
        <v>?</v>
      </c>
      <c r="N262" s="359">
        <f>Padrões!JI203</f>
        <v>0</v>
      </c>
      <c r="O262" s="381" t="str">
        <f t="shared" si="1203"/>
        <v>?</v>
      </c>
      <c r="P262" s="360">
        <f t="shared" si="1204"/>
        <v>0.12</v>
      </c>
      <c r="Q262" s="360" t="str">
        <f t="shared" si="1205"/>
        <v>?</v>
      </c>
      <c r="R262" s="360">
        <f t="shared" si="1206"/>
        <v>0</v>
      </c>
      <c r="S262" s="361">
        <f t="shared" si="1207"/>
        <v>0</v>
      </c>
      <c r="T262" s="362">
        <f t="shared" si="1208"/>
        <v>0</v>
      </c>
      <c r="U262" s="53" t="str" cm="1">
        <f t="array" ref="U262">IFERROR(IF(I262&lt;&gt;"Serviço",IF(AND(mlookup(tbl_DIFAL_data,UFdestino,tbl_DIFAL_UF,O262,tbl_DIFAL_NCM)&lt;&gt;"",C262="Consumo"),"Sim",""),""),"?")</f>
        <v>?</v>
      </c>
      <c r="V262" s="363" t="str">
        <f>IFERROR(IF(I262&lt;&gt;"Serviço",IF(AND(D262="Não",mlookup(tbl_ST_data,UFdestino,tbl_ST_UF,O262,tbl_ST_NCM)&lt;&gt;"",C262="Revenda",CD262="Não"),"Sim",""),""),"?")</f>
        <v>?</v>
      </c>
      <c r="W262" s="364">
        <f t="shared" si="1209"/>
        <v>0</v>
      </c>
      <c r="X262" s="365">
        <f>IF(V262="Sim",mlookup(tbl_ST_data,UFdestino,tbl_ST_UF,O262,tbl_ST_NCM),0)</f>
        <v>0</v>
      </c>
      <c r="Z262" s="355">
        <f t="shared" si="1210"/>
        <v>0</v>
      </c>
      <c r="AA262" s="355">
        <f t="shared" si="1197"/>
        <v>0</v>
      </c>
      <c r="AC262" s="366">
        <f t="shared" si="1268"/>
        <v>1.31243473968765E-2</v>
      </c>
      <c r="AD262" s="366">
        <f t="shared" si="1211"/>
        <v>0.15</v>
      </c>
      <c r="AF262" s="355">
        <f t="shared" si="1212"/>
        <v>0</v>
      </c>
      <c r="AG262" s="355">
        <f t="shared" si="1213"/>
        <v>0</v>
      </c>
      <c r="AI262" s="355">
        <f t="shared" si="1214"/>
        <v>0</v>
      </c>
      <c r="AK262" s="366">
        <f t="shared" si="1269"/>
        <v>0</v>
      </c>
      <c r="AL262" s="355">
        <f t="shared" si="1198"/>
        <v>0</v>
      </c>
      <c r="AM262" s="355">
        <f t="shared" si="1199"/>
        <v>0</v>
      </c>
      <c r="AO262" s="355" t="b">
        <f t="shared" si="1215"/>
        <v>1</v>
      </c>
      <c r="AQ262" s="367">
        <f t="shared" si="1216"/>
        <v>0</v>
      </c>
      <c r="AR262" s="367">
        <f t="shared" si="1200"/>
        <v>0</v>
      </c>
      <c r="AT262" s="367">
        <f t="shared" si="1217"/>
        <v>0</v>
      </c>
      <c r="AU262" s="367">
        <f t="shared" si="1218"/>
        <v>0</v>
      </c>
      <c r="AW262" s="367">
        <f t="shared" si="1219"/>
        <v>0</v>
      </c>
      <c r="AX262" s="367">
        <f t="shared" si="1220"/>
        <v>0</v>
      </c>
      <c r="AY262" s="367">
        <f t="shared" si="1221"/>
        <v>0</v>
      </c>
      <c r="AZ262" s="367">
        <f t="shared" si="1222"/>
        <v>0</v>
      </c>
      <c r="BB262" s="355">
        <f t="shared" si="1223"/>
        <v>0</v>
      </c>
      <c r="BC262" s="355">
        <f t="shared" si="1224"/>
        <v>0</v>
      </c>
      <c r="BD262" s="355">
        <f t="shared" si="1225"/>
        <v>0</v>
      </c>
      <c r="BE262" s="355">
        <f t="shared" si="1226"/>
        <v>0</v>
      </c>
      <c r="BF262" s="355">
        <f t="shared" si="1227"/>
        <v>0</v>
      </c>
      <c r="BH262" s="368">
        <f t="shared" si="1228"/>
        <v>0</v>
      </c>
      <c r="BJ262" s="369">
        <f t="shared" si="1229"/>
        <v>-0.12</v>
      </c>
      <c r="BK262" s="355">
        <f t="shared" si="1230"/>
        <v>0</v>
      </c>
      <c r="BL262" s="355">
        <f t="shared" si="1231"/>
        <v>0</v>
      </c>
      <c r="BN262" s="366">
        <f t="shared" si="1232"/>
        <v>0</v>
      </c>
      <c r="BO262" s="355">
        <f t="shared" si="1233"/>
        <v>0</v>
      </c>
      <c r="BP262" s="355">
        <f t="shared" si="1234"/>
        <v>0</v>
      </c>
      <c r="BQ262" s="355">
        <f t="shared" si="1235"/>
        <v>0</v>
      </c>
      <c r="BS262" s="367">
        <f t="shared" si="1236"/>
        <v>0</v>
      </c>
      <c r="BT262" s="355">
        <f t="shared" si="1237"/>
        <v>0</v>
      </c>
      <c r="BU262" s="355" t="b">
        <f t="shared" si="1201"/>
        <v>1</v>
      </c>
      <c r="BW262" s="355" t="str">
        <f t="shared" si="1238"/>
        <v/>
      </c>
      <c r="BX262" s="355">
        <f t="shared" si="1239"/>
        <v>0</v>
      </c>
      <c r="BY262" s="356">
        <f t="shared" ref="BY262:BY272" si="1270">IF(BX262&gt;0,VLOOKUP(CB262,tbl_IRPJaux,3,FALSE),0)</f>
        <v>0</v>
      </c>
      <c r="BZ262" s="355">
        <f t="shared" si="1240"/>
        <v>0</v>
      </c>
      <c r="CB262" s="102" t="str">
        <f t="shared" si="1241"/>
        <v>?</v>
      </c>
      <c r="CD262" s="355" t="str">
        <f t="shared" si="1242"/>
        <v>Não</v>
      </c>
      <c r="CE262" s="368">
        <f>ifzero(mlookup(tbl_ICMSinterest_data,UFdestino,tbl_ICMSinterest_ufdest,UForigem,tbl_ICMSinterest_uforig))</f>
        <v>0.12</v>
      </c>
      <c r="CF262" s="368">
        <f>IF(N262&gt;0,IF(I262&lt;&gt;"Serviço",ifzero(mlookup(tbl_ICMSinterno_data,UForigem,tbl_ICMSinterno_UF,O262,tbl_ICMSinterno_NCM),mlookup(tbl_ICMSinterest_data,UForigem,tbl_ICMSinterest_ufdest,UForigem,tbl_ICMSinterest_uforig)),""),0)</f>
        <v>0</v>
      </c>
      <c r="CG262" s="368">
        <f>IF(N262&gt;0,IF(I262&lt;&gt;"Serviço",ifzero(mlookup(tbl_ICMSinterno_data,UFdestino,tbl_ICMSinterno_UF,O262,tbl_ICMSinterno_NCM),mlookup(tbl_ICMSinterest_data,UFdestino,tbl_ICMSinterest_ufdest,UFdestino,tbl_ICMSinterest_uforig)),""),0)</f>
        <v>0</v>
      </c>
      <c r="CI262" s="355">
        <f t="shared" si="1243"/>
        <v>0</v>
      </c>
      <c r="CJ262" s="355">
        <f t="shared" si="1244"/>
        <v>0</v>
      </c>
      <c r="CK262" s="355">
        <f t="shared" si="1245"/>
        <v>0</v>
      </c>
      <c r="CL262" s="355">
        <f t="shared" si="1246"/>
        <v>0</v>
      </c>
      <c r="CN262" s="370">
        <f t="shared" si="1247"/>
        <v>1540</v>
      </c>
      <c r="CO262" s="355">
        <f t="shared" si="1248"/>
        <v>0</v>
      </c>
      <c r="CQ262" s="355" t="b">
        <f t="shared" si="1249"/>
        <v>0</v>
      </c>
      <c r="CR262" s="355" t="b">
        <f t="shared" si="1250"/>
        <v>1</v>
      </c>
      <c r="CS262" s="355" t="b">
        <f t="shared" si="1251"/>
        <v>0</v>
      </c>
      <c r="CU262" s="2">
        <f t="shared" si="1252"/>
        <v>0</v>
      </c>
      <c r="CV262" s="102">
        <f t="shared" si="1253"/>
        <v>0</v>
      </c>
      <c r="CW262" s="102">
        <f t="shared" si="1182"/>
        <v>0</v>
      </c>
      <c r="CX262" s="102">
        <f t="shared" si="1254"/>
        <v>0</v>
      </c>
      <c r="CY262" s="290">
        <f t="shared" si="1255"/>
        <v>0</v>
      </c>
      <c r="CZ262" s="102">
        <f t="shared" si="1184"/>
        <v>0</v>
      </c>
      <c r="DA262" s="290">
        <f t="shared" si="1256"/>
        <v>0</v>
      </c>
      <c r="DB262" s="102">
        <f t="shared" si="1185"/>
        <v>0</v>
      </c>
      <c r="DC262" s="290">
        <f t="shared" si="1257"/>
        <v>0</v>
      </c>
      <c r="DD262" s="102">
        <f t="shared" si="1183"/>
        <v>0</v>
      </c>
      <c r="DE262" s="592">
        <f>IF(D262="Sim",HLOOKUP($DH$5,Parametrização!$G$2:$H$4,2,FALSE),0)</f>
        <v>0</v>
      </c>
      <c r="DF262" s="102">
        <f t="shared" si="1186"/>
        <v>0</v>
      </c>
      <c r="DG262" s="592">
        <f>IF(D262="Sim",HLOOKUP($DH$5,Parametrização!$G$2:$H$4,3,FALSE),0)</f>
        <v>0</v>
      </c>
      <c r="DH262" s="102">
        <f t="shared" si="1187"/>
        <v>0</v>
      </c>
      <c r="DI262" s="102">
        <f t="shared" si="1188"/>
        <v>0</v>
      </c>
      <c r="DK262" s="3" t="str">
        <f t="shared" si="1258"/>
        <v>NA</v>
      </c>
      <c r="DL262" s="2" t="str">
        <f t="shared" si="1259"/>
        <v>NA</v>
      </c>
      <c r="DM262" s="3" t="str">
        <f t="shared" si="1260"/>
        <v>NA</v>
      </c>
      <c r="DN262" s="9" t="str">
        <f t="shared" si="1261"/>
        <v>NA</v>
      </c>
      <c r="DO262" s="637" t="str">
        <f t="shared" si="1262"/>
        <v>NA</v>
      </c>
      <c r="DP262" s="637"/>
      <c r="DQ262" s="3" t="str">
        <f t="shared" si="1263"/>
        <v>NA</v>
      </c>
      <c r="DR262" s="2" t="str">
        <f t="shared" si="1264"/>
        <v>NA</v>
      </c>
      <c r="DS262" s="3" t="str">
        <f t="shared" si="1265"/>
        <v>NA</v>
      </c>
      <c r="DT262" s="9" t="str">
        <f t="shared" si="1189"/>
        <v>NA</v>
      </c>
      <c r="DU262" s="637" t="str">
        <f t="shared" si="1190"/>
        <v>NA</v>
      </c>
      <c r="DV262" s="637"/>
      <c r="DW262" s="682"/>
      <c r="DX262" s="682"/>
      <c r="DY262" s="682"/>
      <c r="DZ262" s="637"/>
      <c r="EA262" s="643"/>
    </row>
    <row r="263" spans="1:131" s="355" customFormat="1" ht="20.100000000000001" customHeight="1" outlineLevel="1" x14ac:dyDescent="0.25">
      <c r="A263" s="356"/>
      <c r="B263" s="355" t="s">
        <v>268</v>
      </c>
      <c r="C263" s="355" t="str">
        <f t="shared" si="1266"/>
        <v>Consumo</v>
      </c>
      <c r="D263" s="355" t="s">
        <v>53</v>
      </c>
      <c r="E263" s="18" t="s">
        <v>38</v>
      </c>
      <c r="F263" s="355" t="s">
        <v>53</v>
      </c>
      <c r="G263" s="357" t="str">
        <f t="shared" si="1267"/>
        <v>Geral</v>
      </c>
      <c r="H263" s="255" t="s">
        <v>377</v>
      </c>
      <c r="I263" s="356" t="str">
        <f t="shared" si="1202"/>
        <v>Sistema</v>
      </c>
      <c r="K263" s="318" t="s">
        <v>3016</v>
      </c>
      <c r="L263" s="749" t="str">
        <f>IF(Padrões!JF204&lt;&gt;"",Padrões!JF204,"")</f>
        <v>FTLP10</v>
      </c>
      <c r="M263" s="358" t="str">
        <f t="shared" si="1196"/>
        <v>Chave de aferição, semi-embutida com teclas, 10 pólos. Fabricante: SecuControl.</v>
      </c>
      <c r="N263" s="359">
        <f>Padrões!JI204</f>
        <v>0</v>
      </c>
      <c r="O263" s="381" t="str">
        <f t="shared" si="1203"/>
        <v>?</v>
      </c>
      <c r="P263" s="360">
        <f t="shared" si="1204"/>
        <v>0.12</v>
      </c>
      <c r="Q263" s="360" t="str">
        <f t="shared" si="1205"/>
        <v>?</v>
      </c>
      <c r="R263" s="360">
        <f t="shared" si="1206"/>
        <v>0</v>
      </c>
      <c r="S263" s="361">
        <f t="shared" si="1207"/>
        <v>0</v>
      </c>
      <c r="T263" s="362">
        <f t="shared" si="1208"/>
        <v>0</v>
      </c>
      <c r="U263" s="53" t="str" cm="1">
        <f t="array" ref="U263">IFERROR(IF(I263&lt;&gt;"Serviço",IF(AND(mlookup(tbl_DIFAL_data,UFdestino,tbl_DIFAL_UF,O263,tbl_DIFAL_NCM)&lt;&gt;"",C263="Consumo"),"Sim",""),""),"?")</f>
        <v>?</v>
      </c>
      <c r="V263" s="363" t="str">
        <f>IFERROR(IF(I263&lt;&gt;"Serviço",IF(AND(D263="Não",mlookup(tbl_ST_data,UFdestino,tbl_ST_UF,O263,tbl_ST_NCM)&lt;&gt;"",C263="Revenda",CD263="Não"),"Sim",""),""),"?")</f>
        <v>?</v>
      </c>
      <c r="W263" s="364">
        <f t="shared" si="1209"/>
        <v>0</v>
      </c>
      <c r="X263" s="365">
        <f>IF(V263="Sim",mlookup(tbl_ST_data,UFdestino,tbl_ST_UF,O263,tbl_ST_NCM),0)</f>
        <v>0</v>
      </c>
      <c r="Z263" s="355">
        <f t="shared" si="1210"/>
        <v>0</v>
      </c>
      <c r="AA263" s="355">
        <f t="shared" si="1197"/>
        <v>0</v>
      </c>
      <c r="AC263" s="366">
        <f t="shared" si="1268"/>
        <v>1.31243473968765E-2</v>
      </c>
      <c r="AD263" s="366">
        <f t="shared" si="1211"/>
        <v>0.15</v>
      </c>
      <c r="AF263" s="355">
        <f t="shared" si="1212"/>
        <v>0</v>
      </c>
      <c r="AG263" s="355">
        <f t="shared" si="1213"/>
        <v>0</v>
      </c>
      <c r="AI263" s="355">
        <f t="shared" si="1214"/>
        <v>0</v>
      </c>
      <c r="AK263" s="366">
        <f t="shared" si="1269"/>
        <v>0</v>
      </c>
      <c r="AL263" s="355">
        <f t="shared" si="1198"/>
        <v>0</v>
      </c>
      <c r="AM263" s="355">
        <f t="shared" si="1199"/>
        <v>0</v>
      </c>
      <c r="AO263" s="355" t="b">
        <f t="shared" si="1215"/>
        <v>1</v>
      </c>
      <c r="AQ263" s="367">
        <f t="shared" si="1216"/>
        <v>0</v>
      </c>
      <c r="AR263" s="367">
        <f t="shared" si="1200"/>
        <v>0</v>
      </c>
      <c r="AT263" s="367">
        <f t="shared" si="1217"/>
        <v>0</v>
      </c>
      <c r="AU263" s="367">
        <f t="shared" si="1218"/>
        <v>0</v>
      </c>
      <c r="AW263" s="367">
        <f t="shared" si="1219"/>
        <v>0</v>
      </c>
      <c r="AX263" s="367">
        <f t="shared" si="1220"/>
        <v>0</v>
      </c>
      <c r="AY263" s="367">
        <f t="shared" si="1221"/>
        <v>0</v>
      </c>
      <c r="AZ263" s="367">
        <f t="shared" si="1222"/>
        <v>0</v>
      </c>
      <c r="BB263" s="355">
        <f t="shared" si="1223"/>
        <v>0</v>
      </c>
      <c r="BC263" s="355">
        <f t="shared" si="1224"/>
        <v>0</v>
      </c>
      <c r="BD263" s="355">
        <f t="shared" si="1225"/>
        <v>0</v>
      </c>
      <c r="BE263" s="355">
        <f t="shared" si="1226"/>
        <v>0</v>
      </c>
      <c r="BF263" s="355">
        <f t="shared" si="1227"/>
        <v>0</v>
      </c>
      <c r="BH263" s="368">
        <f t="shared" si="1228"/>
        <v>0</v>
      </c>
      <c r="BJ263" s="369">
        <f t="shared" si="1229"/>
        <v>-0.12</v>
      </c>
      <c r="BK263" s="355">
        <f t="shared" si="1230"/>
        <v>0</v>
      </c>
      <c r="BL263" s="355">
        <f t="shared" si="1231"/>
        <v>0</v>
      </c>
      <c r="BN263" s="366">
        <f t="shared" si="1232"/>
        <v>0</v>
      </c>
      <c r="BO263" s="355">
        <f t="shared" si="1233"/>
        <v>0</v>
      </c>
      <c r="BP263" s="355">
        <f t="shared" si="1234"/>
        <v>0</v>
      </c>
      <c r="BQ263" s="355">
        <f t="shared" si="1235"/>
        <v>0</v>
      </c>
      <c r="BS263" s="367">
        <f t="shared" si="1236"/>
        <v>0</v>
      </c>
      <c r="BT263" s="355">
        <f t="shared" si="1237"/>
        <v>0</v>
      </c>
      <c r="BU263" s="355" t="b">
        <f t="shared" si="1201"/>
        <v>1</v>
      </c>
      <c r="BW263" s="355" t="str">
        <f t="shared" si="1238"/>
        <v/>
      </c>
      <c r="BX263" s="355">
        <f t="shared" si="1239"/>
        <v>0</v>
      </c>
      <c r="BY263" s="356">
        <f t="shared" si="1270"/>
        <v>0</v>
      </c>
      <c r="BZ263" s="355">
        <f t="shared" si="1240"/>
        <v>0</v>
      </c>
      <c r="CB263" s="102" t="str">
        <f t="shared" si="1241"/>
        <v xml:space="preserve">  Bloco de teste</v>
      </c>
      <c r="CD263" s="355" t="str">
        <f t="shared" si="1242"/>
        <v>Não</v>
      </c>
      <c r="CE263" s="368">
        <f>ifzero(mlookup(tbl_ICMSinterest_data,UFdestino,tbl_ICMSinterest_ufdest,UForigem,tbl_ICMSinterest_uforig))</f>
        <v>0.12</v>
      </c>
      <c r="CF263" s="368">
        <f>IF(N263&gt;0,IF(I263&lt;&gt;"Serviço",ifzero(mlookup(tbl_ICMSinterno_data,UForigem,tbl_ICMSinterno_UF,O263,tbl_ICMSinterno_NCM),mlookup(tbl_ICMSinterest_data,UForigem,tbl_ICMSinterest_ufdest,UForigem,tbl_ICMSinterest_uforig)),""),0)</f>
        <v>0</v>
      </c>
      <c r="CG263" s="368">
        <f>IF(N263&gt;0,IF(I263&lt;&gt;"Serviço",ifzero(mlookup(tbl_ICMSinterno_data,UFdestino,tbl_ICMSinterno_UF,O263,tbl_ICMSinterno_NCM),mlookup(tbl_ICMSinterest_data,UFdestino,tbl_ICMSinterest_ufdest,UFdestino,tbl_ICMSinterest_uforig)),""),0)</f>
        <v>0</v>
      </c>
      <c r="CI263" s="355">
        <f t="shared" si="1243"/>
        <v>0</v>
      </c>
      <c r="CJ263" s="355">
        <f t="shared" si="1244"/>
        <v>0</v>
      </c>
      <c r="CK263" s="355">
        <f t="shared" si="1245"/>
        <v>0</v>
      </c>
      <c r="CL263" s="355">
        <f t="shared" si="1246"/>
        <v>0</v>
      </c>
      <c r="CN263" s="370">
        <f t="shared" si="1247"/>
        <v>0</v>
      </c>
      <c r="CO263" s="355">
        <f t="shared" si="1248"/>
        <v>0</v>
      </c>
      <c r="CQ263" s="355" t="b">
        <f t="shared" si="1249"/>
        <v>0</v>
      </c>
      <c r="CR263" s="355" t="b">
        <f t="shared" si="1250"/>
        <v>1</v>
      </c>
      <c r="CS263" s="355" t="b">
        <f t="shared" si="1251"/>
        <v>0</v>
      </c>
      <c r="CU263" s="2">
        <f t="shared" si="1252"/>
        <v>0</v>
      </c>
      <c r="CV263" s="102">
        <f t="shared" si="1253"/>
        <v>0</v>
      </c>
      <c r="CW263" s="102">
        <f t="shared" si="1182"/>
        <v>0</v>
      </c>
      <c r="CX263" s="102">
        <f t="shared" si="1254"/>
        <v>0</v>
      </c>
      <c r="CY263" s="290">
        <f t="shared" si="1255"/>
        <v>0</v>
      </c>
      <c r="CZ263" s="102">
        <f t="shared" si="1184"/>
        <v>0</v>
      </c>
      <c r="DA263" s="290">
        <f t="shared" si="1256"/>
        <v>0</v>
      </c>
      <c r="DB263" s="102">
        <f t="shared" si="1185"/>
        <v>0</v>
      </c>
      <c r="DC263" s="290">
        <f t="shared" si="1257"/>
        <v>0</v>
      </c>
      <c r="DD263" s="102">
        <f t="shared" si="1183"/>
        <v>0</v>
      </c>
      <c r="DE263" s="592">
        <f>IF(D263="Sim",HLOOKUP($DH$5,Parametrização!$G$2:$H$4,2,FALSE),0)</f>
        <v>0</v>
      </c>
      <c r="DF263" s="102">
        <f t="shared" si="1186"/>
        <v>0</v>
      </c>
      <c r="DG263" s="592">
        <f>IF(D263="Sim",HLOOKUP($DH$5,Parametrização!$G$2:$H$4,3,FALSE),0)</f>
        <v>0</v>
      </c>
      <c r="DH263" s="102">
        <f t="shared" si="1187"/>
        <v>0</v>
      </c>
      <c r="DI263" s="102">
        <f t="shared" si="1188"/>
        <v>0</v>
      </c>
      <c r="DK263" s="3" t="str">
        <f t="shared" si="1258"/>
        <v>NA</v>
      </c>
      <c r="DL263" s="2" t="str">
        <f t="shared" si="1259"/>
        <v>NA</v>
      </c>
      <c r="DM263" s="3" t="str">
        <f t="shared" si="1260"/>
        <v>NA</v>
      </c>
      <c r="DN263" s="9" t="str">
        <f t="shared" si="1261"/>
        <v>NA</v>
      </c>
      <c r="DO263" s="637" t="str">
        <f t="shared" si="1262"/>
        <v>NA</v>
      </c>
      <c r="DP263" s="637"/>
      <c r="DQ263" s="3" t="str">
        <f t="shared" si="1263"/>
        <v>NA</v>
      </c>
      <c r="DR263" s="2" t="str">
        <f t="shared" si="1264"/>
        <v>NA</v>
      </c>
      <c r="DS263" s="3" t="str">
        <f t="shared" si="1265"/>
        <v>NA</v>
      </c>
      <c r="DT263" s="9" t="str">
        <f t="shared" si="1189"/>
        <v>NA</v>
      </c>
      <c r="DU263" s="637" t="str">
        <f t="shared" si="1190"/>
        <v>NA</v>
      </c>
      <c r="DV263" s="637"/>
      <c r="DW263" s="682"/>
      <c r="DX263" s="682"/>
      <c r="DY263" s="682"/>
      <c r="DZ263" s="637"/>
      <c r="EA263" s="643"/>
    </row>
    <row r="264" spans="1:131" s="355" customFormat="1" ht="20.100000000000001" customHeight="1" outlineLevel="1" x14ac:dyDescent="0.25">
      <c r="A264" s="356"/>
      <c r="B264" s="355" t="s">
        <v>268</v>
      </c>
      <c r="C264" s="355" t="str">
        <f t="shared" si="1266"/>
        <v>Consumo</v>
      </c>
      <c r="D264" s="355" t="s">
        <v>53</v>
      </c>
      <c r="E264" s="18" t="s">
        <v>38</v>
      </c>
      <c r="F264" s="355" t="s">
        <v>53</v>
      </c>
      <c r="G264" s="357" t="str">
        <f t="shared" si="1267"/>
        <v>Geral</v>
      </c>
      <c r="H264" s="255" t="s">
        <v>377</v>
      </c>
      <c r="I264" s="356" t="str">
        <f t="shared" si="1202"/>
        <v>Sistema</v>
      </c>
      <c r="K264" s="318" t="s">
        <v>3017</v>
      </c>
      <c r="L264" s="749" t="str">
        <f>IF(Padrões!JF205&lt;&gt;"",Padrões!JF205,"")</f>
        <v/>
      </c>
      <c r="M264" s="358" t="str">
        <f t="shared" si="1113"/>
        <v>?</v>
      </c>
      <c r="N264" s="359">
        <f>Padrões!JI205</f>
        <v>0</v>
      </c>
      <c r="O264" s="381" t="str">
        <f t="shared" si="1203"/>
        <v>?</v>
      </c>
      <c r="P264" s="360">
        <f t="shared" si="1204"/>
        <v>0.12</v>
      </c>
      <c r="Q264" s="360" t="str">
        <f t="shared" si="1205"/>
        <v>?</v>
      </c>
      <c r="R264" s="360">
        <f t="shared" si="1206"/>
        <v>0</v>
      </c>
      <c r="S264" s="361">
        <f t="shared" si="1207"/>
        <v>0</v>
      </c>
      <c r="T264" s="362">
        <f t="shared" si="1208"/>
        <v>0</v>
      </c>
      <c r="U264" s="53" t="str" cm="1">
        <f t="array" ref="U264">IFERROR(IF(I264&lt;&gt;"Serviço",IF(AND(mlookup(tbl_DIFAL_data,UFdestino,tbl_DIFAL_UF,O264,tbl_DIFAL_NCM)&lt;&gt;"",C264="Consumo"),"Sim",""),""),"?")</f>
        <v>?</v>
      </c>
      <c r="V264" s="363" t="str">
        <f>IFERROR(IF(I264&lt;&gt;"Serviço",IF(AND(D264="Não",mlookup(tbl_ST_data,UFdestino,tbl_ST_UF,O264,tbl_ST_NCM)&lt;&gt;"",C264="Revenda",CD264="Não"),"Sim",""),""),"?")</f>
        <v>?</v>
      </c>
      <c r="W264" s="364">
        <f t="shared" si="1209"/>
        <v>0</v>
      </c>
      <c r="X264" s="365">
        <f>IF(V264="Sim",mlookup(tbl_ST_data,UFdestino,tbl_ST_UF,O264,tbl_ST_NCM),0)</f>
        <v>0</v>
      </c>
      <c r="Z264" s="355">
        <f t="shared" si="1210"/>
        <v>0</v>
      </c>
      <c r="AA264" s="355">
        <f t="shared" si="1191"/>
        <v>0</v>
      </c>
      <c r="AC264" s="366">
        <f t="shared" si="1268"/>
        <v>1.31243473968765E-2</v>
      </c>
      <c r="AD264" s="366">
        <f t="shared" si="1211"/>
        <v>0.15</v>
      </c>
      <c r="AF264" s="355">
        <f t="shared" si="1212"/>
        <v>0</v>
      </c>
      <c r="AG264" s="355">
        <f t="shared" si="1213"/>
        <v>0</v>
      </c>
      <c r="AI264" s="355">
        <f t="shared" si="1214"/>
        <v>0</v>
      </c>
      <c r="AK264" s="366">
        <f t="shared" si="1269"/>
        <v>0</v>
      </c>
      <c r="AL264" s="355">
        <f t="shared" si="1192"/>
        <v>0</v>
      </c>
      <c r="AM264" s="355">
        <f t="shared" si="1193"/>
        <v>0</v>
      </c>
      <c r="AO264" s="355" t="b">
        <f t="shared" si="1215"/>
        <v>1</v>
      </c>
      <c r="AQ264" s="367">
        <f t="shared" si="1216"/>
        <v>0</v>
      </c>
      <c r="AR264" s="367">
        <f t="shared" si="1194"/>
        <v>0</v>
      </c>
      <c r="AT264" s="367">
        <f t="shared" si="1217"/>
        <v>0</v>
      </c>
      <c r="AU264" s="367">
        <f t="shared" si="1218"/>
        <v>0</v>
      </c>
      <c r="AW264" s="367">
        <f t="shared" si="1219"/>
        <v>0</v>
      </c>
      <c r="AX264" s="367">
        <f t="shared" si="1220"/>
        <v>0</v>
      </c>
      <c r="AY264" s="367">
        <f t="shared" si="1221"/>
        <v>0</v>
      </c>
      <c r="AZ264" s="367">
        <f t="shared" si="1222"/>
        <v>0</v>
      </c>
      <c r="BB264" s="355">
        <f t="shared" si="1223"/>
        <v>0</v>
      </c>
      <c r="BC264" s="355">
        <f t="shared" si="1224"/>
        <v>0</v>
      </c>
      <c r="BD264" s="355">
        <f t="shared" si="1225"/>
        <v>0</v>
      </c>
      <c r="BE264" s="355">
        <f t="shared" si="1226"/>
        <v>0</v>
      </c>
      <c r="BF264" s="355">
        <f t="shared" si="1227"/>
        <v>0</v>
      </c>
      <c r="BH264" s="368">
        <f t="shared" si="1228"/>
        <v>0</v>
      </c>
      <c r="BJ264" s="369">
        <f t="shared" si="1229"/>
        <v>-0.12</v>
      </c>
      <c r="BK264" s="355">
        <f t="shared" si="1230"/>
        <v>0</v>
      </c>
      <c r="BL264" s="355">
        <f t="shared" si="1231"/>
        <v>0</v>
      </c>
      <c r="BN264" s="366">
        <f t="shared" si="1232"/>
        <v>0</v>
      </c>
      <c r="BO264" s="355">
        <f t="shared" si="1233"/>
        <v>0</v>
      </c>
      <c r="BP264" s="355">
        <f t="shared" si="1234"/>
        <v>0</v>
      </c>
      <c r="BQ264" s="355">
        <f t="shared" si="1235"/>
        <v>0</v>
      </c>
      <c r="BS264" s="367">
        <f t="shared" si="1236"/>
        <v>0</v>
      </c>
      <c r="BT264" s="355">
        <f t="shared" si="1237"/>
        <v>0</v>
      </c>
      <c r="BU264" s="355" t="b">
        <f t="shared" si="1195"/>
        <v>1</v>
      </c>
      <c r="BW264" s="355" t="str">
        <f t="shared" si="1238"/>
        <v/>
      </c>
      <c r="BX264" s="355">
        <f t="shared" si="1239"/>
        <v>0</v>
      </c>
      <c r="BY264" s="356">
        <f t="shared" si="1270"/>
        <v>0</v>
      </c>
      <c r="BZ264" s="355">
        <f t="shared" si="1240"/>
        <v>0</v>
      </c>
      <c r="CB264" s="102" t="str">
        <f t="shared" si="1241"/>
        <v>?</v>
      </c>
      <c r="CD264" s="355" t="str">
        <f t="shared" si="1242"/>
        <v>Não</v>
      </c>
      <c r="CE264" s="368">
        <f>ifzero(mlookup(tbl_ICMSinterest_data,UFdestino,tbl_ICMSinterest_ufdest,UForigem,tbl_ICMSinterest_uforig))</f>
        <v>0.12</v>
      </c>
      <c r="CF264" s="368">
        <f>IF(N264&gt;0,IF(I264&lt;&gt;"Serviço",ifzero(mlookup(tbl_ICMSinterno_data,UForigem,tbl_ICMSinterno_UF,O264,tbl_ICMSinterno_NCM),mlookup(tbl_ICMSinterest_data,UForigem,tbl_ICMSinterest_ufdest,UForigem,tbl_ICMSinterest_uforig)),""),0)</f>
        <v>0</v>
      </c>
      <c r="CG264" s="368">
        <f>IF(N264&gt;0,IF(I264&lt;&gt;"Serviço",ifzero(mlookup(tbl_ICMSinterno_data,UFdestino,tbl_ICMSinterno_UF,O264,tbl_ICMSinterno_NCM),mlookup(tbl_ICMSinterest_data,UFdestino,tbl_ICMSinterest_ufdest,UFdestino,tbl_ICMSinterest_uforig)),""),0)</f>
        <v>0</v>
      </c>
      <c r="CI264" s="355">
        <f t="shared" si="1243"/>
        <v>0</v>
      </c>
      <c r="CJ264" s="355">
        <f t="shared" si="1244"/>
        <v>0</v>
      </c>
      <c r="CK264" s="355">
        <f t="shared" si="1245"/>
        <v>0</v>
      </c>
      <c r="CL264" s="355">
        <f t="shared" si="1246"/>
        <v>0</v>
      </c>
      <c r="CN264" s="370">
        <f t="shared" si="1247"/>
        <v>1540</v>
      </c>
      <c r="CO264" s="355">
        <f t="shared" si="1248"/>
        <v>0</v>
      </c>
      <c r="CQ264" s="355" t="b">
        <f t="shared" si="1249"/>
        <v>0</v>
      </c>
      <c r="CR264" s="355" t="b">
        <f t="shared" si="1250"/>
        <v>1</v>
      </c>
      <c r="CS264" s="355" t="b">
        <f t="shared" si="1251"/>
        <v>0</v>
      </c>
      <c r="CU264" s="2">
        <f t="shared" si="1252"/>
        <v>0</v>
      </c>
      <c r="CV264" s="102">
        <f t="shared" si="1253"/>
        <v>0</v>
      </c>
      <c r="CW264" s="102">
        <f t="shared" si="1182"/>
        <v>0</v>
      </c>
      <c r="CX264" s="102">
        <f t="shared" si="1254"/>
        <v>0</v>
      </c>
      <c r="CY264" s="290">
        <f t="shared" si="1255"/>
        <v>0</v>
      </c>
      <c r="CZ264" s="102">
        <f t="shared" si="1184"/>
        <v>0</v>
      </c>
      <c r="DA264" s="290">
        <f t="shared" si="1256"/>
        <v>0</v>
      </c>
      <c r="DB264" s="102">
        <f t="shared" si="1185"/>
        <v>0</v>
      </c>
      <c r="DC264" s="290">
        <f t="shared" si="1257"/>
        <v>0</v>
      </c>
      <c r="DD264" s="102">
        <f t="shared" si="1183"/>
        <v>0</v>
      </c>
      <c r="DE264" s="592">
        <f>IF(D264="Sim",HLOOKUP($DH$5,Parametrização!$G$2:$H$4,2,FALSE),0)</f>
        <v>0</v>
      </c>
      <c r="DF264" s="102">
        <f t="shared" si="1186"/>
        <v>0</v>
      </c>
      <c r="DG264" s="592">
        <f>IF(D264="Sim",HLOOKUP($DH$5,Parametrização!$G$2:$H$4,3,FALSE),0)</f>
        <v>0</v>
      </c>
      <c r="DH264" s="102">
        <f t="shared" si="1187"/>
        <v>0</v>
      </c>
      <c r="DI264" s="102">
        <f t="shared" si="1188"/>
        <v>0</v>
      </c>
      <c r="DK264" s="3" t="str">
        <f t="shared" si="1258"/>
        <v>NA</v>
      </c>
      <c r="DL264" s="2" t="str">
        <f t="shared" si="1259"/>
        <v>NA</v>
      </c>
      <c r="DM264" s="3" t="str">
        <f t="shared" si="1260"/>
        <v>NA</v>
      </c>
      <c r="DN264" s="9" t="str">
        <f t="shared" si="1261"/>
        <v>NA</v>
      </c>
      <c r="DO264" s="637" t="str">
        <f t="shared" si="1262"/>
        <v>NA</v>
      </c>
      <c r="DP264" s="637"/>
      <c r="DQ264" s="3" t="str">
        <f t="shared" si="1263"/>
        <v>NA</v>
      </c>
      <c r="DR264" s="2" t="str">
        <f t="shared" si="1264"/>
        <v>NA</v>
      </c>
      <c r="DS264" s="3" t="str">
        <f t="shared" si="1265"/>
        <v>NA</v>
      </c>
      <c r="DT264" s="9" t="str">
        <f t="shared" si="1189"/>
        <v>NA</v>
      </c>
      <c r="DU264" s="637" t="str">
        <f t="shared" si="1190"/>
        <v>NA</v>
      </c>
      <c r="DV264" s="637"/>
      <c r="DW264" s="682"/>
      <c r="DX264" s="682"/>
      <c r="DY264" s="682"/>
      <c r="DZ264" s="637"/>
      <c r="EA264" s="643"/>
    </row>
    <row r="265" spans="1:131" s="355" customFormat="1" ht="20.100000000000001" customHeight="1" outlineLevel="1" x14ac:dyDescent="0.25">
      <c r="A265" s="356"/>
      <c r="B265" s="355" t="s">
        <v>268</v>
      </c>
      <c r="C265" s="355" t="str">
        <f t="shared" si="1266"/>
        <v>Consumo</v>
      </c>
      <c r="D265" s="355" t="s">
        <v>53</v>
      </c>
      <c r="E265" s="18" t="s">
        <v>38</v>
      </c>
      <c r="F265" s="355" t="s">
        <v>53</v>
      </c>
      <c r="G265" s="357" t="str">
        <f t="shared" si="1267"/>
        <v>Geral</v>
      </c>
      <c r="H265" s="255" t="s">
        <v>377</v>
      </c>
      <c r="I265" s="356" t="str">
        <f t="shared" si="1202"/>
        <v>Sistema</v>
      </c>
      <c r="K265" s="318" t="s">
        <v>3018</v>
      </c>
      <c r="L265" s="749" t="str">
        <f>IF(Padrões!JF206&lt;&gt;"",Padrões!JF206,"")</f>
        <v/>
      </c>
      <c r="M265" s="358" t="str">
        <f t="shared" ref="M265:M272" si="1271">IFERROR(IFERROR(VLOOKUP(L265,tbl_materiais,COLUMN(head_mat_descricao)-COLUMN(head_mat_item)+1,FALSE),VLOOKUP(L265,tbl_servicos,COLUMN(head_serv_descricao)-COLUMN(head_serv_item)+1,FALSE)),"?")</f>
        <v>?</v>
      </c>
      <c r="N265" s="359">
        <f>Padrões!JI206</f>
        <v>0</v>
      </c>
      <c r="O265" s="381" t="str">
        <f t="shared" si="1203"/>
        <v>?</v>
      </c>
      <c r="P265" s="360">
        <f t="shared" si="1204"/>
        <v>0.12</v>
      </c>
      <c r="Q265" s="360" t="str">
        <f t="shared" si="1205"/>
        <v>?</v>
      </c>
      <c r="R265" s="360">
        <f t="shared" si="1206"/>
        <v>0</v>
      </c>
      <c r="S265" s="361">
        <f t="shared" si="1207"/>
        <v>0</v>
      </c>
      <c r="T265" s="362">
        <f t="shared" si="1208"/>
        <v>0</v>
      </c>
      <c r="U265" s="53" t="str" cm="1">
        <f t="array" ref="U265">IFERROR(IF(I265&lt;&gt;"Serviço",IF(AND(mlookup(tbl_DIFAL_data,UFdestino,tbl_DIFAL_UF,O265,tbl_DIFAL_NCM)&lt;&gt;"",C265="Consumo"),"Sim",""),""),"?")</f>
        <v>?</v>
      </c>
      <c r="V265" s="363" t="str">
        <f>IFERROR(IF(I265&lt;&gt;"Serviço",IF(AND(D265="Não",mlookup(tbl_ST_data,UFdestino,tbl_ST_UF,O265,tbl_ST_NCM)&lt;&gt;"",C265="Revenda",CD265="Não"),"Sim",""),""),"?")</f>
        <v>?</v>
      </c>
      <c r="W265" s="364">
        <f t="shared" si="1209"/>
        <v>0</v>
      </c>
      <c r="X265" s="365">
        <f>IF(V265="Sim",mlookup(tbl_ST_data,UFdestino,tbl_ST_UF,O265,tbl_ST_NCM),0)</f>
        <v>0</v>
      </c>
      <c r="Z265" s="355">
        <f t="shared" si="1210"/>
        <v>0</v>
      </c>
      <c r="AA265" s="355">
        <f t="shared" si="1191"/>
        <v>0</v>
      </c>
      <c r="AC265" s="366">
        <f t="shared" si="1268"/>
        <v>1.31243473968765E-2</v>
      </c>
      <c r="AD265" s="366">
        <f t="shared" si="1211"/>
        <v>0.15</v>
      </c>
      <c r="AF265" s="355">
        <f t="shared" si="1212"/>
        <v>0</v>
      </c>
      <c r="AG265" s="355">
        <f t="shared" si="1213"/>
        <v>0</v>
      </c>
      <c r="AI265" s="355">
        <f t="shared" si="1214"/>
        <v>0</v>
      </c>
      <c r="AK265" s="366">
        <f t="shared" si="1269"/>
        <v>0</v>
      </c>
      <c r="AL265" s="355">
        <f t="shared" si="1192"/>
        <v>0</v>
      </c>
      <c r="AM265" s="355">
        <f t="shared" si="1193"/>
        <v>0</v>
      </c>
      <c r="AO265" s="355" t="b">
        <f t="shared" si="1215"/>
        <v>1</v>
      </c>
      <c r="AQ265" s="367">
        <f t="shared" si="1216"/>
        <v>0</v>
      </c>
      <c r="AR265" s="367">
        <f t="shared" si="1194"/>
        <v>0</v>
      </c>
      <c r="AT265" s="367">
        <f t="shared" si="1217"/>
        <v>0</v>
      </c>
      <c r="AU265" s="367">
        <f t="shared" si="1218"/>
        <v>0</v>
      </c>
      <c r="AW265" s="367">
        <f t="shared" si="1219"/>
        <v>0</v>
      </c>
      <c r="AX265" s="367">
        <f t="shared" si="1220"/>
        <v>0</v>
      </c>
      <c r="AY265" s="367">
        <f t="shared" si="1221"/>
        <v>0</v>
      </c>
      <c r="AZ265" s="367">
        <f t="shared" si="1222"/>
        <v>0</v>
      </c>
      <c r="BB265" s="355">
        <f t="shared" si="1223"/>
        <v>0</v>
      </c>
      <c r="BC265" s="355">
        <f t="shared" si="1224"/>
        <v>0</v>
      </c>
      <c r="BD265" s="355">
        <f t="shared" si="1225"/>
        <v>0</v>
      </c>
      <c r="BE265" s="355">
        <f t="shared" si="1226"/>
        <v>0</v>
      </c>
      <c r="BF265" s="355">
        <f t="shared" si="1227"/>
        <v>0</v>
      </c>
      <c r="BH265" s="368">
        <f t="shared" si="1228"/>
        <v>0</v>
      </c>
      <c r="BJ265" s="369">
        <f t="shared" si="1229"/>
        <v>-0.12</v>
      </c>
      <c r="BK265" s="355">
        <f t="shared" si="1230"/>
        <v>0</v>
      </c>
      <c r="BL265" s="355">
        <f t="shared" si="1231"/>
        <v>0</v>
      </c>
      <c r="BN265" s="366">
        <f t="shared" si="1232"/>
        <v>0</v>
      </c>
      <c r="BO265" s="355">
        <f t="shared" si="1233"/>
        <v>0</v>
      </c>
      <c r="BP265" s="355">
        <f t="shared" si="1234"/>
        <v>0</v>
      </c>
      <c r="BQ265" s="355">
        <f t="shared" si="1235"/>
        <v>0</v>
      </c>
      <c r="BS265" s="367">
        <f t="shared" si="1236"/>
        <v>0</v>
      </c>
      <c r="BT265" s="355">
        <f t="shared" si="1237"/>
        <v>0</v>
      </c>
      <c r="BU265" s="355" t="b">
        <f t="shared" si="1195"/>
        <v>1</v>
      </c>
      <c r="BW265" s="355" t="str">
        <f t="shared" si="1238"/>
        <v/>
      </c>
      <c r="BX265" s="355">
        <f t="shared" si="1239"/>
        <v>0</v>
      </c>
      <c r="BY265" s="356">
        <f t="shared" si="1270"/>
        <v>0</v>
      </c>
      <c r="BZ265" s="355">
        <f t="shared" si="1240"/>
        <v>0</v>
      </c>
      <c r="CB265" s="102" t="str">
        <f t="shared" si="1241"/>
        <v>?</v>
      </c>
      <c r="CD265" s="355" t="str">
        <f t="shared" si="1242"/>
        <v>Não</v>
      </c>
      <c r="CE265" s="368">
        <f>ifzero(mlookup(tbl_ICMSinterest_data,UFdestino,tbl_ICMSinterest_ufdest,UForigem,tbl_ICMSinterest_uforig))</f>
        <v>0.12</v>
      </c>
      <c r="CF265" s="368">
        <f>IF(N265&gt;0,IF(I265&lt;&gt;"Serviço",ifzero(mlookup(tbl_ICMSinterno_data,UForigem,tbl_ICMSinterno_UF,O265,tbl_ICMSinterno_NCM),mlookup(tbl_ICMSinterest_data,UForigem,tbl_ICMSinterest_ufdest,UForigem,tbl_ICMSinterest_uforig)),""),0)</f>
        <v>0</v>
      </c>
      <c r="CG265" s="368">
        <f>IF(N265&gt;0,IF(I265&lt;&gt;"Serviço",ifzero(mlookup(tbl_ICMSinterno_data,UFdestino,tbl_ICMSinterno_UF,O265,tbl_ICMSinterno_NCM),mlookup(tbl_ICMSinterest_data,UFdestino,tbl_ICMSinterest_ufdest,UFdestino,tbl_ICMSinterest_uforig)),""),0)</f>
        <v>0</v>
      </c>
      <c r="CI265" s="355">
        <f t="shared" si="1243"/>
        <v>0</v>
      </c>
      <c r="CJ265" s="355">
        <f t="shared" si="1244"/>
        <v>0</v>
      </c>
      <c r="CK265" s="355">
        <f t="shared" si="1245"/>
        <v>0</v>
      </c>
      <c r="CL265" s="355">
        <f t="shared" si="1246"/>
        <v>0</v>
      </c>
      <c r="CN265" s="370">
        <f t="shared" si="1247"/>
        <v>1540</v>
      </c>
      <c r="CO265" s="355">
        <f t="shared" si="1248"/>
        <v>0</v>
      </c>
      <c r="CQ265" s="355" t="b">
        <f t="shared" si="1249"/>
        <v>0</v>
      </c>
      <c r="CR265" s="355" t="b">
        <f t="shared" si="1250"/>
        <v>1</v>
      </c>
      <c r="CS265" s="355" t="b">
        <f t="shared" si="1251"/>
        <v>0</v>
      </c>
      <c r="CU265" s="2">
        <f t="shared" si="1252"/>
        <v>0</v>
      </c>
      <c r="CV265" s="102">
        <f t="shared" si="1253"/>
        <v>0</v>
      </c>
      <c r="CW265" s="102">
        <f t="shared" si="1182"/>
        <v>0</v>
      </c>
      <c r="CX265" s="102">
        <f t="shared" si="1254"/>
        <v>0</v>
      </c>
      <c r="CY265" s="290">
        <f t="shared" si="1255"/>
        <v>0</v>
      </c>
      <c r="CZ265" s="102">
        <f t="shared" si="1184"/>
        <v>0</v>
      </c>
      <c r="DA265" s="290">
        <f t="shared" si="1256"/>
        <v>0</v>
      </c>
      <c r="DB265" s="102">
        <f t="shared" si="1185"/>
        <v>0</v>
      </c>
      <c r="DC265" s="290">
        <f t="shared" si="1257"/>
        <v>0</v>
      </c>
      <c r="DD265" s="102">
        <f t="shared" si="1183"/>
        <v>0</v>
      </c>
      <c r="DE265" s="592">
        <f>IF(D265="Sim",HLOOKUP($DH$5,Parametrização!$G$2:$H$4,2,FALSE),0)</f>
        <v>0</v>
      </c>
      <c r="DF265" s="102">
        <f t="shared" si="1186"/>
        <v>0</v>
      </c>
      <c r="DG265" s="592">
        <f>IF(D265="Sim",HLOOKUP($DH$5,Parametrização!$G$2:$H$4,3,FALSE),0)</f>
        <v>0</v>
      </c>
      <c r="DH265" s="102">
        <f t="shared" si="1187"/>
        <v>0</v>
      </c>
      <c r="DI265" s="102">
        <f t="shared" si="1188"/>
        <v>0</v>
      </c>
      <c r="DK265" s="3" t="str">
        <f t="shared" si="1258"/>
        <v>NA</v>
      </c>
      <c r="DL265" s="2" t="str">
        <f t="shared" si="1259"/>
        <v>NA</v>
      </c>
      <c r="DM265" s="3" t="str">
        <f t="shared" si="1260"/>
        <v>NA</v>
      </c>
      <c r="DN265" s="9" t="str">
        <f t="shared" si="1261"/>
        <v>NA</v>
      </c>
      <c r="DO265" s="637" t="str">
        <f t="shared" si="1262"/>
        <v>NA</v>
      </c>
      <c r="DP265" s="637"/>
      <c r="DQ265" s="3" t="str">
        <f t="shared" si="1263"/>
        <v>NA</v>
      </c>
      <c r="DR265" s="2" t="str">
        <f t="shared" si="1264"/>
        <v>NA</v>
      </c>
      <c r="DS265" s="3" t="str">
        <f t="shared" si="1265"/>
        <v>NA</v>
      </c>
      <c r="DT265" s="9" t="str">
        <f t="shared" si="1189"/>
        <v>NA</v>
      </c>
      <c r="DU265" s="637" t="str">
        <f t="shared" si="1190"/>
        <v>NA</v>
      </c>
      <c r="DV265" s="637"/>
      <c r="DW265" s="682"/>
      <c r="DX265" s="682"/>
      <c r="DY265" s="682"/>
      <c r="DZ265" s="637"/>
      <c r="EA265" s="643"/>
    </row>
    <row r="266" spans="1:131" s="355" customFormat="1" ht="20.100000000000001" customHeight="1" outlineLevel="1" x14ac:dyDescent="0.25">
      <c r="A266" s="356"/>
      <c r="B266" s="355" t="s">
        <v>268</v>
      </c>
      <c r="C266" s="355" t="str">
        <f t="shared" si="1266"/>
        <v>Consumo</v>
      </c>
      <c r="D266" s="355" t="s">
        <v>53</v>
      </c>
      <c r="E266" s="18" t="s">
        <v>38</v>
      </c>
      <c r="F266" s="355" t="s">
        <v>53</v>
      </c>
      <c r="G266" s="357" t="str">
        <f t="shared" si="1267"/>
        <v>Geral</v>
      </c>
      <c r="H266" s="255" t="s">
        <v>377</v>
      </c>
      <c r="I266" s="356" t="str">
        <f t="shared" si="1202"/>
        <v>Sistema</v>
      </c>
      <c r="K266" s="318" t="s">
        <v>3019</v>
      </c>
      <c r="L266" s="749" t="str">
        <f>IF(Padrões!JF207&lt;&gt;"",Padrões!JF207,"")</f>
        <v/>
      </c>
      <c r="M266" s="358" t="str">
        <f t="shared" si="1271"/>
        <v>?</v>
      </c>
      <c r="N266" s="359">
        <f>Padrões!JI207</f>
        <v>0</v>
      </c>
      <c r="O266" s="381" t="str">
        <f t="shared" si="1203"/>
        <v>?</v>
      </c>
      <c r="P266" s="360">
        <f t="shared" si="1204"/>
        <v>0.12</v>
      </c>
      <c r="Q266" s="360" t="str">
        <f t="shared" si="1205"/>
        <v>?</v>
      </c>
      <c r="R266" s="360">
        <f t="shared" si="1206"/>
        <v>0</v>
      </c>
      <c r="S266" s="361">
        <f t="shared" si="1207"/>
        <v>0</v>
      </c>
      <c r="T266" s="362">
        <f t="shared" si="1208"/>
        <v>0</v>
      </c>
      <c r="U266" s="53" t="str" cm="1">
        <f t="array" ref="U266">IFERROR(IF(I266&lt;&gt;"Serviço",IF(AND(mlookup(tbl_DIFAL_data,UFdestino,tbl_DIFAL_UF,O266,tbl_DIFAL_NCM)&lt;&gt;"",C266="Consumo"),"Sim",""),""),"?")</f>
        <v>?</v>
      </c>
      <c r="V266" s="363" t="str">
        <f>IFERROR(IF(I266&lt;&gt;"Serviço",IF(AND(D266="Não",mlookup(tbl_ST_data,UFdestino,tbl_ST_UF,O266,tbl_ST_NCM)&lt;&gt;"",C266="Revenda",CD266="Não"),"Sim",""),""),"?")</f>
        <v>?</v>
      </c>
      <c r="W266" s="364">
        <f t="shared" si="1209"/>
        <v>0</v>
      </c>
      <c r="X266" s="365">
        <f>IF(V266="Sim",mlookup(tbl_ST_data,UFdestino,tbl_ST_UF,O266,tbl_ST_NCM),0)</f>
        <v>0</v>
      </c>
      <c r="Z266" s="355">
        <f t="shared" si="1210"/>
        <v>0</v>
      </c>
      <c r="AA266" s="355">
        <f t="shared" si="1191"/>
        <v>0</v>
      </c>
      <c r="AC266" s="366">
        <f t="shared" si="1268"/>
        <v>1.31243473968765E-2</v>
      </c>
      <c r="AD266" s="366">
        <f t="shared" si="1211"/>
        <v>0.15</v>
      </c>
      <c r="AF266" s="355">
        <f t="shared" si="1212"/>
        <v>0</v>
      </c>
      <c r="AG266" s="355">
        <f t="shared" si="1213"/>
        <v>0</v>
      </c>
      <c r="AI266" s="355">
        <f t="shared" si="1214"/>
        <v>0</v>
      </c>
      <c r="AK266" s="366">
        <f t="shared" si="1269"/>
        <v>0</v>
      </c>
      <c r="AL266" s="355">
        <f t="shared" si="1192"/>
        <v>0</v>
      </c>
      <c r="AM266" s="355">
        <f t="shared" si="1193"/>
        <v>0</v>
      </c>
      <c r="AO266" s="355" t="b">
        <f t="shared" si="1215"/>
        <v>1</v>
      </c>
      <c r="AQ266" s="367">
        <f t="shared" si="1216"/>
        <v>0</v>
      </c>
      <c r="AR266" s="367">
        <f t="shared" si="1194"/>
        <v>0</v>
      </c>
      <c r="AT266" s="367">
        <f t="shared" si="1217"/>
        <v>0</v>
      </c>
      <c r="AU266" s="367">
        <f t="shared" si="1218"/>
        <v>0</v>
      </c>
      <c r="AW266" s="367">
        <f t="shared" si="1219"/>
        <v>0</v>
      </c>
      <c r="AX266" s="367">
        <f t="shared" si="1220"/>
        <v>0</v>
      </c>
      <c r="AY266" s="367">
        <f t="shared" si="1221"/>
        <v>0</v>
      </c>
      <c r="AZ266" s="367">
        <f t="shared" si="1222"/>
        <v>0</v>
      </c>
      <c r="BB266" s="355">
        <f t="shared" si="1223"/>
        <v>0</v>
      </c>
      <c r="BC266" s="355">
        <f t="shared" si="1224"/>
        <v>0</v>
      </c>
      <c r="BD266" s="355">
        <f t="shared" si="1225"/>
        <v>0</v>
      </c>
      <c r="BE266" s="355">
        <f t="shared" si="1226"/>
        <v>0</v>
      </c>
      <c r="BF266" s="355">
        <f t="shared" si="1227"/>
        <v>0</v>
      </c>
      <c r="BH266" s="368">
        <f t="shared" si="1228"/>
        <v>0</v>
      </c>
      <c r="BJ266" s="369">
        <f t="shared" si="1229"/>
        <v>-0.12</v>
      </c>
      <c r="BK266" s="355">
        <f t="shared" si="1230"/>
        <v>0</v>
      </c>
      <c r="BL266" s="355">
        <f t="shared" si="1231"/>
        <v>0</v>
      </c>
      <c r="BN266" s="366">
        <f t="shared" si="1232"/>
        <v>0</v>
      </c>
      <c r="BO266" s="355">
        <f t="shared" si="1233"/>
        <v>0</v>
      </c>
      <c r="BP266" s="355">
        <f t="shared" si="1234"/>
        <v>0</v>
      </c>
      <c r="BQ266" s="355">
        <f t="shared" si="1235"/>
        <v>0</v>
      </c>
      <c r="BS266" s="367">
        <f t="shared" si="1236"/>
        <v>0</v>
      </c>
      <c r="BT266" s="355">
        <f t="shared" si="1237"/>
        <v>0</v>
      </c>
      <c r="BU266" s="355" t="b">
        <f t="shared" si="1195"/>
        <v>1</v>
      </c>
      <c r="BW266" s="355" t="str">
        <f t="shared" si="1238"/>
        <v/>
      </c>
      <c r="BX266" s="355">
        <f t="shared" si="1239"/>
        <v>0</v>
      </c>
      <c r="BY266" s="356">
        <f t="shared" si="1270"/>
        <v>0</v>
      </c>
      <c r="BZ266" s="355">
        <f t="shared" si="1240"/>
        <v>0</v>
      </c>
      <c r="CB266" s="102" t="str">
        <f t="shared" si="1241"/>
        <v>?</v>
      </c>
      <c r="CD266" s="355" t="str">
        <f t="shared" si="1242"/>
        <v>Não</v>
      </c>
      <c r="CE266" s="368">
        <f>ifzero(mlookup(tbl_ICMSinterest_data,UFdestino,tbl_ICMSinterest_ufdest,UForigem,tbl_ICMSinterest_uforig))</f>
        <v>0.12</v>
      </c>
      <c r="CF266" s="368">
        <f>IF(N266&gt;0,IF(I266&lt;&gt;"Serviço",ifzero(mlookup(tbl_ICMSinterno_data,UForigem,tbl_ICMSinterno_UF,O266,tbl_ICMSinterno_NCM),mlookup(tbl_ICMSinterest_data,UForigem,tbl_ICMSinterest_ufdest,UForigem,tbl_ICMSinterest_uforig)),""),0)</f>
        <v>0</v>
      </c>
      <c r="CG266" s="368">
        <f>IF(N266&gt;0,IF(I266&lt;&gt;"Serviço",ifzero(mlookup(tbl_ICMSinterno_data,UFdestino,tbl_ICMSinterno_UF,O266,tbl_ICMSinterno_NCM),mlookup(tbl_ICMSinterest_data,UFdestino,tbl_ICMSinterest_ufdest,UFdestino,tbl_ICMSinterest_uforig)),""),0)</f>
        <v>0</v>
      </c>
      <c r="CI266" s="355">
        <f t="shared" si="1243"/>
        <v>0</v>
      </c>
      <c r="CJ266" s="355">
        <f t="shared" si="1244"/>
        <v>0</v>
      </c>
      <c r="CK266" s="355">
        <f t="shared" si="1245"/>
        <v>0</v>
      </c>
      <c r="CL266" s="355">
        <f t="shared" si="1246"/>
        <v>0</v>
      </c>
      <c r="CN266" s="370">
        <f t="shared" si="1247"/>
        <v>1540</v>
      </c>
      <c r="CO266" s="355">
        <f t="shared" si="1248"/>
        <v>0</v>
      </c>
      <c r="CQ266" s="355" t="b">
        <f t="shared" si="1249"/>
        <v>0</v>
      </c>
      <c r="CR266" s="355" t="b">
        <f t="shared" si="1250"/>
        <v>1</v>
      </c>
      <c r="CS266" s="355" t="b">
        <f t="shared" si="1251"/>
        <v>0</v>
      </c>
      <c r="CU266" s="2">
        <f t="shared" si="1252"/>
        <v>0</v>
      </c>
      <c r="CV266" s="102">
        <f t="shared" si="1253"/>
        <v>0</v>
      </c>
      <c r="CW266" s="102">
        <f t="shared" si="1182"/>
        <v>0</v>
      </c>
      <c r="CX266" s="102">
        <f t="shared" si="1254"/>
        <v>0</v>
      </c>
      <c r="CY266" s="290">
        <f t="shared" si="1255"/>
        <v>0</v>
      </c>
      <c r="CZ266" s="102">
        <f t="shared" si="1184"/>
        <v>0</v>
      </c>
      <c r="DA266" s="290">
        <f t="shared" si="1256"/>
        <v>0</v>
      </c>
      <c r="DB266" s="102">
        <f t="shared" si="1185"/>
        <v>0</v>
      </c>
      <c r="DC266" s="290">
        <f t="shared" si="1257"/>
        <v>0</v>
      </c>
      <c r="DD266" s="102">
        <f t="shared" si="1183"/>
        <v>0</v>
      </c>
      <c r="DE266" s="592">
        <f>IF(D266="Sim",HLOOKUP($DH$5,Parametrização!$G$2:$H$4,2,FALSE),0)</f>
        <v>0</v>
      </c>
      <c r="DF266" s="102">
        <f t="shared" si="1186"/>
        <v>0</v>
      </c>
      <c r="DG266" s="592">
        <f>IF(D266="Sim",HLOOKUP($DH$5,Parametrização!$G$2:$H$4,3,FALSE),0)</f>
        <v>0</v>
      </c>
      <c r="DH266" s="102">
        <f t="shared" si="1187"/>
        <v>0</v>
      </c>
      <c r="DI266" s="102">
        <f t="shared" si="1188"/>
        <v>0</v>
      </c>
      <c r="DK266" s="3" t="str">
        <f t="shared" si="1258"/>
        <v>NA</v>
      </c>
      <c r="DL266" s="2" t="str">
        <f t="shared" si="1259"/>
        <v>NA</v>
      </c>
      <c r="DM266" s="3" t="str">
        <f t="shared" si="1260"/>
        <v>NA</v>
      </c>
      <c r="DN266" s="9" t="str">
        <f t="shared" si="1261"/>
        <v>NA</v>
      </c>
      <c r="DO266" s="637" t="str">
        <f t="shared" si="1262"/>
        <v>NA</v>
      </c>
      <c r="DP266" s="637"/>
      <c r="DQ266" s="3" t="str">
        <f t="shared" si="1263"/>
        <v>NA</v>
      </c>
      <c r="DR266" s="2" t="str">
        <f t="shared" si="1264"/>
        <v>NA</v>
      </c>
      <c r="DS266" s="3" t="str">
        <f t="shared" si="1265"/>
        <v>NA</v>
      </c>
      <c r="DT266" s="9" t="str">
        <f t="shared" si="1189"/>
        <v>NA</v>
      </c>
      <c r="DU266" s="637" t="str">
        <f t="shared" si="1190"/>
        <v>NA</v>
      </c>
      <c r="DV266" s="637"/>
      <c r="DW266" s="682"/>
      <c r="DX266" s="682"/>
      <c r="DY266" s="682"/>
      <c r="DZ266" s="637"/>
      <c r="EA266" s="643"/>
    </row>
    <row r="267" spans="1:131" s="355" customFormat="1" ht="20.100000000000001" customHeight="1" outlineLevel="1" x14ac:dyDescent="0.25">
      <c r="A267" s="356"/>
      <c r="B267" s="355" t="s">
        <v>268</v>
      </c>
      <c r="C267" s="355" t="str">
        <f t="shared" si="1266"/>
        <v>Consumo</v>
      </c>
      <c r="D267" s="355" t="s">
        <v>53</v>
      </c>
      <c r="E267" s="18" t="s">
        <v>38</v>
      </c>
      <c r="F267" s="355" t="s">
        <v>53</v>
      </c>
      <c r="G267" s="357" t="str">
        <f t="shared" si="1267"/>
        <v>Geral</v>
      </c>
      <c r="H267" s="255" t="s">
        <v>377</v>
      </c>
      <c r="I267" s="356" t="str">
        <f t="shared" si="1202"/>
        <v>Sistema</v>
      </c>
      <c r="K267" s="318" t="s">
        <v>3020</v>
      </c>
      <c r="L267" s="749" t="str">
        <f>IF(Padrões!JF208&lt;&gt;"",Padrões!JF208,"")</f>
        <v/>
      </c>
      <c r="M267" s="358" t="str">
        <f t="shared" si="1271"/>
        <v>?</v>
      </c>
      <c r="N267" s="359">
        <f>Padrões!JI208</f>
        <v>0</v>
      </c>
      <c r="O267" s="381" t="str">
        <f t="shared" si="1203"/>
        <v>?</v>
      </c>
      <c r="P267" s="360">
        <f t="shared" si="1204"/>
        <v>0.12</v>
      </c>
      <c r="Q267" s="360" t="str">
        <f t="shared" si="1205"/>
        <v>?</v>
      </c>
      <c r="R267" s="360">
        <f t="shared" si="1206"/>
        <v>0</v>
      </c>
      <c r="S267" s="361">
        <f t="shared" si="1207"/>
        <v>0</v>
      </c>
      <c r="T267" s="362">
        <f t="shared" si="1208"/>
        <v>0</v>
      </c>
      <c r="U267" s="53" t="str" cm="1">
        <f t="array" ref="U267">IFERROR(IF(I267&lt;&gt;"Serviço",IF(AND(mlookup(tbl_DIFAL_data,UFdestino,tbl_DIFAL_UF,O267,tbl_DIFAL_NCM)&lt;&gt;"",C267="Consumo"),"Sim",""),""),"?")</f>
        <v>?</v>
      </c>
      <c r="V267" s="363" t="str">
        <f>IFERROR(IF(I267&lt;&gt;"Serviço",IF(AND(D267="Não",mlookup(tbl_ST_data,UFdestino,tbl_ST_UF,O267,tbl_ST_NCM)&lt;&gt;"",C267="Revenda",CD267="Não"),"Sim",""),""),"?")</f>
        <v>?</v>
      </c>
      <c r="W267" s="364">
        <f t="shared" si="1209"/>
        <v>0</v>
      </c>
      <c r="X267" s="365">
        <f>IF(V267="Sim",mlookup(tbl_ST_data,UFdestino,tbl_ST_UF,O267,tbl_ST_NCM),0)</f>
        <v>0</v>
      </c>
      <c r="Z267" s="355">
        <f t="shared" si="1210"/>
        <v>0</v>
      </c>
      <c r="AA267" s="355">
        <f t="shared" si="1191"/>
        <v>0</v>
      </c>
      <c r="AC267" s="366">
        <f t="shared" si="1268"/>
        <v>1.31243473968765E-2</v>
      </c>
      <c r="AD267" s="366">
        <f t="shared" si="1211"/>
        <v>0.15</v>
      </c>
      <c r="AF267" s="355">
        <f t="shared" si="1212"/>
        <v>0</v>
      </c>
      <c r="AG267" s="355">
        <f t="shared" si="1213"/>
        <v>0</v>
      </c>
      <c r="AI267" s="355">
        <f t="shared" si="1214"/>
        <v>0</v>
      </c>
      <c r="AK267" s="366">
        <f t="shared" si="1269"/>
        <v>0</v>
      </c>
      <c r="AL267" s="355">
        <f t="shared" si="1192"/>
        <v>0</v>
      </c>
      <c r="AM267" s="355">
        <f t="shared" si="1193"/>
        <v>0</v>
      </c>
      <c r="AO267" s="355" t="b">
        <f t="shared" si="1215"/>
        <v>1</v>
      </c>
      <c r="AQ267" s="367">
        <f t="shared" si="1216"/>
        <v>0</v>
      </c>
      <c r="AR267" s="367">
        <f t="shared" si="1194"/>
        <v>0</v>
      </c>
      <c r="AT267" s="367">
        <f t="shared" si="1217"/>
        <v>0</v>
      </c>
      <c r="AU267" s="367">
        <f t="shared" si="1218"/>
        <v>0</v>
      </c>
      <c r="AW267" s="367">
        <f t="shared" si="1219"/>
        <v>0</v>
      </c>
      <c r="AX267" s="367">
        <f t="shared" si="1220"/>
        <v>0</v>
      </c>
      <c r="AY267" s="367">
        <f t="shared" si="1221"/>
        <v>0</v>
      </c>
      <c r="AZ267" s="367">
        <f t="shared" si="1222"/>
        <v>0</v>
      </c>
      <c r="BB267" s="355">
        <f t="shared" si="1223"/>
        <v>0</v>
      </c>
      <c r="BC267" s="355">
        <f t="shared" si="1224"/>
        <v>0</v>
      </c>
      <c r="BD267" s="355">
        <f t="shared" si="1225"/>
        <v>0</v>
      </c>
      <c r="BE267" s="355">
        <f t="shared" si="1226"/>
        <v>0</v>
      </c>
      <c r="BF267" s="355">
        <f t="shared" si="1227"/>
        <v>0</v>
      </c>
      <c r="BH267" s="368">
        <f t="shared" si="1228"/>
        <v>0</v>
      </c>
      <c r="BJ267" s="369">
        <f t="shared" si="1229"/>
        <v>-0.12</v>
      </c>
      <c r="BK267" s="355">
        <f t="shared" si="1230"/>
        <v>0</v>
      </c>
      <c r="BL267" s="355">
        <f t="shared" si="1231"/>
        <v>0</v>
      </c>
      <c r="BN267" s="366">
        <f t="shared" si="1232"/>
        <v>0</v>
      </c>
      <c r="BO267" s="355">
        <f t="shared" si="1233"/>
        <v>0</v>
      </c>
      <c r="BP267" s="355">
        <f t="shared" si="1234"/>
        <v>0</v>
      </c>
      <c r="BQ267" s="355">
        <f t="shared" si="1235"/>
        <v>0</v>
      </c>
      <c r="BS267" s="367">
        <f t="shared" si="1236"/>
        <v>0</v>
      </c>
      <c r="BT267" s="355">
        <f t="shared" si="1237"/>
        <v>0</v>
      </c>
      <c r="BU267" s="355" t="b">
        <f t="shared" si="1195"/>
        <v>1</v>
      </c>
      <c r="BW267" s="355" t="str">
        <f t="shared" si="1238"/>
        <v/>
      </c>
      <c r="BX267" s="355">
        <f t="shared" si="1239"/>
        <v>0</v>
      </c>
      <c r="BY267" s="356">
        <f t="shared" si="1270"/>
        <v>0</v>
      </c>
      <c r="BZ267" s="355">
        <f t="shared" si="1240"/>
        <v>0</v>
      </c>
      <c r="CB267" s="102" t="str">
        <f t="shared" si="1241"/>
        <v>?</v>
      </c>
      <c r="CD267" s="355" t="str">
        <f t="shared" si="1242"/>
        <v>Não</v>
      </c>
      <c r="CE267" s="368">
        <f>ifzero(mlookup(tbl_ICMSinterest_data,UFdestino,tbl_ICMSinterest_ufdest,UForigem,tbl_ICMSinterest_uforig))</f>
        <v>0.12</v>
      </c>
      <c r="CF267" s="368">
        <f>IF(N267&gt;0,IF(I267&lt;&gt;"Serviço",ifzero(mlookup(tbl_ICMSinterno_data,UForigem,tbl_ICMSinterno_UF,O267,tbl_ICMSinterno_NCM),mlookup(tbl_ICMSinterest_data,UForigem,tbl_ICMSinterest_ufdest,UForigem,tbl_ICMSinterest_uforig)),""),0)</f>
        <v>0</v>
      </c>
      <c r="CG267" s="368">
        <f>IF(N267&gt;0,IF(I267&lt;&gt;"Serviço",ifzero(mlookup(tbl_ICMSinterno_data,UFdestino,tbl_ICMSinterno_UF,O267,tbl_ICMSinterno_NCM),mlookup(tbl_ICMSinterest_data,UFdestino,tbl_ICMSinterest_ufdest,UFdestino,tbl_ICMSinterest_uforig)),""),0)</f>
        <v>0</v>
      </c>
      <c r="CI267" s="355">
        <f t="shared" si="1243"/>
        <v>0</v>
      </c>
      <c r="CJ267" s="355">
        <f t="shared" si="1244"/>
        <v>0</v>
      </c>
      <c r="CK267" s="355">
        <f t="shared" si="1245"/>
        <v>0</v>
      </c>
      <c r="CL267" s="355">
        <f t="shared" si="1246"/>
        <v>0</v>
      </c>
      <c r="CN267" s="370">
        <f t="shared" si="1247"/>
        <v>1540</v>
      </c>
      <c r="CO267" s="355">
        <f t="shared" si="1248"/>
        <v>0</v>
      </c>
      <c r="CQ267" s="355" t="b">
        <f t="shared" si="1249"/>
        <v>0</v>
      </c>
      <c r="CR267" s="355" t="b">
        <f t="shared" si="1250"/>
        <v>1</v>
      </c>
      <c r="CS267" s="355" t="b">
        <f t="shared" si="1251"/>
        <v>0</v>
      </c>
      <c r="CU267" s="2">
        <f t="shared" si="1252"/>
        <v>0</v>
      </c>
      <c r="CV267" s="102">
        <f t="shared" si="1253"/>
        <v>0</v>
      </c>
      <c r="CW267" s="102">
        <f t="shared" si="1182"/>
        <v>0</v>
      </c>
      <c r="CX267" s="102">
        <f t="shared" si="1254"/>
        <v>0</v>
      </c>
      <c r="CY267" s="290">
        <f t="shared" si="1255"/>
        <v>0</v>
      </c>
      <c r="CZ267" s="102">
        <f t="shared" si="1184"/>
        <v>0</v>
      </c>
      <c r="DA267" s="290">
        <f t="shared" si="1256"/>
        <v>0</v>
      </c>
      <c r="DB267" s="102">
        <f t="shared" si="1185"/>
        <v>0</v>
      </c>
      <c r="DC267" s="290">
        <f t="shared" si="1257"/>
        <v>0</v>
      </c>
      <c r="DD267" s="102">
        <f t="shared" si="1183"/>
        <v>0</v>
      </c>
      <c r="DE267" s="592">
        <f>IF(D267="Sim",HLOOKUP($DH$5,Parametrização!$G$2:$H$4,2,FALSE),0)</f>
        <v>0</v>
      </c>
      <c r="DF267" s="102">
        <f t="shared" si="1186"/>
        <v>0</v>
      </c>
      <c r="DG267" s="592">
        <f>IF(D267="Sim",HLOOKUP($DH$5,Parametrização!$G$2:$H$4,3,FALSE),0)</f>
        <v>0</v>
      </c>
      <c r="DH267" s="102">
        <f t="shared" si="1187"/>
        <v>0</v>
      </c>
      <c r="DI267" s="102">
        <f t="shared" si="1188"/>
        <v>0</v>
      </c>
      <c r="DK267" s="3" t="str">
        <f t="shared" si="1258"/>
        <v>NA</v>
      </c>
      <c r="DL267" s="2" t="str">
        <f t="shared" si="1259"/>
        <v>NA</v>
      </c>
      <c r="DM267" s="3" t="str">
        <f t="shared" si="1260"/>
        <v>NA</v>
      </c>
      <c r="DN267" s="9" t="str">
        <f t="shared" si="1261"/>
        <v>NA</v>
      </c>
      <c r="DO267" s="637" t="str">
        <f t="shared" si="1262"/>
        <v>NA</v>
      </c>
      <c r="DP267" s="637"/>
      <c r="DQ267" s="3" t="str">
        <f t="shared" si="1263"/>
        <v>NA</v>
      </c>
      <c r="DR267" s="2" t="str">
        <f t="shared" si="1264"/>
        <v>NA</v>
      </c>
      <c r="DS267" s="3" t="str">
        <f t="shared" si="1265"/>
        <v>NA</v>
      </c>
      <c r="DT267" s="9" t="str">
        <f t="shared" si="1189"/>
        <v>NA</v>
      </c>
      <c r="DU267" s="637" t="str">
        <f t="shared" si="1190"/>
        <v>NA</v>
      </c>
      <c r="DV267" s="637"/>
      <c r="DW267" s="682"/>
      <c r="DX267" s="682"/>
      <c r="DY267" s="682"/>
      <c r="DZ267" s="637"/>
      <c r="EA267" s="643"/>
    </row>
    <row r="268" spans="1:131" s="355" customFormat="1" ht="20.100000000000001" customHeight="1" outlineLevel="1" x14ac:dyDescent="0.25">
      <c r="A268" s="356"/>
      <c r="B268" s="355" t="s">
        <v>268</v>
      </c>
      <c r="C268" s="355" t="str">
        <f t="shared" si="1266"/>
        <v>Consumo</v>
      </c>
      <c r="D268" s="355" t="s">
        <v>53</v>
      </c>
      <c r="E268" s="18" t="s">
        <v>38</v>
      </c>
      <c r="F268" s="355" t="s">
        <v>53</v>
      </c>
      <c r="G268" s="357" t="str">
        <f t="shared" si="1267"/>
        <v>Geral</v>
      </c>
      <c r="H268" s="255" t="s">
        <v>377</v>
      </c>
      <c r="I268" s="356" t="str">
        <f t="shared" si="1202"/>
        <v>Sistema</v>
      </c>
      <c r="K268" s="318" t="s">
        <v>3021</v>
      </c>
      <c r="L268" s="749" t="str">
        <f>IF(Padrões!JF209&lt;&gt;"",Padrões!JF209,"")</f>
        <v/>
      </c>
      <c r="M268" s="358" t="str">
        <f t="shared" si="1271"/>
        <v>?</v>
      </c>
      <c r="N268" s="359">
        <f>Padrões!JI209</f>
        <v>0</v>
      </c>
      <c r="O268" s="381" t="str">
        <f t="shared" si="1203"/>
        <v>?</v>
      </c>
      <c r="P268" s="360">
        <f t="shared" si="1204"/>
        <v>0.12</v>
      </c>
      <c r="Q268" s="360" t="str">
        <f t="shared" si="1205"/>
        <v>?</v>
      </c>
      <c r="R268" s="360">
        <f t="shared" si="1206"/>
        <v>0</v>
      </c>
      <c r="S268" s="361">
        <f t="shared" si="1207"/>
        <v>0</v>
      </c>
      <c r="T268" s="362">
        <f t="shared" si="1208"/>
        <v>0</v>
      </c>
      <c r="U268" s="53" t="str" cm="1">
        <f t="array" ref="U268">IFERROR(IF(I268&lt;&gt;"Serviço",IF(AND(mlookup(tbl_DIFAL_data,UFdestino,tbl_DIFAL_UF,O268,tbl_DIFAL_NCM)&lt;&gt;"",C268="Consumo"),"Sim",""),""),"?")</f>
        <v>?</v>
      </c>
      <c r="V268" s="363" t="str">
        <f>IFERROR(IF(I268&lt;&gt;"Serviço",IF(AND(D268="Não",mlookup(tbl_ST_data,UFdestino,tbl_ST_UF,O268,tbl_ST_NCM)&lt;&gt;"",C268="Revenda",CD268="Não"),"Sim",""),""),"?")</f>
        <v>?</v>
      </c>
      <c r="W268" s="364">
        <f t="shared" si="1209"/>
        <v>0</v>
      </c>
      <c r="X268" s="365">
        <f>IF(V268="Sim",mlookup(tbl_ST_data,UFdestino,tbl_ST_UF,O268,tbl_ST_NCM),0)</f>
        <v>0</v>
      </c>
      <c r="Z268" s="355">
        <f t="shared" si="1210"/>
        <v>0</v>
      </c>
      <c r="AA268" s="355">
        <f t="shared" si="1191"/>
        <v>0</v>
      </c>
      <c r="AC268" s="366">
        <f t="shared" si="1268"/>
        <v>1.31243473968765E-2</v>
      </c>
      <c r="AD268" s="366">
        <f t="shared" si="1211"/>
        <v>0.15</v>
      </c>
      <c r="AF268" s="355">
        <f t="shared" si="1212"/>
        <v>0</v>
      </c>
      <c r="AG268" s="355">
        <f t="shared" si="1213"/>
        <v>0</v>
      </c>
      <c r="AI268" s="355">
        <f t="shared" si="1214"/>
        <v>0</v>
      </c>
      <c r="AK268" s="366">
        <f t="shared" si="1269"/>
        <v>0</v>
      </c>
      <c r="AL268" s="355">
        <f t="shared" si="1192"/>
        <v>0</v>
      </c>
      <c r="AM268" s="355">
        <f t="shared" si="1193"/>
        <v>0</v>
      </c>
      <c r="AO268" s="355" t="b">
        <f t="shared" si="1215"/>
        <v>1</v>
      </c>
      <c r="AQ268" s="367">
        <f t="shared" si="1216"/>
        <v>0</v>
      </c>
      <c r="AR268" s="367">
        <f t="shared" si="1194"/>
        <v>0</v>
      </c>
      <c r="AT268" s="367">
        <f t="shared" si="1217"/>
        <v>0</v>
      </c>
      <c r="AU268" s="367">
        <f t="shared" si="1218"/>
        <v>0</v>
      </c>
      <c r="AW268" s="367">
        <f t="shared" si="1219"/>
        <v>0</v>
      </c>
      <c r="AX268" s="367">
        <f t="shared" si="1220"/>
        <v>0</v>
      </c>
      <c r="AY268" s="367">
        <f t="shared" si="1221"/>
        <v>0</v>
      </c>
      <c r="AZ268" s="367">
        <f t="shared" si="1222"/>
        <v>0</v>
      </c>
      <c r="BB268" s="355">
        <f t="shared" si="1223"/>
        <v>0</v>
      </c>
      <c r="BC268" s="355">
        <f t="shared" si="1224"/>
        <v>0</v>
      </c>
      <c r="BD268" s="355">
        <f t="shared" si="1225"/>
        <v>0</v>
      </c>
      <c r="BE268" s="355">
        <f t="shared" si="1226"/>
        <v>0</v>
      </c>
      <c r="BF268" s="355">
        <f t="shared" si="1227"/>
        <v>0</v>
      </c>
      <c r="BH268" s="368">
        <f t="shared" si="1228"/>
        <v>0</v>
      </c>
      <c r="BJ268" s="369">
        <f t="shared" si="1229"/>
        <v>-0.12</v>
      </c>
      <c r="BK268" s="355">
        <f t="shared" si="1230"/>
        <v>0</v>
      </c>
      <c r="BL268" s="355">
        <f t="shared" si="1231"/>
        <v>0</v>
      </c>
      <c r="BN268" s="366">
        <f t="shared" si="1232"/>
        <v>0</v>
      </c>
      <c r="BO268" s="355">
        <f t="shared" si="1233"/>
        <v>0</v>
      </c>
      <c r="BP268" s="355">
        <f t="shared" si="1234"/>
        <v>0</v>
      </c>
      <c r="BQ268" s="355">
        <f t="shared" si="1235"/>
        <v>0</v>
      </c>
      <c r="BS268" s="367">
        <f t="shared" si="1236"/>
        <v>0</v>
      </c>
      <c r="BT268" s="355">
        <f t="shared" si="1237"/>
        <v>0</v>
      </c>
      <c r="BU268" s="355" t="b">
        <f t="shared" si="1195"/>
        <v>1</v>
      </c>
      <c r="BW268" s="355" t="str">
        <f t="shared" si="1238"/>
        <v/>
      </c>
      <c r="BX268" s="355">
        <f t="shared" si="1239"/>
        <v>0</v>
      </c>
      <c r="BY268" s="356">
        <f t="shared" si="1270"/>
        <v>0</v>
      </c>
      <c r="BZ268" s="355">
        <f t="shared" si="1240"/>
        <v>0</v>
      </c>
      <c r="CB268" s="102" t="str">
        <f t="shared" si="1241"/>
        <v>?</v>
      </c>
      <c r="CD268" s="355" t="str">
        <f t="shared" si="1242"/>
        <v>Não</v>
      </c>
      <c r="CE268" s="368">
        <f>ifzero(mlookup(tbl_ICMSinterest_data,UFdestino,tbl_ICMSinterest_ufdest,UForigem,tbl_ICMSinterest_uforig))</f>
        <v>0.12</v>
      </c>
      <c r="CF268" s="368">
        <f>IF(N268&gt;0,IF(I268&lt;&gt;"Serviço",ifzero(mlookup(tbl_ICMSinterno_data,UForigem,tbl_ICMSinterno_UF,O268,tbl_ICMSinterno_NCM),mlookup(tbl_ICMSinterest_data,UForigem,tbl_ICMSinterest_ufdest,UForigem,tbl_ICMSinterest_uforig)),""),0)</f>
        <v>0</v>
      </c>
      <c r="CG268" s="368">
        <f>IF(N268&gt;0,IF(I268&lt;&gt;"Serviço",ifzero(mlookup(tbl_ICMSinterno_data,UFdestino,tbl_ICMSinterno_UF,O268,tbl_ICMSinterno_NCM),mlookup(tbl_ICMSinterest_data,UFdestino,tbl_ICMSinterest_ufdest,UFdestino,tbl_ICMSinterest_uforig)),""),0)</f>
        <v>0</v>
      </c>
      <c r="CI268" s="355">
        <f t="shared" si="1243"/>
        <v>0</v>
      </c>
      <c r="CJ268" s="355">
        <f t="shared" si="1244"/>
        <v>0</v>
      </c>
      <c r="CK268" s="355">
        <f t="shared" si="1245"/>
        <v>0</v>
      </c>
      <c r="CL268" s="355">
        <f t="shared" si="1246"/>
        <v>0</v>
      </c>
      <c r="CN268" s="370">
        <f t="shared" si="1247"/>
        <v>1540</v>
      </c>
      <c r="CO268" s="355">
        <f t="shared" si="1248"/>
        <v>0</v>
      </c>
      <c r="CQ268" s="355" t="b">
        <f t="shared" si="1249"/>
        <v>0</v>
      </c>
      <c r="CR268" s="355" t="b">
        <f t="shared" si="1250"/>
        <v>1</v>
      </c>
      <c r="CS268" s="355" t="b">
        <f t="shared" si="1251"/>
        <v>0</v>
      </c>
      <c r="CU268" s="2">
        <f t="shared" si="1252"/>
        <v>0</v>
      </c>
      <c r="CV268" s="102">
        <f t="shared" si="1253"/>
        <v>0</v>
      </c>
      <c r="CW268" s="102">
        <f t="shared" si="1182"/>
        <v>0</v>
      </c>
      <c r="CX268" s="102">
        <f t="shared" si="1254"/>
        <v>0</v>
      </c>
      <c r="CY268" s="290">
        <f t="shared" si="1255"/>
        <v>0</v>
      </c>
      <c r="CZ268" s="102">
        <f t="shared" si="1184"/>
        <v>0</v>
      </c>
      <c r="DA268" s="290">
        <f t="shared" si="1256"/>
        <v>0</v>
      </c>
      <c r="DB268" s="102">
        <f t="shared" si="1185"/>
        <v>0</v>
      </c>
      <c r="DC268" s="290">
        <f t="shared" si="1257"/>
        <v>0</v>
      </c>
      <c r="DD268" s="102">
        <f t="shared" si="1183"/>
        <v>0</v>
      </c>
      <c r="DE268" s="592">
        <f>IF(D268="Sim",HLOOKUP($DH$5,Parametrização!$G$2:$H$4,2,FALSE),0)</f>
        <v>0</v>
      </c>
      <c r="DF268" s="102">
        <f t="shared" si="1186"/>
        <v>0</v>
      </c>
      <c r="DG268" s="592">
        <f>IF(D268="Sim",HLOOKUP($DH$5,Parametrização!$G$2:$H$4,3,FALSE),0)</f>
        <v>0</v>
      </c>
      <c r="DH268" s="102">
        <f t="shared" si="1187"/>
        <v>0</v>
      </c>
      <c r="DI268" s="102">
        <f t="shared" si="1188"/>
        <v>0</v>
      </c>
      <c r="DK268" s="3" t="str">
        <f t="shared" si="1258"/>
        <v>NA</v>
      </c>
      <c r="DL268" s="2" t="str">
        <f t="shared" si="1259"/>
        <v>NA</v>
      </c>
      <c r="DM268" s="3" t="str">
        <f t="shared" si="1260"/>
        <v>NA</v>
      </c>
      <c r="DN268" s="9" t="str">
        <f t="shared" si="1261"/>
        <v>NA</v>
      </c>
      <c r="DO268" s="637" t="str">
        <f t="shared" si="1262"/>
        <v>NA</v>
      </c>
      <c r="DP268" s="637"/>
      <c r="DQ268" s="3" t="str">
        <f t="shared" si="1263"/>
        <v>NA</v>
      </c>
      <c r="DR268" s="2" t="str">
        <f t="shared" si="1264"/>
        <v>NA</v>
      </c>
      <c r="DS268" s="3" t="str">
        <f t="shared" si="1265"/>
        <v>NA</v>
      </c>
      <c r="DT268" s="9" t="str">
        <f t="shared" si="1189"/>
        <v>NA</v>
      </c>
      <c r="DU268" s="637" t="str">
        <f t="shared" si="1190"/>
        <v>NA</v>
      </c>
      <c r="DV268" s="637"/>
      <c r="DW268" s="682"/>
      <c r="DX268" s="682"/>
      <c r="DY268" s="682"/>
      <c r="DZ268" s="637"/>
      <c r="EA268" s="643"/>
    </row>
    <row r="269" spans="1:131" s="355" customFormat="1" ht="20.100000000000001" customHeight="1" outlineLevel="1" x14ac:dyDescent="0.25">
      <c r="A269" s="356"/>
      <c r="B269" s="355" t="s">
        <v>268</v>
      </c>
      <c r="C269" s="355" t="str">
        <f t="shared" si="1266"/>
        <v>Consumo</v>
      </c>
      <c r="D269" s="355" t="s">
        <v>53</v>
      </c>
      <c r="E269" s="18" t="s">
        <v>38</v>
      </c>
      <c r="F269" s="355" t="s">
        <v>53</v>
      </c>
      <c r="G269" s="357" t="str">
        <f t="shared" si="1267"/>
        <v>Geral</v>
      </c>
      <c r="H269" s="255" t="s">
        <v>377</v>
      </c>
      <c r="I269" s="356" t="str">
        <f t="shared" si="1202"/>
        <v>Sistema</v>
      </c>
      <c r="K269" s="318" t="s">
        <v>3022</v>
      </c>
      <c r="L269" s="749" t="str">
        <f>IF(Padrões!JF210&lt;&gt;"",Padrões!JF210,"")</f>
        <v/>
      </c>
      <c r="M269" s="358" t="str">
        <f t="shared" si="1271"/>
        <v>?</v>
      </c>
      <c r="N269" s="359">
        <f>Padrões!JI210</f>
        <v>0</v>
      </c>
      <c r="O269" s="381" t="str">
        <f t="shared" si="1203"/>
        <v>?</v>
      </c>
      <c r="P269" s="360">
        <f t="shared" si="1204"/>
        <v>0.12</v>
      </c>
      <c r="Q269" s="360" t="str">
        <f t="shared" si="1205"/>
        <v>?</v>
      </c>
      <c r="R269" s="360">
        <f t="shared" si="1206"/>
        <v>0</v>
      </c>
      <c r="S269" s="361">
        <f t="shared" si="1207"/>
        <v>0</v>
      </c>
      <c r="T269" s="362">
        <f t="shared" si="1208"/>
        <v>0</v>
      </c>
      <c r="U269" s="53" t="str" cm="1">
        <f t="array" ref="U269">IFERROR(IF(I269&lt;&gt;"Serviço",IF(AND(mlookup(tbl_DIFAL_data,UFdestino,tbl_DIFAL_UF,O269,tbl_DIFAL_NCM)&lt;&gt;"",C269="Consumo"),"Sim",""),""),"?")</f>
        <v>?</v>
      </c>
      <c r="V269" s="363" t="str">
        <f>IFERROR(IF(I269&lt;&gt;"Serviço",IF(AND(D269="Não",mlookup(tbl_ST_data,UFdestino,tbl_ST_UF,O269,tbl_ST_NCM)&lt;&gt;"",C269="Revenda",CD269="Não"),"Sim",""),""),"?")</f>
        <v>?</v>
      </c>
      <c r="W269" s="364">
        <f t="shared" si="1209"/>
        <v>0</v>
      </c>
      <c r="X269" s="365">
        <f>IF(V269="Sim",mlookup(tbl_ST_data,UFdestino,tbl_ST_UF,O269,tbl_ST_NCM),0)</f>
        <v>0</v>
      </c>
      <c r="Z269" s="355">
        <f t="shared" si="1210"/>
        <v>0</v>
      </c>
      <c r="AA269" s="355">
        <f t="shared" si="1191"/>
        <v>0</v>
      </c>
      <c r="AC269" s="366">
        <f t="shared" si="1268"/>
        <v>1.31243473968765E-2</v>
      </c>
      <c r="AD269" s="366">
        <f t="shared" si="1211"/>
        <v>0.15</v>
      </c>
      <c r="AF269" s="355">
        <f t="shared" si="1212"/>
        <v>0</v>
      </c>
      <c r="AG269" s="355">
        <f t="shared" si="1213"/>
        <v>0</v>
      </c>
      <c r="AI269" s="355">
        <f t="shared" si="1214"/>
        <v>0</v>
      </c>
      <c r="AK269" s="366">
        <f t="shared" si="1269"/>
        <v>0</v>
      </c>
      <c r="AL269" s="355">
        <f t="shared" si="1192"/>
        <v>0</v>
      </c>
      <c r="AM269" s="355">
        <f t="shared" si="1193"/>
        <v>0</v>
      </c>
      <c r="AO269" s="355" t="b">
        <f t="shared" si="1215"/>
        <v>1</v>
      </c>
      <c r="AQ269" s="367">
        <f t="shared" si="1216"/>
        <v>0</v>
      </c>
      <c r="AR269" s="367">
        <f t="shared" si="1194"/>
        <v>0</v>
      </c>
      <c r="AT269" s="367">
        <f t="shared" si="1217"/>
        <v>0</v>
      </c>
      <c r="AU269" s="367">
        <f t="shared" si="1218"/>
        <v>0</v>
      </c>
      <c r="AW269" s="367">
        <f t="shared" si="1219"/>
        <v>0</v>
      </c>
      <c r="AX269" s="367">
        <f t="shared" si="1220"/>
        <v>0</v>
      </c>
      <c r="AY269" s="367">
        <f t="shared" si="1221"/>
        <v>0</v>
      </c>
      <c r="AZ269" s="367">
        <f t="shared" si="1222"/>
        <v>0</v>
      </c>
      <c r="BB269" s="355">
        <f t="shared" si="1223"/>
        <v>0</v>
      </c>
      <c r="BC269" s="355">
        <f t="shared" si="1224"/>
        <v>0</v>
      </c>
      <c r="BD269" s="355">
        <f t="shared" si="1225"/>
        <v>0</v>
      </c>
      <c r="BE269" s="355">
        <f t="shared" si="1226"/>
        <v>0</v>
      </c>
      <c r="BF269" s="355">
        <f t="shared" si="1227"/>
        <v>0</v>
      </c>
      <c r="BH269" s="368">
        <f t="shared" si="1228"/>
        <v>0</v>
      </c>
      <c r="BJ269" s="369">
        <f t="shared" si="1229"/>
        <v>-0.12</v>
      </c>
      <c r="BK269" s="355">
        <f t="shared" si="1230"/>
        <v>0</v>
      </c>
      <c r="BL269" s="355">
        <f t="shared" si="1231"/>
        <v>0</v>
      </c>
      <c r="BN269" s="366">
        <f t="shared" si="1232"/>
        <v>0</v>
      </c>
      <c r="BO269" s="355">
        <f t="shared" si="1233"/>
        <v>0</v>
      </c>
      <c r="BP269" s="355">
        <f t="shared" si="1234"/>
        <v>0</v>
      </c>
      <c r="BQ269" s="355">
        <f t="shared" si="1235"/>
        <v>0</v>
      </c>
      <c r="BS269" s="367">
        <f t="shared" si="1236"/>
        <v>0</v>
      </c>
      <c r="BT269" s="355">
        <f t="shared" si="1237"/>
        <v>0</v>
      </c>
      <c r="BU269" s="355" t="b">
        <f t="shared" si="1195"/>
        <v>1</v>
      </c>
      <c r="BW269" s="355" t="str">
        <f t="shared" si="1238"/>
        <v/>
      </c>
      <c r="BX269" s="355">
        <f t="shared" si="1239"/>
        <v>0</v>
      </c>
      <c r="BY269" s="356">
        <f t="shared" si="1270"/>
        <v>0</v>
      </c>
      <c r="BZ269" s="355">
        <f t="shared" si="1240"/>
        <v>0</v>
      </c>
      <c r="CB269" s="102" t="str">
        <f t="shared" si="1241"/>
        <v>?</v>
      </c>
      <c r="CD269" s="355" t="str">
        <f t="shared" si="1242"/>
        <v>Não</v>
      </c>
      <c r="CE269" s="368">
        <f>ifzero(mlookup(tbl_ICMSinterest_data,UFdestino,tbl_ICMSinterest_ufdest,UForigem,tbl_ICMSinterest_uforig))</f>
        <v>0.12</v>
      </c>
      <c r="CF269" s="368">
        <f>IF(N269&gt;0,IF(I269&lt;&gt;"Serviço",ifzero(mlookup(tbl_ICMSinterno_data,UForigem,tbl_ICMSinterno_UF,O269,tbl_ICMSinterno_NCM),mlookup(tbl_ICMSinterest_data,UForigem,tbl_ICMSinterest_ufdest,UForigem,tbl_ICMSinterest_uforig)),""),0)</f>
        <v>0</v>
      </c>
      <c r="CG269" s="368">
        <f>IF(N269&gt;0,IF(I269&lt;&gt;"Serviço",ifzero(mlookup(tbl_ICMSinterno_data,UFdestino,tbl_ICMSinterno_UF,O269,tbl_ICMSinterno_NCM),mlookup(tbl_ICMSinterest_data,UFdestino,tbl_ICMSinterest_ufdest,UFdestino,tbl_ICMSinterest_uforig)),""),0)</f>
        <v>0</v>
      </c>
      <c r="CI269" s="355">
        <f t="shared" si="1243"/>
        <v>0</v>
      </c>
      <c r="CJ269" s="355">
        <f t="shared" si="1244"/>
        <v>0</v>
      </c>
      <c r="CK269" s="355">
        <f t="shared" si="1245"/>
        <v>0</v>
      </c>
      <c r="CL269" s="355">
        <f t="shared" si="1246"/>
        <v>0</v>
      </c>
      <c r="CN269" s="370">
        <f t="shared" si="1247"/>
        <v>1540</v>
      </c>
      <c r="CO269" s="355">
        <f t="shared" si="1248"/>
        <v>0</v>
      </c>
      <c r="CQ269" s="355" t="b">
        <f t="shared" si="1249"/>
        <v>0</v>
      </c>
      <c r="CR269" s="355" t="b">
        <f t="shared" si="1250"/>
        <v>1</v>
      </c>
      <c r="CS269" s="355" t="b">
        <f t="shared" si="1251"/>
        <v>0</v>
      </c>
      <c r="CU269" s="2">
        <f t="shared" si="1252"/>
        <v>0</v>
      </c>
      <c r="CV269" s="102">
        <f t="shared" si="1253"/>
        <v>0</v>
      </c>
      <c r="CW269" s="102">
        <f t="shared" si="1182"/>
        <v>0</v>
      </c>
      <c r="CX269" s="102">
        <f t="shared" si="1254"/>
        <v>0</v>
      </c>
      <c r="CY269" s="290">
        <f t="shared" si="1255"/>
        <v>0</v>
      </c>
      <c r="CZ269" s="102">
        <f t="shared" si="1184"/>
        <v>0</v>
      </c>
      <c r="DA269" s="290">
        <f t="shared" si="1256"/>
        <v>0</v>
      </c>
      <c r="DB269" s="102">
        <f t="shared" si="1185"/>
        <v>0</v>
      </c>
      <c r="DC269" s="290">
        <f t="shared" si="1257"/>
        <v>0</v>
      </c>
      <c r="DD269" s="102">
        <f t="shared" si="1183"/>
        <v>0</v>
      </c>
      <c r="DE269" s="592">
        <f>IF(D269="Sim",HLOOKUP($DH$5,Parametrização!$G$2:$H$4,2,FALSE),0)</f>
        <v>0</v>
      </c>
      <c r="DF269" s="102">
        <f t="shared" si="1186"/>
        <v>0</v>
      </c>
      <c r="DG269" s="592">
        <f>IF(D269="Sim",HLOOKUP($DH$5,Parametrização!$G$2:$H$4,3,FALSE),0)</f>
        <v>0</v>
      </c>
      <c r="DH269" s="102">
        <f t="shared" si="1187"/>
        <v>0</v>
      </c>
      <c r="DI269" s="102">
        <f t="shared" si="1188"/>
        <v>0</v>
      </c>
      <c r="DK269" s="3" t="str">
        <f t="shared" si="1258"/>
        <v>NA</v>
      </c>
      <c r="DL269" s="2" t="str">
        <f t="shared" si="1259"/>
        <v>NA</v>
      </c>
      <c r="DM269" s="3" t="str">
        <f t="shared" si="1260"/>
        <v>NA</v>
      </c>
      <c r="DN269" s="9" t="str">
        <f t="shared" si="1261"/>
        <v>NA</v>
      </c>
      <c r="DO269" s="637" t="str">
        <f t="shared" si="1262"/>
        <v>NA</v>
      </c>
      <c r="DP269" s="637"/>
      <c r="DQ269" s="3" t="str">
        <f t="shared" si="1263"/>
        <v>NA</v>
      </c>
      <c r="DR269" s="2" t="str">
        <f t="shared" si="1264"/>
        <v>NA</v>
      </c>
      <c r="DS269" s="3" t="str">
        <f t="shared" si="1265"/>
        <v>NA</v>
      </c>
      <c r="DT269" s="9" t="str">
        <f t="shared" si="1189"/>
        <v>NA</v>
      </c>
      <c r="DU269" s="637" t="str">
        <f t="shared" si="1190"/>
        <v>NA</v>
      </c>
      <c r="DV269" s="637"/>
      <c r="DW269" s="682"/>
      <c r="DX269" s="682"/>
      <c r="DY269" s="682"/>
      <c r="DZ269" s="637"/>
      <c r="EA269" s="643"/>
    </row>
    <row r="270" spans="1:131" s="355" customFormat="1" ht="20.100000000000001" customHeight="1" outlineLevel="1" x14ac:dyDescent="0.25">
      <c r="A270" s="356"/>
      <c r="B270" s="355" t="s">
        <v>268</v>
      </c>
      <c r="C270" s="355" t="str">
        <f t="shared" si="1266"/>
        <v>Consumo</v>
      </c>
      <c r="D270" s="355" t="s">
        <v>53</v>
      </c>
      <c r="E270" s="18" t="s">
        <v>38</v>
      </c>
      <c r="F270" s="355" t="s">
        <v>53</v>
      </c>
      <c r="G270" s="357" t="str">
        <f t="shared" si="1267"/>
        <v>Geral</v>
      </c>
      <c r="H270" s="255" t="s">
        <v>377</v>
      </c>
      <c r="I270" s="356" t="str">
        <f t="shared" si="1202"/>
        <v>Sistema</v>
      </c>
      <c r="K270" s="318" t="s">
        <v>3023</v>
      </c>
      <c r="L270" s="749" t="str">
        <f>IF(Padrões!JF211&lt;&gt;"",Padrões!JF211,"")</f>
        <v/>
      </c>
      <c r="M270" s="358" t="str">
        <f t="shared" si="1271"/>
        <v>?</v>
      </c>
      <c r="N270" s="359">
        <f>Padrões!JI211</f>
        <v>0</v>
      </c>
      <c r="O270" s="381" t="str">
        <f t="shared" si="1203"/>
        <v>?</v>
      </c>
      <c r="P270" s="360">
        <f t="shared" si="1204"/>
        <v>0.12</v>
      </c>
      <c r="Q270" s="360" t="str">
        <f t="shared" si="1205"/>
        <v>?</v>
      </c>
      <c r="R270" s="360">
        <f t="shared" si="1206"/>
        <v>0</v>
      </c>
      <c r="S270" s="361">
        <f t="shared" si="1207"/>
        <v>0</v>
      </c>
      <c r="T270" s="362">
        <f t="shared" si="1208"/>
        <v>0</v>
      </c>
      <c r="U270" s="53" t="str" cm="1">
        <f t="array" ref="U270">IFERROR(IF(I270&lt;&gt;"Serviço",IF(AND(mlookup(tbl_DIFAL_data,UFdestino,tbl_DIFAL_UF,O270,tbl_DIFAL_NCM)&lt;&gt;"",C270="Consumo"),"Sim",""),""),"?")</f>
        <v>?</v>
      </c>
      <c r="V270" s="363" t="str">
        <f>IFERROR(IF(I270&lt;&gt;"Serviço",IF(AND(D270="Não",mlookup(tbl_ST_data,UFdestino,tbl_ST_UF,O270,tbl_ST_NCM)&lt;&gt;"",C270="Revenda",CD270="Não"),"Sim",""),""),"?")</f>
        <v>?</v>
      </c>
      <c r="W270" s="364">
        <f t="shared" si="1209"/>
        <v>0</v>
      </c>
      <c r="X270" s="365">
        <f>IF(V270="Sim",mlookup(tbl_ST_data,UFdestino,tbl_ST_UF,O270,tbl_ST_NCM),0)</f>
        <v>0</v>
      </c>
      <c r="Z270" s="355">
        <f t="shared" si="1210"/>
        <v>0</v>
      </c>
      <c r="AA270" s="355">
        <f t="shared" si="1191"/>
        <v>0</v>
      </c>
      <c r="AC270" s="366">
        <f t="shared" si="1268"/>
        <v>1.31243473968765E-2</v>
      </c>
      <c r="AD270" s="366">
        <f t="shared" si="1211"/>
        <v>0.15</v>
      </c>
      <c r="AF270" s="355">
        <f t="shared" si="1212"/>
        <v>0</v>
      </c>
      <c r="AG270" s="355">
        <f t="shared" si="1213"/>
        <v>0</v>
      </c>
      <c r="AI270" s="355">
        <f t="shared" si="1214"/>
        <v>0</v>
      </c>
      <c r="AK270" s="366">
        <f t="shared" si="1269"/>
        <v>0</v>
      </c>
      <c r="AL270" s="355">
        <f t="shared" si="1192"/>
        <v>0</v>
      </c>
      <c r="AM270" s="355">
        <f t="shared" si="1193"/>
        <v>0</v>
      </c>
      <c r="AO270" s="355" t="b">
        <f t="shared" si="1215"/>
        <v>1</v>
      </c>
      <c r="AQ270" s="367">
        <f t="shared" si="1216"/>
        <v>0</v>
      </c>
      <c r="AR270" s="367">
        <f t="shared" si="1194"/>
        <v>0</v>
      </c>
      <c r="AT270" s="367">
        <f t="shared" si="1217"/>
        <v>0</v>
      </c>
      <c r="AU270" s="367">
        <f t="shared" si="1218"/>
        <v>0</v>
      </c>
      <c r="AW270" s="367">
        <f t="shared" si="1219"/>
        <v>0</v>
      </c>
      <c r="AX270" s="367">
        <f t="shared" si="1220"/>
        <v>0</v>
      </c>
      <c r="AY270" s="367">
        <f t="shared" si="1221"/>
        <v>0</v>
      </c>
      <c r="AZ270" s="367">
        <f t="shared" si="1222"/>
        <v>0</v>
      </c>
      <c r="BB270" s="355">
        <f t="shared" si="1223"/>
        <v>0</v>
      </c>
      <c r="BC270" s="355">
        <f t="shared" si="1224"/>
        <v>0</v>
      </c>
      <c r="BD270" s="355">
        <f t="shared" si="1225"/>
        <v>0</v>
      </c>
      <c r="BE270" s="355">
        <f t="shared" si="1226"/>
        <v>0</v>
      </c>
      <c r="BF270" s="355">
        <f t="shared" si="1227"/>
        <v>0</v>
      </c>
      <c r="BH270" s="368">
        <f t="shared" si="1228"/>
        <v>0</v>
      </c>
      <c r="BJ270" s="369">
        <f t="shared" si="1229"/>
        <v>-0.12</v>
      </c>
      <c r="BK270" s="355">
        <f t="shared" si="1230"/>
        <v>0</v>
      </c>
      <c r="BL270" s="355">
        <f t="shared" si="1231"/>
        <v>0</v>
      </c>
      <c r="BN270" s="366">
        <f t="shared" si="1232"/>
        <v>0</v>
      </c>
      <c r="BO270" s="355">
        <f t="shared" si="1233"/>
        <v>0</v>
      </c>
      <c r="BP270" s="355">
        <f t="shared" si="1234"/>
        <v>0</v>
      </c>
      <c r="BQ270" s="355">
        <f t="shared" si="1235"/>
        <v>0</v>
      </c>
      <c r="BS270" s="367">
        <f t="shared" si="1236"/>
        <v>0</v>
      </c>
      <c r="BT270" s="355">
        <f t="shared" si="1237"/>
        <v>0</v>
      </c>
      <c r="BU270" s="355" t="b">
        <f t="shared" si="1195"/>
        <v>1</v>
      </c>
      <c r="BW270" s="355" t="str">
        <f t="shared" si="1238"/>
        <v/>
      </c>
      <c r="BX270" s="355">
        <f t="shared" si="1239"/>
        <v>0</v>
      </c>
      <c r="BY270" s="356">
        <f t="shared" si="1270"/>
        <v>0</v>
      </c>
      <c r="BZ270" s="355">
        <f t="shared" si="1240"/>
        <v>0</v>
      </c>
      <c r="CB270" s="102" t="str">
        <f t="shared" si="1241"/>
        <v>?</v>
      </c>
      <c r="CD270" s="355" t="str">
        <f t="shared" si="1242"/>
        <v>Não</v>
      </c>
      <c r="CE270" s="368">
        <f>ifzero(mlookup(tbl_ICMSinterest_data,UFdestino,tbl_ICMSinterest_ufdest,UForigem,tbl_ICMSinterest_uforig))</f>
        <v>0.12</v>
      </c>
      <c r="CF270" s="368">
        <f>IF(N270&gt;0,IF(I270&lt;&gt;"Serviço",ifzero(mlookup(tbl_ICMSinterno_data,UForigem,tbl_ICMSinterno_UF,O270,tbl_ICMSinterno_NCM),mlookup(tbl_ICMSinterest_data,UForigem,tbl_ICMSinterest_ufdest,UForigem,tbl_ICMSinterest_uforig)),""),0)</f>
        <v>0</v>
      </c>
      <c r="CG270" s="368">
        <f>IF(N270&gt;0,IF(I270&lt;&gt;"Serviço",ifzero(mlookup(tbl_ICMSinterno_data,UFdestino,tbl_ICMSinterno_UF,O270,tbl_ICMSinterno_NCM),mlookup(tbl_ICMSinterest_data,UFdestino,tbl_ICMSinterest_ufdest,UFdestino,tbl_ICMSinterest_uforig)),""),0)</f>
        <v>0</v>
      </c>
      <c r="CI270" s="355">
        <f t="shared" si="1243"/>
        <v>0</v>
      </c>
      <c r="CJ270" s="355">
        <f t="shared" si="1244"/>
        <v>0</v>
      </c>
      <c r="CK270" s="355">
        <f t="shared" si="1245"/>
        <v>0</v>
      </c>
      <c r="CL270" s="355">
        <f t="shared" si="1246"/>
        <v>0</v>
      </c>
      <c r="CN270" s="370">
        <f t="shared" si="1247"/>
        <v>1540</v>
      </c>
      <c r="CO270" s="355">
        <f t="shared" si="1248"/>
        <v>0</v>
      </c>
      <c r="CQ270" s="355" t="b">
        <f t="shared" si="1249"/>
        <v>0</v>
      </c>
      <c r="CR270" s="355" t="b">
        <f t="shared" si="1250"/>
        <v>1</v>
      </c>
      <c r="CS270" s="355" t="b">
        <f t="shared" si="1251"/>
        <v>0</v>
      </c>
      <c r="CU270" s="2">
        <f t="shared" si="1252"/>
        <v>0</v>
      </c>
      <c r="CV270" s="102">
        <f t="shared" si="1253"/>
        <v>0</v>
      </c>
      <c r="CW270" s="102">
        <f t="shared" si="1182"/>
        <v>0</v>
      </c>
      <c r="CX270" s="102">
        <f t="shared" si="1254"/>
        <v>0</v>
      </c>
      <c r="CY270" s="290">
        <f t="shared" si="1255"/>
        <v>0</v>
      </c>
      <c r="CZ270" s="102">
        <f t="shared" si="1184"/>
        <v>0</v>
      </c>
      <c r="DA270" s="290">
        <f t="shared" si="1256"/>
        <v>0</v>
      </c>
      <c r="DB270" s="102">
        <f t="shared" si="1185"/>
        <v>0</v>
      </c>
      <c r="DC270" s="290">
        <f t="shared" si="1257"/>
        <v>0</v>
      </c>
      <c r="DD270" s="102">
        <f t="shared" si="1183"/>
        <v>0</v>
      </c>
      <c r="DE270" s="592">
        <f>IF(D270="Sim",HLOOKUP($DH$5,Parametrização!$G$2:$H$4,2,FALSE),0)</f>
        <v>0</v>
      </c>
      <c r="DF270" s="102">
        <f t="shared" si="1186"/>
        <v>0</v>
      </c>
      <c r="DG270" s="592">
        <f>IF(D270="Sim",HLOOKUP($DH$5,Parametrização!$G$2:$H$4,3,FALSE),0)</f>
        <v>0</v>
      </c>
      <c r="DH270" s="102">
        <f t="shared" si="1187"/>
        <v>0</v>
      </c>
      <c r="DI270" s="102">
        <f t="shared" si="1188"/>
        <v>0</v>
      </c>
      <c r="DK270" s="3" t="str">
        <f t="shared" si="1258"/>
        <v>NA</v>
      </c>
      <c r="DL270" s="2" t="str">
        <f t="shared" si="1259"/>
        <v>NA</v>
      </c>
      <c r="DM270" s="3" t="str">
        <f t="shared" si="1260"/>
        <v>NA</v>
      </c>
      <c r="DN270" s="9" t="str">
        <f t="shared" si="1261"/>
        <v>NA</v>
      </c>
      <c r="DO270" s="637" t="str">
        <f t="shared" si="1262"/>
        <v>NA</v>
      </c>
      <c r="DP270" s="637"/>
      <c r="DQ270" s="3" t="str">
        <f t="shared" si="1263"/>
        <v>NA</v>
      </c>
      <c r="DR270" s="2" t="str">
        <f t="shared" si="1264"/>
        <v>NA</v>
      </c>
      <c r="DS270" s="3" t="str">
        <f t="shared" si="1265"/>
        <v>NA</v>
      </c>
      <c r="DT270" s="9" t="str">
        <f t="shared" si="1189"/>
        <v>NA</v>
      </c>
      <c r="DU270" s="637" t="str">
        <f t="shared" si="1190"/>
        <v>NA</v>
      </c>
      <c r="DV270" s="637"/>
      <c r="DW270" s="682"/>
      <c r="DX270" s="682"/>
      <c r="DY270" s="682"/>
      <c r="DZ270" s="637"/>
      <c r="EA270" s="643"/>
    </row>
    <row r="271" spans="1:131" s="355" customFormat="1" ht="20.100000000000001" customHeight="1" outlineLevel="1" x14ac:dyDescent="0.25">
      <c r="A271" s="356"/>
      <c r="B271" s="355" t="s">
        <v>268</v>
      </c>
      <c r="C271" s="355" t="str">
        <f t="shared" si="1266"/>
        <v>Consumo</v>
      </c>
      <c r="D271" s="355" t="s">
        <v>53</v>
      </c>
      <c r="E271" s="18" t="s">
        <v>38</v>
      </c>
      <c r="F271" s="355" t="s">
        <v>53</v>
      </c>
      <c r="G271" s="357" t="str">
        <f t="shared" si="1267"/>
        <v>Geral</v>
      </c>
      <c r="H271" s="255" t="s">
        <v>377</v>
      </c>
      <c r="I271" s="356" t="str">
        <f t="shared" si="1202"/>
        <v>Sistema</v>
      </c>
      <c r="K271" s="318" t="s">
        <v>3024</v>
      </c>
      <c r="L271" s="749" t="str">
        <f>IF(Padrões!JF212&lt;&gt;"",Padrões!JF212,"")</f>
        <v/>
      </c>
      <c r="M271" s="358" t="str">
        <f t="shared" si="1271"/>
        <v>?</v>
      </c>
      <c r="N271" s="359">
        <f>Padrões!JI212</f>
        <v>0</v>
      </c>
      <c r="O271" s="381" t="str">
        <f t="shared" si="1203"/>
        <v>?</v>
      </c>
      <c r="P271" s="360">
        <f t="shared" si="1204"/>
        <v>0.12</v>
      </c>
      <c r="Q271" s="360" t="str">
        <f t="shared" si="1205"/>
        <v>?</v>
      </c>
      <c r="R271" s="360">
        <f t="shared" si="1206"/>
        <v>0</v>
      </c>
      <c r="S271" s="361">
        <f t="shared" si="1207"/>
        <v>0</v>
      </c>
      <c r="T271" s="362">
        <f t="shared" si="1208"/>
        <v>0</v>
      </c>
      <c r="U271" s="53" t="str" cm="1">
        <f t="array" ref="U271">IFERROR(IF(I271&lt;&gt;"Serviço",IF(AND(mlookup(tbl_DIFAL_data,UFdestino,tbl_DIFAL_UF,O271,tbl_DIFAL_NCM)&lt;&gt;"",C271="Consumo"),"Sim",""),""),"?")</f>
        <v>?</v>
      </c>
      <c r="V271" s="363" t="str">
        <f>IFERROR(IF(I271&lt;&gt;"Serviço",IF(AND(D271="Não",mlookup(tbl_ST_data,UFdestino,tbl_ST_UF,O271,tbl_ST_NCM)&lt;&gt;"",C271="Revenda",CD271="Não"),"Sim",""),""),"?")</f>
        <v>?</v>
      </c>
      <c r="W271" s="364">
        <f t="shared" si="1209"/>
        <v>0</v>
      </c>
      <c r="X271" s="365">
        <f>IF(V271="Sim",mlookup(tbl_ST_data,UFdestino,tbl_ST_UF,O271,tbl_ST_NCM),0)</f>
        <v>0</v>
      </c>
      <c r="Z271" s="355">
        <f t="shared" si="1210"/>
        <v>0</v>
      </c>
      <c r="AA271" s="355">
        <f t="shared" si="1191"/>
        <v>0</v>
      </c>
      <c r="AC271" s="366">
        <f t="shared" si="1268"/>
        <v>1.31243473968765E-2</v>
      </c>
      <c r="AD271" s="366">
        <f t="shared" si="1211"/>
        <v>0.15</v>
      </c>
      <c r="AF271" s="355">
        <f t="shared" si="1212"/>
        <v>0</v>
      </c>
      <c r="AG271" s="355">
        <f t="shared" si="1213"/>
        <v>0</v>
      </c>
      <c r="AI271" s="355">
        <f t="shared" si="1214"/>
        <v>0</v>
      </c>
      <c r="AK271" s="366">
        <f t="shared" si="1269"/>
        <v>0</v>
      </c>
      <c r="AL271" s="355">
        <f t="shared" si="1192"/>
        <v>0</v>
      </c>
      <c r="AM271" s="355">
        <f t="shared" si="1193"/>
        <v>0</v>
      </c>
      <c r="AO271" s="355" t="b">
        <f t="shared" si="1215"/>
        <v>1</v>
      </c>
      <c r="AQ271" s="367">
        <f t="shared" si="1216"/>
        <v>0</v>
      </c>
      <c r="AR271" s="367">
        <f t="shared" si="1194"/>
        <v>0</v>
      </c>
      <c r="AT271" s="367">
        <f t="shared" si="1217"/>
        <v>0</v>
      </c>
      <c r="AU271" s="367">
        <f t="shared" si="1218"/>
        <v>0</v>
      </c>
      <c r="AW271" s="367">
        <f t="shared" si="1219"/>
        <v>0</v>
      </c>
      <c r="AX271" s="367">
        <f t="shared" si="1220"/>
        <v>0</v>
      </c>
      <c r="AY271" s="367">
        <f t="shared" si="1221"/>
        <v>0</v>
      </c>
      <c r="AZ271" s="367">
        <f t="shared" si="1222"/>
        <v>0</v>
      </c>
      <c r="BB271" s="355">
        <f t="shared" si="1223"/>
        <v>0</v>
      </c>
      <c r="BC271" s="355">
        <f t="shared" si="1224"/>
        <v>0</v>
      </c>
      <c r="BD271" s="355">
        <f t="shared" si="1225"/>
        <v>0</v>
      </c>
      <c r="BE271" s="355">
        <f t="shared" si="1226"/>
        <v>0</v>
      </c>
      <c r="BF271" s="355">
        <f t="shared" si="1227"/>
        <v>0</v>
      </c>
      <c r="BH271" s="368">
        <f t="shared" si="1228"/>
        <v>0</v>
      </c>
      <c r="BJ271" s="369">
        <f t="shared" si="1229"/>
        <v>-0.12</v>
      </c>
      <c r="BK271" s="355">
        <f t="shared" si="1230"/>
        <v>0</v>
      </c>
      <c r="BL271" s="355">
        <f t="shared" si="1231"/>
        <v>0</v>
      </c>
      <c r="BN271" s="366">
        <f t="shared" si="1232"/>
        <v>0</v>
      </c>
      <c r="BO271" s="355">
        <f t="shared" si="1233"/>
        <v>0</v>
      </c>
      <c r="BP271" s="355">
        <f t="shared" si="1234"/>
        <v>0</v>
      </c>
      <c r="BQ271" s="355">
        <f t="shared" si="1235"/>
        <v>0</v>
      </c>
      <c r="BS271" s="367">
        <f t="shared" si="1236"/>
        <v>0</v>
      </c>
      <c r="BT271" s="355">
        <f t="shared" si="1237"/>
        <v>0</v>
      </c>
      <c r="BU271" s="355" t="b">
        <f t="shared" si="1195"/>
        <v>1</v>
      </c>
      <c r="BW271" s="355" t="str">
        <f t="shared" si="1238"/>
        <v/>
      </c>
      <c r="BX271" s="355">
        <f t="shared" si="1239"/>
        <v>0</v>
      </c>
      <c r="BY271" s="356">
        <f t="shared" si="1270"/>
        <v>0</v>
      </c>
      <c r="BZ271" s="355">
        <f t="shared" si="1240"/>
        <v>0</v>
      </c>
      <c r="CB271" s="102" t="str">
        <f t="shared" si="1241"/>
        <v>?</v>
      </c>
      <c r="CD271" s="355" t="str">
        <f t="shared" si="1242"/>
        <v>Não</v>
      </c>
      <c r="CE271" s="368">
        <f>ifzero(mlookup(tbl_ICMSinterest_data,UFdestino,tbl_ICMSinterest_ufdest,UForigem,tbl_ICMSinterest_uforig))</f>
        <v>0.12</v>
      </c>
      <c r="CF271" s="368">
        <f>IF(N271&gt;0,IF(I271&lt;&gt;"Serviço",ifzero(mlookup(tbl_ICMSinterno_data,UForigem,tbl_ICMSinterno_UF,O271,tbl_ICMSinterno_NCM),mlookup(tbl_ICMSinterest_data,UForigem,tbl_ICMSinterest_ufdest,UForigem,tbl_ICMSinterest_uforig)),""),0)</f>
        <v>0</v>
      </c>
      <c r="CG271" s="368">
        <f>IF(N271&gt;0,IF(I271&lt;&gt;"Serviço",ifzero(mlookup(tbl_ICMSinterno_data,UFdestino,tbl_ICMSinterno_UF,O271,tbl_ICMSinterno_NCM),mlookup(tbl_ICMSinterest_data,UFdestino,tbl_ICMSinterest_ufdest,UFdestino,tbl_ICMSinterest_uforig)),""),0)</f>
        <v>0</v>
      </c>
      <c r="CI271" s="355">
        <f t="shared" si="1243"/>
        <v>0</v>
      </c>
      <c r="CJ271" s="355">
        <f t="shared" si="1244"/>
        <v>0</v>
      </c>
      <c r="CK271" s="355">
        <f t="shared" si="1245"/>
        <v>0</v>
      </c>
      <c r="CL271" s="355">
        <f t="shared" si="1246"/>
        <v>0</v>
      </c>
      <c r="CN271" s="370">
        <f t="shared" si="1247"/>
        <v>1540</v>
      </c>
      <c r="CO271" s="355">
        <f t="shared" si="1248"/>
        <v>0</v>
      </c>
      <c r="CQ271" s="355" t="b">
        <f t="shared" si="1249"/>
        <v>0</v>
      </c>
      <c r="CR271" s="355" t="b">
        <f t="shared" si="1250"/>
        <v>1</v>
      </c>
      <c r="CS271" s="355" t="b">
        <f t="shared" si="1251"/>
        <v>0</v>
      </c>
      <c r="CU271" s="2">
        <f t="shared" si="1252"/>
        <v>0</v>
      </c>
      <c r="CV271" s="102">
        <f t="shared" si="1253"/>
        <v>0</v>
      </c>
      <c r="CW271" s="102">
        <f t="shared" si="1182"/>
        <v>0</v>
      </c>
      <c r="CX271" s="102">
        <f t="shared" si="1254"/>
        <v>0</v>
      </c>
      <c r="CY271" s="290">
        <f t="shared" si="1255"/>
        <v>0</v>
      </c>
      <c r="CZ271" s="102">
        <f t="shared" si="1184"/>
        <v>0</v>
      </c>
      <c r="DA271" s="290">
        <f t="shared" si="1256"/>
        <v>0</v>
      </c>
      <c r="DB271" s="102">
        <f t="shared" si="1185"/>
        <v>0</v>
      </c>
      <c r="DC271" s="290">
        <f t="shared" si="1257"/>
        <v>0</v>
      </c>
      <c r="DD271" s="102">
        <f t="shared" si="1183"/>
        <v>0</v>
      </c>
      <c r="DE271" s="592">
        <f>IF(D271="Sim",HLOOKUP($DH$5,Parametrização!$G$2:$H$4,2,FALSE),0)</f>
        <v>0</v>
      </c>
      <c r="DF271" s="102">
        <f t="shared" si="1186"/>
        <v>0</v>
      </c>
      <c r="DG271" s="592">
        <f>IF(D271="Sim",HLOOKUP($DH$5,Parametrização!$G$2:$H$4,3,FALSE),0)</f>
        <v>0</v>
      </c>
      <c r="DH271" s="102">
        <f t="shared" si="1187"/>
        <v>0</v>
      </c>
      <c r="DI271" s="102">
        <f t="shared" si="1188"/>
        <v>0</v>
      </c>
      <c r="DK271" s="3" t="str">
        <f t="shared" si="1258"/>
        <v>NA</v>
      </c>
      <c r="DL271" s="2" t="str">
        <f t="shared" si="1259"/>
        <v>NA</v>
      </c>
      <c r="DM271" s="3" t="str">
        <f t="shared" si="1260"/>
        <v>NA</v>
      </c>
      <c r="DN271" s="9" t="str">
        <f t="shared" si="1261"/>
        <v>NA</v>
      </c>
      <c r="DO271" s="637" t="str">
        <f t="shared" si="1262"/>
        <v>NA</v>
      </c>
      <c r="DP271" s="637"/>
      <c r="DQ271" s="3" t="str">
        <f t="shared" si="1263"/>
        <v>NA</v>
      </c>
      <c r="DR271" s="2" t="str">
        <f t="shared" si="1264"/>
        <v>NA</v>
      </c>
      <c r="DS271" s="3" t="str">
        <f t="shared" si="1265"/>
        <v>NA</v>
      </c>
      <c r="DT271" s="9" t="str">
        <f t="shared" si="1189"/>
        <v>NA</v>
      </c>
      <c r="DU271" s="637" t="str">
        <f t="shared" si="1190"/>
        <v>NA</v>
      </c>
      <c r="DV271" s="637"/>
      <c r="DW271" s="682"/>
      <c r="DX271" s="682"/>
      <c r="DY271" s="682"/>
      <c r="DZ271" s="637"/>
      <c r="EA271" s="643"/>
    </row>
    <row r="272" spans="1:131" s="355" customFormat="1" ht="20.100000000000001" customHeight="1" outlineLevel="1" x14ac:dyDescent="0.25">
      <c r="A272" s="356"/>
      <c r="B272" s="355" t="s">
        <v>268</v>
      </c>
      <c r="C272" s="355" t="str">
        <f t="shared" si="1266"/>
        <v>Consumo</v>
      </c>
      <c r="D272" s="355" t="s">
        <v>53</v>
      </c>
      <c r="E272" s="18" t="s">
        <v>38</v>
      </c>
      <c r="F272" s="355" t="s">
        <v>53</v>
      </c>
      <c r="G272" s="357" t="str">
        <f t="shared" si="1267"/>
        <v>Geral</v>
      </c>
      <c r="H272" s="255" t="s">
        <v>377</v>
      </c>
      <c r="I272" s="356" t="str">
        <f t="shared" si="1202"/>
        <v>Sistema</v>
      </c>
      <c r="K272" s="318" t="s">
        <v>3025</v>
      </c>
      <c r="L272" s="749" t="str">
        <f>IF(Padrões!JF213&lt;&gt;"",Padrões!JF213,"")</f>
        <v/>
      </c>
      <c r="M272" s="358" t="str">
        <f t="shared" si="1271"/>
        <v>?</v>
      </c>
      <c r="N272" s="359">
        <f>Padrões!JI213</f>
        <v>0</v>
      </c>
      <c r="O272" s="381" t="str">
        <f t="shared" si="1203"/>
        <v>?</v>
      </c>
      <c r="P272" s="360">
        <f t="shared" si="1204"/>
        <v>0.12</v>
      </c>
      <c r="Q272" s="360" t="str">
        <f t="shared" si="1205"/>
        <v>?</v>
      </c>
      <c r="R272" s="360">
        <f t="shared" si="1206"/>
        <v>0</v>
      </c>
      <c r="S272" s="361">
        <f t="shared" si="1207"/>
        <v>0</v>
      </c>
      <c r="T272" s="362">
        <f t="shared" si="1208"/>
        <v>0</v>
      </c>
      <c r="U272" s="53" t="str" cm="1">
        <f t="array" ref="U272">IFERROR(IF(I272&lt;&gt;"Serviço",IF(AND(mlookup(tbl_DIFAL_data,UFdestino,tbl_DIFAL_UF,O272,tbl_DIFAL_NCM)&lt;&gt;"",C272="Consumo"),"Sim",""),""),"?")</f>
        <v>?</v>
      </c>
      <c r="V272" s="363" t="str">
        <f>IFERROR(IF(I272&lt;&gt;"Serviço",IF(AND(D272="Não",mlookup(tbl_ST_data,UFdestino,tbl_ST_UF,O272,tbl_ST_NCM)&lt;&gt;"",C272="Revenda",CD272="Não"),"Sim",""),""),"?")</f>
        <v>?</v>
      </c>
      <c r="W272" s="364">
        <f t="shared" si="1209"/>
        <v>0</v>
      </c>
      <c r="X272" s="365">
        <f>IF(V272="Sim",mlookup(tbl_ST_data,UFdestino,tbl_ST_UF,O272,tbl_ST_NCM),0)</f>
        <v>0</v>
      </c>
      <c r="Z272" s="355">
        <f t="shared" si="1210"/>
        <v>0</v>
      </c>
      <c r="AA272" s="355">
        <f t="shared" si="1191"/>
        <v>0</v>
      </c>
      <c r="AC272" s="366">
        <f t="shared" si="1268"/>
        <v>1.31243473968765E-2</v>
      </c>
      <c r="AD272" s="366">
        <f t="shared" si="1211"/>
        <v>0.15</v>
      </c>
      <c r="AF272" s="355">
        <f t="shared" si="1212"/>
        <v>0</v>
      </c>
      <c r="AG272" s="355">
        <f t="shared" si="1213"/>
        <v>0</v>
      </c>
      <c r="AI272" s="355">
        <f t="shared" si="1214"/>
        <v>0</v>
      </c>
      <c r="AK272" s="366">
        <f t="shared" si="1269"/>
        <v>0</v>
      </c>
      <c r="AL272" s="355">
        <f t="shared" si="1192"/>
        <v>0</v>
      </c>
      <c r="AM272" s="355">
        <f t="shared" si="1193"/>
        <v>0</v>
      </c>
      <c r="AO272" s="355" t="b">
        <f t="shared" si="1215"/>
        <v>1</v>
      </c>
      <c r="AQ272" s="367">
        <f t="shared" si="1216"/>
        <v>0</v>
      </c>
      <c r="AR272" s="367">
        <f t="shared" si="1194"/>
        <v>0</v>
      </c>
      <c r="AT272" s="367">
        <f t="shared" si="1217"/>
        <v>0</v>
      </c>
      <c r="AU272" s="367">
        <f t="shared" si="1218"/>
        <v>0</v>
      </c>
      <c r="AW272" s="367">
        <f t="shared" si="1219"/>
        <v>0</v>
      </c>
      <c r="AX272" s="367">
        <f t="shared" si="1220"/>
        <v>0</v>
      </c>
      <c r="AY272" s="367">
        <f t="shared" si="1221"/>
        <v>0</v>
      </c>
      <c r="AZ272" s="367">
        <f t="shared" si="1222"/>
        <v>0</v>
      </c>
      <c r="BB272" s="355">
        <f t="shared" si="1223"/>
        <v>0</v>
      </c>
      <c r="BC272" s="355">
        <f t="shared" si="1224"/>
        <v>0</v>
      </c>
      <c r="BD272" s="355">
        <f t="shared" si="1225"/>
        <v>0</v>
      </c>
      <c r="BE272" s="355">
        <f t="shared" si="1226"/>
        <v>0</v>
      </c>
      <c r="BF272" s="355">
        <f t="shared" si="1227"/>
        <v>0</v>
      </c>
      <c r="BH272" s="368">
        <f t="shared" si="1228"/>
        <v>0</v>
      </c>
      <c r="BJ272" s="369">
        <f t="shared" si="1229"/>
        <v>-0.12</v>
      </c>
      <c r="BK272" s="355">
        <f t="shared" si="1230"/>
        <v>0</v>
      </c>
      <c r="BL272" s="355">
        <f t="shared" si="1231"/>
        <v>0</v>
      </c>
      <c r="BN272" s="366">
        <f t="shared" si="1232"/>
        <v>0</v>
      </c>
      <c r="BO272" s="355">
        <f t="shared" si="1233"/>
        <v>0</v>
      </c>
      <c r="BP272" s="355">
        <f t="shared" si="1234"/>
        <v>0</v>
      </c>
      <c r="BQ272" s="355">
        <f t="shared" si="1235"/>
        <v>0</v>
      </c>
      <c r="BS272" s="367">
        <f t="shared" si="1236"/>
        <v>0</v>
      </c>
      <c r="BT272" s="355">
        <f t="shared" si="1237"/>
        <v>0</v>
      </c>
      <c r="BU272" s="355" t="b">
        <f t="shared" si="1195"/>
        <v>1</v>
      </c>
      <c r="BW272" s="355" t="str">
        <f t="shared" si="1238"/>
        <v/>
      </c>
      <c r="BX272" s="355">
        <f t="shared" si="1239"/>
        <v>0</v>
      </c>
      <c r="BY272" s="356">
        <f t="shared" si="1270"/>
        <v>0</v>
      </c>
      <c r="BZ272" s="355">
        <f t="shared" si="1240"/>
        <v>0</v>
      </c>
      <c r="CB272" s="102" t="str">
        <f t="shared" si="1241"/>
        <v>?</v>
      </c>
      <c r="CD272" s="355" t="str">
        <f t="shared" si="1242"/>
        <v>Não</v>
      </c>
      <c r="CE272" s="368">
        <f>ifzero(mlookup(tbl_ICMSinterest_data,UFdestino,tbl_ICMSinterest_ufdest,UForigem,tbl_ICMSinterest_uforig))</f>
        <v>0.12</v>
      </c>
      <c r="CF272" s="368">
        <f>IF(N272&gt;0,IF(I272&lt;&gt;"Serviço",ifzero(mlookup(tbl_ICMSinterno_data,UForigem,tbl_ICMSinterno_UF,O272,tbl_ICMSinterno_NCM),mlookup(tbl_ICMSinterest_data,UForigem,tbl_ICMSinterest_ufdest,UForigem,tbl_ICMSinterest_uforig)),""),0)</f>
        <v>0</v>
      </c>
      <c r="CG272" s="368">
        <f>IF(N272&gt;0,IF(I272&lt;&gt;"Serviço",ifzero(mlookup(tbl_ICMSinterno_data,UFdestino,tbl_ICMSinterno_UF,O272,tbl_ICMSinterno_NCM),mlookup(tbl_ICMSinterest_data,UFdestino,tbl_ICMSinterest_ufdest,UFdestino,tbl_ICMSinterest_uforig)),""),0)</f>
        <v>0</v>
      </c>
      <c r="CI272" s="355">
        <f t="shared" si="1243"/>
        <v>0</v>
      </c>
      <c r="CJ272" s="355">
        <f t="shared" si="1244"/>
        <v>0</v>
      </c>
      <c r="CK272" s="355">
        <f t="shared" si="1245"/>
        <v>0</v>
      </c>
      <c r="CL272" s="355">
        <f t="shared" si="1246"/>
        <v>0</v>
      </c>
      <c r="CN272" s="370">
        <f t="shared" si="1247"/>
        <v>1540</v>
      </c>
      <c r="CO272" s="355">
        <f t="shared" si="1248"/>
        <v>0</v>
      </c>
      <c r="CQ272" s="355" t="b">
        <f t="shared" si="1249"/>
        <v>0</v>
      </c>
      <c r="CR272" s="355" t="b">
        <f t="shared" si="1250"/>
        <v>1</v>
      </c>
      <c r="CS272" s="355" t="b">
        <f t="shared" si="1251"/>
        <v>0</v>
      </c>
      <c r="CU272" s="2">
        <f t="shared" si="1252"/>
        <v>0</v>
      </c>
      <c r="CV272" s="102">
        <f t="shared" si="1253"/>
        <v>0</v>
      </c>
      <c r="CW272" s="102">
        <f t="shared" si="1182"/>
        <v>0</v>
      </c>
      <c r="CX272" s="102">
        <f t="shared" si="1254"/>
        <v>0</v>
      </c>
      <c r="CY272" s="290">
        <f t="shared" si="1255"/>
        <v>0</v>
      </c>
      <c r="CZ272" s="102">
        <f t="shared" si="1184"/>
        <v>0</v>
      </c>
      <c r="DA272" s="290">
        <f t="shared" si="1256"/>
        <v>0</v>
      </c>
      <c r="DB272" s="102">
        <f t="shared" si="1185"/>
        <v>0</v>
      </c>
      <c r="DC272" s="290">
        <f t="shared" si="1257"/>
        <v>0</v>
      </c>
      <c r="DD272" s="102">
        <f t="shared" si="1183"/>
        <v>0</v>
      </c>
      <c r="DE272" s="592">
        <f>IF(D272="Sim",HLOOKUP($DH$5,Parametrização!$G$2:$H$4,2,FALSE),0)</f>
        <v>0</v>
      </c>
      <c r="DF272" s="102">
        <f t="shared" si="1186"/>
        <v>0</v>
      </c>
      <c r="DG272" s="592">
        <f>IF(D272="Sim",HLOOKUP($DH$5,Parametrização!$G$2:$H$4,3,FALSE),0)</f>
        <v>0</v>
      </c>
      <c r="DH272" s="102">
        <f t="shared" si="1187"/>
        <v>0</v>
      </c>
      <c r="DI272" s="102">
        <f t="shared" si="1188"/>
        <v>0</v>
      </c>
      <c r="DK272" s="3" t="str">
        <f t="shared" si="1258"/>
        <v>NA</v>
      </c>
      <c r="DL272" s="2" t="str">
        <f t="shared" si="1259"/>
        <v>NA</v>
      </c>
      <c r="DM272" s="3" t="str">
        <f t="shared" si="1260"/>
        <v>NA</v>
      </c>
      <c r="DN272" s="9" t="str">
        <f t="shared" si="1261"/>
        <v>NA</v>
      </c>
      <c r="DO272" s="637" t="str">
        <f t="shared" si="1262"/>
        <v>NA</v>
      </c>
      <c r="DP272" s="637"/>
      <c r="DQ272" s="3" t="str">
        <f t="shared" si="1263"/>
        <v>NA</v>
      </c>
      <c r="DR272" s="2" t="str">
        <f t="shared" si="1264"/>
        <v>NA</v>
      </c>
      <c r="DS272" s="3" t="str">
        <f t="shared" si="1265"/>
        <v>NA</v>
      </c>
      <c r="DT272" s="9" t="str">
        <f t="shared" si="1189"/>
        <v>NA</v>
      </c>
      <c r="DU272" s="637" t="str">
        <f t="shared" si="1190"/>
        <v>NA</v>
      </c>
      <c r="DV272" s="637"/>
      <c r="DW272" s="682"/>
      <c r="DX272" s="682"/>
      <c r="DY272" s="682"/>
      <c r="DZ272" s="637"/>
      <c r="EA272" s="643"/>
    </row>
    <row r="273" spans="1:131" s="11" customFormat="1" ht="20.100000000000001" customHeight="1" x14ac:dyDescent="0.25">
      <c r="A273" s="290"/>
      <c r="E273" s="290"/>
      <c r="G273" s="254"/>
      <c r="H273" s="259"/>
      <c r="I273" s="12"/>
      <c r="K273" s="321" t="s">
        <v>3026</v>
      </c>
      <c r="L273" s="750"/>
      <c r="M273" s="49"/>
      <c r="N273" s="14"/>
      <c r="O273" s="14"/>
      <c r="P273" s="13"/>
      <c r="Q273" s="13"/>
      <c r="R273" s="13"/>
      <c r="S273" s="13"/>
      <c r="T273" s="13"/>
      <c r="U273" s="13"/>
      <c r="V273" s="13"/>
      <c r="W273" s="13"/>
      <c r="X273" s="13"/>
      <c r="AA273" s="11">
        <f>SUM(AA7:AA272)</f>
        <v>638675.11536825483</v>
      </c>
      <c r="AF273" s="11">
        <f>SUM(AF7:AF272)</f>
        <v>12602.005302768144</v>
      </c>
      <c r="AG273" s="11">
        <f>SUM(AG7:AG272)</f>
        <v>308923.407529513</v>
      </c>
      <c r="AI273" s="11">
        <f>SUM(AI7:AI272)</f>
        <v>960200.52820053592</v>
      </c>
      <c r="AL273" s="11">
        <f>SUM(AL7:AL272)</f>
        <v>0</v>
      </c>
      <c r="AM273" s="11">
        <f>SUM(AM7:AM272)</f>
        <v>960200.52820053592</v>
      </c>
      <c r="AN273" s="11">
        <f>SUM(AN7:AN272)</f>
        <v>0</v>
      </c>
      <c r="AO273" s="11" t="b">
        <f>AND(AO62:AO272)</f>
        <v>1</v>
      </c>
      <c r="AR273" s="11">
        <f>SUM(AR7:AR272)</f>
        <v>960200.52820053592</v>
      </c>
      <c r="AU273" s="11">
        <f>SUM(AU7:AU272)</f>
        <v>1052788.7099949375</v>
      </c>
      <c r="AW273" s="11">
        <f t="shared" ref="AW273:BF273" si="1272">SUM(AW7:AW272)</f>
        <v>1052157.4439313912</v>
      </c>
      <c r="AX273" s="11">
        <f t="shared" si="1272"/>
        <v>971659.77135671524</v>
      </c>
      <c r="AY273" s="11">
        <f t="shared" si="1272"/>
        <v>960200.52820053615</v>
      </c>
      <c r="AZ273" s="11">
        <f t="shared" si="1272"/>
        <v>960200.52820053615</v>
      </c>
      <c r="BA273" s="11">
        <f t="shared" si="1272"/>
        <v>0</v>
      </c>
      <c r="BB273" s="11">
        <f t="shared" si="1272"/>
        <v>631.26606354624096</v>
      </c>
      <c r="BC273" s="11">
        <f t="shared" si="1272"/>
        <v>80497.672574675948</v>
      </c>
      <c r="BD273" s="11">
        <f t="shared" si="1272"/>
        <v>11459.243156179127</v>
      </c>
      <c r="BE273" s="11">
        <f t="shared" si="1272"/>
        <v>0</v>
      </c>
      <c r="BF273" s="11">
        <f t="shared" si="1272"/>
        <v>0</v>
      </c>
      <c r="BK273" s="11">
        <f>SUM(BK7:BK272)</f>
        <v>0</v>
      </c>
      <c r="BL273" s="11">
        <f>SUM(BL7:BL272)</f>
        <v>1052788.7099949375</v>
      </c>
      <c r="BP273" s="11">
        <f>SUM(BP7:BP272)</f>
        <v>0</v>
      </c>
      <c r="BQ273" s="11">
        <f>SUM(BQ7:BQ272)</f>
        <v>1052788.7099949375</v>
      </c>
      <c r="BU273" s="11" t="b">
        <f>AND(BU7:BU272)</f>
        <v>1</v>
      </c>
      <c r="BX273" s="11">
        <f>SUM(BX7:BX272)</f>
        <v>1052788.7099949375</v>
      </c>
      <c r="CB273" s="590"/>
      <c r="CI273" s="11">
        <f>SUM(CI7:CI272)</f>
        <v>52801.941403984427</v>
      </c>
      <c r="CJ273" s="11">
        <f>SUM(CJ7:CJ272)</f>
        <v>38108.425472548806</v>
      </c>
      <c r="CK273" s="11">
        <f>SUM(CK7:CK272)</f>
        <v>9358.0531607820212</v>
      </c>
      <c r="CL273" s="11">
        <f>SUM(CL7:CL272)</f>
        <v>43103.760013298997</v>
      </c>
      <c r="CV273" s="11">
        <f>SUM(CV7:CV272)</f>
        <v>0</v>
      </c>
      <c r="CW273" s="11">
        <f>SUM(CW7:CW272)</f>
        <v>0</v>
      </c>
      <c r="CX273" s="11">
        <f>SUM(CX7:CX272)</f>
        <v>0</v>
      </c>
      <c r="CY273" s="590"/>
      <c r="CZ273" s="11">
        <f>SUM(CZ7:CZ272)</f>
        <v>0</v>
      </c>
      <c r="DA273" s="590"/>
      <c r="DB273" s="11">
        <f>SUM(DB7:DB272)</f>
        <v>0</v>
      </c>
      <c r="DC273" s="590"/>
      <c r="DD273" s="11">
        <f>SUM(DD7:DD272)</f>
        <v>0</v>
      </c>
      <c r="DE273" s="590"/>
      <c r="DF273" s="11">
        <f>SUM(DF7:DF272)</f>
        <v>0</v>
      </c>
      <c r="DG273" s="590"/>
      <c r="DH273" s="11">
        <f>SUM(DH7:DH272)</f>
        <v>0</v>
      </c>
      <c r="DI273" s="11">
        <f>SUM(DI7:DI272)</f>
        <v>0</v>
      </c>
      <c r="DJ273" s="650"/>
      <c r="DK273" s="12">
        <f>IF(DK275&gt;0,MIN(DK7:DK272),"NA")</f>
        <v>0.12</v>
      </c>
      <c r="DL273" s="12">
        <f>IF(DL275&gt;0,MIN(DL7:DL272),"NA")</f>
        <v>0.03</v>
      </c>
      <c r="DM273" s="12">
        <f>IF(DM275&gt;0,MIN(DM7:DM272),"NA")</f>
        <v>0</v>
      </c>
      <c r="DN273" s="646" t="str">
        <f>IF(DN275="Não",MIN(DN7:DN272),"NA")</f>
        <v>NA</v>
      </c>
      <c r="DO273" s="645" t="str">
        <f>IF(DO275="Não",MIN(DO7:DO272),"NA")</f>
        <v>NA</v>
      </c>
      <c r="DP273" s="645"/>
      <c r="DQ273" s="12" t="str">
        <f>IF(DQ275&gt;0,MIN(DQ7:DQ272),"NA")</f>
        <v>NA</v>
      </c>
      <c r="DR273" s="12" t="str">
        <f>IF(DR275&gt;0,MIN(DR7:DR272),"NA")</f>
        <v>NA</v>
      </c>
      <c r="DS273" s="12" t="str">
        <f>IF(DS275&gt;0,MIN(DS7:DS272),"NA")</f>
        <v>NA</v>
      </c>
      <c r="DT273" s="646" t="str">
        <f>IF(AND(DT275="Não",SUM($DQ$275:$DS$275)&gt;0),MIN(DT7:DT272),"NA")</f>
        <v>NA</v>
      </c>
      <c r="DU273" s="645" t="str">
        <f>IF(AND(DU275="Não",SUM($DQ$275:$DS$275)&gt;0),MIN(DU7:DU272),"NA")</f>
        <v>NA</v>
      </c>
      <c r="DV273" s="645"/>
      <c r="DW273" s="11">
        <f>SUM(DW7:DW272)</f>
        <v>638675.11536825483</v>
      </c>
      <c r="DX273" s="11">
        <f>SUM(DX7:DX272)</f>
        <v>960200.52820053592</v>
      </c>
      <c r="DY273" s="11">
        <f>SUM(DY7:DY272)</f>
        <v>1052788.7099949375</v>
      </c>
      <c r="DZ273" s="645"/>
      <c r="EA273" s="643"/>
    </row>
    <row r="274" spans="1:131" ht="20.100000000000001" customHeight="1" x14ac:dyDescent="0.25">
      <c r="K274" s="321" t="s">
        <v>3027</v>
      </c>
      <c r="AG274" s="15">
        <f>mb_total/liquido_sem_MN_total</f>
        <v>0.32172801248969424</v>
      </c>
      <c r="CE274" s="17"/>
      <c r="DJ274" s="650"/>
      <c r="DK274" s="12">
        <f>IF(DK275&gt;0,MAX(DK7:DK272),"NA")</f>
        <v>0.12</v>
      </c>
      <c r="DL274" s="12">
        <f>IF(DL275&gt;0,MAX(DL7:DL272),"NA")</f>
        <v>0.03</v>
      </c>
      <c r="DM274" s="12">
        <f>IF(DM275&gt;0,MAX(DM7:DM272),"NA")</f>
        <v>3.2500000000000001E-2</v>
      </c>
      <c r="DN274" s="646" t="str">
        <f>IF(DN275="Não",MAX(DN7:DN272),"NA")</f>
        <v>NA</v>
      </c>
      <c r="DO274" s="645" t="str">
        <f>IF(DO275="Não",MAX(DO7:DO272),"NA")</f>
        <v>NA</v>
      </c>
      <c r="DP274" s="645"/>
      <c r="DQ274" s="12" t="str">
        <f>IF(DQ275&gt;0,MAX(DQ7:DQ272),"NA")</f>
        <v>NA</v>
      </c>
      <c r="DR274" s="12" t="str">
        <f>IF(DR275&gt;0,MAX(DR7:DR272),"NA")</f>
        <v>NA</v>
      </c>
      <c r="DS274" s="12" t="str">
        <f>IF(DS275&gt;0,MAX(DS7:DS272),"NA")</f>
        <v>NA</v>
      </c>
      <c r="DT274" s="646" t="str">
        <f>IF(AND(DT275="Não",SUM($DQ$275:$DS$275)&gt;0),MAX(DT7:DT272),"NA")</f>
        <v>NA</v>
      </c>
      <c r="DU274" s="645" t="str">
        <f>IF(AND(DU275="Não",SUM($DQ$275:$DS$275)&gt;0),MAX(DU7:DU272),"NA")</f>
        <v>NA</v>
      </c>
      <c r="DV274" s="645"/>
      <c r="DW274" s="645" t="b">
        <f>IF(ABS(DW273-Dados!M86)&lt;0.01,TRUE,FALSE)</f>
        <v>1</v>
      </c>
      <c r="DX274" s="645" t="b">
        <f>IF(ABS(DX273-Dados!M96)&lt;0.01,TRUE,FALSE)</f>
        <v>1</v>
      </c>
      <c r="DY274" s="645" t="b">
        <f>IF(ABS(DY273-Dados!M109)&lt;0.01,TRUE,FALSE)</f>
        <v>1</v>
      </c>
      <c r="DZ274" s="645"/>
      <c r="EA274" s="638"/>
    </row>
    <row r="275" spans="1:131" ht="20.100000000000001" customHeight="1" x14ac:dyDescent="0.25">
      <c r="K275" s="321" t="s">
        <v>3028</v>
      </c>
      <c r="AG275" s="15"/>
      <c r="CE275" s="17"/>
      <c r="DJ275" s="650"/>
      <c r="DK275" s="254">
        <f>COUNTIFS(col_tipolinha,"&lt;&gt;Serviço",col_custoUnitario,"&gt;0",col_fatdir,"=Não")</f>
        <v>20</v>
      </c>
      <c r="DL275" s="254">
        <f>COUNTIFS(col_tipolinha,"=Serviço",col_custoUnitario,"&gt;0",col_fatdir,"=Não")</f>
        <v>13</v>
      </c>
      <c r="DM275" s="254">
        <f>DK275</f>
        <v>20</v>
      </c>
      <c r="DN275" s="254" t="str">
        <f>reidi</f>
        <v>Sim</v>
      </c>
      <c r="DO275" s="254" t="str">
        <f>DN275</f>
        <v>Sim</v>
      </c>
      <c r="DP275" s="645"/>
      <c r="DQ275" s="254">
        <f>COUNTIFS(col_tipolinha,"&lt;&gt;Serviço",$CU:$CU,"&gt;0",col_fatdir,"=Sim")</f>
        <v>0</v>
      </c>
      <c r="DR275" s="254">
        <f>COUNTIFS(col_tipolinha,"=Serviço",$CU:$CU,"&gt;0",col_fatdir,"=Sim")</f>
        <v>0</v>
      </c>
      <c r="DS275" s="254">
        <f>DQ275</f>
        <v>0</v>
      </c>
      <c r="DT275" s="645" t="str">
        <f>DN275</f>
        <v>Sim</v>
      </c>
      <c r="DU275" s="645" t="str">
        <f>DN275</f>
        <v>Sim</v>
      </c>
      <c r="DV275" s="645"/>
      <c r="DW275" s="645"/>
      <c r="DX275" s="645"/>
      <c r="DY275" s="645"/>
      <c r="DZ275" s="645"/>
      <c r="EA275" s="638"/>
    </row>
    <row r="276" spans="1:131" ht="20.100000000000001" customHeight="1" x14ac:dyDescent="0.25">
      <c r="K276" s="321" t="s">
        <v>3029</v>
      </c>
      <c r="EA276" s="638"/>
    </row>
    <row r="277" spans="1:131" s="309" customFormat="1" ht="26.4" x14ac:dyDescent="0.25">
      <c r="A277" s="311" t="s">
        <v>66</v>
      </c>
      <c r="E277" s="311"/>
      <c r="G277" s="312"/>
      <c r="H277" s="313"/>
      <c r="I277" s="310"/>
      <c r="K277" s="623" t="s">
        <v>66</v>
      </c>
      <c r="L277" s="751" t="s">
        <v>351</v>
      </c>
      <c r="M277" s="314"/>
      <c r="N277" s="315"/>
      <c r="O277" s="315"/>
      <c r="P277" s="316"/>
      <c r="Q277" s="316"/>
      <c r="R277" s="316"/>
      <c r="S277" s="316"/>
      <c r="T277" s="316"/>
      <c r="U277" s="316"/>
      <c r="V277" s="316"/>
      <c r="W277" s="316"/>
      <c r="X277" s="316"/>
      <c r="AQ277" s="317"/>
      <c r="AR277" s="317"/>
      <c r="AT277" s="317"/>
      <c r="AU277" s="317"/>
      <c r="AW277" s="317"/>
      <c r="AX277" s="317"/>
      <c r="BS277" s="317"/>
      <c r="CB277" s="512"/>
      <c r="CV277" s="512"/>
      <c r="CW277" s="512"/>
      <c r="CX277" s="512"/>
      <c r="CY277" s="512"/>
      <c r="CZ277" s="512"/>
      <c r="DA277" s="512"/>
      <c r="DB277" s="512"/>
      <c r="DC277" s="512"/>
      <c r="DD277" s="512"/>
      <c r="DE277" s="512"/>
      <c r="DF277" s="512"/>
      <c r="DG277" s="512"/>
      <c r="DH277" s="512"/>
      <c r="DI277" s="512"/>
      <c r="EA277" s="644" t="s">
        <v>66</v>
      </c>
    </row>
  </sheetData>
  <mergeCells count="22">
    <mergeCell ref="M53:N53"/>
    <mergeCell ref="M13:N13"/>
    <mergeCell ref="M14:N14"/>
    <mergeCell ref="M15:N15"/>
    <mergeCell ref="M36:N36"/>
    <mergeCell ref="M38:N38"/>
    <mergeCell ref="M16:N16"/>
    <mergeCell ref="M19:N19"/>
    <mergeCell ref="M25:N25"/>
    <mergeCell ref="M29:N29"/>
    <mergeCell ref="M33:N33"/>
    <mergeCell ref="M39:N39"/>
    <mergeCell ref="M42:N42"/>
    <mergeCell ref="M45:N45"/>
    <mergeCell ref="M46:N46"/>
    <mergeCell ref="M50:N50"/>
    <mergeCell ref="O5:T5"/>
    <mergeCell ref="L7:N7"/>
    <mergeCell ref="L8:N8"/>
    <mergeCell ref="L9:N9"/>
    <mergeCell ref="L10:N10"/>
    <mergeCell ref="L5:N5"/>
  </mergeCells>
  <phoneticPr fontId="7" type="noConversion"/>
  <conditionalFormatting sqref="D1:D12 D63:D1048576 F63:F1048576 F1:F12 F34:F35 D34:D35 D47:D49 F57 F59:F61 D26:D28 F26:F28 D17:D18 F17:F18 D30:D32 F30:F32 F37 D37 D40:D41 F40:F41 F51:F52 D51:D52 F54:F55 D54:D61 D43:D44 F43:F44 D20:D24 F20:F24">
    <cfRule type="cellIs" dxfId="37" priority="1459" operator="equal">
      <formula>"Sim"</formula>
    </cfRule>
  </conditionalFormatting>
  <conditionalFormatting sqref="F60:F61">
    <cfRule type="cellIs" dxfId="36" priority="1052" operator="equal">
      <formula>"Sim"</formula>
    </cfRule>
  </conditionalFormatting>
  <conditionalFormatting sqref="F22">
    <cfRule type="cellIs" dxfId="35" priority="965" operator="equal">
      <formula>"Sim"</formula>
    </cfRule>
  </conditionalFormatting>
  <conditionalFormatting sqref="F34">
    <cfRule type="cellIs" dxfId="34" priority="652" operator="equal">
      <formula>"Sim"</formula>
    </cfRule>
  </conditionalFormatting>
  <conditionalFormatting sqref="F34">
    <cfRule type="cellIs" dxfId="33" priority="654" operator="equal">
      <formula>"Sim"</formula>
    </cfRule>
  </conditionalFormatting>
  <conditionalFormatting sqref="F35">
    <cfRule type="cellIs" dxfId="32" priority="578" operator="equal">
      <formula>"Sim"</formula>
    </cfRule>
  </conditionalFormatting>
  <conditionalFormatting sqref="F35">
    <cfRule type="cellIs" dxfId="31" priority="576" operator="equal">
      <formula>"Sim"</formula>
    </cfRule>
  </conditionalFormatting>
  <conditionalFormatting sqref="F49">
    <cfRule type="cellIs" dxfId="30" priority="552" operator="equal">
      <formula>"Sim"</formula>
    </cfRule>
  </conditionalFormatting>
  <conditionalFormatting sqref="F56">
    <cfRule type="cellIs" dxfId="29" priority="555" operator="equal">
      <formula>"Sim"</formula>
    </cfRule>
  </conditionalFormatting>
  <conditionalFormatting sqref="F47:F48">
    <cfRule type="cellIs" dxfId="28" priority="554" operator="equal">
      <formula>"Sim"</formula>
    </cfRule>
  </conditionalFormatting>
  <conditionalFormatting sqref="F58">
    <cfRule type="cellIs" dxfId="27" priority="12" operator="equal">
      <formula>"Sim"</formula>
    </cfRule>
  </conditionalFormatting>
  <conditionalFormatting sqref="F37">
    <cfRule type="cellIs" dxfId="26" priority="6" operator="equal">
      <formula>"Sim"</formula>
    </cfRule>
  </conditionalFormatting>
  <conditionalFormatting sqref="F37">
    <cfRule type="cellIs" dxfId="25" priority="7" operator="equal">
      <formula>"Sim"</formula>
    </cfRule>
  </conditionalFormatting>
  <dataValidations count="7">
    <dataValidation type="list" allowBlank="1" showInputMessage="1" showErrorMessage="1" sqref="D11 F11 D47:D49 F47:F49 F20:F24 D43:D44 D30:D32 D34:D35 F30:F32 F17:F18 D26:D28 F26:F28 D17:D18 F34:F35 F37 D37 D40:D41 F40:F41 D54:D61 F54:F61 D51:D52 F51:F52 F43:F44 D20:D24" xr:uid="{00000000-0002-0000-0300-000000000000}">
      <formula1>tblSimNao</formula1>
    </dataValidation>
    <dataValidation type="list" allowBlank="1" showInputMessage="1" showErrorMessage="1" sqref="C11 C63 C47:C49 C43:C44 C30:C32 C17:C18 C26:C28 C34:C35 C37 C40:C41 C54:C61 C51:C52 C20:C24" xr:uid="{00000000-0002-0000-0300-000001000000}">
      <formula1>tblFinalidade</formula1>
    </dataValidation>
    <dataValidation type="list" allowBlank="1" showInputMessage="1" showErrorMessage="1" sqref="B11 B47:B49 B43:B44 B30:B32 B17:B18 B26:B28 B34:B35 B37 B40:B41 B54:B61 B51:B52 B20:B24" xr:uid="{00000000-0002-0000-0300-000002000000}">
      <formula1>tblRegime</formula1>
    </dataValidation>
    <dataValidation type="list" allowBlank="1" showInputMessage="1" showErrorMessage="1" sqref="G11 G63 G54:G61 G37 G51:G52 G17:G18 G43:G44 G26:G28 G30:G32 G34:G35 G40:G41 G47:G49 G20:G24" xr:uid="{00000000-0002-0000-0300-000003000000}">
      <formula1>tbl_abertura2</formula1>
    </dataValidation>
    <dataValidation type="list" allowBlank="1" showInputMessage="1" showErrorMessage="1" sqref="H11 H51:H52 H54:H61 H47:H49 H17:H18 H43:H44 H26:H28 H30:H32 H34:H35 H37 H40:H41 H20:H24" xr:uid="{00000000-0002-0000-0300-000004000000}">
      <formula1>tbl_abertura1</formula1>
    </dataValidation>
    <dataValidation type="list" allowBlank="1" showInputMessage="1" showErrorMessage="1" sqref="DH5" xr:uid="{00000000-0002-0000-0300-000005000000}">
      <formula1>"REAL,PRESUMIDO"</formula1>
    </dataValidation>
    <dataValidation type="list" allowBlank="1" showInputMessage="1" showErrorMessage="1" sqref="E11 E63:E272 E47:E49 E54:E61 E17:E18 E43:E44 E26:E28 E30:E32 E34:E35 E37 E40:E41 E51:E52 E20:E24" xr:uid="{00000000-0002-0000-0300-000006000000}">
      <formula1>tbl_tipodemargem</formula1>
    </dataValidation>
  </dataValidations>
  <printOptions horizontalCentered="1"/>
  <pageMargins left="0.70866141732283472" right="0.70866141732283472" top="0.74803149606299213" bottom="0.74803149606299213" header="0.31496062992125984" footer="0.31496062992125984"/>
  <pageSetup paperSize="9" scale="81" fitToHeight="4"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7000000}">
          <x14:formula1>
            <xm:f>Parametrização!$B$8:$B$14</xm:f>
          </x14:formula1>
          <xm:sqref>I11 I43:I44 I30:I32 I17:I18 I47:I49 I26:I28 I34:I35 I37 I40:I41 I54:I61 I51:I52 I20:I24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9" tint="0.39997558519241921"/>
  </sheetPr>
  <dimension ref="A1:AU1273"/>
  <sheetViews>
    <sheetView zoomScale="85" zoomScaleNormal="85" workbookViewId="0">
      <pane xSplit="6" ySplit="44" topLeftCell="G162" activePane="bottomRight" state="frozen"/>
      <selection activeCell="C1" sqref="C1"/>
      <selection pane="topRight" activeCell="G1" sqref="G1"/>
      <selection pane="bottomLeft" activeCell="C3" sqref="C3"/>
      <selection pane="bottomRight" activeCell="E176" sqref="E176:E177"/>
    </sheetView>
  </sheetViews>
  <sheetFormatPr defaultColWidth="9.109375" defaultRowHeight="13.2" outlineLevelRow="1" outlineLevelCol="1" x14ac:dyDescent="0.25"/>
  <cols>
    <col min="1" max="1" width="23.6640625" style="218" hidden="1" customWidth="1"/>
    <col min="2" max="2" width="8.6640625" style="218" hidden="1" customWidth="1"/>
    <col min="3" max="3" width="7.6640625" style="218" customWidth="1"/>
    <col min="4" max="4" width="5.6640625" style="218" customWidth="1"/>
    <col min="5" max="5" width="40.6640625" style="218" customWidth="1"/>
    <col min="6" max="6" width="73.77734375" style="218" customWidth="1"/>
    <col min="7" max="8" width="15.6640625" style="218" customWidth="1"/>
    <col min="9" max="10" width="10.6640625" style="218" customWidth="1"/>
    <col min="11" max="12" width="17.6640625" style="218" customWidth="1"/>
    <col min="13" max="13" width="8.6640625" style="218" customWidth="1"/>
    <col min="14" max="14" width="14.88671875" style="218" customWidth="1"/>
    <col min="15" max="15" width="18.6640625" style="218" customWidth="1"/>
    <col min="16" max="16" width="9.109375" style="218" customWidth="1"/>
    <col min="17" max="17" width="16.6640625" style="218" customWidth="1"/>
    <col min="18" max="18" width="21.6640625" style="218" customWidth="1"/>
    <col min="19" max="19" width="11.33203125" style="218" customWidth="1"/>
    <col min="20" max="20" width="10.6640625" style="218" customWidth="1"/>
    <col min="21" max="21" width="16.6640625" style="220" customWidth="1"/>
    <col min="22" max="22" width="12.6640625" style="220" customWidth="1"/>
    <col min="23" max="23" width="2.6640625" style="218" customWidth="1"/>
    <col min="24" max="27" width="12.6640625" style="218" customWidth="1"/>
    <col min="28" max="28" width="2.6640625" style="218" customWidth="1"/>
    <col min="29" max="29" width="15.6640625" style="218" customWidth="1"/>
    <col min="30" max="32" width="9.109375" style="218" customWidth="1"/>
    <col min="33" max="33" width="10.6640625" style="218" customWidth="1"/>
    <col min="34" max="34" width="15.6640625" style="218" customWidth="1"/>
    <col min="35" max="35" width="2.6640625" style="218" customWidth="1"/>
    <col min="36" max="37" width="10.6640625" style="218" customWidth="1" outlineLevel="1"/>
    <col min="38" max="38" width="2.6640625" style="218" customWidth="1" outlineLevel="1"/>
    <col min="39" max="39" width="12.6640625" style="108" customWidth="1" outlineLevel="1"/>
    <col min="40" max="40" width="2.6640625" style="218" customWidth="1" outlineLevel="1"/>
    <col min="41" max="41" width="10.6640625" style="218" customWidth="1" outlineLevel="1"/>
    <col min="42" max="42" width="2.6640625" style="218" customWidth="1" outlineLevel="1"/>
    <col min="43" max="43" width="15.6640625" style="218" customWidth="1"/>
    <col min="44" max="44" width="2.6640625" style="218" customWidth="1"/>
    <col min="45" max="45" width="15.6640625" style="218" customWidth="1"/>
    <col min="46" max="46" width="2.6640625" style="218" customWidth="1"/>
    <col min="47" max="47" width="14.6640625" style="218" customWidth="1"/>
    <col min="48" max="48" width="11.33203125" style="218" bestFit="1" customWidth="1"/>
    <col min="49" max="16384" width="9.109375" style="218"/>
  </cols>
  <sheetData>
    <row r="1" spans="1:7" hidden="1" x14ac:dyDescent="0.25">
      <c r="A1" s="218" t="s">
        <v>207</v>
      </c>
    </row>
    <row r="2" spans="1:7" hidden="1" x14ac:dyDescent="0.25">
      <c r="A2" s="329" t="str">
        <f>Dados!E86</f>
        <v xml:space="preserve">  Chaparia</v>
      </c>
    </row>
    <row r="3" spans="1:7" hidden="1" x14ac:dyDescent="0.25">
      <c r="A3" s="219" t="str">
        <f>Dados!E87</f>
        <v xml:space="preserve">  IED</v>
      </c>
    </row>
    <row r="4" spans="1:7" hidden="1" x14ac:dyDescent="0.25">
      <c r="A4" s="219" t="str">
        <f>Dados!E88</f>
        <v xml:space="preserve">  UTR/PLC</v>
      </c>
    </row>
    <row r="5" spans="1:7" hidden="1" x14ac:dyDescent="0.25">
      <c r="A5" s="219" t="str">
        <f>Dados!E89</f>
        <v xml:space="preserve">  Rede</v>
      </c>
      <c r="E5" s="333"/>
      <c r="G5" s="333"/>
    </row>
    <row r="6" spans="1:7" hidden="1" x14ac:dyDescent="0.25">
      <c r="A6" s="219" t="str">
        <f>Dados!E90</f>
        <v xml:space="preserve">  Informática</v>
      </c>
    </row>
    <row r="7" spans="1:7" hidden="1" x14ac:dyDescent="0.25">
      <c r="A7" s="219" t="str">
        <f>Dados!E91</f>
        <v xml:space="preserve">  Software</v>
      </c>
    </row>
    <row r="8" spans="1:7" hidden="1" x14ac:dyDescent="0.25">
      <c r="A8" s="219" t="str">
        <f>Dados!E92</f>
        <v xml:space="preserve">  Comunicação</v>
      </c>
    </row>
    <row r="9" spans="1:7" hidden="1" x14ac:dyDescent="0.25">
      <c r="A9" s="219" t="str">
        <f>Dados!E93</f>
        <v xml:space="preserve">  Relé auxiliar</v>
      </c>
    </row>
    <row r="10" spans="1:7" hidden="1" x14ac:dyDescent="0.25">
      <c r="A10" s="219" t="str">
        <f>Dados!E94</f>
        <v xml:space="preserve">  Bloco de teste</v>
      </c>
    </row>
    <row r="11" spans="1:7" hidden="1" x14ac:dyDescent="0.25">
      <c r="A11" s="219" t="str">
        <f>Dados!E95</f>
        <v xml:space="preserve">  Miscelânea</v>
      </c>
    </row>
    <row r="12" spans="1:7" hidden="1" x14ac:dyDescent="0.25">
      <c r="A12" s="219" t="str">
        <f>Dados!E96</f>
        <v xml:space="preserve">  Cabo óptico</v>
      </c>
    </row>
    <row r="13" spans="1:7" hidden="1" x14ac:dyDescent="0.25">
      <c r="A13" s="219" t="str">
        <f>Dados!E97</f>
        <v xml:space="preserve">  Cabo elétrico</v>
      </c>
    </row>
    <row r="14" spans="1:7" hidden="1" x14ac:dyDescent="0.25">
      <c r="A14" s="219" t="str">
        <f>Dados!E98</f>
        <v xml:space="preserve">  Medidor</v>
      </c>
    </row>
    <row r="15" spans="1:7" hidden="1" x14ac:dyDescent="0.25">
      <c r="A15" s="219" t="str">
        <f>Dados!E99</f>
        <v xml:space="preserve">  Disjuntor principal</v>
      </c>
    </row>
    <row r="16" spans="1:7" hidden="1" x14ac:dyDescent="0.25">
      <c r="A16" s="219" t="str">
        <f>Dados!E100</f>
        <v xml:space="preserve">  Disjuntor de distribuição</v>
      </c>
    </row>
    <row r="17" spans="1:1" hidden="1" x14ac:dyDescent="0.25">
      <c r="A17" s="219" t="str">
        <f>Dados!E101</f>
        <v xml:space="preserve">  TC/TP</v>
      </c>
    </row>
    <row r="18" spans="1:1" hidden="1" x14ac:dyDescent="0.25">
      <c r="A18" s="219" t="str">
        <f>Dados!E102</f>
        <v xml:space="preserve">  Barramento</v>
      </c>
    </row>
    <row r="19" spans="1:1" hidden="1" x14ac:dyDescent="0.25">
      <c r="A19" s="219" t="str">
        <f>Dados!E104</f>
        <v xml:space="preserve">  Projeto</v>
      </c>
    </row>
    <row r="20" spans="1:1" hidden="1" x14ac:dyDescent="0.25">
      <c r="A20" s="219" t="str">
        <f>Dados!E105</f>
        <v xml:space="preserve">  Parametrização</v>
      </c>
    </row>
    <row r="21" spans="1:1" hidden="1" x14ac:dyDescent="0.25">
      <c r="A21" s="219" t="str">
        <f>Dados!E106</f>
        <v xml:space="preserve">  Montagem em fábrica</v>
      </c>
    </row>
    <row r="22" spans="1:1" hidden="1" x14ac:dyDescent="0.25">
      <c r="A22" s="219" t="str">
        <f>Dados!E107</f>
        <v xml:space="preserve">  Testes em fábrica</v>
      </c>
    </row>
    <row r="23" spans="1:1" hidden="1" x14ac:dyDescent="0.25">
      <c r="A23" s="219" t="str">
        <f>Dados!E109</f>
        <v xml:space="preserve">  Montagem em campo</v>
      </c>
    </row>
    <row r="24" spans="1:1" hidden="1" x14ac:dyDescent="0.25">
      <c r="A24" s="219" t="str">
        <f>Dados!E110</f>
        <v xml:space="preserve">  Instalações elétricas</v>
      </c>
    </row>
    <row r="25" spans="1:1" hidden="1" x14ac:dyDescent="0.25">
      <c r="A25" s="219" t="str">
        <f>Dados!E111</f>
        <v xml:space="preserve">  Obra civil</v>
      </c>
    </row>
    <row r="26" spans="1:1" hidden="1" x14ac:dyDescent="0.25">
      <c r="A26" s="219" t="str">
        <f>Dados!E112</f>
        <v xml:space="preserve">  Comissionamento pátio</v>
      </c>
    </row>
    <row r="27" spans="1:1" hidden="1" x14ac:dyDescent="0.25">
      <c r="A27" s="219" t="str">
        <f>Dados!E113</f>
        <v xml:space="preserve">  Comissionamento SPCS</v>
      </c>
    </row>
    <row r="28" spans="1:1" hidden="1" x14ac:dyDescent="0.25">
      <c r="A28" s="219" t="str">
        <f>Dados!E114</f>
        <v>Treinamento</v>
      </c>
    </row>
    <row r="29" spans="1:1" hidden="1" x14ac:dyDescent="0.25">
      <c r="A29" s="219" t="str">
        <f>Dados!E115</f>
        <v>GdV</v>
      </c>
    </row>
    <row r="30" spans="1:1" hidden="1" x14ac:dyDescent="0.25">
      <c r="A30" s="328" t="str">
        <f>Dados!E116</f>
        <v>Gerenciamento</v>
      </c>
    </row>
    <row r="31" spans="1:1" hidden="1" x14ac:dyDescent="0.25"/>
    <row r="32" spans="1:1" hidden="1" x14ac:dyDescent="0.25">
      <c r="A32" s="218" t="s">
        <v>208</v>
      </c>
    </row>
    <row r="33" spans="1:47" hidden="1" x14ac:dyDescent="0.25">
      <c r="A33" s="329"/>
    </row>
    <row r="34" spans="1:47" hidden="1" x14ac:dyDescent="0.25">
      <c r="A34" s="219" t="s">
        <v>209</v>
      </c>
    </row>
    <row r="35" spans="1:47" hidden="1" x14ac:dyDescent="0.25">
      <c r="A35" s="219" t="s">
        <v>210</v>
      </c>
    </row>
    <row r="36" spans="1:47" hidden="1" x14ac:dyDescent="0.25">
      <c r="A36" s="328" t="s">
        <v>211</v>
      </c>
    </row>
    <row r="37" spans="1:47" hidden="1" x14ac:dyDescent="0.25"/>
    <row r="38" spans="1:47" hidden="1" x14ac:dyDescent="0.25">
      <c r="A38" s="218" t="s">
        <v>265</v>
      </c>
    </row>
    <row r="39" spans="1:47" hidden="1" x14ac:dyDescent="0.25">
      <c r="A39" s="104"/>
      <c r="B39" s="330" t="s">
        <v>266</v>
      </c>
    </row>
    <row r="40" spans="1:47" hidden="1" x14ac:dyDescent="0.25">
      <c r="A40" s="107" t="s">
        <v>262</v>
      </c>
      <c r="B40" s="331">
        <v>1</v>
      </c>
      <c r="AQ40" s="712"/>
    </row>
    <row r="41" spans="1:47" hidden="1" x14ac:dyDescent="0.25">
      <c r="A41" s="107" t="s">
        <v>263</v>
      </c>
      <c r="B41" s="331">
        <f>Dados!M64</f>
        <v>5.43</v>
      </c>
    </row>
    <row r="42" spans="1:47" hidden="1" x14ac:dyDescent="0.25">
      <c r="A42" s="110" t="s">
        <v>264</v>
      </c>
      <c r="B42" s="332">
        <f>Dados!M65</f>
        <v>5.9</v>
      </c>
    </row>
    <row r="43" spans="1:47" ht="20.100000000000001" customHeight="1" x14ac:dyDescent="0.25">
      <c r="X43" s="874" t="s">
        <v>260</v>
      </c>
      <c r="Y43" s="874"/>
      <c r="Z43" s="874"/>
      <c r="AA43" s="874"/>
      <c r="AD43" s="874" t="s">
        <v>760</v>
      </c>
      <c r="AE43" s="874"/>
      <c r="AF43" s="874"/>
      <c r="AG43" s="874"/>
      <c r="AI43" s="220"/>
      <c r="AJ43" s="875" t="s">
        <v>639</v>
      </c>
      <c r="AK43" s="876"/>
      <c r="AL43" s="220"/>
      <c r="AM43" s="713"/>
      <c r="AN43" s="220"/>
      <c r="AO43" s="220"/>
      <c r="AU43" s="333"/>
    </row>
    <row r="44" spans="1:47" s="222" customFormat="1" ht="45" customHeight="1" x14ac:dyDescent="0.25">
      <c r="A44" s="222" t="s">
        <v>66</v>
      </c>
      <c r="C44" s="327" t="s">
        <v>275</v>
      </c>
      <c r="D44" s="327" t="s">
        <v>277</v>
      </c>
      <c r="E44" s="327" t="s">
        <v>189</v>
      </c>
      <c r="F44" s="327" t="s">
        <v>190</v>
      </c>
      <c r="G44" s="327" t="s">
        <v>269</v>
      </c>
      <c r="H44" s="327" t="s">
        <v>270</v>
      </c>
      <c r="I44" s="327" t="s">
        <v>191</v>
      </c>
      <c r="J44" s="327" t="s">
        <v>192</v>
      </c>
      <c r="K44" s="327" t="s">
        <v>1037</v>
      </c>
      <c r="L44" s="327" t="s">
        <v>1038</v>
      </c>
      <c r="M44" s="327" t="s">
        <v>261</v>
      </c>
      <c r="N44" s="327" t="s">
        <v>193</v>
      </c>
      <c r="O44" s="327" t="s">
        <v>22</v>
      </c>
      <c r="P44" s="327" t="s">
        <v>17</v>
      </c>
      <c r="Q44" s="327" t="s">
        <v>214</v>
      </c>
      <c r="R44" s="327" t="s">
        <v>212</v>
      </c>
      <c r="S44" s="327" t="s">
        <v>213</v>
      </c>
      <c r="T44" s="327" t="s">
        <v>215</v>
      </c>
      <c r="U44" s="327" t="s">
        <v>638</v>
      </c>
      <c r="V44" s="327" t="s">
        <v>352</v>
      </c>
      <c r="X44" s="327" t="s">
        <v>16</v>
      </c>
      <c r="Y44" s="327" t="s">
        <v>17</v>
      </c>
      <c r="Z44" s="327" t="s">
        <v>271</v>
      </c>
      <c r="AA44" s="327" t="s">
        <v>272</v>
      </c>
      <c r="AC44" s="81" t="s">
        <v>355</v>
      </c>
      <c r="AD44" s="81" t="s">
        <v>16</v>
      </c>
      <c r="AE44" s="81" t="s">
        <v>17</v>
      </c>
      <c r="AF44" s="81" t="s">
        <v>18</v>
      </c>
      <c r="AG44" s="81" t="s">
        <v>273</v>
      </c>
      <c r="AH44" s="81" t="s">
        <v>364</v>
      </c>
      <c r="AJ44" s="81" t="s">
        <v>191</v>
      </c>
      <c r="AK44" s="81" t="s">
        <v>640</v>
      </c>
      <c r="AM44" s="81" t="s">
        <v>1040</v>
      </c>
      <c r="AO44" s="81" t="s">
        <v>276</v>
      </c>
      <c r="AQ44" s="327" t="s">
        <v>1036</v>
      </c>
      <c r="AS44" s="81" t="s">
        <v>761</v>
      </c>
      <c r="AU44" s="808"/>
    </row>
    <row r="45" spans="1:47" x14ac:dyDescent="0.25">
      <c r="A45" s="28"/>
      <c r="B45" s="43"/>
      <c r="C45" s="43"/>
      <c r="D45" s="43" t="s">
        <v>1122</v>
      </c>
      <c r="E45" s="43"/>
      <c r="F45" s="43"/>
      <c r="G45" s="46">
        <f t="shared" ref="G45:G53" si="0">AC45*(1-AD45)</f>
        <v>0</v>
      </c>
      <c r="H45" s="46">
        <f t="shared" ref="H45:H53" si="1">AC45*(1-AD45-pis_naocum-cofins_naocum)</f>
        <v>0</v>
      </c>
      <c r="I45" s="28"/>
      <c r="J45" s="337"/>
      <c r="K45" s="46" t="str">
        <f t="shared" ref="K45:K53" si="2">IFERROR(G45*J45*VLOOKUP(I45,tbl_cambio,2,FALSE),"")</f>
        <v/>
      </c>
      <c r="L45" s="46" t="str">
        <f t="shared" ref="L45:L53" si="3">IFERROR(H45*J45*VLOOKUP(I45,tbl_cambio,2,FALSE),"")</f>
        <v/>
      </c>
      <c r="M45" s="338">
        <f t="shared" ref="M45:M53" si="4">SUMIF(col_item,"="&amp;E45,col_qtd)</f>
        <v>0</v>
      </c>
      <c r="N45" s="43"/>
      <c r="O45" s="339"/>
      <c r="P45" s="340" t="str">
        <f>IFERROR(VLOOKUP(O45,NCM!$A$3:$D$99,COLUMN(head_porNCM_IPI)-COLUMN(head_porNCM_NCM)+1,FALSE),"")</f>
        <v/>
      </c>
      <c r="Q45" s="43"/>
      <c r="R45" s="78"/>
      <c r="S45" s="341"/>
      <c r="T45" s="28"/>
      <c r="U45" s="28"/>
      <c r="V45" s="28"/>
      <c r="W45" s="43"/>
      <c r="X45" s="342">
        <f t="shared" ref="X45:X53" si="5">(AC45-Y45)*AD45</f>
        <v>0</v>
      </c>
      <c r="Y45" s="342">
        <f t="shared" ref="Y45:Y53" si="6">AC45-AC45/(1+AE45)</f>
        <v>0</v>
      </c>
      <c r="Z45" s="46">
        <f t="shared" ref="Z45:Z53" si="7">(AC45-Y45)*pis_naocum</f>
        <v>0</v>
      </c>
      <c r="AA45" s="46">
        <f t="shared" ref="AA45:AA53" si="8">(AC45-Y45)*cofins_naocum</f>
        <v>0</v>
      </c>
      <c r="AB45" s="43"/>
      <c r="AC45" s="44">
        <v>0</v>
      </c>
      <c r="AD45" s="31"/>
      <c r="AE45" s="31"/>
      <c r="AF45" s="31"/>
      <c r="AG45" s="28"/>
      <c r="AH45" s="46">
        <f t="shared" ref="AH45:AH53" si="9">AC45*(1+AE45)</f>
        <v>0</v>
      </c>
      <c r="AI45" s="43"/>
      <c r="AJ45" s="28"/>
      <c r="AK45" s="337"/>
      <c r="AL45" s="43"/>
      <c r="AM45" s="44">
        <f t="shared" ref="AM45" si="10">IF(AND(AJ45&lt;&gt;"",AK45&gt;0),AQ45*(VLOOKUP(AJ45,tbl_cambio,2,FALSE)/AK45-1),0)</f>
        <v>0</v>
      </c>
      <c r="AN45" s="43"/>
      <c r="AO45" s="28">
        <f t="shared" ref="AO45" si="11">IF(T45="Sim",ROUNDUP(M45*sobress_pc,0),0)</f>
        <v>0</v>
      </c>
      <c r="AP45" s="43"/>
      <c r="AQ45" s="323">
        <f t="shared" ref="AQ45" si="12">SUMIFS(col_custoTotal,col_fatdir,"Não",col_item,E45)</f>
        <v>0</v>
      </c>
      <c r="AR45" s="43"/>
      <c r="AS45" s="44">
        <f t="shared" ref="AS45" si="13">IFERROR(AH45*VLOOKUP(I45,tbl_cambio,2,FALSE),0)</f>
        <v>0</v>
      </c>
    </row>
    <row r="46" spans="1:47" x14ac:dyDescent="0.25">
      <c r="A46" s="28"/>
      <c r="B46" s="43"/>
      <c r="C46" s="43"/>
      <c r="D46" s="43"/>
      <c r="E46" s="43" t="s">
        <v>1149</v>
      </c>
      <c r="F46" s="43" t="s">
        <v>1150</v>
      </c>
      <c r="G46" s="46">
        <f t="shared" si="0"/>
        <v>972.19200000000023</v>
      </c>
      <c r="H46" s="46">
        <f t="shared" si="1"/>
        <v>862.52400000000023</v>
      </c>
      <c r="I46" s="28" t="s">
        <v>262</v>
      </c>
      <c r="J46" s="337">
        <v>1</v>
      </c>
      <c r="K46" s="46">
        <f t="shared" si="2"/>
        <v>972.19200000000023</v>
      </c>
      <c r="L46" s="46">
        <f t="shared" si="3"/>
        <v>862.52400000000023</v>
      </c>
      <c r="M46" s="338">
        <f t="shared" si="4"/>
        <v>4</v>
      </c>
      <c r="N46" s="43" t="s">
        <v>668</v>
      </c>
      <c r="O46" s="339">
        <v>85285220</v>
      </c>
      <c r="P46" s="340">
        <f>IFERROR(VLOOKUP(O46,NCM!$A$3:$D$99,COLUMN(head_porNCM_IPI)-COLUMN(head_porNCM_NCM)+1,FALSE),"")</f>
        <v>0.15</v>
      </c>
      <c r="Q46" s="43" t="s">
        <v>734</v>
      </c>
      <c r="R46" s="78" t="s">
        <v>209</v>
      </c>
      <c r="S46" s="341"/>
      <c r="T46" s="28" t="s">
        <v>52</v>
      </c>
      <c r="U46" s="28"/>
      <c r="V46" s="548"/>
      <c r="W46" s="43"/>
      <c r="X46" s="342">
        <f t="shared" si="5"/>
        <v>213.40800000000002</v>
      </c>
      <c r="Y46" s="342">
        <f t="shared" si="6"/>
        <v>0</v>
      </c>
      <c r="Z46" s="46">
        <f t="shared" si="7"/>
        <v>19.562400000000004</v>
      </c>
      <c r="AA46" s="46">
        <f t="shared" si="8"/>
        <v>90.10560000000001</v>
      </c>
      <c r="AB46" s="43"/>
      <c r="AC46" s="44">
        <v>1185.6000000000001</v>
      </c>
      <c r="AD46" s="31">
        <v>0.18</v>
      </c>
      <c r="AE46" s="31">
        <v>0</v>
      </c>
      <c r="AF46" s="31">
        <v>0</v>
      </c>
      <c r="AG46" s="28" t="s">
        <v>53</v>
      </c>
      <c r="AH46" s="46">
        <f t="shared" si="9"/>
        <v>1185.6000000000001</v>
      </c>
      <c r="AI46" s="43"/>
      <c r="AJ46" s="28" t="s">
        <v>263</v>
      </c>
      <c r="AK46" s="337">
        <v>5.2</v>
      </c>
      <c r="AL46" s="43"/>
      <c r="AM46" s="44">
        <f>IF(AND(AJ46&lt;&gt;"",AK46&gt;0),AQ46*(VLOOKUP(AJ46,tbl_cambio,2,FALSE)/AK46-1),0)</f>
        <v>152.6003999999995</v>
      </c>
      <c r="AN46" s="43"/>
      <c r="AO46" s="28">
        <f>IF(T46="Sim",ROUNDUP(M46*sobress_pc,0),0)</f>
        <v>1</v>
      </c>
      <c r="AP46" s="43"/>
      <c r="AQ46" s="323">
        <f>SUMIFS(col_custoTotal,col_fatdir,"Não",col_item,E46)</f>
        <v>3450.0960000000009</v>
      </c>
      <c r="AR46" s="43"/>
      <c r="AS46" s="44">
        <f>IFERROR(AH46*VLOOKUP(I46,tbl_cambio,2,FALSE),0)</f>
        <v>1185.6000000000001</v>
      </c>
    </row>
    <row r="47" spans="1:47" x14ac:dyDescent="0.25">
      <c r="A47" s="28"/>
      <c r="B47" s="43"/>
      <c r="C47" s="43"/>
      <c r="D47" s="43"/>
      <c r="E47" s="43" t="s">
        <v>3115</v>
      </c>
      <c r="F47" s="43" t="s">
        <v>3124</v>
      </c>
      <c r="G47" s="46">
        <f>AC47*(1-AD47)</f>
        <v>23737.747199999998</v>
      </c>
      <c r="H47" s="46">
        <f>AC47*(1-AD47-pis_naocum-cofins_naocum)</f>
        <v>21450.516350000002</v>
      </c>
      <c r="I47" s="28" t="s">
        <v>262</v>
      </c>
      <c r="J47" s="337">
        <v>1</v>
      </c>
      <c r="K47" s="46">
        <f>IFERROR(G47*J47*VLOOKUP(I47,tbl_cambio,2,FALSE),"")</f>
        <v>23737.747199999998</v>
      </c>
      <c r="L47" s="46">
        <f>IFERROR(H47*J47*VLOOKUP(I47,tbl_cambio,2,FALSE),"")</f>
        <v>21450.516350000002</v>
      </c>
      <c r="M47" s="338">
        <f>SUMIF(col_item,"="&amp;E47,col_qtd)</f>
        <v>2</v>
      </c>
      <c r="N47" s="43" t="s">
        <v>34</v>
      </c>
      <c r="O47" s="339">
        <v>85176234</v>
      </c>
      <c r="P47" s="340">
        <f>IFERROR(VLOOKUP(O47,NCM!$A$3:$D$99,COLUMN(head_porNCM_IPI)-COLUMN(head_porNCM_NCM)+1,FALSE),"")</f>
        <v>9.7500000000000003E-2</v>
      </c>
      <c r="Q47" s="43" t="s">
        <v>804</v>
      </c>
      <c r="R47" s="78" t="s">
        <v>210</v>
      </c>
      <c r="S47" s="341"/>
      <c r="T47" s="28" t="s">
        <v>52</v>
      </c>
      <c r="U47" s="28"/>
      <c r="V47" s="548"/>
      <c r="W47" s="43"/>
      <c r="X47" s="342">
        <f>(AC47-Y47)*AD47</f>
        <v>901.20528473804109</v>
      </c>
      <c r="Y47" s="342">
        <f>AC47-AC47/(1+AE47)</f>
        <v>2196.6878815489727</v>
      </c>
      <c r="Z47" s="46">
        <f>(AC47-Y47)*pis_naocum</f>
        <v>371.74717995444195</v>
      </c>
      <c r="AA47" s="46">
        <f>(AC47-Y47)*cofins_naocum</f>
        <v>1712.290041002278</v>
      </c>
      <c r="AB47" s="43"/>
      <c r="AC47" s="44">
        <v>24726.82</v>
      </c>
      <c r="AD47" s="31">
        <v>0.04</v>
      </c>
      <c r="AE47" s="31">
        <v>9.7500000000000003E-2</v>
      </c>
      <c r="AF47" s="31">
        <v>0</v>
      </c>
      <c r="AG47" s="28" t="s">
        <v>53</v>
      </c>
      <c r="AH47" s="46">
        <f>AC47*(1+AE47)</f>
        <v>27137.684949999999</v>
      </c>
      <c r="AI47" s="43"/>
      <c r="AJ47" s="28" t="s">
        <v>263</v>
      </c>
      <c r="AK47" s="337">
        <v>5.39</v>
      </c>
      <c r="AL47" s="43"/>
      <c r="AM47" s="44">
        <f>IF(AND(AJ47&lt;&gt;"",AK47&gt;0),AQ47*(VLOOKUP(AJ47,tbl_cambio,2,FALSE)/AK47-1),0)</f>
        <v>318.37501076066394</v>
      </c>
      <c r="AN47" s="43"/>
      <c r="AO47" s="28">
        <f>IF(T47="Sim",ROUNDUP(M47*sobress_pc,0),0)</f>
        <v>1</v>
      </c>
      <c r="AP47" s="43"/>
      <c r="AQ47" s="323">
        <f>SUMIFS(col_custoTotal,col_fatdir,"Não",col_item,E47)</f>
        <v>42901.032700000003</v>
      </c>
      <c r="AR47" s="43"/>
      <c r="AS47" s="44">
        <f>IFERROR(AH47*VLOOKUP(I47,tbl_cambio,2,FALSE),0)</f>
        <v>27137.684949999999</v>
      </c>
    </row>
    <row r="48" spans="1:47" x14ac:dyDescent="0.25">
      <c r="A48" s="28"/>
      <c r="B48" s="43"/>
      <c r="C48" s="43"/>
      <c r="D48" s="43"/>
      <c r="E48" s="43" t="s">
        <v>2309</v>
      </c>
      <c r="F48" s="43" t="s">
        <v>2310</v>
      </c>
      <c r="G48" s="46">
        <f t="shared" ref="G48:G50" si="14">AC48*(1-AD48)</f>
        <v>12621.9072</v>
      </c>
      <c r="H48" s="46">
        <f t="shared" ref="H48:H50" si="15">AC48*(1-AD48-pis_naocum-cofins_naocum)</f>
        <v>11405.733850000001</v>
      </c>
      <c r="I48" s="28" t="s">
        <v>262</v>
      </c>
      <c r="J48" s="337">
        <v>1</v>
      </c>
      <c r="K48" s="46">
        <f t="shared" ref="K48:K50" si="16">IFERROR(G48*J48*VLOOKUP(I48,tbl_cambio,2,FALSE),"")</f>
        <v>12621.9072</v>
      </c>
      <c r="L48" s="46">
        <f t="shared" ref="L48:L50" si="17">IFERROR(H48*J48*VLOOKUP(I48,tbl_cambio,2,FALSE),"")</f>
        <v>11405.733850000001</v>
      </c>
      <c r="M48" s="338">
        <f t="shared" ref="M48:M50" si="18">SUMIF(col_item,"="&amp;E48,col_qtd)</f>
        <v>2</v>
      </c>
      <c r="N48" s="43" t="s">
        <v>34</v>
      </c>
      <c r="O48" s="339">
        <v>85176234</v>
      </c>
      <c r="P48" s="340">
        <f>IFERROR(VLOOKUP(O48,NCM!$A$3:$D$99,COLUMN(head_porNCM_IPI)-COLUMN(head_porNCM_NCM)+1,FALSE),"")</f>
        <v>9.7500000000000003E-2</v>
      </c>
      <c r="Q48" s="43" t="s">
        <v>804</v>
      </c>
      <c r="R48" s="78" t="s">
        <v>210</v>
      </c>
      <c r="S48" s="341"/>
      <c r="T48" s="28" t="s">
        <v>52</v>
      </c>
      <c r="U48" s="28"/>
      <c r="V48" s="548"/>
      <c r="W48" s="43"/>
      <c r="X48" s="342">
        <f t="shared" ref="X48:X50" si="19">(AC48-Y48)*AD48</f>
        <v>479.19161731207294</v>
      </c>
      <c r="Y48" s="342">
        <f t="shared" ref="Y48:Y50" si="20">AC48-AC48/(1+AE48)</f>
        <v>1168.0295671981767</v>
      </c>
      <c r="Z48" s="46">
        <f t="shared" ref="Z48:Z50" si="21">(AC48-Y48)*pis_naocum</f>
        <v>197.66654214123008</v>
      </c>
      <c r="AA48" s="46">
        <f t="shared" ref="AA48:AA50" si="22">(AC48-Y48)*cofins_naocum</f>
        <v>910.46407289293847</v>
      </c>
      <c r="AB48" s="43"/>
      <c r="AC48" s="44">
        <v>13147.82</v>
      </c>
      <c r="AD48" s="31">
        <v>0.04</v>
      </c>
      <c r="AE48" s="31">
        <v>9.7500000000000003E-2</v>
      </c>
      <c r="AF48" s="31">
        <v>0</v>
      </c>
      <c r="AG48" s="28" t="s">
        <v>53</v>
      </c>
      <c r="AH48" s="46">
        <f t="shared" ref="AH48:AH50" si="23">AC48*(1+AE48)</f>
        <v>14429.73245</v>
      </c>
      <c r="AI48" s="43"/>
      <c r="AJ48" s="28" t="s">
        <v>263</v>
      </c>
      <c r="AK48" s="337">
        <v>5.39</v>
      </c>
      <c r="AL48" s="43"/>
      <c r="AM48" s="44">
        <f t="shared" ref="AM48:AM50" si="24">IF(AND(AJ48&lt;&gt;"",AK48&gt;0),AQ48*(VLOOKUP(AJ48,tbl_cambio,2,FALSE)/AK48-1),0)</f>
        <v>169.28732987012776</v>
      </c>
      <c r="AN48" s="43"/>
      <c r="AO48" s="28">
        <f t="shared" ref="AO48:AO50" si="25">IF(T48="Sim",ROUNDUP(M48*sobress_pc,0),0)</f>
        <v>1</v>
      </c>
      <c r="AP48" s="43"/>
      <c r="AQ48" s="323">
        <f t="shared" ref="AQ48:AQ50" si="26">SUMIFS(col_custoTotal,col_fatdir,"Não",col_item,E48)</f>
        <v>22811.467700000001</v>
      </c>
      <c r="AR48" s="43"/>
      <c r="AS48" s="44">
        <f t="shared" ref="AS48:AS50" si="27">IFERROR(AH48*VLOOKUP(I48,tbl_cambio,2,FALSE),0)</f>
        <v>14429.73245</v>
      </c>
    </row>
    <row r="49" spans="1:45" x14ac:dyDescent="0.25">
      <c r="A49" s="28"/>
      <c r="B49" s="43"/>
      <c r="C49" s="43"/>
      <c r="D49" s="43"/>
      <c r="E49" s="43" t="s">
        <v>2410</v>
      </c>
      <c r="F49" s="43" t="s">
        <v>3057</v>
      </c>
      <c r="G49" s="46">
        <f t="shared" si="14"/>
        <v>1197.9263999999998</v>
      </c>
      <c r="H49" s="46">
        <f t="shared" si="15"/>
        <v>1082.5011999999999</v>
      </c>
      <c r="I49" s="28" t="s">
        <v>262</v>
      </c>
      <c r="J49" s="337">
        <v>1</v>
      </c>
      <c r="K49" s="46">
        <f t="shared" si="16"/>
        <v>1197.9263999999998</v>
      </c>
      <c r="L49" s="46">
        <f t="shared" si="17"/>
        <v>1082.5011999999999</v>
      </c>
      <c r="M49" s="338">
        <f t="shared" si="18"/>
        <v>6</v>
      </c>
      <c r="N49" s="43" t="s">
        <v>34</v>
      </c>
      <c r="O49" s="339">
        <v>85177900</v>
      </c>
      <c r="P49" s="340">
        <f>IFERROR(VLOOKUP(O49,NCM!$A$3:$D$99,COLUMN(head_porNCM_IPI)-COLUMN(head_porNCM_NCM)+1,FALSE),"")</f>
        <v>7.4999999999999997E-2</v>
      </c>
      <c r="Q49" s="43" t="s">
        <v>804</v>
      </c>
      <c r="R49" s="78" t="s">
        <v>210</v>
      </c>
      <c r="S49" s="341"/>
      <c r="T49" s="28" t="s">
        <v>52</v>
      </c>
      <c r="U49" s="28"/>
      <c r="V49" s="548"/>
      <c r="W49" s="43"/>
      <c r="X49" s="342">
        <f t="shared" si="19"/>
        <v>46.431255813953484</v>
      </c>
      <c r="Y49" s="342">
        <f t="shared" si="20"/>
        <v>87.058604651162796</v>
      </c>
      <c r="Z49" s="46">
        <f t="shared" si="21"/>
        <v>19.152893023255814</v>
      </c>
      <c r="AA49" s="46">
        <f t="shared" si="22"/>
        <v>88.219386046511616</v>
      </c>
      <c r="AB49" s="43"/>
      <c r="AC49" s="44">
        <v>1247.8399999999999</v>
      </c>
      <c r="AD49" s="31">
        <v>0.04</v>
      </c>
      <c r="AE49" s="31">
        <v>7.4999999999999997E-2</v>
      </c>
      <c r="AF49" s="31">
        <v>0</v>
      </c>
      <c r="AG49" s="28" t="s">
        <v>53</v>
      </c>
      <c r="AH49" s="46">
        <f t="shared" si="23"/>
        <v>1341.4279999999999</v>
      </c>
      <c r="AI49" s="43"/>
      <c r="AJ49" s="28" t="s">
        <v>263</v>
      </c>
      <c r="AK49" s="337">
        <v>5.39</v>
      </c>
      <c r="AL49" s="43"/>
      <c r="AM49" s="44">
        <f t="shared" si="24"/>
        <v>48.200424489795317</v>
      </c>
      <c r="AN49" s="43"/>
      <c r="AO49" s="28">
        <f t="shared" si="25"/>
        <v>1</v>
      </c>
      <c r="AP49" s="43"/>
      <c r="AQ49" s="323">
        <f t="shared" si="26"/>
        <v>6495.0072</v>
      </c>
      <c r="AR49" s="43"/>
      <c r="AS49" s="44">
        <f t="shared" si="27"/>
        <v>1341.4279999999999</v>
      </c>
    </row>
    <row r="50" spans="1:45" x14ac:dyDescent="0.25">
      <c r="A50" s="28"/>
      <c r="B50" s="43"/>
      <c r="C50" s="43"/>
      <c r="D50" s="43"/>
      <c r="E50" s="43" t="s">
        <v>2308</v>
      </c>
      <c r="F50" s="43" t="s">
        <v>3054</v>
      </c>
      <c r="G50" s="46">
        <f t="shared" si="14"/>
        <v>4328.4671999999991</v>
      </c>
      <c r="H50" s="46">
        <f t="shared" si="15"/>
        <v>3911.4013500000001</v>
      </c>
      <c r="I50" s="28" t="s">
        <v>262</v>
      </c>
      <c r="J50" s="337">
        <v>1</v>
      </c>
      <c r="K50" s="46">
        <f t="shared" si="16"/>
        <v>4328.4671999999991</v>
      </c>
      <c r="L50" s="46">
        <f t="shared" si="17"/>
        <v>3911.4013500000001</v>
      </c>
      <c r="M50" s="338">
        <f t="shared" si="18"/>
        <v>2</v>
      </c>
      <c r="N50" s="43" t="s">
        <v>34</v>
      </c>
      <c r="O50" s="339">
        <v>85176234</v>
      </c>
      <c r="P50" s="340">
        <f>IFERROR(VLOOKUP(O50,NCM!$A$3:$D$99,COLUMN(head_porNCM_IPI)-COLUMN(head_porNCM_NCM)+1,FALSE),"")</f>
        <v>9.7500000000000003E-2</v>
      </c>
      <c r="Q50" s="43" t="s">
        <v>804</v>
      </c>
      <c r="R50" s="78" t="s">
        <v>210</v>
      </c>
      <c r="S50" s="341"/>
      <c r="T50" s="28" t="s">
        <v>52</v>
      </c>
      <c r="U50" s="28"/>
      <c r="V50" s="548"/>
      <c r="W50" s="43"/>
      <c r="X50" s="342">
        <f t="shared" si="19"/>
        <v>164.33056947608202</v>
      </c>
      <c r="Y50" s="342">
        <f t="shared" si="20"/>
        <v>400.55576309794924</v>
      </c>
      <c r="Z50" s="46">
        <f t="shared" si="21"/>
        <v>67.786359908883838</v>
      </c>
      <c r="AA50" s="46">
        <f t="shared" si="22"/>
        <v>312.2280820045558</v>
      </c>
      <c r="AB50" s="43"/>
      <c r="AC50" s="44">
        <v>4508.82</v>
      </c>
      <c r="AD50" s="31">
        <v>0.04</v>
      </c>
      <c r="AE50" s="31">
        <v>9.7500000000000003E-2</v>
      </c>
      <c r="AF50" s="31">
        <v>0</v>
      </c>
      <c r="AG50" s="28" t="s">
        <v>53</v>
      </c>
      <c r="AH50" s="46">
        <f t="shared" si="23"/>
        <v>4948.4299499999997</v>
      </c>
      <c r="AI50" s="43"/>
      <c r="AJ50" s="28" t="s">
        <v>263</v>
      </c>
      <c r="AK50" s="337">
        <v>5.39</v>
      </c>
      <c r="AL50" s="43"/>
      <c r="AM50" s="44">
        <f t="shared" si="24"/>
        <v>58.054194434136569</v>
      </c>
      <c r="AN50" s="43"/>
      <c r="AO50" s="28">
        <f t="shared" si="25"/>
        <v>1</v>
      </c>
      <c r="AP50" s="43"/>
      <c r="AQ50" s="323">
        <f t="shared" si="26"/>
        <v>7822.8027000000002</v>
      </c>
      <c r="AR50" s="43"/>
      <c r="AS50" s="44">
        <f t="shared" si="27"/>
        <v>4948.4299499999997</v>
      </c>
    </row>
    <row r="51" spans="1:45" x14ac:dyDescent="0.25">
      <c r="A51" s="28"/>
      <c r="B51" s="43"/>
      <c r="C51" s="43"/>
      <c r="D51" s="43"/>
      <c r="E51" s="43" t="s">
        <v>3052</v>
      </c>
      <c r="F51" s="43" t="s">
        <v>3125</v>
      </c>
      <c r="G51" s="46">
        <f>AC51*(1-AD51)</f>
        <v>22787.126400000001</v>
      </c>
      <c r="H51" s="46">
        <f>AC51*(1-AD51-pis_naocum-cofins_naocum)</f>
        <v>20591.491825000001</v>
      </c>
      <c r="I51" s="28" t="s">
        <v>262</v>
      </c>
      <c r="J51" s="337">
        <v>1</v>
      </c>
      <c r="K51" s="46">
        <f>IFERROR(G51*J51*VLOOKUP(I51,tbl_cambio,2,FALSE),"")</f>
        <v>22787.126400000001</v>
      </c>
      <c r="L51" s="46">
        <f>IFERROR(H51*J51*VLOOKUP(I51,tbl_cambio,2,FALSE),"")</f>
        <v>20591.491825000001</v>
      </c>
      <c r="M51" s="338">
        <f>SUMIF(col_item,"="&amp;E51,col_qtd)</f>
        <v>2</v>
      </c>
      <c r="N51" s="43" t="s">
        <v>34</v>
      </c>
      <c r="O51" s="339">
        <v>85176249</v>
      </c>
      <c r="P51" s="340">
        <f>IFERROR(VLOOKUP(O51,NCM!$A$3:$D$99,COLUMN(head_porNCM_IPI)-COLUMN(head_porNCM_NCM)+1,FALSE),"")</f>
        <v>9.7500000000000003E-2</v>
      </c>
      <c r="Q51" s="43" t="s">
        <v>804</v>
      </c>
      <c r="R51" s="78" t="s">
        <v>210</v>
      </c>
      <c r="S51" s="341"/>
      <c r="T51" s="28" t="s">
        <v>52</v>
      </c>
      <c r="U51" s="28"/>
      <c r="V51" s="548"/>
      <c r="W51" s="43"/>
      <c r="X51" s="342">
        <f>(AC51-Y51)*AD51</f>
        <v>865.1148974943053</v>
      </c>
      <c r="Y51" s="342">
        <f>AC51-AC51/(1+AE51)</f>
        <v>2108.7175626423668</v>
      </c>
      <c r="Z51" s="46">
        <f>(AC51-Y51)*pis_naocum</f>
        <v>356.85989521640096</v>
      </c>
      <c r="AA51" s="46">
        <f>(AC51-Y51)*cofins_naocum</f>
        <v>1643.7183052391802</v>
      </c>
      <c r="AB51" s="43"/>
      <c r="AC51" s="44">
        <v>23736.59</v>
      </c>
      <c r="AD51" s="31">
        <v>0.04</v>
      </c>
      <c r="AE51" s="31">
        <v>9.7500000000000003E-2</v>
      </c>
      <c r="AF51" s="31">
        <v>0</v>
      </c>
      <c r="AG51" s="28" t="s">
        <v>53</v>
      </c>
      <c r="AH51" s="46">
        <f>AC51*(1+AE51)</f>
        <v>26050.907524999999</v>
      </c>
      <c r="AI51" s="43"/>
      <c r="AJ51" s="28" t="s">
        <v>263</v>
      </c>
      <c r="AK51" s="337">
        <v>5.39</v>
      </c>
      <c r="AL51" s="43"/>
      <c r="AM51" s="44">
        <f>IF(AND(AJ51&lt;&gt;"",AK51&gt;0),AQ51*(VLOOKUP(AJ51,tbl_cambio,2,FALSE)/AK51-1),0)</f>
        <v>305.62511057513535</v>
      </c>
      <c r="AN51" s="43"/>
      <c r="AO51" s="28">
        <f>IF(T51="Sim",ROUNDUP(M51*sobress_pc,0),0)</f>
        <v>1</v>
      </c>
      <c r="AP51" s="43"/>
      <c r="AQ51" s="323">
        <f>SUMIFS(col_custoTotal,col_fatdir,"Não",col_item,E51)</f>
        <v>41182.983650000002</v>
      </c>
      <c r="AR51" s="43"/>
      <c r="AS51" s="44">
        <f>IFERROR(AH51*VLOOKUP(I51,tbl_cambio,2,FALSE),0)</f>
        <v>26050.907524999999</v>
      </c>
    </row>
    <row r="52" spans="1:45" x14ac:dyDescent="0.25">
      <c r="A52" s="28"/>
      <c r="B52" s="43"/>
      <c r="C52" s="43"/>
      <c r="D52" s="43"/>
      <c r="E52" s="43" t="s">
        <v>3053</v>
      </c>
      <c r="F52" s="43" t="s">
        <v>3127</v>
      </c>
      <c r="G52" s="46">
        <f>AC52*(1-AD52)</f>
        <v>18972.5376</v>
      </c>
      <c r="H52" s="46">
        <f>AC52*(1-AD52-pis_naocum-cofins_naocum)</f>
        <v>17144.454550000002</v>
      </c>
      <c r="I52" s="28" t="s">
        <v>262</v>
      </c>
      <c r="J52" s="337">
        <v>1</v>
      </c>
      <c r="K52" s="46">
        <f>IFERROR(G52*J52*VLOOKUP(I52,tbl_cambio,2,FALSE),"")</f>
        <v>18972.5376</v>
      </c>
      <c r="L52" s="46">
        <f>IFERROR(H52*J52*VLOOKUP(I52,tbl_cambio,2,FALSE),"")</f>
        <v>17144.454550000002</v>
      </c>
      <c r="M52" s="338">
        <f>SUMIF(col_item,"="&amp;E52,col_qtd)</f>
        <v>2</v>
      </c>
      <c r="N52" s="43" t="s">
        <v>34</v>
      </c>
      <c r="O52" s="339">
        <v>85176234</v>
      </c>
      <c r="P52" s="340">
        <f>IFERROR(VLOOKUP(O52,NCM!$A$3:$D$99,COLUMN(head_porNCM_IPI)-COLUMN(head_porNCM_NCM)+1,FALSE),"")</f>
        <v>9.7500000000000003E-2</v>
      </c>
      <c r="Q52" s="43" t="s">
        <v>804</v>
      </c>
      <c r="R52" s="78" t="s">
        <v>210</v>
      </c>
      <c r="S52" s="341"/>
      <c r="T52" s="28" t="s">
        <v>52</v>
      </c>
      <c r="U52" s="28"/>
      <c r="V52" s="548"/>
      <c r="W52" s="43"/>
      <c r="X52" s="342">
        <f>(AC52-Y52)*AD52</f>
        <v>720.29375854214129</v>
      </c>
      <c r="Y52" s="342">
        <f>AC52-AC52/(1+AE52)</f>
        <v>1755.7160364464689</v>
      </c>
      <c r="Z52" s="46">
        <f>(AC52-Y52)*pis_naocum</f>
        <v>297.12117539863328</v>
      </c>
      <c r="AA52" s="46">
        <f>(AC52-Y52)*cofins_naocum</f>
        <v>1368.5581412300685</v>
      </c>
      <c r="AB52" s="43"/>
      <c r="AC52" s="44">
        <v>19763.060000000001</v>
      </c>
      <c r="AD52" s="31">
        <v>0.04</v>
      </c>
      <c r="AE52" s="31">
        <v>9.7500000000000003E-2</v>
      </c>
      <c r="AF52" s="31">
        <v>0</v>
      </c>
      <c r="AG52" s="28" t="s">
        <v>53</v>
      </c>
      <c r="AH52" s="46">
        <f>AC52*(1+AE52)</f>
        <v>21689.958350000001</v>
      </c>
      <c r="AI52" s="43"/>
      <c r="AJ52" s="28" t="s">
        <v>263</v>
      </c>
      <c r="AK52" s="337">
        <v>5.39</v>
      </c>
      <c r="AL52" s="43"/>
      <c r="AM52" s="44">
        <f>IF(AND(AJ52&lt;&gt;"",AK52&gt;0),AQ52*(VLOOKUP(AJ52,tbl_cambio,2,FALSE)/AK52-1),0)</f>
        <v>254.46314730982988</v>
      </c>
      <c r="AN52" s="43"/>
      <c r="AO52" s="28">
        <f>IF(T52="Sim",ROUNDUP(M52*sobress_pc,0),0)</f>
        <v>1</v>
      </c>
      <c r="AP52" s="43"/>
      <c r="AQ52" s="323">
        <f>SUMIFS(col_custoTotal,col_fatdir,"Não",col_item,E52)</f>
        <v>34288.909100000004</v>
      </c>
      <c r="AR52" s="43"/>
      <c r="AS52" s="44">
        <f>IFERROR(AH52*VLOOKUP(I52,tbl_cambio,2,FALSE),0)</f>
        <v>21689.958350000001</v>
      </c>
    </row>
    <row r="53" spans="1:45" x14ac:dyDescent="0.25">
      <c r="A53" s="28"/>
      <c r="B53" s="43"/>
      <c r="C53" s="43"/>
      <c r="D53" s="43"/>
      <c r="E53" s="43" t="s">
        <v>1121</v>
      </c>
      <c r="F53" s="43" t="s">
        <v>3128</v>
      </c>
      <c r="G53" s="46">
        <f t="shared" si="0"/>
        <v>25579.549599999998</v>
      </c>
      <c r="H53" s="46">
        <f t="shared" si="1"/>
        <v>22890.790125</v>
      </c>
      <c r="I53" s="28" t="s">
        <v>262</v>
      </c>
      <c r="J53" s="337">
        <v>1</v>
      </c>
      <c r="K53" s="46">
        <f t="shared" si="2"/>
        <v>25579.549599999998</v>
      </c>
      <c r="L53" s="46">
        <f t="shared" si="3"/>
        <v>22890.790125</v>
      </c>
      <c r="M53" s="338">
        <f t="shared" si="4"/>
        <v>2</v>
      </c>
      <c r="N53" s="43" t="s">
        <v>668</v>
      </c>
      <c r="O53" s="339">
        <v>85437099</v>
      </c>
      <c r="P53" s="340">
        <f>IFERROR(VLOOKUP(O53,NCM!$A$3:$D$99,COLUMN(head_porNCM_IPI)-COLUMN(head_porNCM_NCM)+1,FALSE),"")</f>
        <v>6.5000000000000002E-2</v>
      </c>
      <c r="Q53" s="43" t="s">
        <v>620</v>
      </c>
      <c r="R53" s="78" t="s">
        <v>209</v>
      </c>
      <c r="S53" s="341"/>
      <c r="T53" s="28" t="s">
        <v>52</v>
      </c>
      <c r="U53" s="28"/>
      <c r="V53" s="548"/>
      <c r="W53" s="43"/>
      <c r="X53" s="342">
        <f t="shared" si="5"/>
        <v>3275.2304225352109</v>
      </c>
      <c r="Y53" s="342">
        <f t="shared" si="6"/>
        <v>1774.0831455399057</v>
      </c>
      <c r="Z53" s="46">
        <f t="shared" si="7"/>
        <v>450.34418309859154</v>
      </c>
      <c r="AA53" s="46">
        <f t="shared" si="8"/>
        <v>2074.3126009389671</v>
      </c>
      <c r="AB53" s="43"/>
      <c r="AC53" s="44">
        <v>29067.67</v>
      </c>
      <c r="AD53" s="31">
        <v>0.12</v>
      </c>
      <c r="AE53" s="31">
        <v>6.5000000000000002E-2</v>
      </c>
      <c r="AF53" s="31">
        <v>0</v>
      </c>
      <c r="AG53" s="28" t="s">
        <v>53</v>
      </c>
      <c r="AH53" s="46">
        <f t="shared" si="9"/>
        <v>30957.068549999996</v>
      </c>
      <c r="AI53" s="43"/>
      <c r="AJ53" s="28" t="s">
        <v>263</v>
      </c>
      <c r="AK53" s="337">
        <v>5.12</v>
      </c>
      <c r="AL53" s="43"/>
      <c r="AM53" s="44">
        <f t="shared" ref="AM53" si="28">IF(AND(AJ53&lt;&gt;"",AK53&gt;0),AQ53*(VLOOKUP(AJ53,tbl_cambio,2,FALSE)/AK53-1),0)</f>
        <v>2771.9316166992185</v>
      </c>
      <c r="AN53" s="43"/>
      <c r="AO53" s="28">
        <f t="shared" ref="AO53" si="29">IF(T53="Sim",ROUNDUP(M53*sobress_pc,0),0)</f>
        <v>1</v>
      </c>
      <c r="AP53" s="43"/>
      <c r="AQ53" s="323">
        <f t="shared" ref="AQ53" si="30">SUMIFS(col_custoTotal,col_fatdir,"Não",col_item,E53)</f>
        <v>45781.580249999999</v>
      </c>
      <c r="AR53" s="43"/>
      <c r="AS53" s="44">
        <f t="shared" ref="AS53" si="31">IFERROR(AH53*VLOOKUP(I53,tbl_cambio,2,FALSE),0)</f>
        <v>30957.068549999996</v>
      </c>
    </row>
    <row r="54" spans="1:45" x14ac:dyDescent="0.25">
      <c r="A54" s="28"/>
      <c r="B54" s="43"/>
      <c r="C54" s="43"/>
      <c r="D54" s="43" t="s">
        <v>278</v>
      </c>
      <c r="E54" s="43"/>
      <c r="F54" s="43"/>
      <c r="G54" s="46">
        <f t="shared" ref="G54:G56" si="32">AC54*(1-AD54)</f>
        <v>0</v>
      </c>
      <c r="H54" s="46">
        <f t="shared" ref="H54:H56" si="33">AC54*(1-AD54-pis_naocum-cofins_naocum)</f>
        <v>0</v>
      </c>
      <c r="I54" s="28"/>
      <c r="J54" s="337"/>
      <c r="K54" s="46" t="str">
        <f t="shared" ref="K54:K56" si="34">IFERROR(G54*J54*VLOOKUP(I54,tbl_cambio,2,FALSE),"")</f>
        <v/>
      </c>
      <c r="L54" s="46" t="str">
        <f t="shared" ref="L54:L56" si="35">IFERROR(H54*J54*VLOOKUP(I54,tbl_cambio,2,FALSE),"")</f>
        <v/>
      </c>
      <c r="M54" s="338">
        <f t="shared" ref="M54:M56" si="36">SUMIF(col_item,"="&amp;E54,col_qtd)</f>
        <v>0</v>
      </c>
      <c r="N54" s="43"/>
      <c r="O54" s="339"/>
      <c r="P54" s="340" t="s">
        <v>2791</v>
      </c>
      <c r="Q54" s="43"/>
      <c r="R54" s="78"/>
      <c r="S54" s="341"/>
      <c r="T54" s="28"/>
      <c r="U54" s="28"/>
      <c r="V54" s="28"/>
      <c r="W54" s="43"/>
      <c r="X54" s="342">
        <f t="shared" ref="X54:X56" si="37">(AC54-Y54)*AD54</f>
        <v>0</v>
      </c>
      <c r="Y54" s="342">
        <f t="shared" ref="Y54:Y56" si="38">AC54-AC54/(1+AE54)</f>
        <v>0</v>
      </c>
      <c r="Z54" s="46">
        <f t="shared" ref="Z54:Z56" si="39">(AC54-Y54)*pis_naocum</f>
        <v>0</v>
      </c>
      <c r="AA54" s="46">
        <f t="shared" ref="AA54:AA56" si="40">(AC54-Y54)*cofins_naocum</f>
        <v>0</v>
      </c>
      <c r="AB54" s="43"/>
      <c r="AC54" s="44"/>
      <c r="AD54" s="31"/>
      <c r="AE54" s="31"/>
      <c r="AF54" s="31"/>
      <c r="AG54" s="28"/>
      <c r="AH54" s="46">
        <f t="shared" ref="AH54:AH56" si="41">AC54*(1+AE54)</f>
        <v>0</v>
      </c>
      <c r="AI54" s="43"/>
      <c r="AJ54" s="28"/>
      <c r="AK54" s="337"/>
      <c r="AL54" s="43"/>
      <c r="AM54" s="44">
        <f t="shared" ref="AM54:AM56" si="42">IF(AND(AJ54&lt;&gt;"",AK54&gt;0),AQ54*(VLOOKUP(AJ54,tbl_cambio,2,FALSE)/AK54-1),0)</f>
        <v>0</v>
      </c>
      <c r="AN54" s="43"/>
      <c r="AO54" s="28">
        <f t="shared" ref="AO54:AO56" si="43">IF(T54="Sim",ROUNDUP(M54*sobress_pc,0),0)</f>
        <v>0</v>
      </c>
      <c r="AP54" s="43"/>
      <c r="AQ54" s="323">
        <f t="shared" ref="AQ54:AQ56" si="44">SUMIFS(col_custoTotal,col_fatdir,"Não",col_item,E54)</f>
        <v>0</v>
      </c>
      <c r="AR54" s="43"/>
      <c r="AS54" s="44">
        <f t="shared" ref="AS54:AS56" si="45">IFERROR(AH54*VLOOKUP(I54,tbl_cambio,2,FALSE),0)</f>
        <v>0</v>
      </c>
    </row>
    <row r="55" spans="1:45" x14ac:dyDescent="0.25">
      <c r="A55" s="28"/>
      <c r="B55" s="43"/>
      <c r="C55" s="43" t="s">
        <v>1041</v>
      </c>
      <c r="D55" s="43"/>
      <c r="E55" s="43" t="s">
        <v>3093</v>
      </c>
      <c r="F55" s="43" t="s">
        <v>3116</v>
      </c>
      <c r="G55" s="46">
        <f t="shared" si="32"/>
        <v>11658.142110476188</v>
      </c>
      <c r="H55" s="46">
        <f t="shared" si="33"/>
        <v>10432.7124</v>
      </c>
      <c r="I55" s="28" t="s">
        <v>262</v>
      </c>
      <c r="J55" s="337">
        <v>1</v>
      </c>
      <c r="K55" s="46">
        <f t="shared" si="34"/>
        <v>11658.142110476188</v>
      </c>
      <c r="L55" s="46">
        <f t="shared" si="35"/>
        <v>10432.7124</v>
      </c>
      <c r="M55" s="338">
        <f t="shared" si="36"/>
        <v>2</v>
      </c>
      <c r="N55" s="43" t="s">
        <v>37</v>
      </c>
      <c r="O55" s="339">
        <v>85372090</v>
      </c>
      <c r="P55" s="340">
        <f>IFERROR(VLOOKUP(O55,NCM!$A$3:$D$99,COLUMN(head_porNCM_IPI)-COLUMN(head_porNCM_NCM)+1,FALSE),"")</f>
        <v>0</v>
      </c>
      <c r="Q55" s="43" t="s">
        <v>1109</v>
      </c>
      <c r="R55" s="78" t="s">
        <v>209</v>
      </c>
      <c r="S55" s="341"/>
      <c r="T55" s="28" t="s">
        <v>53</v>
      </c>
      <c r="U55" s="28"/>
      <c r="V55" s="28"/>
      <c r="W55" s="43"/>
      <c r="X55" s="342">
        <f t="shared" si="37"/>
        <v>1589.7466514285711</v>
      </c>
      <c r="Y55" s="342">
        <f t="shared" si="38"/>
        <v>0</v>
      </c>
      <c r="Z55" s="46">
        <f t="shared" si="39"/>
        <v>218.59016457142855</v>
      </c>
      <c r="AA55" s="46">
        <f t="shared" si="40"/>
        <v>1006.8395459047617</v>
      </c>
      <c r="AB55" s="43"/>
      <c r="AC55" s="44">
        <v>13247.88876190476</v>
      </c>
      <c r="AD55" s="31">
        <v>0.12</v>
      </c>
      <c r="AE55" s="31">
        <v>0</v>
      </c>
      <c r="AF55" s="31">
        <v>0</v>
      </c>
      <c r="AG55" s="28" t="s">
        <v>53</v>
      </c>
      <c r="AH55" s="46">
        <f t="shared" si="41"/>
        <v>13247.88876190476</v>
      </c>
      <c r="AI55" s="43"/>
      <c r="AJ55" s="28"/>
      <c r="AK55" s="337"/>
      <c r="AL55" s="43"/>
      <c r="AM55" s="44">
        <f t="shared" si="42"/>
        <v>0</v>
      </c>
      <c r="AN55" s="43"/>
      <c r="AO55" s="28">
        <f t="shared" si="43"/>
        <v>0</v>
      </c>
      <c r="AP55" s="43"/>
      <c r="AQ55" s="323">
        <f t="shared" si="44"/>
        <v>20865.424800000001</v>
      </c>
      <c r="AR55" s="43"/>
      <c r="AS55" s="44">
        <f t="shared" si="45"/>
        <v>13247.88876190476</v>
      </c>
    </row>
    <row r="56" spans="1:45" x14ac:dyDescent="0.25">
      <c r="A56" s="28"/>
      <c r="B56" s="43"/>
      <c r="C56" s="43"/>
      <c r="D56" s="43"/>
      <c r="E56" s="43" t="s">
        <v>2427</v>
      </c>
      <c r="F56" s="43" t="s">
        <v>2026</v>
      </c>
      <c r="G56" s="46">
        <f t="shared" si="32"/>
        <v>14098.8</v>
      </c>
      <c r="H56" s="46">
        <f t="shared" si="33"/>
        <v>12794.661</v>
      </c>
      <c r="I56" s="28" t="s">
        <v>262</v>
      </c>
      <c r="J56" s="337">
        <v>1</v>
      </c>
      <c r="K56" s="46">
        <f t="shared" si="34"/>
        <v>14098.8</v>
      </c>
      <c r="L56" s="46">
        <f t="shared" si="35"/>
        <v>12794.661</v>
      </c>
      <c r="M56" s="338">
        <f t="shared" si="36"/>
        <v>1</v>
      </c>
      <c r="N56" s="43" t="s">
        <v>668</v>
      </c>
      <c r="O56" s="339">
        <v>94031000</v>
      </c>
      <c r="P56" s="340">
        <f>IFERROR(VLOOKUP(O56,NCM!$A$3:$D$99,COLUMN(head_porNCM_IPI)-COLUMN(head_porNCM_NCM)+1,FALSE),"")</f>
        <v>3.2500000000000001E-2</v>
      </c>
      <c r="Q56" s="43"/>
      <c r="R56" s="78" t="s">
        <v>209</v>
      </c>
      <c r="S56" s="341"/>
      <c r="T56" s="28" t="s">
        <v>52</v>
      </c>
      <c r="U56" s="28"/>
      <c r="V56" s="548"/>
      <c r="W56" s="43"/>
      <c r="X56" s="342">
        <f t="shared" si="37"/>
        <v>0</v>
      </c>
      <c r="Y56" s="342">
        <f t="shared" si="38"/>
        <v>0</v>
      </c>
      <c r="Z56" s="46">
        <f t="shared" si="39"/>
        <v>232.6302</v>
      </c>
      <c r="AA56" s="46">
        <f t="shared" si="40"/>
        <v>1071.5087999999998</v>
      </c>
      <c r="AB56" s="43"/>
      <c r="AC56" s="44">
        <f>2*7049.4</f>
        <v>14098.8</v>
      </c>
      <c r="AD56" s="31">
        <v>0</v>
      </c>
      <c r="AE56" s="31">
        <v>0</v>
      </c>
      <c r="AF56" s="31">
        <v>0</v>
      </c>
      <c r="AG56" s="28" t="s">
        <v>53</v>
      </c>
      <c r="AH56" s="46">
        <f t="shared" si="41"/>
        <v>14098.8</v>
      </c>
      <c r="AI56" s="43"/>
      <c r="AJ56" s="28"/>
      <c r="AK56" s="337"/>
      <c r="AL56" s="43"/>
      <c r="AM56" s="44">
        <f t="shared" si="42"/>
        <v>0</v>
      </c>
      <c r="AN56" s="43"/>
      <c r="AO56" s="28">
        <f t="shared" si="43"/>
        <v>1</v>
      </c>
      <c r="AP56" s="43"/>
      <c r="AQ56" s="323">
        <f t="shared" si="44"/>
        <v>12794.661</v>
      </c>
      <c r="AR56" s="43"/>
      <c r="AS56" s="44">
        <f t="shared" si="45"/>
        <v>14098.8</v>
      </c>
    </row>
    <row r="57" spans="1:45" s="350" customFormat="1" x14ac:dyDescent="0.25">
      <c r="A57" s="336" t="s">
        <v>66</v>
      </c>
      <c r="B57" s="334"/>
      <c r="C57" s="349" t="s">
        <v>369</v>
      </c>
      <c r="D57" s="349"/>
      <c r="E57" s="334"/>
      <c r="F57" s="334"/>
      <c r="G57" s="335"/>
      <c r="H57" s="335"/>
      <c r="I57" s="334"/>
      <c r="J57" s="334"/>
      <c r="K57" s="334"/>
      <c r="L57" s="334"/>
      <c r="M57" s="334"/>
      <c r="N57" s="334"/>
      <c r="O57" s="334"/>
      <c r="P57" s="334"/>
      <c r="Q57" s="334"/>
      <c r="R57" s="334"/>
      <c r="S57" s="334"/>
      <c r="T57" s="334"/>
      <c r="U57" s="336"/>
      <c r="V57" s="336"/>
      <c r="W57" s="334"/>
      <c r="X57" s="334"/>
      <c r="Y57" s="334"/>
      <c r="Z57" s="334"/>
      <c r="AA57" s="334"/>
      <c r="AB57" s="334"/>
      <c r="AC57" s="334"/>
      <c r="AD57" s="334"/>
      <c r="AE57" s="334"/>
      <c r="AF57" s="334"/>
      <c r="AG57" s="334"/>
      <c r="AH57" s="334"/>
      <c r="AI57" s="334"/>
      <c r="AJ57" s="334"/>
      <c r="AK57" s="334"/>
      <c r="AL57" s="334"/>
      <c r="AM57" s="335"/>
      <c r="AN57" s="334"/>
      <c r="AO57" s="336"/>
      <c r="AP57" s="334"/>
      <c r="AQ57" s="334"/>
      <c r="AR57" s="334"/>
      <c r="AS57" s="334"/>
    </row>
    <row r="58" spans="1:45" s="351" customFormat="1" x14ac:dyDescent="0.25">
      <c r="A58" s="348" t="s">
        <v>66</v>
      </c>
      <c r="B58" s="346"/>
      <c r="C58" s="346" t="s">
        <v>368</v>
      </c>
      <c r="D58" s="346"/>
      <c r="E58" s="346"/>
      <c r="F58" s="346"/>
      <c r="G58" s="347"/>
      <c r="H58" s="347"/>
      <c r="I58" s="346"/>
      <c r="J58" s="346"/>
      <c r="K58" s="346"/>
      <c r="L58" s="346"/>
      <c r="M58" s="346"/>
      <c r="N58" s="346"/>
      <c r="O58" s="346"/>
      <c r="P58" s="346"/>
      <c r="Q58" s="346"/>
      <c r="R58" s="346"/>
      <c r="S58" s="346"/>
      <c r="T58" s="346"/>
      <c r="U58" s="348"/>
      <c r="V58" s="348"/>
      <c r="W58" s="346"/>
      <c r="X58" s="346"/>
      <c r="Y58" s="346"/>
      <c r="Z58" s="346"/>
      <c r="AA58" s="346"/>
      <c r="AB58" s="346"/>
      <c r="AC58" s="346"/>
      <c r="AD58" s="346"/>
      <c r="AE58" s="346"/>
      <c r="AF58" s="346"/>
      <c r="AG58" s="346"/>
      <c r="AH58" s="346"/>
      <c r="AI58" s="346"/>
      <c r="AJ58" s="346"/>
      <c r="AK58" s="346"/>
      <c r="AL58" s="346"/>
      <c r="AM58" s="347"/>
      <c r="AN58" s="346"/>
      <c r="AO58" s="348"/>
      <c r="AP58" s="346"/>
      <c r="AQ58" s="346"/>
      <c r="AR58" s="346"/>
      <c r="AS58" s="346"/>
    </row>
    <row r="59" spans="1:45" x14ac:dyDescent="0.25">
      <c r="A59" s="28"/>
      <c r="B59" s="43"/>
      <c r="C59" s="43"/>
      <c r="D59" s="43" t="s">
        <v>278</v>
      </c>
      <c r="E59" s="43"/>
      <c r="F59" s="43"/>
      <c r="G59" s="46">
        <f t="shared" ref="G59:G119" si="46">AC59*(1-AD59)</f>
        <v>0</v>
      </c>
      <c r="H59" s="46">
        <f t="shared" ref="H59:H119" si="47">AC59*(1-AD59-pis_naocum-cofins_naocum)</f>
        <v>0</v>
      </c>
      <c r="I59" s="28"/>
      <c r="J59" s="337"/>
      <c r="K59" s="46" t="str">
        <f t="shared" ref="K59:K119" si="48">IFERROR(G59*J59*VLOOKUP(I59,tbl_cambio,2,FALSE),"")</f>
        <v/>
      </c>
      <c r="L59" s="46" t="str">
        <f t="shared" ref="L59:L119" si="49">IFERROR(H59*J59*VLOOKUP(I59,tbl_cambio,2,FALSE),"")</f>
        <v/>
      </c>
      <c r="M59" s="338">
        <f t="shared" ref="M59:M119" si="50">SUMIF(col_item,"="&amp;E59,col_qtd)</f>
        <v>0</v>
      </c>
      <c r="N59" s="43"/>
      <c r="O59" s="339"/>
      <c r="P59" s="340" t="str">
        <f>IFERROR(VLOOKUP(O59,NCM!$A$3:$D$99,COLUMN(head_porNCM_IPI)-COLUMN(head_porNCM_NCM)+1,FALSE),"")</f>
        <v/>
      </c>
      <c r="Q59" s="43"/>
      <c r="R59" s="78"/>
      <c r="S59" s="341"/>
      <c r="T59" s="28"/>
      <c r="U59" s="28"/>
      <c r="V59" s="28"/>
      <c r="W59" s="43"/>
      <c r="X59" s="342">
        <f t="shared" ref="X59:X119" si="51">(AC59-Y59)*AD59</f>
        <v>0</v>
      </c>
      <c r="Y59" s="342">
        <f t="shared" ref="Y59:Y119" si="52">AC59-AC59/(1+AE59)</f>
        <v>0</v>
      </c>
      <c r="Z59" s="46">
        <f t="shared" ref="Z59:Z119" si="53">(AC59-Y59)*pis_naocum</f>
        <v>0</v>
      </c>
      <c r="AA59" s="46">
        <f t="shared" ref="AA59:AA119" si="54">(AC59-Y59)*cofins_naocum</f>
        <v>0</v>
      </c>
      <c r="AB59" s="43"/>
      <c r="AC59" s="44"/>
      <c r="AD59" s="31"/>
      <c r="AE59" s="31"/>
      <c r="AF59" s="31"/>
      <c r="AG59" s="28"/>
      <c r="AH59" s="46">
        <f t="shared" ref="AH59:AH119" si="55">AC59*(1+AE59)</f>
        <v>0</v>
      </c>
      <c r="AI59" s="43"/>
      <c r="AJ59" s="28"/>
      <c r="AK59" s="337"/>
      <c r="AL59" s="43"/>
      <c r="AM59" s="44">
        <f t="shared" ref="AM59:AM119" si="56">IF(AND(AJ59&lt;&gt;"",AK59&gt;0),AQ59*(VLOOKUP(AJ59,tbl_cambio,2,FALSE)/AK59-1),0)</f>
        <v>0</v>
      </c>
      <c r="AN59" s="43"/>
      <c r="AO59" s="28">
        <f t="shared" ref="AO59:AO119" si="57">IF(T59="Sim",ROUNDUP(M59*sobress_pc,0),0)</f>
        <v>0</v>
      </c>
      <c r="AP59" s="43"/>
      <c r="AQ59" s="323">
        <f t="shared" ref="AQ59:AQ119" si="58">SUMIFS(col_custoTotal,col_fatdir,"Não",col_item,E59)</f>
        <v>0</v>
      </c>
      <c r="AR59" s="43"/>
      <c r="AS59" s="44">
        <f t="shared" ref="AS59:AS119" si="59">IFERROR(AH59*VLOOKUP(I59,tbl_cambio,2,FALSE),0)</f>
        <v>0</v>
      </c>
    </row>
    <row r="60" spans="1:45" x14ac:dyDescent="0.25">
      <c r="A60" s="28"/>
      <c r="B60" s="43"/>
      <c r="C60" s="43"/>
      <c r="D60" s="43" t="s">
        <v>2382</v>
      </c>
      <c r="E60" s="43"/>
      <c r="F60" s="43"/>
      <c r="G60" s="46">
        <f t="shared" si="46"/>
        <v>0</v>
      </c>
      <c r="H60" s="46">
        <f t="shared" si="47"/>
        <v>0</v>
      </c>
      <c r="I60" s="28"/>
      <c r="J60" s="337"/>
      <c r="K60" s="46" t="str">
        <f t="shared" si="48"/>
        <v/>
      </c>
      <c r="L60" s="46" t="str">
        <f t="shared" si="49"/>
        <v/>
      </c>
      <c r="M60" s="338">
        <f t="shared" si="50"/>
        <v>0</v>
      </c>
      <c r="N60" s="43"/>
      <c r="O60" s="339"/>
      <c r="P60" s="340" t="str">
        <f>IFERROR(VLOOKUP(O60,NCM!$A$3:$D$99,COLUMN(head_porNCM_IPI)-COLUMN(head_porNCM_NCM)+1,FALSE),"")</f>
        <v/>
      </c>
      <c r="Q60" s="43"/>
      <c r="R60" s="78"/>
      <c r="S60" s="341"/>
      <c r="T60" s="28"/>
      <c r="U60" s="28"/>
      <c r="V60" s="28"/>
      <c r="W60" s="43"/>
      <c r="X60" s="342">
        <f t="shared" si="51"/>
        <v>0</v>
      </c>
      <c r="Y60" s="342">
        <f t="shared" si="52"/>
        <v>0</v>
      </c>
      <c r="Z60" s="46">
        <f t="shared" si="53"/>
        <v>0</v>
      </c>
      <c r="AA60" s="46">
        <f t="shared" si="54"/>
        <v>0</v>
      </c>
      <c r="AB60" s="43"/>
      <c r="AC60" s="44">
        <v>0</v>
      </c>
      <c r="AD60" s="31"/>
      <c r="AE60" s="31"/>
      <c r="AF60" s="31"/>
      <c r="AG60" s="28"/>
      <c r="AH60" s="46">
        <f t="shared" si="55"/>
        <v>0</v>
      </c>
      <c r="AI60" s="43"/>
      <c r="AJ60" s="28"/>
      <c r="AK60" s="337"/>
      <c r="AL60" s="43"/>
      <c r="AM60" s="44">
        <f t="shared" si="56"/>
        <v>0</v>
      </c>
      <c r="AN60" s="43"/>
      <c r="AO60" s="28">
        <f t="shared" si="57"/>
        <v>0</v>
      </c>
      <c r="AP60" s="43"/>
      <c r="AQ60" s="323">
        <f t="shared" si="58"/>
        <v>0</v>
      </c>
      <c r="AR60" s="43"/>
      <c r="AS60" s="44">
        <f t="shared" si="59"/>
        <v>0</v>
      </c>
    </row>
    <row r="61" spans="1:45" x14ac:dyDescent="0.25">
      <c r="A61" s="28"/>
      <c r="B61" s="43"/>
      <c r="C61" s="43" t="s">
        <v>1041</v>
      </c>
      <c r="D61" s="43"/>
      <c r="E61" s="43" t="s">
        <v>682</v>
      </c>
      <c r="F61" s="43" t="s">
        <v>2383</v>
      </c>
      <c r="G61" s="46">
        <f t="shared" si="46"/>
        <v>16706.174110476186</v>
      </c>
      <c r="H61" s="46">
        <f t="shared" si="47"/>
        <v>14950.127399999999</v>
      </c>
      <c r="I61" s="28" t="s">
        <v>262</v>
      </c>
      <c r="J61" s="337">
        <v>1</v>
      </c>
      <c r="K61" s="46">
        <f t="shared" si="48"/>
        <v>16706.174110476186</v>
      </c>
      <c r="L61" s="46">
        <f t="shared" si="49"/>
        <v>14950.127399999999</v>
      </c>
      <c r="M61" s="338">
        <f t="shared" si="50"/>
        <v>0</v>
      </c>
      <c r="N61" s="43" t="s">
        <v>37</v>
      </c>
      <c r="O61" s="339">
        <v>85372090</v>
      </c>
      <c r="P61" s="340">
        <f>IFERROR(VLOOKUP(O61,NCM!$A$3:$D$99,COLUMN(head_porNCM_IPI)-COLUMN(head_porNCM_NCM)+1,FALSE),"")</f>
        <v>0</v>
      </c>
      <c r="Q61" s="43" t="s">
        <v>1109</v>
      </c>
      <c r="R61" s="78" t="s">
        <v>209</v>
      </c>
      <c r="S61" s="341"/>
      <c r="T61" s="28" t="s">
        <v>53</v>
      </c>
      <c r="U61" s="28"/>
      <c r="V61" s="28"/>
      <c r="W61" s="43"/>
      <c r="X61" s="342">
        <f t="shared" si="51"/>
        <v>2278.1146514285711</v>
      </c>
      <c r="Y61" s="342">
        <f t="shared" si="52"/>
        <v>0</v>
      </c>
      <c r="Z61" s="46">
        <f t="shared" si="53"/>
        <v>313.24076457142854</v>
      </c>
      <c r="AA61" s="46">
        <f t="shared" si="54"/>
        <v>1442.8059459047615</v>
      </c>
      <c r="AB61" s="43"/>
      <c r="AC61" s="44">
        <v>18984.288761904758</v>
      </c>
      <c r="AD61" s="31">
        <v>0.12</v>
      </c>
      <c r="AE61" s="31">
        <v>0</v>
      </c>
      <c r="AF61" s="31">
        <v>0</v>
      </c>
      <c r="AG61" s="28" t="s">
        <v>53</v>
      </c>
      <c r="AH61" s="46">
        <f t="shared" si="55"/>
        <v>18984.288761904758</v>
      </c>
      <c r="AI61" s="43"/>
      <c r="AJ61" s="28"/>
      <c r="AK61" s="337"/>
      <c r="AL61" s="43"/>
      <c r="AM61" s="44">
        <f t="shared" si="56"/>
        <v>0</v>
      </c>
      <c r="AN61" s="43"/>
      <c r="AO61" s="28">
        <f t="shared" si="57"/>
        <v>0</v>
      </c>
      <c r="AP61" s="43"/>
      <c r="AQ61" s="323">
        <f t="shared" si="58"/>
        <v>0</v>
      </c>
      <c r="AR61" s="43"/>
      <c r="AS61" s="44">
        <f t="shared" si="59"/>
        <v>18984.288761904758</v>
      </c>
    </row>
    <row r="62" spans="1:45" x14ac:dyDescent="0.25">
      <c r="A62" s="28"/>
      <c r="B62" s="43"/>
      <c r="C62" s="43" t="s">
        <v>1041</v>
      </c>
      <c r="D62" s="43"/>
      <c r="E62" s="43" t="s">
        <v>683</v>
      </c>
      <c r="F62" s="43" t="s">
        <v>2384</v>
      </c>
      <c r="G62" s="46">
        <f t="shared" si="46"/>
        <v>11658.142110476188</v>
      </c>
      <c r="H62" s="46">
        <f t="shared" si="47"/>
        <v>10432.7124</v>
      </c>
      <c r="I62" s="28" t="s">
        <v>262</v>
      </c>
      <c r="J62" s="337">
        <v>1</v>
      </c>
      <c r="K62" s="46">
        <f t="shared" si="48"/>
        <v>11658.142110476188</v>
      </c>
      <c r="L62" s="46">
        <f t="shared" si="49"/>
        <v>10432.7124</v>
      </c>
      <c r="M62" s="338">
        <f t="shared" si="50"/>
        <v>0</v>
      </c>
      <c r="N62" s="43" t="s">
        <v>37</v>
      </c>
      <c r="O62" s="339">
        <v>85372090</v>
      </c>
      <c r="P62" s="340">
        <f>IFERROR(VLOOKUP(O62,NCM!$A$3:$D$99,COLUMN(head_porNCM_IPI)-COLUMN(head_porNCM_NCM)+1,FALSE),"")</f>
        <v>0</v>
      </c>
      <c r="Q62" s="43" t="s">
        <v>1109</v>
      </c>
      <c r="R62" s="78" t="s">
        <v>209</v>
      </c>
      <c r="S62" s="341"/>
      <c r="T62" s="28" t="s">
        <v>53</v>
      </c>
      <c r="U62" s="28"/>
      <c r="V62" s="28"/>
      <c r="W62" s="43"/>
      <c r="X62" s="342">
        <f t="shared" si="51"/>
        <v>1589.7466514285711</v>
      </c>
      <c r="Y62" s="342">
        <f t="shared" si="52"/>
        <v>0</v>
      </c>
      <c r="Z62" s="46">
        <f t="shared" si="53"/>
        <v>218.59016457142855</v>
      </c>
      <c r="AA62" s="46">
        <f t="shared" si="54"/>
        <v>1006.8395459047617</v>
      </c>
      <c r="AB62" s="43"/>
      <c r="AC62" s="44">
        <v>13247.88876190476</v>
      </c>
      <c r="AD62" s="31">
        <v>0.12</v>
      </c>
      <c r="AE62" s="31">
        <v>0</v>
      </c>
      <c r="AF62" s="31">
        <v>0</v>
      </c>
      <c r="AG62" s="28" t="s">
        <v>53</v>
      </c>
      <c r="AH62" s="46">
        <f t="shared" si="55"/>
        <v>13247.88876190476</v>
      </c>
      <c r="AI62" s="43"/>
      <c r="AJ62" s="28"/>
      <c r="AK62" s="337"/>
      <c r="AL62" s="43"/>
      <c r="AM62" s="44">
        <f t="shared" si="56"/>
        <v>0</v>
      </c>
      <c r="AN62" s="43"/>
      <c r="AO62" s="28">
        <f t="shared" si="57"/>
        <v>0</v>
      </c>
      <c r="AP62" s="43"/>
      <c r="AQ62" s="323">
        <f t="shared" si="58"/>
        <v>0</v>
      </c>
      <c r="AR62" s="43"/>
      <c r="AS62" s="44">
        <f t="shared" si="59"/>
        <v>13247.88876190476</v>
      </c>
    </row>
    <row r="63" spans="1:45" x14ac:dyDescent="0.25">
      <c r="A63" s="28"/>
      <c r="B63" s="43"/>
      <c r="C63" s="43"/>
      <c r="D63" s="43" t="s">
        <v>2385</v>
      </c>
      <c r="E63" s="43"/>
      <c r="F63" s="43"/>
      <c r="G63" s="46">
        <f t="shared" si="46"/>
        <v>0</v>
      </c>
      <c r="H63" s="46">
        <f t="shared" si="47"/>
        <v>0</v>
      </c>
      <c r="I63" s="28"/>
      <c r="J63" s="337"/>
      <c r="K63" s="46" t="str">
        <f t="shared" si="48"/>
        <v/>
      </c>
      <c r="L63" s="46" t="str">
        <f t="shared" si="49"/>
        <v/>
      </c>
      <c r="M63" s="338">
        <f t="shared" si="50"/>
        <v>0</v>
      </c>
      <c r="N63" s="43"/>
      <c r="O63" s="339"/>
      <c r="P63" s="340" t="str">
        <f>IFERROR(VLOOKUP(O63,NCM!$A$3:$D$99,COLUMN(head_porNCM_IPI)-COLUMN(head_porNCM_NCM)+1,FALSE),"")</f>
        <v/>
      </c>
      <c r="Q63" s="43"/>
      <c r="R63" s="78"/>
      <c r="S63" s="341"/>
      <c r="T63" s="28"/>
      <c r="U63" s="28"/>
      <c r="V63" s="28"/>
      <c r="W63" s="43"/>
      <c r="X63" s="342">
        <f t="shared" si="51"/>
        <v>0</v>
      </c>
      <c r="Y63" s="342">
        <f t="shared" si="52"/>
        <v>0</v>
      </c>
      <c r="Z63" s="46">
        <f t="shared" si="53"/>
        <v>0</v>
      </c>
      <c r="AA63" s="46">
        <f t="shared" si="54"/>
        <v>0</v>
      </c>
      <c r="AB63" s="43"/>
      <c r="AC63" s="44">
        <v>0</v>
      </c>
      <c r="AD63" s="31"/>
      <c r="AE63" s="31"/>
      <c r="AF63" s="31"/>
      <c r="AG63" s="28"/>
      <c r="AH63" s="46">
        <f t="shared" si="55"/>
        <v>0</v>
      </c>
      <c r="AI63" s="43"/>
      <c r="AJ63" s="28"/>
      <c r="AK63" s="337"/>
      <c r="AL63" s="43"/>
      <c r="AM63" s="44">
        <f t="shared" si="56"/>
        <v>0</v>
      </c>
      <c r="AN63" s="43"/>
      <c r="AO63" s="28">
        <f t="shared" si="57"/>
        <v>0</v>
      </c>
      <c r="AP63" s="43"/>
      <c r="AQ63" s="323">
        <f t="shared" si="58"/>
        <v>0</v>
      </c>
      <c r="AR63" s="43"/>
      <c r="AS63" s="44">
        <f t="shared" si="59"/>
        <v>0</v>
      </c>
    </row>
    <row r="64" spans="1:45" x14ac:dyDescent="0.25">
      <c r="A64" s="28"/>
      <c r="B64" s="43"/>
      <c r="C64" s="43" t="s">
        <v>1041</v>
      </c>
      <c r="D64" s="43"/>
      <c r="E64" s="43" t="s">
        <v>2386</v>
      </c>
      <c r="F64" s="43" t="s">
        <v>2387</v>
      </c>
      <c r="G64" s="46">
        <f t="shared" si="46"/>
        <v>13687.137158095236</v>
      </c>
      <c r="H64" s="46">
        <f t="shared" si="47"/>
        <v>12248.4324</v>
      </c>
      <c r="I64" s="28" t="s">
        <v>262</v>
      </c>
      <c r="J64" s="337">
        <v>1</v>
      </c>
      <c r="K64" s="46">
        <f t="shared" si="48"/>
        <v>13687.137158095236</v>
      </c>
      <c r="L64" s="46">
        <f t="shared" si="49"/>
        <v>12248.4324</v>
      </c>
      <c r="M64" s="338">
        <f t="shared" si="50"/>
        <v>0</v>
      </c>
      <c r="N64" s="43" t="s">
        <v>37</v>
      </c>
      <c r="O64" s="339">
        <v>85372090</v>
      </c>
      <c r="P64" s="340">
        <f>IFERROR(VLOOKUP(O64,NCM!$A$3:$D$99,COLUMN(head_porNCM_IPI)-COLUMN(head_porNCM_NCM)+1,FALSE),"")</f>
        <v>0</v>
      </c>
      <c r="Q64" s="43" t="s">
        <v>1109</v>
      </c>
      <c r="R64" s="78" t="s">
        <v>209</v>
      </c>
      <c r="S64" s="341"/>
      <c r="T64" s="28" t="s">
        <v>53</v>
      </c>
      <c r="U64" s="28" t="s">
        <v>2738</v>
      </c>
      <c r="V64" s="548">
        <v>45124</v>
      </c>
      <c r="W64" s="43"/>
      <c r="X64" s="342">
        <f t="shared" si="51"/>
        <v>1866.4277942857138</v>
      </c>
      <c r="Y64" s="342">
        <f t="shared" si="52"/>
        <v>0</v>
      </c>
      <c r="Z64" s="46">
        <f t="shared" si="53"/>
        <v>256.63382171428566</v>
      </c>
      <c r="AA64" s="46">
        <f t="shared" si="54"/>
        <v>1182.0709363809522</v>
      </c>
      <c r="AB64" s="43"/>
      <c r="AC64" s="44">
        <v>15553.56495238095</v>
      </c>
      <c r="AD64" s="31">
        <v>0.12</v>
      </c>
      <c r="AE64" s="31">
        <v>0</v>
      </c>
      <c r="AF64" s="31">
        <v>0</v>
      </c>
      <c r="AG64" s="28" t="s">
        <v>53</v>
      </c>
      <c r="AH64" s="46">
        <f t="shared" si="55"/>
        <v>15553.56495238095</v>
      </c>
      <c r="AI64" s="43"/>
      <c r="AJ64" s="28"/>
      <c r="AK64" s="337"/>
      <c r="AL64" s="43"/>
      <c r="AM64" s="44">
        <f t="shared" si="56"/>
        <v>0</v>
      </c>
      <c r="AN64" s="43"/>
      <c r="AO64" s="28">
        <f t="shared" si="57"/>
        <v>0</v>
      </c>
      <c r="AP64" s="43"/>
      <c r="AQ64" s="323">
        <f t="shared" si="58"/>
        <v>0</v>
      </c>
      <c r="AR64" s="43"/>
      <c r="AS64" s="44">
        <f t="shared" si="59"/>
        <v>15553.56495238095</v>
      </c>
    </row>
    <row r="65" spans="1:45" x14ac:dyDescent="0.25">
      <c r="A65" s="28"/>
      <c r="B65" s="43"/>
      <c r="C65" s="43" t="s">
        <v>1041</v>
      </c>
      <c r="D65" s="43"/>
      <c r="E65" s="43" t="s">
        <v>2388</v>
      </c>
      <c r="F65" s="43" t="s">
        <v>2387</v>
      </c>
      <c r="G65" s="46">
        <f t="shared" si="46"/>
        <v>16036.619824761903</v>
      </c>
      <c r="H65" s="46">
        <f t="shared" si="47"/>
        <v>14350.9524</v>
      </c>
      <c r="I65" s="28" t="s">
        <v>262</v>
      </c>
      <c r="J65" s="337">
        <v>1</v>
      </c>
      <c r="K65" s="46">
        <f t="shared" si="48"/>
        <v>16036.619824761903</v>
      </c>
      <c r="L65" s="46">
        <f t="shared" si="49"/>
        <v>14350.9524</v>
      </c>
      <c r="M65" s="338">
        <f t="shared" si="50"/>
        <v>0</v>
      </c>
      <c r="N65" s="43" t="s">
        <v>37</v>
      </c>
      <c r="O65" s="339">
        <v>85372090</v>
      </c>
      <c r="P65" s="340">
        <f>IFERROR(VLOOKUP(O65,NCM!$A$3:$D$99,COLUMN(head_porNCM_IPI)-COLUMN(head_porNCM_NCM)+1,FALSE),"")</f>
        <v>0</v>
      </c>
      <c r="Q65" s="43" t="s">
        <v>1109</v>
      </c>
      <c r="R65" s="78" t="s">
        <v>209</v>
      </c>
      <c r="S65" s="341"/>
      <c r="T65" s="28" t="s">
        <v>53</v>
      </c>
      <c r="U65" s="28" t="s">
        <v>2738</v>
      </c>
      <c r="V65" s="548">
        <v>45124</v>
      </c>
      <c r="W65" s="43"/>
      <c r="X65" s="342">
        <f t="shared" si="51"/>
        <v>2186.8117942857139</v>
      </c>
      <c r="Y65" s="342">
        <f t="shared" si="52"/>
        <v>0</v>
      </c>
      <c r="Z65" s="46">
        <f t="shared" si="53"/>
        <v>300.68662171428571</v>
      </c>
      <c r="AA65" s="46">
        <f t="shared" si="54"/>
        <v>1384.9808030476188</v>
      </c>
      <c r="AB65" s="43"/>
      <c r="AC65" s="44">
        <v>18223.431619047617</v>
      </c>
      <c r="AD65" s="31">
        <v>0.12</v>
      </c>
      <c r="AE65" s="31">
        <v>0</v>
      </c>
      <c r="AF65" s="31">
        <v>0</v>
      </c>
      <c r="AG65" s="28" t="s">
        <v>53</v>
      </c>
      <c r="AH65" s="46">
        <f t="shared" si="55"/>
        <v>18223.431619047617</v>
      </c>
      <c r="AI65" s="43"/>
      <c r="AJ65" s="28"/>
      <c r="AK65" s="337"/>
      <c r="AL65" s="43"/>
      <c r="AM65" s="44">
        <f t="shared" si="56"/>
        <v>0</v>
      </c>
      <c r="AN65" s="43"/>
      <c r="AO65" s="28">
        <f t="shared" si="57"/>
        <v>0</v>
      </c>
      <c r="AP65" s="43"/>
      <c r="AQ65" s="323">
        <f t="shared" si="58"/>
        <v>0</v>
      </c>
      <c r="AR65" s="43"/>
      <c r="AS65" s="44">
        <f t="shared" si="59"/>
        <v>18223.431619047617</v>
      </c>
    </row>
    <row r="66" spans="1:45" x14ac:dyDescent="0.25">
      <c r="A66" s="28"/>
      <c r="B66" s="43"/>
      <c r="C66" s="43" t="s">
        <v>1041</v>
      </c>
      <c r="D66" s="43"/>
      <c r="E66" s="43" t="s">
        <v>2389</v>
      </c>
      <c r="F66" s="43" t="s">
        <v>2387</v>
      </c>
      <c r="G66" s="46">
        <f t="shared" si="46"/>
        <v>16649.636205714283</v>
      </c>
      <c r="H66" s="46">
        <f t="shared" si="47"/>
        <v>14899.532399999998</v>
      </c>
      <c r="I66" s="28" t="s">
        <v>262</v>
      </c>
      <c r="J66" s="337">
        <v>1</v>
      </c>
      <c r="K66" s="46">
        <f t="shared" si="48"/>
        <v>16649.636205714283</v>
      </c>
      <c r="L66" s="46">
        <f t="shared" si="49"/>
        <v>14899.532399999998</v>
      </c>
      <c r="M66" s="338">
        <f t="shared" si="50"/>
        <v>0</v>
      </c>
      <c r="N66" s="43" t="s">
        <v>37</v>
      </c>
      <c r="O66" s="339">
        <v>85372090</v>
      </c>
      <c r="P66" s="340">
        <f>IFERROR(VLOOKUP(O66,NCM!$A$3:$D$99,COLUMN(head_porNCM_IPI)-COLUMN(head_porNCM_NCM)+1,FALSE),"")</f>
        <v>0</v>
      </c>
      <c r="Q66" s="43" t="s">
        <v>1109</v>
      </c>
      <c r="R66" s="78" t="s">
        <v>209</v>
      </c>
      <c r="S66" s="341"/>
      <c r="T66" s="28" t="s">
        <v>53</v>
      </c>
      <c r="U66" s="28" t="s">
        <v>2738</v>
      </c>
      <c r="V66" s="548">
        <v>45124</v>
      </c>
      <c r="W66" s="43"/>
      <c r="X66" s="342">
        <f t="shared" si="51"/>
        <v>2270.4049371428564</v>
      </c>
      <c r="Y66" s="342">
        <f t="shared" si="52"/>
        <v>0</v>
      </c>
      <c r="Z66" s="46">
        <f t="shared" si="53"/>
        <v>312.18067885714282</v>
      </c>
      <c r="AA66" s="46">
        <f t="shared" si="54"/>
        <v>1437.9231268571425</v>
      </c>
      <c r="AB66" s="43"/>
      <c r="AC66" s="44">
        <v>18920.041142857139</v>
      </c>
      <c r="AD66" s="31">
        <v>0.12</v>
      </c>
      <c r="AE66" s="31">
        <v>0</v>
      </c>
      <c r="AF66" s="31">
        <v>0</v>
      </c>
      <c r="AG66" s="28" t="s">
        <v>53</v>
      </c>
      <c r="AH66" s="46">
        <f t="shared" si="55"/>
        <v>18920.041142857139</v>
      </c>
      <c r="AI66" s="43"/>
      <c r="AJ66" s="28"/>
      <c r="AK66" s="337"/>
      <c r="AL66" s="43"/>
      <c r="AM66" s="44">
        <f t="shared" si="56"/>
        <v>0</v>
      </c>
      <c r="AN66" s="43"/>
      <c r="AO66" s="28">
        <f t="shared" si="57"/>
        <v>0</v>
      </c>
      <c r="AP66" s="43"/>
      <c r="AQ66" s="323">
        <f t="shared" si="58"/>
        <v>0</v>
      </c>
      <c r="AR66" s="43"/>
      <c r="AS66" s="44">
        <f t="shared" si="59"/>
        <v>18920.041142857139</v>
      </c>
    </row>
    <row r="67" spans="1:45" x14ac:dyDescent="0.25">
      <c r="A67" s="28"/>
      <c r="B67" s="43"/>
      <c r="C67" s="43" t="s">
        <v>1041</v>
      </c>
      <c r="D67" s="43"/>
      <c r="E67" s="43" t="s">
        <v>2390</v>
      </c>
      <c r="F67" s="43" t="s">
        <v>2387</v>
      </c>
      <c r="G67" s="46">
        <f t="shared" si="46"/>
        <v>20451.303253333332</v>
      </c>
      <c r="H67" s="46">
        <f t="shared" si="47"/>
        <v>18301.592400000001</v>
      </c>
      <c r="I67" s="28" t="s">
        <v>262</v>
      </c>
      <c r="J67" s="337">
        <v>1</v>
      </c>
      <c r="K67" s="46">
        <f t="shared" si="48"/>
        <v>20451.303253333332</v>
      </c>
      <c r="L67" s="46">
        <f t="shared" si="49"/>
        <v>18301.592400000001</v>
      </c>
      <c r="M67" s="338">
        <f t="shared" si="50"/>
        <v>0</v>
      </c>
      <c r="N67" s="43" t="s">
        <v>37</v>
      </c>
      <c r="O67" s="339">
        <v>85372090</v>
      </c>
      <c r="P67" s="340">
        <f>IFERROR(VLOOKUP(O67,NCM!$A$3:$D$99,COLUMN(head_porNCM_IPI)-COLUMN(head_porNCM_NCM)+1,FALSE),"")</f>
        <v>0</v>
      </c>
      <c r="Q67" s="43" t="s">
        <v>1109</v>
      </c>
      <c r="R67" s="78" t="s">
        <v>209</v>
      </c>
      <c r="S67" s="341"/>
      <c r="T67" s="28" t="s">
        <v>53</v>
      </c>
      <c r="U67" s="28" t="s">
        <v>2738</v>
      </c>
      <c r="V67" s="548">
        <v>45124</v>
      </c>
      <c r="W67" s="43"/>
      <c r="X67" s="342">
        <f t="shared" si="51"/>
        <v>2788.8140799999996</v>
      </c>
      <c r="Y67" s="342">
        <f t="shared" si="52"/>
        <v>0</v>
      </c>
      <c r="Z67" s="46">
        <f t="shared" si="53"/>
        <v>383.46193599999998</v>
      </c>
      <c r="AA67" s="46">
        <f t="shared" si="54"/>
        <v>1766.2489173333331</v>
      </c>
      <c r="AB67" s="43"/>
      <c r="AC67" s="44">
        <v>23240.117333333332</v>
      </c>
      <c r="AD67" s="31">
        <v>0.12</v>
      </c>
      <c r="AE67" s="31">
        <v>0</v>
      </c>
      <c r="AF67" s="31">
        <v>0</v>
      </c>
      <c r="AG67" s="28" t="s">
        <v>53</v>
      </c>
      <c r="AH67" s="46">
        <f t="shared" si="55"/>
        <v>23240.117333333332</v>
      </c>
      <c r="AI67" s="43"/>
      <c r="AJ67" s="28"/>
      <c r="AK67" s="337"/>
      <c r="AL67" s="43"/>
      <c r="AM67" s="44">
        <f t="shared" si="56"/>
        <v>0</v>
      </c>
      <c r="AN67" s="43"/>
      <c r="AO67" s="28">
        <f t="shared" si="57"/>
        <v>0</v>
      </c>
      <c r="AP67" s="43"/>
      <c r="AQ67" s="323">
        <f t="shared" si="58"/>
        <v>0</v>
      </c>
      <c r="AR67" s="43"/>
      <c r="AS67" s="44">
        <f t="shared" si="59"/>
        <v>23240.117333333332</v>
      </c>
    </row>
    <row r="68" spans="1:45" x14ac:dyDescent="0.25">
      <c r="A68" s="28"/>
      <c r="B68" s="43"/>
      <c r="C68" s="43" t="s">
        <v>1041</v>
      </c>
      <c r="D68" s="43"/>
      <c r="E68" s="43" t="s">
        <v>2391</v>
      </c>
      <c r="F68" s="43" t="s">
        <v>2392</v>
      </c>
      <c r="G68" s="46">
        <f t="shared" si="46"/>
        <v>11266.852205714285</v>
      </c>
      <c r="H68" s="46">
        <f t="shared" si="47"/>
        <v>10082.5524</v>
      </c>
      <c r="I68" s="28" t="s">
        <v>262</v>
      </c>
      <c r="J68" s="337">
        <v>1</v>
      </c>
      <c r="K68" s="46">
        <f t="shared" si="48"/>
        <v>11266.852205714285</v>
      </c>
      <c r="L68" s="46">
        <f t="shared" si="49"/>
        <v>10082.5524</v>
      </c>
      <c r="M68" s="338">
        <f t="shared" si="50"/>
        <v>0</v>
      </c>
      <c r="N68" s="43" t="s">
        <v>37</v>
      </c>
      <c r="O68" s="339">
        <v>85372090</v>
      </c>
      <c r="P68" s="340">
        <f>IFERROR(VLOOKUP(O68,NCM!$A$3:$D$99,COLUMN(head_porNCM_IPI)-COLUMN(head_porNCM_NCM)+1,FALSE),"")</f>
        <v>0</v>
      </c>
      <c r="Q68" s="43" t="s">
        <v>1109</v>
      </c>
      <c r="R68" s="78" t="s">
        <v>209</v>
      </c>
      <c r="S68" s="341"/>
      <c r="T68" s="28" t="s">
        <v>53</v>
      </c>
      <c r="U68" s="28" t="s">
        <v>2738</v>
      </c>
      <c r="V68" s="548">
        <v>45124</v>
      </c>
      <c r="W68" s="43"/>
      <c r="X68" s="342">
        <f t="shared" si="51"/>
        <v>1536.3889371428572</v>
      </c>
      <c r="Y68" s="342">
        <f t="shared" si="52"/>
        <v>0</v>
      </c>
      <c r="Z68" s="46">
        <f t="shared" si="53"/>
        <v>211.25347885714288</v>
      </c>
      <c r="AA68" s="46">
        <f t="shared" si="54"/>
        <v>973.04632685714284</v>
      </c>
      <c r="AB68" s="43"/>
      <c r="AC68" s="44">
        <v>12803.241142857143</v>
      </c>
      <c r="AD68" s="31">
        <v>0.12</v>
      </c>
      <c r="AE68" s="31">
        <v>0</v>
      </c>
      <c r="AF68" s="31">
        <v>0</v>
      </c>
      <c r="AG68" s="28" t="s">
        <v>53</v>
      </c>
      <c r="AH68" s="46">
        <f t="shared" si="55"/>
        <v>12803.241142857143</v>
      </c>
      <c r="AI68" s="43"/>
      <c r="AJ68" s="28"/>
      <c r="AK68" s="337"/>
      <c r="AL68" s="43"/>
      <c r="AM68" s="44">
        <f t="shared" si="56"/>
        <v>0</v>
      </c>
      <c r="AN68" s="43"/>
      <c r="AO68" s="28">
        <f t="shared" si="57"/>
        <v>0</v>
      </c>
      <c r="AP68" s="43"/>
      <c r="AQ68" s="323">
        <f t="shared" si="58"/>
        <v>0</v>
      </c>
      <c r="AR68" s="43"/>
      <c r="AS68" s="44">
        <f t="shared" si="59"/>
        <v>12803.241142857143</v>
      </c>
    </row>
    <row r="69" spans="1:45" x14ac:dyDescent="0.25">
      <c r="A69" s="28"/>
      <c r="B69" s="43"/>
      <c r="C69" s="43" t="s">
        <v>1041</v>
      </c>
      <c r="D69" s="43"/>
      <c r="E69" s="43" t="s">
        <v>2393</v>
      </c>
      <c r="F69" s="43" t="s">
        <v>2392</v>
      </c>
      <c r="G69" s="46">
        <f t="shared" si="46"/>
        <v>12049.432015238093</v>
      </c>
      <c r="H69" s="46">
        <f t="shared" si="47"/>
        <v>10782.8724</v>
      </c>
      <c r="I69" s="28" t="s">
        <v>262</v>
      </c>
      <c r="J69" s="337">
        <v>1</v>
      </c>
      <c r="K69" s="46">
        <f t="shared" si="48"/>
        <v>12049.432015238093</v>
      </c>
      <c r="L69" s="46">
        <f t="shared" si="49"/>
        <v>10782.8724</v>
      </c>
      <c r="M69" s="338">
        <f t="shared" si="50"/>
        <v>0</v>
      </c>
      <c r="N69" s="43" t="s">
        <v>37</v>
      </c>
      <c r="O69" s="339">
        <v>85372090</v>
      </c>
      <c r="P69" s="340">
        <f>IFERROR(VLOOKUP(O69,NCM!$A$3:$D$99,COLUMN(head_porNCM_IPI)-COLUMN(head_porNCM_NCM)+1,FALSE),"")</f>
        <v>0</v>
      </c>
      <c r="Q69" s="43" t="s">
        <v>1109</v>
      </c>
      <c r="R69" s="78" t="s">
        <v>209</v>
      </c>
      <c r="S69" s="341"/>
      <c r="T69" s="28" t="s">
        <v>53</v>
      </c>
      <c r="U69" s="28" t="s">
        <v>2738</v>
      </c>
      <c r="V69" s="548">
        <v>45124</v>
      </c>
      <c r="W69" s="43"/>
      <c r="X69" s="342">
        <f t="shared" si="51"/>
        <v>1643.1043657142854</v>
      </c>
      <c r="Y69" s="342">
        <f t="shared" si="52"/>
        <v>0</v>
      </c>
      <c r="Z69" s="46">
        <f t="shared" si="53"/>
        <v>225.92685028571427</v>
      </c>
      <c r="AA69" s="46">
        <f t="shared" si="54"/>
        <v>1040.6327649523807</v>
      </c>
      <c r="AB69" s="43"/>
      <c r="AC69" s="44">
        <v>13692.536380952379</v>
      </c>
      <c r="AD69" s="31">
        <v>0.12</v>
      </c>
      <c r="AE69" s="31">
        <v>0</v>
      </c>
      <c r="AF69" s="31">
        <v>0</v>
      </c>
      <c r="AG69" s="28" t="s">
        <v>53</v>
      </c>
      <c r="AH69" s="46">
        <f t="shared" si="55"/>
        <v>13692.536380952379</v>
      </c>
      <c r="AI69" s="43"/>
      <c r="AJ69" s="28"/>
      <c r="AK69" s="337"/>
      <c r="AL69" s="43"/>
      <c r="AM69" s="44">
        <f t="shared" si="56"/>
        <v>0</v>
      </c>
      <c r="AN69" s="43"/>
      <c r="AO69" s="28">
        <f t="shared" si="57"/>
        <v>0</v>
      </c>
      <c r="AP69" s="43"/>
      <c r="AQ69" s="323">
        <f t="shared" si="58"/>
        <v>0</v>
      </c>
      <c r="AR69" s="43"/>
      <c r="AS69" s="44">
        <f t="shared" si="59"/>
        <v>13692.536380952379</v>
      </c>
    </row>
    <row r="70" spans="1:45" x14ac:dyDescent="0.25">
      <c r="A70" s="28"/>
      <c r="B70" s="43"/>
      <c r="C70" s="43" t="s">
        <v>1041</v>
      </c>
      <c r="D70" s="43"/>
      <c r="E70" s="43" t="s">
        <v>2394</v>
      </c>
      <c r="F70" s="43" t="s">
        <v>2395</v>
      </c>
      <c r="G70" s="46">
        <f t="shared" si="46"/>
        <v>11401.550872380953</v>
      </c>
      <c r="H70" s="46">
        <f t="shared" si="47"/>
        <v>10203.092400000001</v>
      </c>
      <c r="I70" s="28" t="s">
        <v>262</v>
      </c>
      <c r="J70" s="337">
        <v>1</v>
      </c>
      <c r="K70" s="46">
        <f t="shared" si="48"/>
        <v>11401.550872380953</v>
      </c>
      <c r="L70" s="46">
        <f t="shared" si="49"/>
        <v>10203.092400000001</v>
      </c>
      <c r="M70" s="338">
        <f t="shared" si="50"/>
        <v>0</v>
      </c>
      <c r="N70" s="43" t="s">
        <v>37</v>
      </c>
      <c r="O70" s="339">
        <v>85372090</v>
      </c>
      <c r="P70" s="340">
        <f>IFERROR(VLOOKUP(O70,NCM!$A$3:$D$99,COLUMN(head_porNCM_IPI)-COLUMN(head_porNCM_NCM)+1,FALSE),"")</f>
        <v>0</v>
      </c>
      <c r="Q70" s="43" t="s">
        <v>1109</v>
      </c>
      <c r="R70" s="78" t="s">
        <v>209</v>
      </c>
      <c r="S70" s="341"/>
      <c r="T70" s="28" t="s">
        <v>53</v>
      </c>
      <c r="U70" s="28" t="s">
        <v>2738</v>
      </c>
      <c r="V70" s="548">
        <v>45124</v>
      </c>
      <c r="W70" s="43"/>
      <c r="X70" s="342">
        <f t="shared" si="51"/>
        <v>1554.7569371428569</v>
      </c>
      <c r="Y70" s="342">
        <f t="shared" si="52"/>
        <v>0</v>
      </c>
      <c r="Z70" s="46">
        <f t="shared" si="53"/>
        <v>213.77907885714285</v>
      </c>
      <c r="AA70" s="46">
        <f t="shared" si="54"/>
        <v>984.67939352380949</v>
      </c>
      <c r="AB70" s="43"/>
      <c r="AC70" s="44">
        <v>12956.307809523809</v>
      </c>
      <c r="AD70" s="31">
        <v>0.12</v>
      </c>
      <c r="AE70" s="31">
        <v>0</v>
      </c>
      <c r="AF70" s="31">
        <v>0</v>
      </c>
      <c r="AG70" s="28" t="s">
        <v>53</v>
      </c>
      <c r="AH70" s="46">
        <f t="shared" si="55"/>
        <v>12956.307809523809</v>
      </c>
      <c r="AI70" s="43"/>
      <c r="AJ70" s="28"/>
      <c r="AK70" s="337"/>
      <c r="AL70" s="43"/>
      <c r="AM70" s="44">
        <f t="shared" si="56"/>
        <v>0</v>
      </c>
      <c r="AN70" s="43"/>
      <c r="AO70" s="28">
        <f t="shared" si="57"/>
        <v>0</v>
      </c>
      <c r="AP70" s="43"/>
      <c r="AQ70" s="323">
        <f t="shared" si="58"/>
        <v>0</v>
      </c>
      <c r="AR70" s="43"/>
      <c r="AS70" s="44">
        <f t="shared" si="59"/>
        <v>12956.307809523809</v>
      </c>
    </row>
    <row r="71" spans="1:45" x14ac:dyDescent="0.25">
      <c r="A71" s="28"/>
      <c r="B71" s="43"/>
      <c r="C71" s="43" t="s">
        <v>1041</v>
      </c>
      <c r="D71" s="43"/>
      <c r="E71" s="43" t="s">
        <v>3047</v>
      </c>
      <c r="F71" s="43" t="s">
        <v>2395</v>
      </c>
      <c r="G71" s="46">
        <f t="shared" si="46"/>
        <v>12057.732510476224</v>
      </c>
      <c r="H71" s="46">
        <f t="shared" si="47"/>
        <v>10790.300400000031</v>
      </c>
      <c r="I71" s="28" t="s">
        <v>262</v>
      </c>
      <c r="J71" s="337">
        <v>1</v>
      </c>
      <c r="K71" s="46">
        <f t="shared" si="48"/>
        <v>12057.732510476224</v>
      </c>
      <c r="L71" s="46">
        <f t="shared" si="49"/>
        <v>10790.300400000031</v>
      </c>
      <c r="M71" s="338">
        <f t="shared" si="50"/>
        <v>0</v>
      </c>
      <c r="N71" s="43" t="s">
        <v>37</v>
      </c>
      <c r="O71" s="339">
        <v>85372090</v>
      </c>
      <c r="P71" s="340">
        <f>IFERROR(VLOOKUP(O71,NCM!$A$3:$D$99,COLUMN(head_porNCM_IPI)-COLUMN(head_porNCM_NCM)+1,FALSE),"")</f>
        <v>0</v>
      </c>
      <c r="Q71" s="43" t="s">
        <v>1109</v>
      </c>
      <c r="R71" s="78" t="s">
        <v>209</v>
      </c>
      <c r="S71" s="341"/>
      <c r="T71" s="28" t="s">
        <v>53</v>
      </c>
      <c r="U71" s="28" t="s">
        <v>2738</v>
      </c>
      <c r="V71" s="548">
        <v>45124</v>
      </c>
      <c r="W71" s="43"/>
      <c r="X71" s="342">
        <f t="shared" si="51"/>
        <v>1644.236251428576</v>
      </c>
      <c r="Y71" s="342">
        <f t="shared" si="52"/>
        <v>0</v>
      </c>
      <c r="Z71" s="46">
        <f t="shared" si="53"/>
        <v>226.08248457142921</v>
      </c>
      <c r="AA71" s="46">
        <f t="shared" si="54"/>
        <v>1041.3496259047647</v>
      </c>
      <c r="AB71" s="43"/>
      <c r="AC71" s="44">
        <v>13701.9687619048</v>
      </c>
      <c r="AD71" s="31">
        <v>0.12</v>
      </c>
      <c r="AE71" s="31">
        <v>0</v>
      </c>
      <c r="AF71" s="31">
        <v>0</v>
      </c>
      <c r="AG71" s="28" t="s">
        <v>53</v>
      </c>
      <c r="AH71" s="46">
        <f t="shared" si="55"/>
        <v>13701.9687619048</v>
      </c>
      <c r="AI71" s="43"/>
      <c r="AJ71" s="28"/>
      <c r="AK71" s="337"/>
      <c r="AL71" s="43"/>
      <c r="AM71" s="44">
        <f t="shared" si="56"/>
        <v>0</v>
      </c>
      <c r="AN71" s="43"/>
      <c r="AO71" s="28">
        <f t="shared" si="57"/>
        <v>0</v>
      </c>
      <c r="AP71" s="43"/>
      <c r="AQ71" s="323">
        <f t="shared" si="58"/>
        <v>0</v>
      </c>
      <c r="AR71" s="43"/>
      <c r="AS71" s="44">
        <f t="shared" si="59"/>
        <v>13701.9687619048</v>
      </c>
    </row>
    <row r="72" spans="1:45" x14ac:dyDescent="0.25">
      <c r="A72" s="28"/>
      <c r="B72" s="43"/>
      <c r="C72" s="43" t="s">
        <v>1041</v>
      </c>
      <c r="D72" s="43"/>
      <c r="E72" s="43" t="s">
        <v>2396</v>
      </c>
      <c r="F72" s="43" t="s">
        <v>2395</v>
      </c>
      <c r="G72" s="46">
        <f t="shared" si="46"/>
        <v>12365.212891428569</v>
      </c>
      <c r="H72" s="46">
        <f t="shared" si="47"/>
        <v>11065.4604</v>
      </c>
      <c r="I72" s="28" t="s">
        <v>262</v>
      </c>
      <c r="J72" s="337">
        <v>1</v>
      </c>
      <c r="K72" s="46">
        <f t="shared" si="48"/>
        <v>12365.212891428569</v>
      </c>
      <c r="L72" s="46">
        <f t="shared" si="49"/>
        <v>11065.4604</v>
      </c>
      <c r="M72" s="338">
        <f t="shared" si="50"/>
        <v>0</v>
      </c>
      <c r="N72" s="43" t="s">
        <v>37</v>
      </c>
      <c r="O72" s="339">
        <v>85372090</v>
      </c>
      <c r="P72" s="340">
        <f>IFERROR(VLOOKUP(O72,NCM!$A$3:$D$99,COLUMN(head_porNCM_IPI)-COLUMN(head_porNCM_NCM)+1,FALSE),"")</f>
        <v>0</v>
      </c>
      <c r="Q72" s="43" t="s">
        <v>1109</v>
      </c>
      <c r="R72" s="78" t="s">
        <v>209</v>
      </c>
      <c r="S72" s="341"/>
      <c r="T72" s="28" t="s">
        <v>53</v>
      </c>
      <c r="U72" s="28" t="s">
        <v>2738</v>
      </c>
      <c r="V72" s="548">
        <v>45124</v>
      </c>
      <c r="W72" s="43"/>
      <c r="X72" s="342">
        <f t="shared" si="51"/>
        <v>1686.165394285714</v>
      </c>
      <c r="Y72" s="342">
        <f t="shared" si="52"/>
        <v>0</v>
      </c>
      <c r="Z72" s="46">
        <f t="shared" si="53"/>
        <v>231.84774171428569</v>
      </c>
      <c r="AA72" s="46">
        <f t="shared" si="54"/>
        <v>1067.9047497142856</v>
      </c>
      <c r="AB72" s="43"/>
      <c r="AC72" s="44">
        <v>14051.378285714283</v>
      </c>
      <c r="AD72" s="31">
        <v>0.12</v>
      </c>
      <c r="AE72" s="31">
        <v>0</v>
      </c>
      <c r="AF72" s="31">
        <v>0</v>
      </c>
      <c r="AG72" s="28" t="s">
        <v>53</v>
      </c>
      <c r="AH72" s="46">
        <f t="shared" si="55"/>
        <v>14051.378285714283</v>
      </c>
      <c r="AI72" s="43"/>
      <c r="AJ72" s="28"/>
      <c r="AK72" s="337"/>
      <c r="AL72" s="43"/>
      <c r="AM72" s="44">
        <f t="shared" si="56"/>
        <v>0</v>
      </c>
      <c r="AN72" s="43"/>
      <c r="AO72" s="28">
        <f t="shared" si="57"/>
        <v>0</v>
      </c>
      <c r="AP72" s="43"/>
      <c r="AQ72" s="323">
        <f t="shared" si="58"/>
        <v>0</v>
      </c>
      <c r="AR72" s="43"/>
      <c r="AS72" s="44">
        <f t="shared" si="59"/>
        <v>14051.378285714283</v>
      </c>
    </row>
    <row r="73" spans="1:45" x14ac:dyDescent="0.25">
      <c r="A73" s="28"/>
      <c r="B73" s="43"/>
      <c r="C73" s="43" t="s">
        <v>1041</v>
      </c>
      <c r="D73" s="43"/>
      <c r="E73" s="43" t="s">
        <v>2397</v>
      </c>
      <c r="F73" s="43" t="s">
        <v>2395</v>
      </c>
      <c r="G73" s="46">
        <f t="shared" si="46"/>
        <v>13989.803519999999</v>
      </c>
      <c r="H73" s="46">
        <f t="shared" si="47"/>
        <v>12519.2844</v>
      </c>
      <c r="I73" s="28" t="s">
        <v>262</v>
      </c>
      <c r="J73" s="337">
        <v>1</v>
      </c>
      <c r="K73" s="46">
        <f t="shared" si="48"/>
        <v>13989.803519999999</v>
      </c>
      <c r="L73" s="46">
        <f t="shared" si="49"/>
        <v>12519.2844</v>
      </c>
      <c r="M73" s="338">
        <f t="shared" si="50"/>
        <v>0</v>
      </c>
      <c r="N73" s="43" t="s">
        <v>37</v>
      </c>
      <c r="O73" s="339">
        <v>85372090</v>
      </c>
      <c r="P73" s="340">
        <f>IFERROR(VLOOKUP(O73,NCM!$A$3:$D$99,COLUMN(head_porNCM_IPI)-COLUMN(head_porNCM_NCM)+1,FALSE),"")</f>
        <v>0</v>
      </c>
      <c r="Q73" s="43" t="s">
        <v>1109</v>
      </c>
      <c r="R73" s="78" t="s">
        <v>209</v>
      </c>
      <c r="S73" s="341"/>
      <c r="T73" s="28" t="s">
        <v>53</v>
      </c>
      <c r="U73" s="28" t="s">
        <v>2738</v>
      </c>
      <c r="V73" s="548">
        <v>45124</v>
      </c>
      <c r="W73" s="43"/>
      <c r="X73" s="342">
        <f t="shared" si="51"/>
        <v>1907.7004799999997</v>
      </c>
      <c r="Y73" s="342">
        <f t="shared" si="52"/>
        <v>0</v>
      </c>
      <c r="Z73" s="46">
        <f t="shared" si="53"/>
        <v>262.30881599999998</v>
      </c>
      <c r="AA73" s="46">
        <f t="shared" si="54"/>
        <v>1208.210304</v>
      </c>
      <c r="AB73" s="43"/>
      <c r="AC73" s="44">
        <v>15897.503999999999</v>
      </c>
      <c r="AD73" s="31">
        <v>0.12</v>
      </c>
      <c r="AE73" s="31">
        <v>0</v>
      </c>
      <c r="AF73" s="31">
        <v>0</v>
      </c>
      <c r="AG73" s="28" t="s">
        <v>53</v>
      </c>
      <c r="AH73" s="46">
        <f t="shared" si="55"/>
        <v>15897.503999999999</v>
      </c>
      <c r="AI73" s="43"/>
      <c r="AJ73" s="28"/>
      <c r="AK73" s="337"/>
      <c r="AL73" s="43"/>
      <c r="AM73" s="44">
        <f t="shared" si="56"/>
        <v>0</v>
      </c>
      <c r="AN73" s="43"/>
      <c r="AO73" s="28">
        <f t="shared" si="57"/>
        <v>0</v>
      </c>
      <c r="AP73" s="43"/>
      <c r="AQ73" s="323">
        <f t="shared" si="58"/>
        <v>0</v>
      </c>
      <c r="AR73" s="43"/>
      <c r="AS73" s="44">
        <f t="shared" si="59"/>
        <v>15897.503999999999</v>
      </c>
    </row>
    <row r="74" spans="1:45" x14ac:dyDescent="0.25">
      <c r="A74" s="28"/>
      <c r="B74" s="43"/>
      <c r="C74" s="43" t="s">
        <v>1041</v>
      </c>
      <c r="D74" s="43"/>
      <c r="E74" s="43" t="s">
        <v>2398</v>
      </c>
      <c r="F74" s="43" t="s">
        <v>2399</v>
      </c>
      <c r="G74" s="46">
        <f t="shared" si="46"/>
        <v>14056.086796190477</v>
      </c>
      <c r="H74" s="46">
        <f t="shared" si="47"/>
        <v>12578.600400000001</v>
      </c>
      <c r="I74" s="28" t="s">
        <v>262</v>
      </c>
      <c r="J74" s="337">
        <v>1</v>
      </c>
      <c r="K74" s="46">
        <f t="shared" si="48"/>
        <v>14056.086796190477</v>
      </c>
      <c r="L74" s="46">
        <f t="shared" si="49"/>
        <v>12578.600400000001</v>
      </c>
      <c r="M74" s="338">
        <f t="shared" si="50"/>
        <v>0</v>
      </c>
      <c r="N74" s="43" t="s">
        <v>37</v>
      </c>
      <c r="O74" s="339">
        <v>85372090</v>
      </c>
      <c r="P74" s="340">
        <f>IFERROR(VLOOKUP(O74,NCM!$A$3:$D$99,COLUMN(head_porNCM_IPI)-COLUMN(head_porNCM_NCM)+1,FALSE),"")</f>
        <v>0</v>
      </c>
      <c r="Q74" s="43" t="s">
        <v>1109</v>
      </c>
      <c r="R74" s="78" t="s">
        <v>209</v>
      </c>
      <c r="S74" s="341"/>
      <c r="T74" s="28" t="s">
        <v>53</v>
      </c>
      <c r="U74" s="28" t="s">
        <v>2738</v>
      </c>
      <c r="V74" s="548">
        <v>45124</v>
      </c>
      <c r="W74" s="43"/>
      <c r="X74" s="342">
        <f t="shared" si="51"/>
        <v>1916.7391085714285</v>
      </c>
      <c r="Y74" s="342">
        <f t="shared" si="52"/>
        <v>0</v>
      </c>
      <c r="Z74" s="46">
        <f t="shared" si="53"/>
        <v>263.55162742857146</v>
      </c>
      <c r="AA74" s="46">
        <f t="shared" si="54"/>
        <v>1213.9347687619047</v>
      </c>
      <c r="AB74" s="43"/>
      <c r="AC74" s="44">
        <v>15972.825904761905</v>
      </c>
      <c r="AD74" s="31">
        <v>0.12</v>
      </c>
      <c r="AE74" s="31">
        <v>0</v>
      </c>
      <c r="AF74" s="31">
        <v>0</v>
      </c>
      <c r="AG74" s="28" t="s">
        <v>53</v>
      </c>
      <c r="AH74" s="46">
        <f t="shared" si="55"/>
        <v>15972.825904761905</v>
      </c>
      <c r="AI74" s="43"/>
      <c r="AJ74" s="28"/>
      <c r="AK74" s="337"/>
      <c r="AL74" s="43"/>
      <c r="AM74" s="44">
        <f t="shared" si="56"/>
        <v>0</v>
      </c>
      <c r="AN74" s="43"/>
      <c r="AO74" s="28">
        <f t="shared" si="57"/>
        <v>0</v>
      </c>
      <c r="AP74" s="43"/>
      <c r="AQ74" s="323">
        <f t="shared" si="58"/>
        <v>0</v>
      </c>
      <c r="AR74" s="43"/>
      <c r="AS74" s="44">
        <f t="shared" si="59"/>
        <v>15972.825904761905</v>
      </c>
    </row>
    <row r="75" spans="1:45" x14ac:dyDescent="0.25">
      <c r="A75" s="28"/>
      <c r="B75" s="43"/>
      <c r="C75" s="43" t="s">
        <v>1041</v>
      </c>
      <c r="D75" s="43"/>
      <c r="E75" s="43" t="s">
        <v>2400</v>
      </c>
      <c r="F75" s="43" t="s">
        <v>2401</v>
      </c>
      <c r="G75" s="46">
        <f t="shared" si="46"/>
        <v>12238.864558730158</v>
      </c>
      <c r="H75" s="46">
        <f t="shared" si="47"/>
        <v>10952.393</v>
      </c>
      <c r="I75" s="28" t="s">
        <v>262</v>
      </c>
      <c r="J75" s="337">
        <v>1</v>
      </c>
      <c r="K75" s="46">
        <f t="shared" si="48"/>
        <v>12238.864558730158</v>
      </c>
      <c r="L75" s="46">
        <f t="shared" si="49"/>
        <v>10952.393</v>
      </c>
      <c r="M75" s="338">
        <f t="shared" si="50"/>
        <v>0</v>
      </c>
      <c r="N75" s="43" t="s">
        <v>37</v>
      </c>
      <c r="O75" s="339">
        <v>85372090</v>
      </c>
      <c r="P75" s="340">
        <f>IFERROR(VLOOKUP(O75,NCM!$A$3:$D$99,COLUMN(head_porNCM_IPI)-COLUMN(head_porNCM_NCM)+1,FALSE),"")</f>
        <v>0</v>
      </c>
      <c r="Q75" s="43" t="s">
        <v>1109</v>
      </c>
      <c r="R75" s="78" t="s">
        <v>209</v>
      </c>
      <c r="S75" s="341"/>
      <c r="T75" s="28" t="s">
        <v>53</v>
      </c>
      <c r="U75" s="28" t="s">
        <v>2739</v>
      </c>
      <c r="V75" s="548">
        <v>45117</v>
      </c>
      <c r="W75" s="43"/>
      <c r="X75" s="342">
        <f t="shared" si="51"/>
        <v>1668.9360761904759</v>
      </c>
      <c r="Y75" s="342">
        <f t="shared" si="52"/>
        <v>0</v>
      </c>
      <c r="Z75" s="46">
        <f t="shared" si="53"/>
        <v>229.47871047619046</v>
      </c>
      <c r="AA75" s="46">
        <f t="shared" si="54"/>
        <v>1056.9928482539681</v>
      </c>
      <c r="AB75" s="43"/>
      <c r="AC75" s="44">
        <v>13907.800634920633</v>
      </c>
      <c r="AD75" s="31">
        <v>0.12</v>
      </c>
      <c r="AE75" s="31">
        <v>0</v>
      </c>
      <c r="AF75" s="31">
        <v>0</v>
      </c>
      <c r="AG75" s="28" t="s">
        <v>53</v>
      </c>
      <c r="AH75" s="46">
        <f t="shared" si="55"/>
        <v>13907.800634920633</v>
      </c>
      <c r="AI75" s="43"/>
      <c r="AJ75" s="28"/>
      <c r="AK75" s="337"/>
      <c r="AL75" s="43"/>
      <c r="AM75" s="44">
        <f t="shared" si="56"/>
        <v>0</v>
      </c>
      <c r="AN75" s="43"/>
      <c r="AO75" s="28">
        <f t="shared" si="57"/>
        <v>0</v>
      </c>
      <c r="AP75" s="43"/>
      <c r="AQ75" s="323">
        <f t="shared" si="58"/>
        <v>0</v>
      </c>
      <c r="AR75" s="43"/>
      <c r="AS75" s="44">
        <f t="shared" si="59"/>
        <v>13907.800634920633</v>
      </c>
    </row>
    <row r="76" spans="1:45" x14ac:dyDescent="0.25">
      <c r="A76" s="28"/>
      <c r="B76" s="43"/>
      <c r="C76" s="43"/>
      <c r="D76" s="43" t="s">
        <v>1205</v>
      </c>
      <c r="E76" s="43"/>
      <c r="F76" s="43"/>
      <c r="G76" s="46">
        <f t="shared" si="46"/>
        <v>0</v>
      </c>
      <c r="H76" s="46">
        <f t="shared" si="47"/>
        <v>0</v>
      </c>
      <c r="I76" s="28"/>
      <c r="J76" s="337"/>
      <c r="K76" s="46" t="str">
        <f t="shared" si="48"/>
        <v/>
      </c>
      <c r="L76" s="46" t="str">
        <f t="shared" si="49"/>
        <v/>
      </c>
      <c r="M76" s="338">
        <f t="shared" si="50"/>
        <v>0</v>
      </c>
      <c r="N76" s="43"/>
      <c r="O76" s="339"/>
      <c r="P76" s="340" t="str">
        <f>IFERROR(VLOOKUP(O76,NCM!$A$3:$D$99,COLUMN(head_porNCM_IPI)-COLUMN(head_porNCM_NCM)+1,FALSE),"")</f>
        <v/>
      </c>
      <c r="Q76" s="43"/>
      <c r="R76" s="78"/>
      <c r="S76" s="341"/>
      <c r="T76" s="28"/>
      <c r="U76" s="28"/>
      <c r="V76" s="28"/>
      <c r="W76" s="43"/>
      <c r="X76" s="342">
        <f t="shared" si="51"/>
        <v>0</v>
      </c>
      <c r="Y76" s="342">
        <f t="shared" si="52"/>
        <v>0</v>
      </c>
      <c r="Z76" s="46">
        <f t="shared" si="53"/>
        <v>0</v>
      </c>
      <c r="AA76" s="46">
        <f t="shared" si="54"/>
        <v>0</v>
      </c>
      <c r="AB76" s="43"/>
      <c r="AC76" s="44">
        <v>0</v>
      </c>
      <c r="AD76" s="31"/>
      <c r="AE76" s="31"/>
      <c r="AF76" s="31"/>
      <c r="AG76" s="28"/>
      <c r="AH76" s="46">
        <f t="shared" si="55"/>
        <v>0</v>
      </c>
      <c r="AI76" s="43"/>
      <c r="AJ76" s="28"/>
      <c r="AK76" s="337"/>
      <c r="AL76" s="43"/>
      <c r="AM76" s="44">
        <f t="shared" si="56"/>
        <v>0</v>
      </c>
      <c r="AN76" s="43"/>
      <c r="AO76" s="28">
        <f t="shared" si="57"/>
        <v>0</v>
      </c>
      <c r="AP76" s="43"/>
      <c r="AQ76" s="323">
        <f t="shared" si="58"/>
        <v>0</v>
      </c>
      <c r="AR76" s="43"/>
      <c r="AS76" s="44">
        <f t="shared" si="59"/>
        <v>0</v>
      </c>
    </row>
    <row r="77" spans="1:45" x14ac:dyDescent="0.25">
      <c r="A77" s="28"/>
      <c r="B77" s="43"/>
      <c r="C77" s="43" t="s">
        <v>1041</v>
      </c>
      <c r="D77" s="43"/>
      <c r="E77" s="43" t="s">
        <v>1987</v>
      </c>
      <c r="F77" s="43" t="s">
        <v>2402</v>
      </c>
      <c r="G77" s="46">
        <f t="shared" si="46"/>
        <v>12051.809523809525</v>
      </c>
      <c r="H77" s="46">
        <f t="shared" si="47"/>
        <v>10785.000000000002</v>
      </c>
      <c r="I77" s="28" t="s">
        <v>262</v>
      </c>
      <c r="J77" s="337">
        <v>1</v>
      </c>
      <c r="K77" s="46">
        <f t="shared" si="48"/>
        <v>12051.809523809525</v>
      </c>
      <c r="L77" s="46">
        <f t="shared" si="49"/>
        <v>10785.000000000002</v>
      </c>
      <c r="M77" s="338">
        <f t="shared" si="50"/>
        <v>0</v>
      </c>
      <c r="N77" s="43" t="s">
        <v>37</v>
      </c>
      <c r="O77" s="339">
        <v>85372090</v>
      </c>
      <c r="P77" s="340">
        <f>IFERROR(VLOOKUP(O77,NCM!$A$3:$D$99,COLUMN(head_porNCM_IPI)-COLUMN(head_porNCM_NCM)+1,FALSE),"")</f>
        <v>0</v>
      </c>
      <c r="Q77" s="43" t="s">
        <v>1109</v>
      </c>
      <c r="R77" s="78" t="s">
        <v>209</v>
      </c>
      <c r="S77" s="341"/>
      <c r="T77" s="28" t="s">
        <v>53</v>
      </c>
      <c r="U77" s="28" t="s">
        <v>2272</v>
      </c>
      <c r="V77" s="548">
        <v>44649</v>
      </c>
      <c r="W77" s="43"/>
      <c r="X77" s="342">
        <f t="shared" si="51"/>
        <v>1643.4285714285713</v>
      </c>
      <c r="Y77" s="342">
        <f t="shared" si="52"/>
        <v>0</v>
      </c>
      <c r="Z77" s="46">
        <f t="shared" si="53"/>
        <v>225.97142857142859</v>
      </c>
      <c r="AA77" s="46">
        <f t="shared" si="54"/>
        <v>1040.8380952380953</v>
      </c>
      <c r="AB77" s="43"/>
      <c r="AC77" s="44">
        <v>13695.238095238095</v>
      </c>
      <c r="AD77" s="31">
        <v>0.12</v>
      </c>
      <c r="AE77" s="31">
        <v>0</v>
      </c>
      <c r="AF77" s="31">
        <v>0</v>
      </c>
      <c r="AG77" s="28" t="s">
        <v>53</v>
      </c>
      <c r="AH77" s="46">
        <f t="shared" si="55"/>
        <v>13695.238095238095</v>
      </c>
      <c r="AI77" s="43"/>
      <c r="AJ77" s="28"/>
      <c r="AK77" s="337"/>
      <c r="AL77" s="43"/>
      <c r="AM77" s="44">
        <f t="shared" si="56"/>
        <v>0</v>
      </c>
      <c r="AN77" s="43"/>
      <c r="AO77" s="28">
        <f t="shared" si="57"/>
        <v>0</v>
      </c>
      <c r="AP77" s="43"/>
      <c r="AQ77" s="323">
        <f t="shared" si="58"/>
        <v>0</v>
      </c>
      <c r="AR77" s="43"/>
      <c r="AS77" s="44">
        <f t="shared" si="59"/>
        <v>13695.238095238095</v>
      </c>
    </row>
    <row r="78" spans="1:45" x14ac:dyDescent="0.25">
      <c r="A78" s="28"/>
      <c r="B78" s="43"/>
      <c r="C78" s="43"/>
      <c r="D78" s="43"/>
      <c r="E78" s="43" t="s">
        <v>1206</v>
      </c>
      <c r="F78" s="43" t="s">
        <v>1207</v>
      </c>
      <c r="G78" s="46">
        <f t="shared" si="46"/>
        <v>7263.4920634920636</v>
      </c>
      <c r="H78" s="46">
        <f t="shared" si="47"/>
        <v>6500.0000000000009</v>
      </c>
      <c r="I78" s="28" t="s">
        <v>262</v>
      </c>
      <c r="J78" s="337">
        <v>1</v>
      </c>
      <c r="K78" s="46">
        <f t="shared" si="48"/>
        <v>7263.4920634920636</v>
      </c>
      <c r="L78" s="46">
        <f t="shared" si="49"/>
        <v>6500.0000000000009</v>
      </c>
      <c r="M78" s="338">
        <f t="shared" si="50"/>
        <v>0</v>
      </c>
      <c r="N78" s="43" t="s">
        <v>36</v>
      </c>
      <c r="O78" s="339">
        <v>85372090</v>
      </c>
      <c r="P78" s="340">
        <f>IFERROR(VLOOKUP(O78,NCM!$A$3:$D$99,COLUMN(head_porNCM_IPI)-COLUMN(head_porNCM_NCM)+1,FALSE),"")</f>
        <v>0</v>
      </c>
      <c r="Q78" s="43" t="s">
        <v>1109</v>
      </c>
      <c r="R78" s="78" t="s">
        <v>209</v>
      </c>
      <c r="S78" s="341"/>
      <c r="T78" s="28" t="s">
        <v>53</v>
      </c>
      <c r="U78" s="28" t="s">
        <v>2272</v>
      </c>
      <c r="V78" s="548">
        <v>44649</v>
      </c>
      <c r="W78" s="43"/>
      <c r="X78" s="342">
        <f t="shared" si="51"/>
        <v>990.47619047619048</v>
      </c>
      <c r="Y78" s="342">
        <f t="shared" si="52"/>
        <v>0</v>
      </c>
      <c r="Z78" s="46">
        <f t="shared" si="53"/>
        <v>136.1904761904762</v>
      </c>
      <c r="AA78" s="46">
        <f t="shared" si="54"/>
        <v>627.30158730158735</v>
      </c>
      <c r="AB78" s="43"/>
      <c r="AC78" s="44">
        <v>8253.9682539682544</v>
      </c>
      <c r="AD78" s="31">
        <v>0.12</v>
      </c>
      <c r="AE78" s="31">
        <v>0</v>
      </c>
      <c r="AF78" s="31">
        <v>0</v>
      </c>
      <c r="AG78" s="28" t="s">
        <v>53</v>
      </c>
      <c r="AH78" s="46">
        <f t="shared" si="55"/>
        <v>8253.9682539682544</v>
      </c>
      <c r="AI78" s="43"/>
      <c r="AJ78" s="28"/>
      <c r="AK78" s="337"/>
      <c r="AL78" s="43"/>
      <c r="AM78" s="44">
        <f t="shared" si="56"/>
        <v>0</v>
      </c>
      <c r="AN78" s="43"/>
      <c r="AO78" s="28">
        <f t="shared" si="57"/>
        <v>0</v>
      </c>
      <c r="AP78" s="43"/>
      <c r="AQ78" s="323">
        <f t="shared" si="58"/>
        <v>0</v>
      </c>
      <c r="AR78" s="43"/>
      <c r="AS78" s="44">
        <f t="shared" si="59"/>
        <v>8253.9682539682544</v>
      </c>
    </row>
    <row r="79" spans="1:45" x14ac:dyDescent="0.25">
      <c r="A79" s="28"/>
      <c r="B79" s="43"/>
      <c r="C79" s="43" t="s">
        <v>1041</v>
      </c>
      <c r="D79" s="43"/>
      <c r="E79" s="43" t="s">
        <v>1988</v>
      </c>
      <c r="F79" s="43" t="s">
        <v>1989</v>
      </c>
      <c r="G79" s="46">
        <f t="shared" si="46"/>
        <v>84475.988317460331</v>
      </c>
      <c r="H79" s="46">
        <f t="shared" si="47"/>
        <v>75596.410000000018</v>
      </c>
      <c r="I79" s="28" t="s">
        <v>262</v>
      </c>
      <c r="J79" s="337">
        <v>1</v>
      </c>
      <c r="K79" s="46">
        <f t="shared" si="48"/>
        <v>84475.988317460331</v>
      </c>
      <c r="L79" s="46">
        <f t="shared" si="49"/>
        <v>75596.410000000018</v>
      </c>
      <c r="M79" s="338">
        <f t="shared" si="50"/>
        <v>0</v>
      </c>
      <c r="N79" s="43" t="s">
        <v>37</v>
      </c>
      <c r="O79" s="339">
        <v>85371090</v>
      </c>
      <c r="P79" s="340">
        <f>IFERROR(VLOOKUP(O79,NCM!$A$3:$D$99,COLUMN(head_porNCM_IPI)-COLUMN(head_porNCM_NCM)+1,FALSE),"")</f>
        <v>9.7500000000000003E-2</v>
      </c>
      <c r="Q79" s="43" t="s">
        <v>1109</v>
      </c>
      <c r="R79" s="78" t="s">
        <v>209</v>
      </c>
      <c r="S79" s="341"/>
      <c r="T79" s="28" t="s">
        <v>53</v>
      </c>
      <c r="U79" s="28"/>
      <c r="V79" s="28"/>
      <c r="W79" s="43"/>
      <c r="X79" s="342">
        <f t="shared" si="51"/>
        <v>10496.084694652351</v>
      </c>
      <c r="Y79" s="342">
        <f t="shared" si="52"/>
        <v>8528.0688144050218</v>
      </c>
      <c r="Z79" s="46">
        <f t="shared" si="53"/>
        <v>1443.2116455146984</v>
      </c>
      <c r="AA79" s="46">
        <f t="shared" si="54"/>
        <v>6647.5203066131553</v>
      </c>
      <c r="AB79" s="43"/>
      <c r="AC79" s="44">
        <v>95995.441269841278</v>
      </c>
      <c r="AD79" s="31">
        <v>0.12</v>
      </c>
      <c r="AE79" s="31">
        <v>9.7500000000000003E-2</v>
      </c>
      <c r="AF79" s="31">
        <v>0</v>
      </c>
      <c r="AG79" s="28" t="s">
        <v>53</v>
      </c>
      <c r="AH79" s="46">
        <f t="shared" si="55"/>
        <v>105354.99679365079</v>
      </c>
      <c r="AI79" s="43"/>
      <c r="AJ79" s="28"/>
      <c r="AK79" s="337"/>
      <c r="AL79" s="43"/>
      <c r="AM79" s="44">
        <f t="shared" si="56"/>
        <v>0</v>
      </c>
      <c r="AN79" s="43"/>
      <c r="AO79" s="28">
        <f t="shared" si="57"/>
        <v>0</v>
      </c>
      <c r="AP79" s="43"/>
      <c r="AQ79" s="323">
        <f t="shared" si="58"/>
        <v>0</v>
      </c>
      <c r="AR79" s="43"/>
      <c r="AS79" s="44">
        <f t="shared" si="59"/>
        <v>105354.99679365079</v>
      </c>
    </row>
    <row r="80" spans="1:45" x14ac:dyDescent="0.25">
      <c r="A80" s="28"/>
      <c r="B80" s="43"/>
      <c r="C80" s="43" t="s">
        <v>1041</v>
      </c>
      <c r="D80" s="43"/>
      <c r="E80" s="43" t="s">
        <v>1990</v>
      </c>
      <c r="F80" s="43" t="s">
        <v>1991</v>
      </c>
      <c r="G80" s="46">
        <f t="shared" si="46"/>
        <v>66583.995936507941</v>
      </c>
      <c r="H80" s="46">
        <f t="shared" si="47"/>
        <v>59585.110000000008</v>
      </c>
      <c r="I80" s="28" t="s">
        <v>262</v>
      </c>
      <c r="J80" s="337">
        <v>1</v>
      </c>
      <c r="K80" s="46">
        <f t="shared" si="48"/>
        <v>66583.995936507941</v>
      </c>
      <c r="L80" s="46">
        <f t="shared" si="49"/>
        <v>59585.110000000008</v>
      </c>
      <c r="M80" s="338">
        <f t="shared" si="50"/>
        <v>0</v>
      </c>
      <c r="N80" s="43" t="s">
        <v>37</v>
      </c>
      <c r="O80" s="339">
        <v>85371090</v>
      </c>
      <c r="P80" s="340">
        <f>IFERROR(VLOOKUP(O80,NCM!$A$3:$D$99,COLUMN(head_porNCM_IPI)-COLUMN(head_porNCM_NCM)+1,FALSE),"")</f>
        <v>9.7500000000000003E-2</v>
      </c>
      <c r="Q80" s="43" t="s">
        <v>1109</v>
      </c>
      <c r="R80" s="78" t="s">
        <v>209</v>
      </c>
      <c r="S80" s="341"/>
      <c r="T80" s="28" t="s">
        <v>53</v>
      </c>
      <c r="U80" s="28"/>
      <c r="V80" s="28"/>
      <c r="W80" s="43"/>
      <c r="X80" s="342">
        <f t="shared" si="51"/>
        <v>8273.0166829374139</v>
      </c>
      <c r="Y80" s="342">
        <f t="shared" si="52"/>
        <v>6721.8260548866383</v>
      </c>
      <c r="Z80" s="46">
        <f t="shared" si="53"/>
        <v>1137.5397939038944</v>
      </c>
      <c r="AA80" s="46">
        <f t="shared" si="54"/>
        <v>5239.5772325270282</v>
      </c>
      <c r="AB80" s="43"/>
      <c r="AC80" s="44">
        <v>75663.631746031751</v>
      </c>
      <c r="AD80" s="31">
        <v>0.12</v>
      </c>
      <c r="AE80" s="31">
        <v>9.7500000000000003E-2</v>
      </c>
      <c r="AF80" s="31">
        <v>0</v>
      </c>
      <c r="AG80" s="28" t="s">
        <v>53</v>
      </c>
      <c r="AH80" s="46">
        <f t="shared" si="55"/>
        <v>83040.835841269844</v>
      </c>
      <c r="AI80" s="43"/>
      <c r="AJ80" s="28"/>
      <c r="AK80" s="337"/>
      <c r="AL80" s="43"/>
      <c r="AM80" s="44">
        <f t="shared" si="56"/>
        <v>0</v>
      </c>
      <c r="AN80" s="43"/>
      <c r="AO80" s="28">
        <f t="shared" si="57"/>
        <v>0</v>
      </c>
      <c r="AP80" s="43"/>
      <c r="AQ80" s="323">
        <f t="shared" si="58"/>
        <v>0</v>
      </c>
      <c r="AR80" s="43"/>
      <c r="AS80" s="44">
        <f t="shared" si="59"/>
        <v>83040.835841269844</v>
      </c>
    </row>
    <row r="81" spans="1:45" x14ac:dyDescent="0.25">
      <c r="A81" s="28"/>
      <c r="B81" s="43"/>
      <c r="C81" s="43"/>
      <c r="D81" s="43" t="s">
        <v>595</v>
      </c>
      <c r="E81" s="43"/>
      <c r="F81" s="43"/>
      <c r="G81" s="46">
        <f t="shared" si="46"/>
        <v>0</v>
      </c>
      <c r="H81" s="46">
        <f t="shared" si="47"/>
        <v>0</v>
      </c>
      <c r="I81" s="28"/>
      <c r="J81" s="337"/>
      <c r="K81" s="46" t="str">
        <f t="shared" si="48"/>
        <v/>
      </c>
      <c r="L81" s="46" t="str">
        <f t="shared" si="49"/>
        <v/>
      </c>
      <c r="M81" s="338">
        <f t="shared" si="50"/>
        <v>0</v>
      </c>
      <c r="N81" s="43"/>
      <c r="O81" s="339"/>
      <c r="P81" s="340" t="str">
        <f>IFERROR(VLOOKUP(O81,NCM!$A$3:$D$99,COLUMN(head_porNCM_IPI)-COLUMN(head_porNCM_NCM)+1,FALSE),"")</f>
        <v/>
      </c>
      <c r="Q81" s="43"/>
      <c r="R81" s="78"/>
      <c r="S81" s="341"/>
      <c r="T81" s="28"/>
      <c r="U81" s="28"/>
      <c r="V81" s="28"/>
      <c r="W81" s="43"/>
      <c r="X81" s="342">
        <f t="shared" si="51"/>
        <v>0</v>
      </c>
      <c r="Y81" s="342">
        <f t="shared" si="52"/>
        <v>0</v>
      </c>
      <c r="Z81" s="46">
        <f t="shared" si="53"/>
        <v>0</v>
      </c>
      <c r="AA81" s="46">
        <f t="shared" si="54"/>
        <v>0</v>
      </c>
      <c r="AB81" s="43"/>
      <c r="AC81" s="44">
        <v>0</v>
      </c>
      <c r="AD81" s="31"/>
      <c r="AE81" s="31"/>
      <c r="AF81" s="31"/>
      <c r="AG81" s="28"/>
      <c r="AH81" s="46">
        <f t="shared" si="55"/>
        <v>0</v>
      </c>
      <c r="AI81" s="43"/>
      <c r="AJ81" s="28"/>
      <c r="AK81" s="337"/>
      <c r="AL81" s="43"/>
      <c r="AM81" s="44">
        <f t="shared" si="56"/>
        <v>0</v>
      </c>
      <c r="AN81" s="43"/>
      <c r="AO81" s="28">
        <f t="shared" si="57"/>
        <v>0</v>
      </c>
      <c r="AP81" s="43"/>
      <c r="AQ81" s="323">
        <f t="shared" si="58"/>
        <v>0</v>
      </c>
      <c r="AR81" s="43"/>
      <c r="AS81" s="44">
        <f t="shared" si="59"/>
        <v>0</v>
      </c>
    </row>
    <row r="82" spans="1:45" x14ac:dyDescent="0.25">
      <c r="A82" s="28"/>
      <c r="B82" s="43"/>
      <c r="C82" s="43"/>
      <c r="D82" s="43"/>
      <c r="E82" s="43" t="s">
        <v>1120</v>
      </c>
      <c r="F82" s="43" t="s">
        <v>2304</v>
      </c>
      <c r="G82" s="46">
        <f t="shared" si="46"/>
        <v>23199.4928</v>
      </c>
      <c r="H82" s="46">
        <f t="shared" si="47"/>
        <v>20760.909750000003</v>
      </c>
      <c r="I82" s="28" t="s">
        <v>262</v>
      </c>
      <c r="J82" s="337">
        <v>1</v>
      </c>
      <c r="K82" s="46">
        <f t="shared" si="48"/>
        <v>23199.4928</v>
      </c>
      <c r="L82" s="46">
        <f t="shared" si="49"/>
        <v>20760.909750000003</v>
      </c>
      <c r="M82" s="338">
        <f t="shared" si="50"/>
        <v>0</v>
      </c>
      <c r="N82" s="43" t="s">
        <v>668</v>
      </c>
      <c r="O82" s="339">
        <v>85437099</v>
      </c>
      <c r="P82" s="340">
        <f>IFERROR(VLOOKUP(O82,NCM!$A$3:$D$99,COLUMN(head_porNCM_IPI)-COLUMN(head_porNCM_NCM)+1,FALSE),"")</f>
        <v>6.5000000000000002E-2</v>
      </c>
      <c r="Q82" s="43" t="s">
        <v>620</v>
      </c>
      <c r="R82" s="78" t="s">
        <v>209</v>
      </c>
      <c r="S82" s="341"/>
      <c r="T82" s="28" t="s">
        <v>52</v>
      </c>
      <c r="U82" s="28" t="s">
        <v>2740</v>
      </c>
      <c r="V82" s="548">
        <v>45273</v>
      </c>
      <c r="W82" s="43"/>
      <c r="X82" s="342">
        <f t="shared" si="51"/>
        <v>2970.4856338028171</v>
      </c>
      <c r="Y82" s="342">
        <f t="shared" si="52"/>
        <v>1609.0130516431927</v>
      </c>
      <c r="Z82" s="46">
        <f t="shared" si="53"/>
        <v>408.44177464788737</v>
      </c>
      <c r="AA82" s="46">
        <f t="shared" si="54"/>
        <v>1881.3075680751174</v>
      </c>
      <c r="AB82" s="43"/>
      <c r="AC82" s="44">
        <v>26363.06</v>
      </c>
      <c r="AD82" s="31">
        <v>0.12</v>
      </c>
      <c r="AE82" s="31">
        <v>6.5000000000000002E-2</v>
      </c>
      <c r="AF82" s="31">
        <v>0</v>
      </c>
      <c r="AG82" s="28" t="s">
        <v>53</v>
      </c>
      <c r="AH82" s="46">
        <f t="shared" si="55"/>
        <v>28076.658899999999</v>
      </c>
      <c r="AI82" s="43"/>
      <c r="AJ82" s="28" t="s">
        <v>263</v>
      </c>
      <c r="AK82" s="337">
        <v>5.12</v>
      </c>
      <c r="AL82" s="43"/>
      <c r="AM82" s="44">
        <f t="shared" si="56"/>
        <v>0</v>
      </c>
      <c r="AN82" s="43"/>
      <c r="AO82" s="28">
        <f t="shared" si="57"/>
        <v>0</v>
      </c>
      <c r="AP82" s="43"/>
      <c r="AQ82" s="323">
        <f t="shared" si="58"/>
        <v>0</v>
      </c>
      <c r="AR82" s="43"/>
      <c r="AS82" s="44">
        <f t="shared" si="59"/>
        <v>28076.658899999999</v>
      </c>
    </row>
    <row r="83" spans="1:45" x14ac:dyDescent="0.25">
      <c r="A83" s="28"/>
      <c r="B83" s="43"/>
      <c r="C83" s="43"/>
      <c r="D83" s="43"/>
      <c r="E83" s="43" t="s">
        <v>1992</v>
      </c>
      <c r="F83" s="43" t="s">
        <v>1993</v>
      </c>
      <c r="G83" s="46">
        <f t="shared" si="46"/>
        <v>34483.635999999999</v>
      </c>
      <c r="H83" s="46">
        <f t="shared" si="47"/>
        <v>30858.935625000002</v>
      </c>
      <c r="I83" s="28" t="s">
        <v>262</v>
      </c>
      <c r="J83" s="337">
        <v>1</v>
      </c>
      <c r="K83" s="46">
        <f t="shared" si="48"/>
        <v>34483.635999999999</v>
      </c>
      <c r="L83" s="46">
        <f t="shared" si="49"/>
        <v>30858.935625000002</v>
      </c>
      <c r="M83" s="338">
        <f t="shared" si="50"/>
        <v>0</v>
      </c>
      <c r="N83" s="43" t="s">
        <v>35</v>
      </c>
      <c r="O83" s="339">
        <v>90308490</v>
      </c>
      <c r="P83" s="340">
        <f>IFERROR(VLOOKUP(O83,NCM!$A$3:$D$99,COLUMN(head_porNCM_IPI)-COLUMN(head_porNCM_NCM)+1,FALSE),"")</f>
        <v>3.2500000000000001E-2</v>
      </c>
      <c r="Q83" s="43" t="s">
        <v>620</v>
      </c>
      <c r="R83" s="78" t="s">
        <v>209</v>
      </c>
      <c r="S83" s="341"/>
      <c r="T83" s="28" t="s">
        <v>52</v>
      </c>
      <c r="U83" s="28" t="s">
        <v>2740</v>
      </c>
      <c r="V83" s="548">
        <v>45273</v>
      </c>
      <c r="W83" s="43"/>
      <c r="X83" s="342">
        <f t="shared" si="51"/>
        <v>4554.2992736077485</v>
      </c>
      <c r="Y83" s="342">
        <f t="shared" si="52"/>
        <v>1233.456053268761</v>
      </c>
      <c r="Z83" s="46">
        <f t="shared" si="53"/>
        <v>626.21615012106543</v>
      </c>
      <c r="AA83" s="46">
        <f t="shared" si="54"/>
        <v>2884.3895399515741</v>
      </c>
      <c r="AB83" s="43"/>
      <c r="AC83" s="44">
        <v>39185.949999999997</v>
      </c>
      <c r="AD83" s="31">
        <v>0.12</v>
      </c>
      <c r="AE83" s="31">
        <v>3.2500000000000001E-2</v>
      </c>
      <c r="AF83" s="31">
        <v>0</v>
      </c>
      <c r="AG83" s="28" t="s">
        <v>53</v>
      </c>
      <c r="AH83" s="46">
        <f t="shared" si="55"/>
        <v>40459.493374999998</v>
      </c>
      <c r="AI83" s="43"/>
      <c r="AJ83" s="28" t="s">
        <v>263</v>
      </c>
      <c r="AK83" s="337">
        <v>5.2</v>
      </c>
      <c r="AL83" s="43"/>
      <c r="AM83" s="44">
        <f t="shared" si="56"/>
        <v>0</v>
      </c>
      <c r="AN83" s="43"/>
      <c r="AO83" s="28">
        <f t="shared" si="57"/>
        <v>0</v>
      </c>
      <c r="AP83" s="43"/>
      <c r="AQ83" s="323">
        <f t="shared" si="58"/>
        <v>0</v>
      </c>
      <c r="AR83" s="43"/>
      <c r="AS83" s="44">
        <f t="shared" si="59"/>
        <v>40459.493374999998</v>
      </c>
    </row>
    <row r="84" spans="1:45" x14ac:dyDescent="0.25">
      <c r="A84" s="28"/>
      <c r="B84" s="43"/>
      <c r="C84" s="43"/>
      <c r="D84" s="43"/>
      <c r="E84" s="43" t="s">
        <v>2403</v>
      </c>
      <c r="F84" s="43" t="s">
        <v>2404</v>
      </c>
      <c r="G84" s="46">
        <f t="shared" si="46"/>
        <v>10604.66</v>
      </c>
      <c r="H84" s="46">
        <f t="shared" si="47"/>
        <v>9489.9656250000007</v>
      </c>
      <c r="I84" s="28" t="s">
        <v>262</v>
      </c>
      <c r="J84" s="337">
        <v>1</v>
      </c>
      <c r="K84" s="46">
        <f t="shared" si="48"/>
        <v>10604.66</v>
      </c>
      <c r="L84" s="46">
        <f t="shared" si="49"/>
        <v>9489.9656250000007</v>
      </c>
      <c r="M84" s="338">
        <f t="shared" si="50"/>
        <v>0</v>
      </c>
      <c r="N84" s="43" t="s">
        <v>35</v>
      </c>
      <c r="O84" s="339">
        <v>90308490</v>
      </c>
      <c r="P84" s="340">
        <f>IFERROR(VLOOKUP(O84,NCM!$A$3:$D$99,COLUMN(head_porNCM_IPI)-COLUMN(head_porNCM_NCM)+1,FALSE),"")</f>
        <v>3.2500000000000001E-2</v>
      </c>
      <c r="Q84" s="43" t="s">
        <v>620</v>
      </c>
      <c r="R84" s="78" t="s">
        <v>209</v>
      </c>
      <c r="S84" s="341"/>
      <c r="T84" s="28" t="s">
        <v>52</v>
      </c>
      <c r="U84" s="28" t="s">
        <v>2740</v>
      </c>
      <c r="V84" s="548">
        <v>45273</v>
      </c>
      <c r="W84" s="43"/>
      <c r="X84" s="342">
        <f t="shared" si="51"/>
        <v>1400.5714285714287</v>
      </c>
      <c r="Y84" s="342">
        <f t="shared" si="52"/>
        <v>379.32142857142753</v>
      </c>
      <c r="Z84" s="46">
        <f t="shared" si="53"/>
        <v>192.57857142857145</v>
      </c>
      <c r="AA84" s="46">
        <f t="shared" si="54"/>
        <v>887.02857142857147</v>
      </c>
      <c r="AB84" s="43"/>
      <c r="AC84" s="44">
        <v>12050.75</v>
      </c>
      <c r="AD84" s="31">
        <v>0.12</v>
      </c>
      <c r="AE84" s="31">
        <v>3.2500000000000001E-2</v>
      </c>
      <c r="AF84" s="31">
        <v>0</v>
      </c>
      <c r="AG84" s="28" t="s">
        <v>53</v>
      </c>
      <c r="AH84" s="46">
        <f t="shared" si="55"/>
        <v>12442.399374999999</v>
      </c>
      <c r="AI84" s="43"/>
      <c r="AJ84" s="28" t="s">
        <v>263</v>
      </c>
      <c r="AK84" s="337">
        <v>5.2</v>
      </c>
      <c r="AL84" s="43"/>
      <c r="AM84" s="44">
        <f t="shared" si="56"/>
        <v>0</v>
      </c>
      <c r="AN84" s="43"/>
      <c r="AO84" s="28">
        <f t="shared" si="57"/>
        <v>0</v>
      </c>
      <c r="AP84" s="43"/>
      <c r="AQ84" s="323">
        <f t="shared" si="58"/>
        <v>0</v>
      </c>
      <c r="AR84" s="43"/>
      <c r="AS84" s="44">
        <f t="shared" si="59"/>
        <v>12442.399374999999</v>
      </c>
    </row>
    <row r="85" spans="1:45" x14ac:dyDescent="0.25">
      <c r="A85" s="28"/>
      <c r="B85" s="43"/>
      <c r="C85" s="43"/>
      <c r="D85" s="43"/>
      <c r="E85" s="43" t="s">
        <v>3048</v>
      </c>
      <c r="F85" s="43" t="s">
        <v>1994</v>
      </c>
      <c r="G85" s="46">
        <f t="shared" si="46"/>
        <v>10364.1384</v>
      </c>
      <c r="H85" s="46">
        <f t="shared" si="47"/>
        <v>9274.726125000001</v>
      </c>
      <c r="I85" s="28" t="s">
        <v>262</v>
      </c>
      <c r="J85" s="337">
        <v>1</v>
      </c>
      <c r="K85" s="46">
        <f t="shared" si="48"/>
        <v>10364.1384</v>
      </c>
      <c r="L85" s="46">
        <f t="shared" si="49"/>
        <v>9274.726125000001</v>
      </c>
      <c r="M85" s="338">
        <f t="shared" si="50"/>
        <v>0</v>
      </c>
      <c r="N85" s="43" t="s">
        <v>35</v>
      </c>
      <c r="O85" s="339">
        <v>90308490</v>
      </c>
      <c r="P85" s="340">
        <f>IFERROR(VLOOKUP(O85,NCM!$A$3:$D$99,COLUMN(head_porNCM_IPI)-COLUMN(head_porNCM_NCM)+1,FALSE),"")</f>
        <v>3.2500000000000001E-2</v>
      </c>
      <c r="Q85" s="43" t="s">
        <v>620</v>
      </c>
      <c r="R85" s="78" t="s">
        <v>209</v>
      </c>
      <c r="S85" s="341"/>
      <c r="T85" s="28" t="s">
        <v>52</v>
      </c>
      <c r="U85" s="28" t="s">
        <v>2740</v>
      </c>
      <c r="V85" s="548">
        <v>45273</v>
      </c>
      <c r="W85" s="43"/>
      <c r="X85" s="342">
        <f t="shared" si="51"/>
        <v>1368.8054237288136</v>
      </c>
      <c r="Y85" s="342">
        <f t="shared" si="52"/>
        <v>370.71813559322072</v>
      </c>
      <c r="Z85" s="46">
        <f t="shared" si="53"/>
        <v>188.21074576271187</v>
      </c>
      <c r="AA85" s="46">
        <f t="shared" si="54"/>
        <v>866.91010169491517</v>
      </c>
      <c r="AB85" s="43"/>
      <c r="AC85" s="44">
        <v>11777.43</v>
      </c>
      <c r="AD85" s="31">
        <v>0.12</v>
      </c>
      <c r="AE85" s="31">
        <v>3.2500000000000001E-2</v>
      </c>
      <c r="AF85" s="31">
        <v>0</v>
      </c>
      <c r="AG85" s="28" t="s">
        <v>53</v>
      </c>
      <c r="AH85" s="46">
        <f t="shared" si="55"/>
        <v>12160.196475000001</v>
      </c>
      <c r="AI85" s="43"/>
      <c r="AJ85" s="28" t="s">
        <v>263</v>
      </c>
      <c r="AK85" s="337">
        <v>5.2</v>
      </c>
      <c r="AL85" s="43"/>
      <c r="AM85" s="44">
        <f t="shared" si="56"/>
        <v>0</v>
      </c>
      <c r="AN85" s="43"/>
      <c r="AO85" s="28">
        <f t="shared" si="57"/>
        <v>0</v>
      </c>
      <c r="AP85" s="43"/>
      <c r="AQ85" s="323">
        <f t="shared" si="58"/>
        <v>0</v>
      </c>
      <c r="AR85" s="43"/>
      <c r="AS85" s="44">
        <f t="shared" si="59"/>
        <v>12160.196475000001</v>
      </c>
    </row>
    <row r="86" spans="1:45" x14ac:dyDescent="0.25">
      <c r="A86" s="28"/>
      <c r="B86" s="43"/>
      <c r="C86" s="43"/>
      <c r="D86" s="43"/>
      <c r="E86" s="43" t="s">
        <v>2405</v>
      </c>
      <c r="F86" s="43" t="s">
        <v>2406</v>
      </c>
      <c r="G86" s="46">
        <f t="shared" si="46"/>
        <v>14004.707200000001</v>
      </c>
      <c r="H86" s="46">
        <f t="shared" si="47"/>
        <v>12532.621500000001</v>
      </c>
      <c r="I86" s="28" t="s">
        <v>262</v>
      </c>
      <c r="J86" s="337">
        <v>1</v>
      </c>
      <c r="K86" s="46">
        <f t="shared" si="48"/>
        <v>14004.707200000001</v>
      </c>
      <c r="L86" s="46">
        <f t="shared" si="49"/>
        <v>12532.621500000001</v>
      </c>
      <c r="M86" s="338">
        <f t="shared" si="50"/>
        <v>0</v>
      </c>
      <c r="N86" s="43" t="s">
        <v>35</v>
      </c>
      <c r="O86" s="339">
        <v>90308490</v>
      </c>
      <c r="P86" s="340">
        <f>IFERROR(VLOOKUP(O86,NCM!$A$3:$D$99,COLUMN(head_porNCM_IPI)-COLUMN(head_porNCM_NCM)+1,FALSE),"")</f>
        <v>3.2500000000000001E-2</v>
      </c>
      <c r="Q86" s="43" t="s">
        <v>620</v>
      </c>
      <c r="R86" s="78" t="s">
        <v>209</v>
      </c>
      <c r="S86" s="341"/>
      <c r="T86" s="28" t="s">
        <v>52</v>
      </c>
      <c r="U86" s="28" t="s">
        <v>2740</v>
      </c>
      <c r="V86" s="548">
        <v>45273</v>
      </c>
      <c r="W86" s="43"/>
      <c r="X86" s="342">
        <f t="shared" si="51"/>
        <v>1849.6201452784505</v>
      </c>
      <c r="Y86" s="342">
        <f t="shared" si="52"/>
        <v>500.93878934624627</v>
      </c>
      <c r="Z86" s="46">
        <f t="shared" si="53"/>
        <v>254.32276997578697</v>
      </c>
      <c r="AA86" s="46">
        <f t="shared" si="54"/>
        <v>1171.4260920096854</v>
      </c>
      <c r="AB86" s="43"/>
      <c r="AC86" s="44">
        <v>15914.44</v>
      </c>
      <c r="AD86" s="31">
        <v>0.12</v>
      </c>
      <c r="AE86" s="31">
        <v>3.2500000000000001E-2</v>
      </c>
      <c r="AF86" s="31">
        <v>0</v>
      </c>
      <c r="AG86" s="28" t="s">
        <v>53</v>
      </c>
      <c r="AH86" s="46">
        <f t="shared" si="55"/>
        <v>16431.659299999999</v>
      </c>
      <c r="AI86" s="43"/>
      <c r="AJ86" s="28" t="s">
        <v>263</v>
      </c>
      <c r="AK86" s="337">
        <v>5.2</v>
      </c>
      <c r="AL86" s="43"/>
      <c r="AM86" s="44">
        <f t="shared" si="56"/>
        <v>0</v>
      </c>
      <c r="AN86" s="43"/>
      <c r="AO86" s="28">
        <f t="shared" si="57"/>
        <v>0</v>
      </c>
      <c r="AP86" s="43"/>
      <c r="AQ86" s="323">
        <f t="shared" si="58"/>
        <v>0</v>
      </c>
      <c r="AR86" s="43"/>
      <c r="AS86" s="44">
        <f t="shared" si="59"/>
        <v>16431.659299999999</v>
      </c>
    </row>
    <row r="87" spans="1:45" x14ac:dyDescent="0.25">
      <c r="A87" s="28"/>
      <c r="B87" s="43"/>
      <c r="C87" s="43"/>
      <c r="D87" s="43"/>
      <c r="E87" s="43" t="s">
        <v>3049</v>
      </c>
      <c r="F87" s="43" t="s">
        <v>1995</v>
      </c>
      <c r="G87" s="46">
        <f t="shared" si="46"/>
        <v>13523.6728</v>
      </c>
      <c r="H87" s="46">
        <f t="shared" si="47"/>
        <v>12102.150375000001</v>
      </c>
      <c r="I87" s="28" t="s">
        <v>262</v>
      </c>
      <c r="J87" s="337">
        <v>1</v>
      </c>
      <c r="K87" s="46">
        <f t="shared" si="48"/>
        <v>13523.6728</v>
      </c>
      <c r="L87" s="46">
        <f t="shared" si="49"/>
        <v>12102.150375000001</v>
      </c>
      <c r="M87" s="338">
        <f t="shared" si="50"/>
        <v>0</v>
      </c>
      <c r="N87" s="43" t="s">
        <v>35</v>
      </c>
      <c r="O87" s="339">
        <v>90308490</v>
      </c>
      <c r="P87" s="340">
        <f>IFERROR(VLOOKUP(O87,NCM!$A$3:$D$99,COLUMN(head_porNCM_IPI)-COLUMN(head_porNCM_NCM)+1,FALSE),"")</f>
        <v>3.2500000000000001E-2</v>
      </c>
      <c r="Q87" s="43" t="s">
        <v>620</v>
      </c>
      <c r="R87" s="78" t="s">
        <v>209</v>
      </c>
      <c r="S87" s="341"/>
      <c r="T87" s="28" t="s">
        <v>52</v>
      </c>
      <c r="U87" s="28" t="s">
        <v>2740</v>
      </c>
      <c r="V87" s="548">
        <v>45273</v>
      </c>
      <c r="W87" s="43"/>
      <c r="X87" s="342">
        <f t="shared" si="51"/>
        <v>1786.089297820823</v>
      </c>
      <c r="Y87" s="342">
        <f t="shared" si="52"/>
        <v>483.7325181598062</v>
      </c>
      <c r="Z87" s="46">
        <f t="shared" si="53"/>
        <v>245.58727845036321</v>
      </c>
      <c r="AA87" s="46">
        <f t="shared" si="54"/>
        <v>1131.1898886198546</v>
      </c>
      <c r="AB87" s="43"/>
      <c r="AC87" s="44">
        <v>15367.81</v>
      </c>
      <c r="AD87" s="31">
        <v>0.12</v>
      </c>
      <c r="AE87" s="31">
        <v>3.2500000000000001E-2</v>
      </c>
      <c r="AF87" s="31">
        <v>0</v>
      </c>
      <c r="AG87" s="28" t="s">
        <v>53</v>
      </c>
      <c r="AH87" s="46">
        <f t="shared" si="55"/>
        <v>15867.263824999998</v>
      </c>
      <c r="AI87" s="43"/>
      <c r="AJ87" s="28" t="s">
        <v>263</v>
      </c>
      <c r="AK87" s="337">
        <v>5.2</v>
      </c>
      <c r="AL87" s="43"/>
      <c r="AM87" s="44">
        <f t="shared" si="56"/>
        <v>0</v>
      </c>
      <c r="AN87" s="43"/>
      <c r="AO87" s="28">
        <f t="shared" si="57"/>
        <v>0</v>
      </c>
      <c r="AP87" s="43"/>
      <c r="AQ87" s="323">
        <f t="shared" si="58"/>
        <v>0</v>
      </c>
      <c r="AR87" s="43"/>
      <c r="AS87" s="44">
        <f t="shared" si="59"/>
        <v>15867.263824999998</v>
      </c>
    </row>
    <row r="88" spans="1:45" x14ac:dyDescent="0.25">
      <c r="A88" s="28"/>
      <c r="B88" s="43"/>
      <c r="C88" s="43"/>
      <c r="D88" s="43"/>
      <c r="E88" s="43" t="s">
        <v>2407</v>
      </c>
      <c r="F88" s="43" t="s">
        <v>2408</v>
      </c>
      <c r="G88" s="46">
        <f t="shared" si="46"/>
        <v>29987.2232</v>
      </c>
      <c r="H88" s="46">
        <f t="shared" si="47"/>
        <v>26835.157125000002</v>
      </c>
      <c r="I88" s="28" t="s">
        <v>262</v>
      </c>
      <c r="J88" s="337">
        <v>1</v>
      </c>
      <c r="K88" s="46">
        <f t="shared" si="48"/>
        <v>29987.2232</v>
      </c>
      <c r="L88" s="46">
        <f t="shared" si="49"/>
        <v>26835.157125000002</v>
      </c>
      <c r="M88" s="338">
        <f t="shared" si="50"/>
        <v>0</v>
      </c>
      <c r="N88" s="43" t="s">
        <v>35</v>
      </c>
      <c r="O88" s="339">
        <v>90308490</v>
      </c>
      <c r="P88" s="340">
        <f>IFERROR(VLOOKUP(O88,NCM!$A$3:$D$99,COLUMN(head_porNCM_IPI)-COLUMN(head_porNCM_NCM)+1,FALSE),"")</f>
        <v>3.2500000000000001E-2</v>
      </c>
      <c r="Q88" s="43" t="s">
        <v>620</v>
      </c>
      <c r="R88" s="78" t="s">
        <v>209</v>
      </c>
      <c r="S88" s="341"/>
      <c r="T88" s="28" t="s">
        <v>52</v>
      </c>
      <c r="U88" s="28" t="s">
        <v>2740</v>
      </c>
      <c r="V88" s="548">
        <v>45273</v>
      </c>
      <c r="W88" s="43"/>
      <c r="X88" s="342">
        <f t="shared" si="51"/>
        <v>3960.4521065375302</v>
      </c>
      <c r="Y88" s="342">
        <f t="shared" si="52"/>
        <v>1072.6224455205811</v>
      </c>
      <c r="Z88" s="46">
        <f t="shared" si="53"/>
        <v>544.56216464891043</v>
      </c>
      <c r="AA88" s="46">
        <f t="shared" si="54"/>
        <v>2508.2863341404359</v>
      </c>
      <c r="AB88" s="43"/>
      <c r="AC88" s="44">
        <v>34076.39</v>
      </c>
      <c r="AD88" s="31">
        <v>0.12</v>
      </c>
      <c r="AE88" s="31">
        <v>3.2500000000000001E-2</v>
      </c>
      <c r="AF88" s="31">
        <v>0</v>
      </c>
      <c r="AG88" s="28" t="s">
        <v>53</v>
      </c>
      <c r="AH88" s="46">
        <f t="shared" si="55"/>
        <v>35183.872674999999</v>
      </c>
      <c r="AI88" s="43"/>
      <c r="AJ88" s="28" t="s">
        <v>263</v>
      </c>
      <c r="AK88" s="337">
        <v>5.2</v>
      </c>
      <c r="AL88" s="43"/>
      <c r="AM88" s="44">
        <f t="shared" si="56"/>
        <v>0</v>
      </c>
      <c r="AN88" s="43"/>
      <c r="AO88" s="28">
        <f t="shared" si="57"/>
        <v>0</v>
      </c>
      <c r="AP88" s="43"/>
      <c r="AQ88" s="323">
        <f t="shared" si="58"/>
        <v>0</v>
      </c>
      <c r="AR88" s="43"/>
      <c r="AS88" s="44">
        <f t="shared" si="59"/>
        <v>35183.872674999999</v>
      </c>
    </row>
    <row r="89" spans="1:45" x14ac:dyDescent="0.25">
      <c r="A89" s="28"/>
      <c r="B89" s="43"/>
      <c r="C89" s="43"/>
      <c r="D89" s="43"/>
      <c r="E89" s="43" t="s">
        <v>3050</v>
      </c>
      <c r="F89" s="43" t="s">
        <v>1996</v>
      </c>
      <c r="G89" s="46">
        <f t="shared" si="46"/>
        <v>29363.84</v>
      </c>
      <c r="H89" s="46">
        <f t="shared" si="47"/>
        <v>26277.300000000003</v>
      </c>
      <c r="I89" s="28" t="s">
        <v>262</v>
      </c>
      <c r="J89" s="337">
        <v>1</v>
      </c>
      <c r="K89" s="46">
        <f t="shared" si="48"/>
        <v>29363.84</v>
      </c>
      <c r="L89" s="46">
        <f t="shared" si="49"/>
        <v>26277.300000000003</v>
      </c>
      <c r="M89" s="338">
        <f t="shared" si="50"/>
        <v>0</v>
      </c>
      <c r="N89" s="43" t="s">
        <v>35</v>
      </c>
      <c r="O89" s="339">
        <v>90308490</v>
      </c>
      <c r="P89" s="340">
        <f>IFERROR(VLOOKUP(O89,NCM!$A$3:$D$99,COLUMN(head_porNCM_IPI)-COLUMN(head_porNCM_NCM)+1,FALSE),"")</f>
        <v>3.2500000000000001E-2</v>
      </c>
      <c r="Q89" s="43" t="s">
        <v>620</v>
      </c>
      <c r="R89" s="78" t="s">
        <v>209</v>
      </c>
      <c r="S89" s="341"/>
      <c r="T89" s="28" t="s">
        <v>52</v>
      </c>
      <c r="U89" s="28" t="s">
        <v>2740</v>
      </c>
      <c r="V89" s="548">
        <v>45273</v>
      </c>
      <c r="W89" s="43"/>
      <c r="X89" s="342">
        <f t="shared" si="51"/>
        <v>3878.1210653753028</v>
      </c>
      <c r="Y89" s="342">
        <f t="shared" si="52"/>
        <v>1050.3244552058095</v>
      </c>
      <c r="Z89" s="46">
        <f t="shared" si="53"/>
        <v>533.24164648910414</v>
      </c>
      <c r="AA89" s="46">
        <f t="shared" si="54"/>
        <v>2456.1433414043586</v>
      </c>
      <c r="AB89" s="43"/>
      <c r="AC89" s="44">
        <v>33368</v>
      </c>
      <c r="AD89" s="31">
        <v>0.12</v>
      </c>
      <c r="AE89" s="31">
        <v>3.2500000000000001E-2</v>
      </c>
      <c r="AF89" s="31">
        <v>0</v>
      </c>
      <c r="AG89" s="28" t="s">
        <v>53</v>
      </c>
      <c r="AH89" s="46">
        <f t="shared" si="55"/>
        <v>34452.46</v>
      </c>
      <c r="AI89" s="43"/>
      <c r="AJ89" s="28" t="s">
        <v>263</v>
      </c>
      <c r="AK89" s="337">
        <v>5.2</v>
      </c>
      <c r="AL89" s="43"/>
      <c r="AM89" s="44">
        <f t="shared" si="56"/>
        <v>0</v>
      </c>
      <c r="AN89" s="43"/>
      <c r="AO89" s="28">
        <f t="shared" si="57"/>
        <v>0</v>
      </c>
      <c r="AP89" s="43"/>
      <c r="AQ89" s="323">
        <f t="shared" si="58"/>
        <v>0</v>
      </c>
      <c r="AR89" s="43"/>
      <c r="AS89" s="44">
        <f t="shared" si="59"/>
        <v>34452.46</v>
      </c>
    </row>
    <row r="90" spans="1:45" x14ac:dyDescent="0.25">
      <c r="A90" s="28"/>
      <c r="B90" s="43"/>
      <c r="C90" s="43"/>
      <c r="D90" s="43" t="s">
        <v>649</v>
      </c>
      <c r="E90" s="43"/>
      <c r="F90" s="43"/>
      <c r="G90" s="46">
        <f t="shared" si="46"/>
        <v>0</v>
      </c>
      <c r="H90" s="46">
        <f t="shared" si="47"/>
        <v>0</v>
      </c>
      <c r="I90" s="28"/>
      <c r="J90" s="337"/>
      <c r="K90" s="46" t="str">
        <f t="shared" si="48"/>
        <v/>
      </c>
      <c r="L90" s="46" t="str">
        <f t="shared" si="49"/>
        <v/>
      </c>
      <c r="M90" s="338">
        <f t="shared" si="50"/>
        <v>0</v>
      </c>
      <c r="N90" s="43"/>
      <c r="O90" s="339"/>
      <c r="P90" s="340" t="str">
        <f>IFERROR(VLOOKUP(O90,NCM!$A$3:$D$99,COLUMN(head_porNCM_IPI)-COLUMN(head_porNCM_NCM)+1,FALSE),"")</f>
        <v/>
      </c>
      <c r="Q90" s="43"/>
      <c r="R90" s="78"/>
      <c r="S90" s="341"/>
      <c r="T90" s="28"/>
      <c r="U90" s="28"/>
      <c r="V90" s="28"/>
      <c r="W90" s="43"/>
      <c r="X90" s="342">
        <f t="shared" si="51"/>
        <v>0</v>
      </c>
      <c r="Y90" s="342">
        <f t="shared" si="52"/>
        <v>0</v>
      </c>
      <c r="Z90" s="46">
        <f t="shared" si="53"/>
        <v>0</v>
      </c>
      <c r="AA90" s="46">
        <f t="shared" si="54"/>
        <v>0</v>
      </c>
      <c r="AB90" s="43"/>
      <c r="AC90" s="44">
        <v>0</v>
      </c>
      <c r="AD90" s="31"/>
      <c r="AE90" s="31"/>
      <c r="AF90" s="31"/>
      <c r="AG90" s="28"/>
      <c r="AH90" s="46">
        <f t="shared" si="55"/>
        <v>0</v>
      </c>
      <c r="AI90" s="43"/>
      <c r="AJ90" s="28"/>
      <c r="AK90" s="337"/>
      <c r="AL90" s="43"/>
      <c r="AM90" s="44">
        <f t="shared" si="56"/>
        <v>0</v>
      </c>
      <c r="AN90" s="43"/>
      <c r="AO90" s="28">
        <f t="shared" si="57"/>
        <v>0</v>
      </c>
      <c r="AP90" s="43"/>
      <c r="AQ90" s="323">
        <f t="shared" si="58"/>
        <v>0</v>
      </c>
      <c r="AR90" s="43"/>
      <c r="AS90" s="44">
        <f t="shared" si="59"/>
        <v>0</v>
      </c>
    </row>
    <row r="91" spans="1:45" x14ac:dyDescent="0.25">
      <c r="A91" s="28"/>
      <c r="B91" s="43"/>
      <c r="C91" s="43"/>
      <c r="D91" s="43" t="s">
        <v>657</v>
      </c>
      <c r="E91" s="43"/>
      <c r="F91" s="43"/>
      <c r="G91" s="46">
        <f t="shared" si="46"/>
        <v>0</v>
      </c>
      <c r="H91" s="46">
        <f t="shared" si="47"/>
        <v>0</v>
      </c>
      <c r="I91" s="28"/>
      <c r="J91" s="337"/>
      <c r="K91" s="46" t="str">
        <f t="shared" si="48"/>
        <v/>
      </c>
      <c r="L91" s="46" t="str">
        <f t="shared" si="49"/>
        <v/>
      </c>
      <c r="M91" s="338">
        <f t="shared" si="50"/>
        <v>0</v>
      </c>
      <c r="N91" s="43"/>
      <c r="O91" s="339"/>
      <c r="P91" s="340" t="str">
        <f>IFERROR(VLOOKUP(O91,NCM!$A$3:$D$99,COLUMN(head_porNCM_IPI)-COLUMN(head_porNCM_NCM)+1,FALSE),"")</f>
        <v/>
      </c>
      <c r="Q91" s="43"/>
      <c r="R91" s="78"/>
      <c r="S91" s="341"/>
      <c r="T91" s="28"/>
      <c r="U91" s="28"/>
      <c r="V91" s="28"/>
      <c r="W91" s="43"/>
      <c r="X91" s="342">
        <f t="shared" si="51"/>
        <v>0</v>
      </c>
      <c r="Y91" s="342">
        <f t="shared" si="52"/>
        <v>0</v>
      </c>
      <c r="Z91" s="46">
        <f t="shared" si="53"/>
        <v>0</v>
      </c>
      <c r="AA91" s="46">
        <f t="shared" si="54"/>
        <v>0</v>
      </c>
      <c r="AB91" s="43"/>
      <c r="AC91" s="44">
        <v>0</v>
      </c>
      <c r="AD91" s="31"/>
      <c r="AE91" s="31"/>
      <c r="AF91" s="31"/>
      <c r="AG91" s="28"/>
      <c r="AH91" s="46">
        <f t="shared" si="55"/>
        <v>0</v>
      </c>
      <c r="AI91" s="43"/>
      <c r="AJ91" s="28"/>
      <c r="AK91" s="337"/>
      <c r="AL91" s="43"/>
      <c r="AM91" s="44">
        <f t="shared" si="56"/>
        <v>0</v>
      </c>
      <c r="AN91" s="43"/>
      <c r="AO91" s="28">
        <f t="shared" si="57"/>
        <v>0</v>
      </c>
      <c r="AP91" s="43"/>
      <c r="AQ91" s="323">
        <f t="shared" si="58"/>
        <v>0</v>
      </c>
      <c r="AR91" s="43"/>
      <c r="AS91" s="44">
        <f t="shared" si="59"/>
        <v>0</v>
      </c>
    </row>
    <row r="92" spans="1:45" x14ac:dyDescent="0.25">
      <c r="A92" s="28"/>
      <c r="B92" s="43"/>
      <c r="C92" s="43"/>
      <c r="D92" s="43"/>
      <c r="E92" s="43" t="s">
        <v>650</v>
      </c>
      <c r="F92" s="43" t="s">
        <v>651</v>
      </c>
      <c r="G92" s="46">
        <f t="shared" si="46"/>
        <v>21069.119999999999</v>
      </c>
      <c r="H92" s="46">
        <f t="shared" si="47"/>
        <v>19039.022500000003</v>
      </c>
      <c r="I92" s="28" t="s">
        <v>262</v>
      </c>
      <c r="J92" s="337">
        <v>1</v>
      </c>
      <c r="K92" s="46">
        <f t="shared" si="48"/>
        <v>21069.119999999999</v>
      </c>
      <c r="L92" s="46">
        <f t="shared" si="49"/>
        <v>19039.022500000003</v>
      </c>
      <c r="M92" s="338">
        <f t="shared" si="50"/>
        <v>0</v>
      </c>
      <c r="N92" s="43" t="s">
        <v>34</v>
      </c>
      <c r="O92" s="339">
        <v>85176249</v>
      </c>
      <c r="P92" s="340">
        <f>IFERROR(VLOOKUP(O92,NCM!$A$3:$D$99,COLUMN(head_porNCM_IPI)-COLUMN(head_porNCM_NCM)+1,FALSE),"")</f>
        <v>9.7500000000000003E-2</v>
      </c>
      <c r="Q92" s="43" t="s">
        <v>621</v>
      </c>
      <c r="R92" s="78" t="s">
        <v>210</v>
      </c>
      <c r="S92" s="341"/>
      <c r="T92" s="28" t="s">
        <v>52</v>
      </c>
      <c r="U92" s="28" t="s">
        <v>655</v>
      </c>
      <c r="V92" s="548">
        <v>43153</v>
      </c>
      <c r="W92" s="43"/>
      <c r="X92" s="342">
        <f t="shared" si="51"/>
        <v>877.88</v>
      </c>
      <c r="Y92" s="342">
        <f t="shared" si="52"/>
        <v>0</v>
      </c>
      <c r="Z92" s="46">
        <f t="shared" si="53"/>
        <v>362.12550000000005</v>
      </c>
      <c r="AA92" s="46">
        <f t="shared" si="54"/>
        <v>1667.972</v>
      </c>
      <c r="AB92" s="43"/>
      <c r="AC92" s="44">
        <v>21947</v>
      </c>
      <c r="AD92" s="31">
        <v>0.04</v>
      </c>
      <c r="AE92" s="31">
        <v>0</v>
      </c>
      <c r="AF92" s="31">
        <v>0</v>
      </c>
      <c r="AG92" s="28" t="s">
        <v>53</v>
      </c>
      <c r="AH92" s="46">
        <f t="shared" si="55"/>
        <v>21947</v>
      </c>
      <c r="AI92" s="43"/>
      <c r="AJ92" s="28" t="s">
        <v>263</v>
      </c>
      <c r="AK92" s="337">
        <v>3.2349999999999999</v>
      </c>
      <c r="AL92" s="43"/>
      <c r="AM92" s="44">
        <f t="shared" si="56"/>
        <v>0</v>
      </c>
      <c r="AN92" s="43"/>
      <c r="AO92" s="28">
        <f t="shared" si="57"/>
        <v>0</v>
      </c>
      <c r="AP92" s="43"/>
      <c r="AQ92" s="323">
        <f t="shared" si="58"/>
        <v>0</v>
      </c>
      <c r="AR92" s="43"/>
      <c r="AS92" s="44">
        <f t="shared" si="59"/>
        <v>21947</v>
      </c>
    </row>
    <row r="93" spans="1:45" x14ac:dyDescent="0.25">
      <c r="A93" s="28"/>
      <c r="B93" s="43"/>
      <c r="C93" s="43"/>
      <c r="D93" s="43" t="s">
        <v>593</v>
      </c>
      <c r="E93" s="43"/>
      <c r="F93" s="43"/>
      <c r="G93" s="46">
        <f t="shared" si="46"/>
        <v>0</v>
      </c>
      <c r="H93" s="46">
        <f t="shared" si="47"/>
        <v>0</v>
      </c>
      <c r="I93" s="28"/>
      <c r="J93" s="337"/>
      <c r="K93" s="46" t="str">
        <f t="shared" si="48"/>
        <v/>
      </c>
      <c r="L93" s="46" t="str">
        <f t="shared" si="49"/>
        <v/>
      </c>
      <c r="M93" s="338">
        <f t="shared" si="50"/>
        <v>0</v>
      </c>
      <c r="N93" s="43"/>
      <c r="O93" s="339"/>
      <c r="P93" s="340" t="str">
        <f>IFERROR(VLOOKUP(O93,NCM!$A$3:$D$99,COLUMN(head_porNCM_IPI)-COLUMN(head_porNCM_NCM)+1,FALSE),"")</f>
        <v/>
      </c>
      <c r="Q93" s="43"/>
      <c r="R93" s="78"/>
      <c r="S93" s="341"/>
      <c r="T93" s="28"/>
      <c r="U93" s="28"/>
      <c r="V93" s="28"/>
      <c r="W93" s="43"/>
      <c r="X93" s="342">
        <f t="shared" si="51"/>
        <v>0</v>
      </c>
      <c r="Y93" s="342">
        <f t="shared" si="52"/>
        <v>0</v>
      </c>
      <c r="Z93" s="46">
        <f t="shared" si="53"/>
        <v>0</v>
      </c>
      <c r="AA93" s="46">
        <f t="shared" si="54"/>
        <v>0</v>
      </c>
      <c r="AB93" s="43"/>
      <c r="AC93" s="44">
        <v>0</v>
      </c>
      <c r="AD93" s="31"/>
      <c r="AE93" s="31"/>
      <c r="AF93" s="31"/>
      <c r="AG93" s="28"/>
      <c r="AH93" s="46">
        <f t="shared" si="55"/>
        <v>0</v>
      </c>
      <c r="AI93" s="43"/>
      <c r="AJ93" s="28"/>
      <c r="AK93" s="337"/>
      <c r="AL93" s="43"/>
      <c r="AM93" s="44">
        <f t="shared" si="56"/>
        <v>0</v>
      </c>
      <c r="AN93" s="43"/>
      <c r="AO93" s="28">
        <f t="shared" si="57"/>
        <v>0</v>
      </c>
      <c r="AP93" s="43"/>
      <c r="AQ93" s="323">
        <f t="shared" si="58"/>
        <v>0</v>
      </c>
      <c r="AR93" s="43"/>
      <c r="AS93" s="44">
        <f t="shared" si="59"/>
        <v>0</v>
      </c>
    </row>
    <row r="94" spans="1:45" x14ac:dyDescent="0.25">
      <c r="A94" s="28"/>
      <c r="B94" s="43"/>
      <c r="C94" s="43"/>
      <c r="D94" s="43"/>
      <c r="E94" s="43" t="s">
        <v>1997</v>
      </c>
      <c r="F94" s="43" t="s">
        <v>1998</v>
      </c>
      <c r="G94" s="46">
        <f t="shared" si="46"/>
        <v>24161.772800000002</v>
      </c>
      <c r="H94" s="46">
        <f t="shared" si="47"/>
        <v>21622.041000000005</v>
      </c>
      <c r="I94" s="28" t="s">
        <v>262</v>
      </c>
      <c r="J94" s="337">
        <v>1</v>
      </c>
      <c r="K94" s="46">
        <f t="shared" si="48"/>
        <v>24161.772800000002</v>
      </c>
      <c r="L94" s="46">
        <f t="shared" si="49"/>
        <v>21622.041000000005</v>
      </c>
      <c r="M94" s="338">
        <f t="shared" si="50"/>
        <v>0</v>
      </c>
      <c r="N94" s="43" t="s">
        <v>34</v>
      </c>
      <c r="O94" s="339">
        <v>85176239</v>
      </c>
      <c r="P94" s="340">
        <f>IFERROR(VLOOKUP(O94,NCM!$A$3:$D$99,COLUMN(head_porNCM_IPI)-COLUMN(head_porNCM_NCM)+1,FALSE),"")</f>
        <v>9.7500000000000003E-2</v>
      </c>
      <c r="Q94" s="43" t="s">
        <v>620</v>
      </c>
      <c r="R94" s="78" t="s">
        <v>210</v>
      </c>
      <c r="S94" s="341"/>
      <c r="T94" s="28" t="s">
        <v>52</v>
      </c>
      <c r="U94" s="28" t="s">
        <v>2740</v>
      </c>
      <c r="V94" s="548">
        <v>45273</v>
      </c>
      <c r="W94" s="43"/>
      <c r="X94" s="342">
        <f t="shared" si="51"/>
        <v>3002.0840091116174</v>
      </c>
      <c r="Y94" s="342">
        <f t="shared" si="52"/>
        <v>2439.1932574031889</v>
      </c>
      <c r="Z94" s="46">
        <f t="shared" si="53"/>
        <v>412.7865512528474</v>
      </c>
      <c r="AA94" s="46">
        <f t="shared" si="54"/>
        <v>1901.3198724373576</v>
      </c>
      <c r="AB94" s="43"/>
      <c r="AC94" s="44">
        <v>27456.560000000001</v>
      </c>
      <c r="AD94" s="31">
        <v>0.12</v>
      </c>
      <c r="AE94" s="31">
        <v>9.7500000000000003E-2</v>
      </c>
      <c r="AF94" s="31">
        <v>0</v>
      </c>
      <c r="AG94" s="28" t="s">
        <v>53</v>
      </c>
      <c r="AH94" s="46">
        <f t="shared" si="55"/>
        <v>30133.5746</v>
      </c>
      <c r="AI94" s="43"/>
      <c r="AJ94" s="28" t="s">
        <v>263</v>
      </c>
      <c r="AK94" s="337">
        <v>5.23</v>
      </c>
      <c r="AL94" s="43"/>
      <c r="AM94" s="44">
        <f t="shared" si="56"/>
        <v>0</v>
      </c>
      <c r="AN94" s="43"/>
      <c r="AO94" s="28">
        <f t="shared" si="57"/>
        <v>0</v>
      </c>
      <c r="AP94" s="43"/>
      <c r="AQ94" s="323">
        <f t="shared" si="58"/>
        <v>0</v>
      </c>
      <c r="AR94" s="43"/>
      <c r="AS94" s="44">
        <f t="shared" si="59"/>
        <v>30133.5746</v>
      </c>
    </row>
    <row r="95" spans="1:45" x14ac:dyDescent="0.25">
      <c r="A95" s="28"/>
      <c r="B95" s="43"/>
      <c r="C95" s="43"/>
      <c r="D95" s="43"/>
      <c r="E95" s="43" t="s">
        <v>3051</v>
      </c>
      <c r="F95" s="43" t="s">
        <v>3123</v>
      </c>
      <c r="G95" s="46">
        <f t="shared" si="46"/>
        <v>23737.747199999998</v>
      </c>
      <c r="H95" s="46">
        <f t="shared" si="47"/>
        <v>21450.516350000002</v>
      </c>
      <c r="I95" s="28" t="s">
        <v>262</v>
      </c>
      <c r="J95" s="337">
        <v>1</v>
      </c>
      <c r="K95" s="46">
        <f t="shared" si="48"/>
        <v>23737.747199999998</v>
      </c>
      <c r="L95" s="46">
        <f t="shared" si="49"/>
        <v>21450.516350000002</v>
      </c>
      <c r="M95" s="338">
        <f t="shared" si="50"/>
        <v>0</v>
      </c>
      <c r="N95" s="43" t="s">
        <v>34</v>
      </c>
      <c r="O95" s="339">
        <v>85176234</v>
      </c>
      <c r="P95" s="340">
        <f>IFERROR(VLOOKUP(O95,NCM!$A$3:$D$99,COLUMN(head_porNCM_IPI)-COLUMN(head_porNCM_NCM)+1,FALSE),"")</f>
        <v>9.7500000000000003E-2</v>
      </c>
      <c r="Q95" s="43" t="s">
        <v>804</v>
      </c>
      <c r="R95" s="78" t="s">
        <v>210</v>
      </c>
      <c r="S95" s="341"/>
      <c r="T95" s="28" t="s">
        <v>52</v>
      </c>
      <c r="U95" s="28" t="s">
        <v>3090</v>
      </c>
      <c r="V95" s="548">
        <v>45467</v>
      </c>
      <c r="W95" s="43"/>
      <c r="X95" s="342">
        <f t="shared" si="51"/>
        <v>901.20528473804109</v>
      </c>
      <c r="Y95" s="342">
        <f t="shared" si="52"/>
        <v>2196.6878815489727</v>
      </c>
      <c r="Z95" s="46">
        <f t="shared" si="53"/>
        <v>371.74717995444195</v>
      </c>
      <c r="AA95" s="46">
        <f t="shared" si="54"/>
        <v>1712.290041002278</v>
      </c>
      <c r="AB95" s="43"/>
      <c r="AC95" s="44">
        <v>24726.82</v>
      </c>
      <c r="AD95" s="31">
        <v>0.04</v>
      </c>
      <c r="AE95" s="31">
        <v>9.7500000000000003E-2</v>
      </c>
      <c r="AF95" s="31">
        <v>0</v>
      </c>
      <c r="AG95" s="28" t="s">
        <v>53</v>
      </c>
      <c r="AH95" s="46">
        <f t="shared" si="55"/>
        <v>27137.684949999999</v>
      </c>
      <c r="AI95" s="43"/>
      <c r="AJ95" s="28" t="s">
        <v>263</v>
      </c>
      <c r="AK95" s="337">
        <v>5.39</v>
      </c>
      <c r="AL95" s="43"/>
      <c r="AM95" s="44">
        <f t="shared" si="56"/>
        <v>0</v>
      </c>
      <c r="AN95" s="43"/>
      <c r="AO95" s="28">
        <f t="shared" si="57"/>
        <v>0</v>
      </c>
      <c r="AP95" s="43"/>
      <c r="AQ95" s="323">
        <f t="shared" si="58"/>
        <v>0</v>
      </c>
      <c r="AR95" s="43"/>
      <c r="AS95" s="44">
        <f t="shared" si="59"/>
        <v>27137.684949999999</v>
      </c>
    </row>
    <row r="96" spans="1:45" x14ac:dyDescent="0.25">
      <c r="A96" s="28"/>
      <c r="B96" s="43"/>
      <c r="C96" s="43"/>
      <c r="D96" s="43"/>
      <c r="E96" s="43" t="s">
        <v>1140</v>
      </c>
      <c r="F96" s="43" t="s">
        <v>1141</v>
      </c>
      <c r="G96" s="46">
        <f t="shared" si="46"/>
        <v>23263.727999999999</v>
      </c>
      <c r="H96" s="46">
        <f t="shared" si="47"/>
        <v>21022.170875</v>
      </c>
      <c r="I96" s="28" t="s">
        <v>262</v>
      </c>
      <c r="J96" s="337">
        <v>1</v>
      </c>
      <c r="K96" s="46">
        <f t="shared" si="48"/>
        <v>23263.727999999999</v>
      </c>
      <c r="L96" s="46">
        <f t="shared" si="49"/>
        <v>21022.170875</v>
      </c>
      <c r="M96" s="338">
        <f t="shared" si="50"/>
        <v>0</v>
      </c>
      <c r="N96" s="43" t="s">
        <v>34</v>
      </c>
      <c r="O96" s="339">
        <v>85176259</v>
      </c>
      <c r="P96" s="340">
        <f>IFERROR(VLOOKUP(O96,NCM!$A$3:$D$99,COLUMN(head_porNCM_IPI)-COLUMN(head_porNCM_NCM)+1,FALSE),"")</f>
        <v>0.15</v>
      </c>
      <c r="Q96" s="43" t="s">
        <v>804</v>
      </c>
      <c r="R96" s="78" t="s">
        <v>210</v>
      </c>
      <c r="S96" s="341"/>
      <c r="T96" s="28" t="s">
        <v>52</v>
      </c>
      <c r="U96" s="28" t="s">
        <v>2741</v>
      </c>
      <c r="V96" s="548">
        <v>45399</v>
      </c>
      <c r="W96" s="43"/>
      <c r="X96" s="342">
        <f t="shared" si="51"/>
        <v>883.20911161731215</v>
      </c>
      <c r="Y96" s="342">
        <f t="shared" si="52"/>
        <v>2152.8222095671954</v>
      </c>
      <c r="Z96" s="46">
        <f t="shared" si="53"/>
        <v>364.32375854214126</v>
      </c>
      <c r="AA96" s="46">
        <f t="shared" si="54"/>
        <v>1678.0973120728931</v>
      </c>
      <c r="AB96" s="43"/>
      <c r="AC96" s="44">
        <v>24233.05</v>
      </c>
      <c r="AD96" s="31">
        <v>0.04</v>
      </c>
      <c r="AE96" s="31">
        <v>9.7500000000000003E-2</v>
      </c>
      <c r="AF96" s="31">
        <v>0</v>
      </c>
      <c r="AG96" s="28" t="s">
        <v>53</v>
      </c>
      <c r="AH96" s="46">
        <f t="shared" si="55"/>
        <v>26595.772374999997</v>
      </c>
      <c r="AI96" s="43"/>
      <c r="AJ96" s="28" t="s">
        <v>263</v>
      </c>
      <c r="AK96" s="337">
        <v>5.23</v>
      </c>
      <c r="AL96" s="43"/>
      <c r="AM96" s="44">
        <f t="shared" si="56"/>
        <v>0</v>
      </c>
      <c r="AN96" s="43"/>
      <c r="AO96" s="28">
        <f t="shared" si="57"/>
        <v>0</v>
      </c>
      <c r="AP96" s="43"/>
      <c r="AQ96" s="323">
        <f t="shared" si="58"/>
        <v>0</v>
      </c>
      <c r="AR96" s="43"/>
      <c r="AS96" s="44">
        <f t="shared" si="59"/>
        <v>26595.772374999997</v>
      </c>
    </row>
    <row r="97" spans="1:45" x14ac:dyDescent="0.25">
      <c r="A97" s="28"/>
      <c r="B97" s="43"/>
      <c r="C97" s="43"/>
      <c r="D97" s="43"/>
      <c r="E97" s="43" t="s">
        <v>1156</v>
      </c>
      <c r="F97" s="43" t="s">
        <v>1157</v>
      </c>
      <c r="G97" s="46">
        <f t="shared" si="46"/>
        <v>21772.243199999997</v>
      </c>
      <c r="H97" s="46">
        <f t="shared" si="47"/>
        <v>19674.396850000001</v>
      </c>
      <c r="I97" s="28" t="s">
        <v>262</v>
      </c>
      <c r="J97" s="337">
        <v>1</v>
      </c>
      <c r="K97" s="46">
        <f t="shared" si="48"/>
        <v>21772.243199999997</v>
      </c>
      <c r="L97" s="46">
        <f t="shared" si="49"/>
        <v>19674.396850000001</v>
      </c>
      <c r="M97" s="338">
        <f t="shared" si="50"/>
        <v>0</v>
      </c>
      <c r="N97" s="43" t="s">
        <v>34</v>
      </c>
      <c r="O97" s="339">
        <v>85176259</v>
      </c>
      <c r="P97" s="340">
        <f>IFERROR(VLOOKUP(O97,NCM!$A$3:$D$99,COLUMN(head_porNCM_IPI)-COLUMN(head_porNCM_NCM)+1,FALSE),"")</f>
        <v>0.15</v>
      </c>
      <c r="Q97" s="43" t="s">
        <v>804</v>
      </c>
      <c r="R97" s="78" t="s">
        <v>210</v>
      </c>
      <c r="S97" s="341"/>
      <c r="T97" s="28" t="s">
        <v>52</v>
      </c>
      <c r="U97" s="28" t="s">
        <v>2741</v>
      </c>
      <c r="V97" s="548">
        <v>45399</v>
      </c>
      <c r="W97" s="43"/>
      <c r="X97" s="342">
        <f t="shared" si="51"/>
        <v>826.58478359908884</v>
      </c>
      <c r="Y97" s="342">
        <f t="shared" si="52"/>
        <v>2014.8004100227772</v>
      </c>
      <c r="Z97" s="46">
        <f t="shared" si="53"/>
        <v>340.96622323462418</v>
      </c>
      <c r="AA97" s="46">
        <f t="shared" si="54"/>
        <v>1570.5110888382687</v>
      </c>
      <c r="AB97" s="43"/>
      <c r="AC97" s="44">
        <v>22679.42</v>
      </c>
      <c r="AD97" s="31">
        <v>0.04</v>
      </c>
      <c r="AE97" s="31">
        <v>9.7500000000000003E-2</v>
      </c>
      <c r="AF97" s="31">
        <v>0</v>
      </c>
      <c r="AG97" s="28" t="s">
        <v>53</v>
      </c>
      <c r="AH97" s="46">
        <f t="shared" si="55"/>
        <v>24890.663449999996</v>
      </c>
      <c r="AI97" s="43"/>
      <c r="AJ97" s="28" t="s">
        <v>263</v>
      </c>
      <c r="AK97" s="337">
        <v>5.23</v>
      </c>
      <c r="AL97" s="43"/>
      <c r="AM97" s="44">
        <f t="shared" si="56"/>
        <v>0</v>
      </c>
      <c r="AN97" s="43"/>
      <c r="AO97" s="28">
        <f t="shared" si="57"/>
        <v>0</v>
      </c>
      <c r="AP97" s="43"/>
      <c r="AQ97" s="323">
        <f t="shared" si="58"/>
        <v>0</v>
      </c>
      <c r="AR97" s="43"/>
      <c r="AS97" s="44">
        <f t="shared" si="59"/>
        <v>24890.663449999996</v>
      </c>
    </row>
    <row r="98" spans="1:45" x14ac:dyDescent="0.25">
      <c r="A98" s="28"/>
      <c r="B98" s="43"/>
      <c r="C98" s="43"/>
      <c r="D98" s="43"/>
      <c r="E98" s="43" t="s">
        <v>1158</v>
      </c>
      <c r="F98" s="43" t="s">
        <v>1159</v>
      </c>
      <c r="G98" s="46">
        <f t="shared" si="46"/>
        <v>20280.7392</v>
      </c>
      <c r="H98" s="46">
        <f t="shared" si="47"/>
        <v>18326.605475</v>
      </c>
      <c r="I98" s="28" t="s">
        <v>262</v>
      </c>
      <c r="J98" s="337">
        <v>1</v>
      </c>
      <c r="K98" s="46">
        <f t="shared" si="48"/>
        <v>20280.7392</v>
      </c>
      <c r="L98" s="46">
        <f t="shared" si="49"/>
        <v>18326.605475</v>
      </c>
      <c r="M98" s="338">
        <f t="shared" si="50"/>
        <v>0</v>
      </c>
      <c r="N98" s="43" t="s">
        <v>34</v>
      </c>
      <c r="O98" s="339">
        <v>85176259</v>
      </c>
      <c r="P98" s="340">
        <f>IFERROR(VLOOKUP(O98,NCM!$A$3:$D$99,COLUMN(head_porNCM_IPI)-COLUMN(head_porNCM_NCM)+1,FALSE),"")</f>
        <v>0.15</v>
      </c>
      <c r="Q98" s="43" t="s">
        <v>804</v>
      </c>
      <c r="R98" s="78" t="s">
        <v>210</v>
      </c>
      <c r="S98" s="341"/>
      <c r="T98" s="28" t="s">
        <v>52</v>
      </c>
      <c r="U98" s="28" t="s">
        <v>2741</v>
      </c>
      <c r="V98" s="548">
        <v>45399</v>
      </c>
      <c r="W98" s="43"/>
      <c r="X98" s="342">
        <f t="shared" si="51"/>
        <v>769.95972665148076</v>
      </c>
      <c r="Y98" s="342">
        <f t="shared" si="52"/>
        <v>1876.7768337129819</v>
      </c>
      <c r="Z98" s="46">
        <f t="shared" si="53"/>
        <v>317.60838724373582</v>
      </c>
      <c r="AA98" s="46">
        <f t="shared" si="54"/>
        <v>1462.9234806378133</v>
      </c>
      <c r="AB98" s="43"/>
      <c r="AC98" s="44">
        <v>21125.77</v>
      </c>
      <c r="AD98" s="31">
        <v>0.04</v>
      </c>
      <c r="AE98" s="31">
        <v>9.7500000000000003E-2</v>
      </c>
      <c r="AF98" s="31">
        <v>0</v>
      </c>
      <c r="AG98" s="28" t="s">
        <v>53</v>
      </c>
      <c r="AH98" s="46">
        <f t="shared" si="55"/>
        <v>23185.532574999997</v>
      </c>
      <c r="AI98" s="43"/>
      <c r="AJ98" s="28" t="s">
        <v>263</v>
      </c>
      <c r="AK98" s="337">
        <v>5.23</v>
      </c>
      <c r="AL98" s="43"/>
      <c r="AM98" s="44">
        <f t="shared" si="56"/>
        <v>0</v>
      </c>
      <c r="AN98" s="43"/>
      <c r="AO98" s="28">
        <f t="shared" si="57"/>
        <v>0</v>
      </c>
      <c r="AP98" s="43"/>
      <c r="AQ98" s="323">
        <f t="shared" si="58"/>
        <v>0</v>
      </c>
      <c r="AR98" s="43"/>
      <c r="AS98" s="44">
        <f t="shared" si="59"/>
        <v>23185.532574999997</v>
      </c>
    </row>
    <row r="99" spans="1:45" x14ac:dyDescent="0.25">
      <c r="A99" s="28"/>
      <c r="B99" s="43"/>
      <c r="C99" s="43"/>
      <c r="D99" s="43"/>
      <c r="E99" s="43" t="s">
        <v>1160</v>
      </c>
      <c r="F99" s="43" t="s">
        <v>1161</v>
      </c>
      <c r="G99" s="46">
        <f t="shared" si="46"/>
        <v>18789.235199999999</v>
      </c>
      <c r="H99" s="46">
        <f t="shared" si="47"/>
        <v>16978.8141</v>
      </c>
      <c r="I99" s="28" t="s">
        <v>262</v>
      </c>
      <c r="J99" s="337">
        <v>1</v>
      </c>
      <c r="K99" s="46">
        <f t="shared" si="48"/>
        <v>18789.235199999999</v>
      </c>
      <c r="L99" s="46">
        <f t="shared" si="49"/>
        <v>16978.8141</v>
      </c>
      <c r="M99" s="338">
        <f t="shared" si="50"/>
        <v>0</v>
      </c>
      <c r="N99" s="43" t="s">
        <v>34</v>
      </c>
      <c r="O99" s="339">
        <v>85176259</v>
      </c>
      <c r="P99" s="340">
        <f>IFERROR(VLOOKUP(O99,NCM!$A$3:$D$99,COLUMN(head_porNCM_IPI)-COLUMN(head_porNCM_NCM)+1,FALSE),"")</f>
        <v>0.15</v>
      </c>
      <c r="Q99" s="43" t="s">
        <v>804</v>
      </c>
      <c r="R99" s="78" t="s">
        <v>210</v>
      </c>
      <c r="S99" s="341"/>
      <c r="T99" s="28" t="s">
        <v>52</v>
      </c>
      <c r="U99" s="28" t="s">
        <v>2741</v>
      </c>
      <c r="V99" s="548">
        <v>45399</v>
      </c>
      <c r="W99" s="43"/>
      <c r="X99" s="342">
        <f t="shared" si="51"/>
        <v>713.33466970387246</v>
      </c>
      <c r="Y99" s="342">
        <f t="shared" si="52"/>
        <v>1738.7532574031866</v>
      </c>
      <c r="Z99" s="46">
        <f t="shared" si="53"/>
        <v>294.2505512528474</v>
      </c>
      <c r="AA99" s="46">
        <f t="shared" si="54"/>
        <v>1355.3358724373577</v>
      </c>
      <c r="AB99" s="43"/>
      <c r="AC99" s="44">
        <v>19572.12</v>
      </c>
      <c r="AD99" s="31">
        <v>0.04</v>
      </c>
      <c r="AE99" s="31">
        <v>9.7500000000000003E-2</v>
      </c>
      <c r="AF99" s="31">
        <v>0</v>
      </c>
      <c r="AG99" s="28" t="s">
        <v>53</v>
      </c>
      <c r="AH99" s="46">
        <f t="shared" si="55"/>
        <v>21480.401699999999</v>
      </c>
      <c r="AI99" s="43"/>
      <c r="AJ99" s="28" t="s">
        <v>263</v>
      </c>
      <c r="AK99" s="337">
        <v>5.23</v>
      </c>
      <c r="AL99" s="43"/>
      <c r="AM99" s="44">
        <f t="shared" si="56"/>
        <v>0</v>
      </c>
      <c r="AN99" s="43"/>
      <c r="AO99" s="28">
        <f t="shared" si="57"/>
        <v>0</v>
      </c>
      <c r="AP99" s="43"/>
      <c r="AQ99" s="323">
        <f t="shared" si="58"/>
        <v>0</v>
      </c>
      <c r="AR99" s="43"/>
      <c r="AS99" s="44">
        <f t="shared" si="59"/>
        <v>21480.401699999999</v>
      </c>
    </row>
    <row r="100" spans="1:45" x14ac:dyDescent="0.25">
      <c r="A100" s="28"/>
      <c r="B100" s="43"/>
      <c r="C100" s="43"/>
      <c r="D100" s="43"/>
      <c r="E100" s="43" t="s">
        <v>1142</v>
      </c>
      <c r="F100" s="43" t="s">
        <v>1143</v>
      </c>
      <c r="G100" s="46">
        <f t="shared" si="46"/>
        <v>17297.750400000001</v>
      </c>
      <c r="H100" s="46">
        <f t="shared" si="47"/>
        <v>15631.040075000003</v>
      </c>
      <c r="I100" s="28" t="s">
        <v>262</v>
      </c>
      <c r="J100" s="337">
        <v>1</v>
      </c>
      <c r="K100" s="46">
        <f t="shared" si="48"/>
        <v>17297.750400000001</v>
      </c>
      <c r="L100" s="46">
        <f t="shared" si="49"/>
        <v>15631.040075000003</v>
      </c>
      <c r="M100" s="338">
        <f t="shared" si="50"/>
        <v>0</v>
      </c>
      <c r="N100" s="43" t="s">
        <v>34</v>
      </c>
      <c r="O100" s="339">
        <v>85176259</v>
      </c>
      <c r="P100" s="340">
        <f>IFERROR(VLOOKUP(O100,NCM!$A$3:$D$99,COLUMN(head_porNCM_IPI)-COLUMN(head_porNCM_NCM)+1,FALSE),"")</f>
        <v>0.15</v>
      </c>
      <c r="Q100" s="43" t="s">
        <v>804</v>
      </c>
      <c r="R100" s="78" t="s">
        <v>210</v>
      </c>
      <c r="S100" s="341"/>
      <c r="T100" s="28" t="s">
        <v>52</v>
      </c>
      <c r="U100" s="28" t="s">
        <v>2741</v>
      </c>
      <c r="V100" s="548">
        <v>45399</v>
      </c>
      <c r="W100" s="43"/>
      <c r="X100" s="342">
        <f t="shared" si="51"/>
        <v>656.71034168564938</v>
      </c>
      <c r="Y100" s="342">
        <f t="shared" si="52"/>
        <v>1600.7314578587684</v>
      </c>
      <c r="Z100" s="46">
        <f t="shared" si="53"/>
        <v>270.89301594533038</v>
      </c>
      <c r="AA100" s="46">
        <f t="shared" si="54"/>
        <v>1247.7496492027337</v>
      </c>
      <c r="AB100" s="43"/>
      <c r="AC100" s="44">
        <v>18018.490000000002</v>
      </c>
      <c r="AD100" s="31">
        <v>0.04</v>
      </c>
      <c r="AE100" s="31">
        <v>9.7500000000000003E-2</v>
      </c>
      <c r="AF100" s="31">
        <v>0</v>
      </c>
      <c r="AG100" s="28" t="s">
        <v>53</v>
      </c>
      <c r="AH100" s="46">
        <f t="shared" si="55"/>
        <v>19775.292775000002</v>
      </c>
      <c r="AI100" s="43"/>
      <c r="AJ100" s="28" t="s">
        <v>263</v>
      </c>
      <c r="AK100" s="337">
        <v>5.23</v>
      </c>
      <c r="AL100" s="43"/>
      <c r="AM100" s="44">
        <f t="shared" si="56"/>
        <v>0</v>
      </c>
      <c r="AN100" s="43"/>
      <c r="AO100" s="28">
        <f t="shared" si="57"/>
        <v>0</v>
      </c>
      <c r="AP100" s="43"/>
      <c r="AQ100" s="323">
        <f t="shared" si="58"/>
        <v>0</v>
      </c>
      <c r="AR100" s="43"/>
      <c r="AS100" s="44">
        <f t="shared" si="59"/>
        <v>19775.292775000002</v>
      </c>
    </row>
    <row r="101" spans="1:45" x14ac:dyDescent="0.25">
      <c r="A101" s="28"/>
      <c r="B101" s="43"/>
      <c r="C101" s="43"/>
      <c r="D101" s="43"/>
      <c r="E101" s="43" t="s">
        <v>1162</v>
      </c>
      <c r="F101" s="43" t="s">
        <v>1163</v>
      </c>
      <c r="G101" s="46">
        <f t="shared" si="46"/>
        <v>15806.2464</v>
      </c>
      <c r="H101" s="46">
        <f t="shared" si="47"/>
        <v>14283.2487</v>
      </c>
      <c r="I101" s="28" t="s">
        <v>262</v>
      </c>
      <c r="J101" s="337">
        <v>1</v>
      </c>
      <c r="K101" s="46">
        <f t="shared" si="48"/>
        <v>15806.2464</v>
      </c>
      <c r="L101" s="46">
        <f t="shared" si="49"/>
        <v>14283.2487</v>
      </c>
      <c r="M101" s="338">
        <f t="shared" si="50"/>
        <v>0</v>
      </c>
      <c r="N101" s="43" t="s">
        <v>34</v>
      </c>
      <c r="O101" s="339">
        <v>85176259</v>
      </c>
      <c r="P101" s="340">
        <f>IFERROR(VLOOKUP(O101,NCM!$A$3:$D$99,COLUMN(head_porNCM_IPI)-COLUMN(head_porNCM_NCM)+1,FALSE),"")</f>
        <v>0.15</v>
      </c>
      <c r="Q101" s="43" t="s">
        <v>804</v>
      </c>
      <c r="R101" s="78" t="s">
        <v>210</v>
      </c>
      <c r="S101" s="341"/>
      <c r="T101" s="28" t="s">
        <v>52</v>
      </c>
      <c r="U101" s="28" t="s">
        <v>2741</v>
      </c>
      <c r="V101" s="548">
        <v>45399</v>
      </c>
      <c r="W101" s="43"/>
      <c r="X101" s="342">
        <f t="shared" si="51"/>
        <v>600.08528473804108</v>
      </c>
      <c r="Y101" s="342">
        <f t="shared" si="52"/>
        <v>1462.7078815489731</v>
      </c>
      <c r="Z101" s="46">
        <f t="shared" si="53"/>
        <v>247.53517995444196</v>
      </c>
      <c r="AA101" s="46">
        <f t="shared" si="54"/>
        <v>1140.1620410022781</v>
      </c>
      <c r="AB101" s="43"/>
      <c r="AC101" s="44">
        <v>16464.84</v>
      </c>
      <c r="AD101" s="31">
        <v>0.04</v>
      </c>
      <c r="AE101" s="31">
        <v>9.7500000000000003E-2</v>
      </c>
      <c r="AF101" s="31">
        <v>0</v>
      </c>
      <c r="AG101" s="28" t="s">
        <v>53</v>
      </c>
      <c r="AH101" s="46">
        <f t="shared" si="55"/>
        <v>18070.161899999999</v>
      </c>
      <c r="AI101" s="43"/>
      <c r="AJ101" s="28" t="s">
        <v>263</v>
      </c>
      <c r="AK101" s="337">
        <v>5.23</v>
      </c>
      <c r="AL101" s="43"/>
      <c r="AM101" s="44">
        <f t="shared" si="56"/>
        <v>0</v>
      </c>
      <c r="AN101" s="43"/>
      <c r="AO101" s="28">
        <f t="shared" si="57"/>
        <v>0</v>
      </c>
      <c r="AP101" s="43"/>
      <c r="AQ101" s="323">
        <f t="shared" si="58"/>
        <v>0</v>
      </c>
      <c r="AR101" s="43"/>
      <c r="AS101" s="44">
        <f t="shared" si="59"/>
        <v>18070.161899999999</v>
      </c>
    </row>
    <row r="102" spans="1:45" x14ac:dyDescent="0.25">
      <c r="A102" s="28"/>
      <c r="B102" s="43"/>
      <c r="C102" s="43"/>
      <c r="D102" s="43"/>
      <c r="E102" s="43" t="s">
        <v>1164</v>
      </c>
      <c r="F102" s="43" t="s">
        <v>1915</v>
      </c>
      <c r="G102" s="46">
        <f t="shared" si="46"/>
        <v>14314.761599999998</v>
      </c>
      <c r="H102" s="46">
        <f t="shared" si="47"/>
        <v>12935.474674999999</v>
      </c>
      <c r="I102" s="28" t="s">
        <v>262</v>
      </c>
      <c r="J102" s="337">
        <v>1</v>
      </c>
      <c r="K102" s="46">
        <f t="shared" si="48"/>
        <v>14314.761599999998</v>
      </c>
      <c r="L102" s="46">
        <f t="shared" si="49"/>
        <v>12935.474674999999</v>
      </c>
      <c r="M102" s="338">
        <f t="shared" si="50"/>
        <v>0</v>
      </c>
      <c r="N102" s="43" t="s">
        <v>34</v>
      </c>
      <c r="O102" s="339">
        <v>85176259</v>
      </c>
      <c r="P102" s="340">
        <f>IFERROR(VLOOKUP(O102,NCM!$A$3:$D$99,COLUMN(head_porNCM_IPI)-COLUMN(head_porNCM_NCM)+1,FALSE),"")</f>
        <v>0.15</v>
      </c>
      <c r="Q102" s="43" t="s">
        <v>804</v>
      </c>
      <c r="R102" s="78" t="s">
        <v>210</v>
      </c>
      <c r="S102" s="341"/>
      <c r="T102" s="28" t="s">
        <v>52</v>
      </c>
      <c r="U102" s="28" t="s">
        <v>2741</v>
      </c>
      <c r="V102" s="548">
        <v>45399</v>
      </c>
      <c r="W102" s="43"/>
      <c r="X102" s="342">
        <f t="shared" si="51"/>
        <v>543.46095671981777</v>
      </c>
      <c r="Y102" s="342">
        <f t="shared" si="52"/>
        <v>1324.6860820045549</v>
      </c>
      <c r="Z102" s="46">
        <f t="shared" si="53"/>
        <v>224.17764464692485</v>
      </c>
      <c r="AA102" s="46">
        <f t="shared" si="54"/>
        <v>1032.5758177676537</v>
      </c>
      <c r="AB102" s="43"/>
      <c r="AC102" s="44">
        <v>14911.21</v>
      </c>
      <c r="AD102" s="31">
        <v>0.04</v>
      </c>
      <c r="AE102" s="31">
        <v>9.7500000000000003E-2</v>
      </c>
      <c r="AF102" s="31">
        <v>0</v>
      </c>
      <c r="AG102" s="28" t="s">
        <v>53</v>
      </c>
      <c r="AH102" s="46">
        <f t="shared" si="55"/>
        <v>16365.052974999999</v>
      </c>
      <c r="AI102" s="43"/>
      <c r="AJ102" s="28" t="s">
        <v>263</v>
      </c>
      <c r="AK102" s="337">
        <v>5.23</v>
      </c>
      <c r="AL102" s="43"/>
      <c r="AM102" s="44">
        <f t="shared" si="56"/>
        <v>0</v>
      </c>
      <c r="AN102" s="43"/>
      <c r="AO102" s="28">
        <f t="shared" si="57"/>
        <v>0</v>
      </c>
      <c r="AP102" s="43"/>
      <c r="AQ102" s="323">
        <f t="shared" si="58"/>
        <v>0</v>
      </c>
      <c r="AR102" s="43"/>
      <c r="AS102" s="44">
        <f t="shared" si="59"/>
        <v>16365.052974999999</v>
      </c>
    </row>
    <row r="103" spans="1:45" x14ac:dyDescent="0.25">
      <c r="A103" s="28"/>
      <c r="B103" s="43"/>
      <c r="C103" s="43"/>
      <c r="D103" s="43"/>
      <c r="E103" s="43" t="s">
        <v>1152</v>
      </c>
      <c r="F103" s="43" t="s">
        <v>1153</v>
      </c>
      <c r="G103" s="46">
        <f t="shared" si="46"/>
        <v>3484.8768</v>
      </c>
      <c r="H103" s="46">
        <f t="shared" si="47"/>
        <v>3149.0944</v>
      </c>
      <c r="I103" s="28" t="s">
        <v>262</v>
      </c>
      <c r="J103" s="337">
        <v>1</v>
      </c>
      <c r="K103" s="46">
        <f t="shared" si="48"/>
        <v>3484.8768</v>
      </c>
      <c r="L103" s="46">
        <f t="shared" si="49"/>
        <v>3149.0944</v>
      </c>
      <c r="M103" s="338">
        <f t="shared" si="50"/>
        <v>0</v>
      </c>
      <c r="N103" s="43" t="s">
        <v>34</v>
      </c>
      <c r="O103" s="339">
        <v>85177010</v>
      </c>
      <c r="P103" s="340">
        <f>IFERROR(VLOOKUP(O103,NCM!$A$3:$D$99,COLUMN(head_porNCM_IPI)-COLUMN(head_porNCM_NCM)+1,FALSE),"")</f>
        <v>0.15</v>
      </c>
      <c r="Q103" s="43" t="s">
        <v>804</v>
      </c>
      <c r="R103" s="78" t="s">
        <v>210</v>
      </c>
      <c r="S103" s="341"/>
      <c r="T103" s="28" t="s">
        <v>52</v>
      </c>
      <c r="U103" s="28" t="s">
        <v>2741</v>
      </c>
      <c r="V103" s="548">
        <v>45399</v>
      </c>
      <c r="W103" s="43"/>
      <c r="X103" s="342">
        <f t="shared" si="51"/>
        <v>135.07274418604652</v>
      </c>
      <c r="Y103" s="342">
        <f t="shared" si="52"/>
        <v>253.26139534883714</v>
      </c>
      <c r="Z103" s="46">
        <f t="shared" si="53"/>
        <v>55.71750697674419</v>
      </c>
      <c r="AA103" s="46">
        <f t="shared" si="54"/>
        <v>256.63821395348839</v>
      </c>
      <c r="AB103" s="43"/>
      <c r="AC103" s="44">
        <v>3630.08</v>
      </c>
      <c r="AD103" s="31">
        <v>0.04</v>
      </c>
      <c r="AE103" s="31">
        <v>7.4999999999999997E-2</v>
      </c>
      <c r="AF103" s="31">
        <v>0</v>
      </c>
      <c r="AG103" s="28" t="s">
        <v>53</v>
      </c>
      <c r="AH103" s="46">
        <f t="shared" si="55"/>
        <v>3902.3359999999998</v>
      </c>
      <c r="AI103" s="43"/>
      <c r="AJ103" s="28" t="s">
        <v>263</v>
      </c>
      <c r="AK103" s="337">
        <v>5.23</v>
      </c>
      <c r="AL103" s="43"/>
      <c r="AM103" s="44">
        <f t="shared" si="56"/>
        <v>0</v>
      </c>
      <c r="AN103" s="43"/>
      <c r="AO103" s="28">
        <f t="shared" si="57"/>
        <v>0</v>
      </c>
      <c r="AP103" s="43"/>
      <c r="AQ103" s="323">
        <f t="shared" si="58"/>
        <v>0</v>
      </c>
      <c r="AR103" s="43"/>
      <c r="AS103" s="44">
        <f t="shared" si="59"/>
        <v>3902.3359999999998</v>
      </c>
    </row>
    <row r="104" spans="1:45" x14ac:dyDescent="0.25">
      <c r="A104" s="28"/>
      <c r="B104" s="43"/>
      <c r="C104" s="43"/>
      <c r="D104" s="43"/>
      <c r="E104" s="43" t="s">
        <v>2305</v>
      </c>
      <c r="F104" s="43" t="s">
        <v>2306</v>
      </c>
      <c r="G104" s="46">
        <f t="shared" si="46"/>
        <v>26124.7968</v>
      </c>
      <c r="H104" s="46">
        <f t="shared" si="47"/>
        <v>23607.563775000002</v>
      </c>
      <c r="I104" s="28" t="s">
        <v>262</v>
      </c>
      <c r="J104" s="337">
        <v>1</v>
      </c>
      <c r="K104" s="46">
        <f t="shared" si="48"/>
        <v>26124.7968</v>
      </c>
      <c r="L104" s="46">
        <f t="shared" si="49"/>
        <v>23607.563775000002</v>
      </c>
      <c r="M104" s="338">
        <f t="shared" si="50"/>
        <v>0</v>
      </c>
      <c r="N104" s="43" t="s">
        <v>34</v>
      </c>
      <c r="O104" s="339">
        <v>85176259</v>
      </c>
      <c r="P104" s="340">
        <f>IFERROR(VLOOKUP(O104,NCM!$A$3:$D$99,COLUMN(head_porNCM_IPI)-COLUMN(head_porNCM_NCM)+1,FALSE),"")</f>
        <v>0.15</v>
      </c>
      <c r="Q104" s="43" t="s">
        <v>804</v>
      </c>
      <c r="R104" s="78" t="s">
        <v>210</v>
      </c>
      <c r="S104" s="341"/>
      <c r="T104" s="28" t="s">
        <v>52</v>
      </c>
      <c r="U104" s="28" t="s">
        <v>2741</v>
      </c>
      <c r="V104" s="548">
        <v>45399</v>
      </c>
      <c r="W104" s="43"/>
      <c r="X104" s="342">
        <f t="shared" si="51"/>
        <v>991.82979498861073</v>
      </c>
      <c r="Y104" s="342">
        <f t="shared" si="52"/>
        <v>2417.5851252847351</v>
      </c>
      <c r="Z104" s="46">
        <f t="shared" si="53"/>
        <v>409.12979043280194</v>
      </c>
      <c r="AA104" s="46">
        <f t="shared" si="54"/>
        <v>1884.4766104783603</v>
      </c>
      <c r="AB104" s="43"/>
      <c r="AC104" s="44">
        <v>27213.33</v>
      </c>
      <c r="AD104" s="31">
        <v>0.04</v>
      </c>
      <c r="AE104" s="31">
        <v>9.7500000000000003E-2</v>
      </c>
      <c r="AF104" s="31">
        <v>0</v>
      </c>
      <c r="AG104" s="28" t="s">
        <v>53</v>
      </c>
      <c r="AH104" s="46">
        <f t="shared" si="55"/>
        <v>29866.629675</v>
      </c>
      <c r="AI104" s="43"/>
      <c r="AJ104" s="28" t="s">
        <v>263</v>
      </c>
      <c r="AK104" s="337">
        <v>5.23</v>
      </c>
      <c r="AL104" s="43"/>
      <c r="AM104" s="44">
        <f t="shared" si="56"/>
        <v>0</v>
      </c>
      <c r="AN104" s="43"/>
      <c r="AO104" s="28">
        <f t="shared" si="57"/>
        <v>0</v>
      </c>
      <c r="AP104" s="43"/>
      <c r="AQ104" s="323">
        <f t="shared" si="58"/>
        <v>0</v>
      </c>
      <c r="AR104" s="43"/>
      <c r="AS104" s="44">
        <f t="shared" si="59"/>
        <v>29866.629675</v>
      </c>
    </row>
    <row r="105" spans="1:45" x14ac:dyDescent="0.25">
      <c r="A105" s="28"/>
      <c r="B105" s="43"/>
      <c r="C105" s="43"/>
      <c r="D105" s="43"/>
      <c r="E105" s="43" t="s">
        <v>1139</v>
      </c>
      <c r="F105" s="43" t="s">
        <v>2307</v>
      </c>
      <c r="G105" s="46">
        <f t="shared" si="46"/>
        <v>5897.6927999999998</v>
      </c>
      <c r="H105" s="46">
        <f t="shared" si="47"/>
        <v>5329.4255250000006</v>
      </c>
      <c r="I105" s="28" t="s">
        <v>262</v>
      </c>
      <c r="J105" s="337">
        <v>1</v>
      </c>
      <c r="K105" s="46">
        <f t="shared" si="48"/>
        <v>5897.6927999999998</v>
      </c>
      <c r="L105" s="46">
        <f t="shared" si="49"/>
        <v>5329.4255250000006</v>
      </c>
      <c r="M105" s="338">
        <f t="shared" si="50"/>
        <v>0</v>
      </c>
      <c r="N105" s="43" t="s">
        <v>34</v>
      </c>
      <c r="O105" s="339">
        <v>85176259</v>
      </c>
      <c r="P105" s="340">
        <f>IFERROR(VLOOKUP(O105,NCM!$A$3:$D$99,COLUMN(head_porNCM_IPI)-COLUMN(head_porNCM_NCM)+1,FALSE),"")</f>
        <v>0.15</v>
      </c>
      <c r="Q105" s="43" t="s">
        <v>804</v>
      </c>
      <c r="R105" s="78" t="s">
        <v>210</v>
      </c>
      <c r="S105" s="341"/>
      <c r="T105" s="28" t="s">
        <v>52</v>
      </c>
      <c r="U105" s="28" t="s">
        <v>2741</v>
      </c>
      <c r="V105" s="548">
        <v>45399</v>
      </c>
      <c r="W105" s="43"/>
      <c r="X105" s="342">
        <f t="shared" si="51"/>
        <v>223.90633257403192</v>
      </c>
      <c r="Y105" s="342">
        <f t="shared" si="52"/>
        <v>545.77168564920248</v>
      </c>
      <c r="Z105" s="46">
        <f t="shared" si="53"/>
        <v>92.36136218678817</v>
      </c>
      <c r="AA105" s="46">
        <f t="shared" si="54"/>
        <v>425.42203189066061</v>
      </c>
      <c r="AB105" s="43"/>
      <c r="AC105" s="44">
        <v>6143.43</v>
      </c>
      <c r="AD105" s="31">
        <v>0.04</v>
      </c>
      <c r="AE105" s="31">
        <v>9.7500000000000003E-2</v>
      </c>
      <c r="AF105" s="31">
        <v>0</v>
      </c>
      <c r="AG105" s="28" t="s">
        <v>53</v>
      </c>
      <c r="AH105" s="46">
        <f t="shared" si="55"/>
        <v>6742.4144249999999</v>
      </c>
      <c r="AI105" s="43"/>
      <c r="AJ105" s="28" t="s">
        <v>263</v>
      </c>
      <c r="AK105" s="337">
        <v>5.23</v>
      </c>
      <c r="AL105" s="43"/>
      <c r="AM105" s="44">
        <f t="shared" si="56"/>
        <v>0</v>
      </c>
      <c r="AN105" s="43"/>
      <c r="AO105" s="28">
        <f t="shared" si="57"/>
        <v>0</v>
      </c>
      <c r="AP105" s="43"/>
      <c r="AQ105" s="323">
        <f t="shared" si="58"/>
        <v>0</v>
      </c>
      <c r="AR105" s="43"/>
      <c r="AS105" s="44">
        <f t="shared" si="59"/>
        <v>6742.4144249999999</v>
      </c>
    </row>
    <row r="106" spans="1:45" x14ac:dyDescent="0.25">
      <c r="A106" s="28"/>
      <c r="B106" s="43"/>
      <c r="C106" s="43"/>
      <c r="D106" s="43"/>
      <c r="E106" s="43" t="s">
        <v>933</v>
      </c>
      <c r="F106" s="43" t="s">
        <v>652</v>
      </c>
      <c r="G106" s="46">
        <f t="shared" si="46"/>
        <v>25927.329209621996</v>
      </c>
      <c r="H106" s="46">
        <f t="shared" si="47"/>
        <v>23002.600000000006</v>
      </c>
      <c r="I106" s="28" t="s">
        <v>262</v>
      </c>
      <c r="J106" s="337">
        <v>1</v>
      </c>
      <c r="K106" s="46">
        <f t="shared" si="48"/>
        <v>25927.329209621996</v>
      </c>
      <c r="L106" s="46">
        <f t="shared" si="49"/>
        <v>23002.600000000006</v>
      </c>
      <c r="M106" s="338">
        <f t="shared" si="50"/>
        <v>0</v>
      </c>
      <c r="N106" s="43" t="s">
        <v>34</v>
      </c>
      <c r="O106" s="339">
        <v>85176259</v>
      </c>
      <c r="P106" s="340">
        <f>IFERROR(VLOOKUP(O106,NCM!$A$3:$D$99,COLUMN(head_porNCM_IPI)-COLUMN(head_porNCM_NCM)+1,FALSE),"")</f>
        <v>0.15</v>
      </c>
      <c r="Q106" s="43" t="s">
        <v>1109</v>
      </c>
      <c r="R106" s="78" t="s">
        <v>211</v>
      </c>
      <c r="S106" s="341"/>
      <c r="T106" s="28" t="s">
        <v>52</v>
      </c>
      <c r="U106" s="28" t="s">
        <v>2273</v>
      </c>
      <c r="V106" s="548">
        <v>44629</v>
      </c>
      <c r="W106" s="43"/>
      <c r="X106" s="342">
        <f t="shared" si="51"/>
        <v>4949.012998655312</v>
      </c>
      <c r="Y106" s="342">
        <f t="shared" si="52"/>
        <v>4124.1774988794241</v>
      </c>
      <c r="Z106" s="46">
        <f t="shared" si="53"/>
        <v>453.65952487673695</v>
      </c>
      <c r="AA106" s="46">
        <f t="shared" si="54"/>
        <v>2089.5832660989095</v>
      </c>
      <c r="AB106" s="43"/>
      <c r="AC106" s="44">
        <v>31618.694158075603</v>
      </c>
      <c r="AD106" s="31">
        <v>0.18</v>
      </c>
      <c r="AE106" s="31">
        <v>0.15</v>
      </c>
      <c r="AF106" s="31">
        <v>0</v>
      </c>
      <c r="AG106" s="28" t="s">
        <v>53</v>
      </c>
      <c r="AH106" s="46">
        <f t="shared" si="55"/>
        <v>36361.498281786939</v>
      </c>
      <c r="AI106" s="43"/>
      <c r="AJ106" s="28" t="s">
        <v>263</v>
      </c>
      <c r="AK106" s="337">
        <v>5</v>
      </c>
      <c r="AL106" s="43"/>
      <c r="AM106" s="44">
        <f t="shared" si="56"/>
        <v>0</v>
      </c>
      <c r="AN106" s="43"/>
      <c r="AO106" s="28">
        <f t="shared" si="57"/>
        <v>0</v>
      </c>
      <c r="AP106" s="43"/>
      <c r="AQ106" s="323">
        <f t="shared" si="58"/>
        <v>0</v>
      </c>
      <c r="AR106" s="43"/>
      <c r="AS106" s="44">
        <f t="shared" si="59"/>
        <v>36361.498281786939</v>
      </c>
    </row>
    <row r="107" spans="1:45" x14ac:dyDescent="0.25">
      <c r="A107" s="28"/>
      <c r="B107" s="43"/>
      <c r="C107" s="43"/>
      <c r="D107" s="43"/>
      <c r="E107" s="43" t="s">
        <v>1098</v>
      </c>
      <c r="F107" s="43" t="s">
        <v>1099</v>
      </c>
      <c r="G107" s="46">
        <f t="shared" si="46"/>
        <v>23168.691408934705</v>
      </c>
      <c r="H107" s="46">
        <f t="shared" si="47"/>
        <v>20555.150000000001</v>
      </c>
      <c r="I107" s="28" t="s">
        <v>262</v>
      </c>
      <c r="J107" s="337">
        <v>1</v>
      </c>
      <c r="K107" s="46">
        <f t="shared" si="48"/>
        <v>23168.691408934705</v>
      </c>
      <c r="L107" s="46">
        <f t="shared" si="49"/>
        <v>20555.150000000001</v>
      </c>
      <c r="M107" s="338">
        <f t="shared" si="50"/>
        <v>0</v>
      </c>
      <c r="N107" s="43" t="s">
        <v>34</v>
      </c>
      <c r="O107" s="339">
        <v>85176259</v>
      </c>
      <c r="P107" s="340">
        <f>IFERROR(VLOOKUP(O107,NCM!$A$3:$D$99,COLUMN(head_porNCM_IPI)-COLUMN(head_porNCM_NCM)+1,FALSE),"")</f>
        <v>0.15</v>
      </c>
      <c r="Q107" s="43" t="s">
        <v>1109</v>
      </c>
      <c r="R107" s="78" t="s">
        <v>211</v>
      </c>
      <c r="S107" s="341"/>
      <c r="T107" s="28" t="s">
        <v>52</v>
      </c>
      <c r="U107" s="28" t="s">
        <v>2273</v>
      </c>
      <c r="V107" s="548">
        <v>44629</v>
      </c>
      <c r="W107" s="43"/>
      <c r="X107" s="342">
        <f t="shared" si="51"/>
        <v>4422.4437471985648</v>
      </c>
      <c r="Y107" s="342">
        <f t="shared" si="52"/>
        <v>3685.3697893321369</v>
      </c>
      <c r="Z107" s="46">
        <f t="shared" si="53"/>
        <v>405.39067682653513</v>
      </c>
      <c r="AA107" s="46">
        <f t="shared" si="54"/>
        <v>1867.2540265949497</v>
      </c>
      <c r="AB107" s="43"/>
      <c r="AC107" s="44">
        <v>28254.501718213054</v>
      </c>
      <c r="AD107" s="31">
        <v>0.18</v>
      </c>
      <c r="AE107" s="31">
        <v>0.15</v>
      </c>
      <c r="AF107" s="31">
        <v>0</v>
      </c>
      <c r="AG107" s="28" t="s">
        <v>53</v>
      </c>
      <c r="AH107" s="46">
        <f t="shared" si="55"/>
        <v>32492.676975945011</v>
      </c>
      <c r="AI107" s="43"/>
      <c r="AJ107" s="28" t="s">
        <v>263</v>
      </c>
      <c r="AK107" s="337">
        <v>5</v>
      </c>
      <c r="AL107" s="43"/>
      <c r="AM107" s="44">
        <f t="shared" si="56"/>
        <v>0</v>
      </c>
      <c r="AN107" s="43"/>
      <c r="AO107" s="28">
        <f t="shared" si="57"/>
        <v>0</v>
      </c>
      <c r="AP107" s="43"/>
      <c r="AQ107" s="323">
        <f t="shared" si="58"/>
        <v>0</v>
      </c>
      <c r="AR107" s="43"/>
      <c r="AS107" s="44">
        <f t="shared" si="59"/>
        <v>32492.676975945011</v>
      </c>
    </row>
    <row r="108" spans="1:45" x14ac:dyDescent="0.25">
      <c r="A108" s="28"/>
      <c r="B108" s="43"/>
      <c r="C108" s="43"/>
      <c r="D108" s="43"/>
      <c r="E108" s="43" t="s">
        <v>1100</v>
      </c>
      <c r="F108" s="43" t="s">
        <v>934</v>
      </c>
      <c r="G108" s="46">
        <f t="shared" si="46"/>
        <v>27278.328522336767</v>
      </c>
      <c r="H108" s="46">
        <f t="shared" si="47"/>
        <v>24201.200000000001</v>
      </c>
      <c r="I108" s="28" t="s">
        <v>262</v>
      </c>
      <c r="J108" s="337">
        <v>1</v>
      </c>
      <c r="K108" s="46">
        <f t="shared" si="48"/>
        <v>27278.328522336767</v>
      </c>
      <c r="L108" s="46">
        <f t="shared" si="49"/>
        <v>24201.200000000001</v>
      </c>
      <c r="M108" s="338">
        <f t="shared" si="50"/>
        <v>0</v>
      </c>
      <c r="N108" s="43" t="s">
        <v>34</v>
      </c>
      <c r="O108" s="339">
        <v>85176259</v>
      </c>
      <c r="P108" s="340">
        <f>IFERROR(VLOOKUP(O108,NCM!$A$3:$D$99,COLUMN(head_porNCM_IPI)-COLUMN(head_porNCM_NCM)+1,FALSE),"")</f>
        <v>0.15</v>
      </c>
      <c r="Q108" s="43" t="s">
        <v>1109</v>
      </c>
      <c r="R108" s="78" t="s">
        <v>211</v>
      </c>
      <c r="S108" s="341"/>
      <c r="T108" s="28" t="s">
        <v>52</v>
      </c>
      <c r="U108" s="28" t="s">
        <v>2273</v>
      </c>
      <c r="V108" s="548">
        <v>44629</v>
      </c>
      <c r="W108" s="43"/>
      <c r="X108" s="342">
        <f t="shared" si="51"/>
        <v>5206.8919766920662</v>
      </c>
      <c r="Y108" s="342">
        <f t="shared" si="52"/>
        <v>4339.0766472433861</v>
      </c>
      <c r="Z108" s="46">
        <f t="shared" si="53"/>
        <v>477.29843119677275</v>
      </c>
      <c r="AA108" s="46">
        <f t="shared" si="54"/>
        <v>2198.4655012699836</v>
      </c>
      <c r="AB108" s="43"/>
      <c r="AC108" s="44">
        <v>33266.254295532643</v>
      </c>
      <c r="AD108" s="31">
        <v>0.18</v>
      </c>
      <c r="AE108" s="31">
        <v>0.15</v>
      </c>
      <c r="AF108" s="31">
        <v>0</v>
      </c>
      <c r="AG108" s="28" t="s">
        <v>53</v>
      </c>
      <c r="AH108" s="46">
        <f t="shared" si="55"/>
        <v>38256.192439862534</v>
      </c>
      <c r="AI108" s="43"/>
      <c r="AJ108" s="28" t="s">
        <v>263</v>
      </c>
      <c r="AK108" s="337">
        <v>5</v>
      </c>
      <c r="AL108" s="43"/>
      <c r="AM108" s="44">
        <f t="shared" si="56"/>
        <v>0</v>
      </c>
      <c r="AN108" s="43"/>
      <c r="AO108" s="28">
        <f t="shared" si="57"/>
        <v>0</v>
      </c>
      <c r="AP108" s="43"/>
      <c r="AQ108" s="323">
        <f t="shared" si="58"/>
        <v>0</v>
      </c>
      <c r="AR108" s="43"/>
      <c r="AS108" s="44">
        <f t="shared" si="59"/>
        <v>38256.192439862534</v>
      </c>
    </row>
    <row r="109" spans="1:45" x14ac:dyDescent="0.25">
      <c r="A109" s="28"/>
      <c r="B109" s="43"/>
      <c r="C109" s="43"/>
      <c r="D109" s="43"/>
      <c r="E109" s="43" t="s">
        <v>653</v>
      </c>
      <c r="F109" s="43" t="s">
        <v>654</v>
      </c>
      <c r="G109" s="46">
        <f t="shared" si="46"/>
        <v>13488.239175257733</v>
      </c>
      <c r="H109" s="46">
        <f t="shared" si="47"/>
        <v>11966.700000000003</v>
      </c>
      <c r="I109" s="28" t="s">
        <v>262</v>
      </c>
      <c r="J109" s="337">
        <v>1</v>
      </c>
      <c r="K109" s="46">
        <f t="shared" si="48"/>
        <v>13488.239175257733</v>
      </c>
      <c r="L109" s="46">
        <f t="shared" si="49"/>
        <v>11966.700000000003</v>
      </c>
      <c r="M109" s="338">
        <f t="shared" si="50"/>
        <v>0</v>
      </c>
      <c r="N109" s="43" t="s">
        <v>34</v>
      </c>
      <c r="O109" s="339">
        <v>85176259</v>
      </c>
      <c r="P109" s="340">
        <f>IFERROR(VLOOKUP(O109,NCM!$A$3:$D$99,COLUMN(head_porNCM_IPI)-COLUMN(head_porNCM_NCM)+1,FALSE),"")</f>
        <v>0.15</v>
      </c>
      <c r="Q109" s="43" t="s">
        <v>1109</v>
      </c>
      <c r="R109" s="78" t="s">
        <v>211</v>
      </c>
      <c r="S109" s="341"/>
      <c r="T109" s="28" t="s">
        <v>52</v>
      </c>
      <c r="U109" s="28" t="s">
        <v>2273</v>
      </c>
      <c r="V109" s="548">
        <v>44629</v>
      </c>
      <c r="W109" s="43"/>
      <c r="X109" s="342">
        <f t="shared" si="51"/>
        <v>2574.6373823397585</v>
      </c>
      <c r="Y109" s="342">
        <f t="shared" si="52"/>
        <v>2145.5311519497973</v>
      </c>
      <c r="Z109" s="46">
        <f t="shared" si="53"/>
        <v>236.00842671447785</v>
      </c>
      <c r="AA109" s="46">
        <f t="shared" si="54"/>
        <v>1087.069116987898</v>
      </c>
      <c r="AB109" s="43"/>
      <c r="AC109" s="44">
        <v>16449.072164948455</v>
      </c>
      <c r="AD109" s="31">
        <v>0.18</v>
      </c>
      <c r="AE109" s="31">
        <v>0.15</v>
      </c>
      <c r="AF109" s="31">
        <v>0</v>
      </c>
      <c r="AG109" s="28" t="s">
        <v>53</v>
      </c>
      <c r="AH109" s="46">
        <f t="shared" si="55"/>
        <v>18916.432989690722</v>
      </c>
      <c r="AI109" s="43"/>
      <c r="AJ109" s="28" t="s">
        <v>263</v>
      </c>
      <c r="AK109" s="337">
        <v>5</v>
      </c>
      <c r="AL109" s="43"/>
      <c r="AM109" s="44">
        <f t="shared" si="56"/>
        <v>0</v>
      </c>
      <c r="AN109" s="43"/>
      <c r="AO109" s="28">
        <f t="shared" si="57"/>
        <v>0</v>
      </c>
      <c r="AP109" s="43"/>
      <c r="AQ109" s="323">
        <f t="shared" si="58"/>
        <v>0</v>
      </c>
      <c r="AR109" s="43"/>
      <c r="AS109" s="44">
        <f t="shared" si="59"/>
        <v>18916.432989690722</v>
      </c>
    </row>
    <row r="110" spans="1:45" x14ac:dyDescent="0.25">
      <c r="A110" s="28"/>
      <c r="B110" s="43"/>
      <c r="C110" s="43"/>
      <c r="D110" s="43"/>
      <c r="E110" s="43" t="s">
        <v>1101</v>
      </c>
      <c r="F110" s="43" t="s">
        <v>1999</v>
      </c>
      <c r="G110" s="46">
        <f t="shared" si="46"/>
        <v>20753.4948</v>
      </c>
      <c r="H110" s="46">
        <f t="shared" si="47"/>
        <v>18412.399350000003</v>
      </c>
      <c r="I110" s="28" t="s">
        <v>262</v>
      </c>
      <c r="J110" s="337">
        <v>1</v>
      </c>
      <c r="K110" s="46">
        <f t="shared" si="48"/>
        <v>20753.4948</v>
      </c>
      <c r="L110" s="46">
        <f t="shared" si="49"/>
        <v>18412.399350000003</v>
      </c>
      <c r="M110" s="338">
        <f t="shared" si="50"/>
        <v>0</v>
      </c>
      <c r="N110" s="43" t="s">
        <v>34</v>
      </c>
      <c r="O110" s="339">
        <v>85176259</v>
      </c>
      <c r="P110" s="340">
        <f>IFERROR(VLOOKUP(O110,NCM!$A$3:$D$99,COLUMN(head_porNCM_IPI)-COLUMN(head_porNCM_NCM)+1,FALSE),"")</f>
        <v>0.15</v>
      </c>
      <c r="Q110" s="43" t="s">
        <v>1165</v>
      </c>
      <c r="R110" s="78" t="s">
        <v>210</v>
      </c>
      <c r="S110" s="341"/>
      <c r="T110" s="28" t="s">
        <v>52</v>
      </c>
      <c r="U110" s="28" t="s">
        <v>2274</v>
      </c>
      <c r="V110" s="548">
        <v>44615</v>
      </c>
      <c r="W110" s="43"/>
      <c r="X110" s="342">
        <f t="shared" si="51"/>
        <v>3961.4306086956522</v>
      </c>
      <c r="Y110" s="342">
        <f t="shared" si="52"/>
        <v>3301.1921739130412</v>
      </c>
      <c r="Z110" s="46">
        <f t="shared" si="53"/>
        <v>363.1311391304348</v>
      </c>
      <c r="AA110" s="46">
        <f t="shared" si="54"/>
        <v>1672.6040347826088</v>
      </c>
      <c r="AB110" s="43"/>
      <c r="AC110" s="44">
        <v>25309.14</v>
      </c>
      <c r="AD110" s="31">
        <v>0.18</v>
      </c>
      <c r="AE110" s="31">
        <v>0.15</v>
      </c>
      <c r="AF110" s="31">
        <v>0</v>
      </c>
      <c r="AG110" s="28" t="s">
        <v>53</v>
      </c>
      <c r="AH110" s="46">
        <f t="shared" si="55"/>
        <v>29105.510999999999</v>
      </c>
      <c r="AI110" s="43"/>
      <c r="AJ110" s="28" t="s">
        <v>263</v>
      </c>
      <c r="AK110" s="337">
        <v>5.01</v>
      </c>
      <c r="AL110" s="43"/>
      <c r="AM110" s="44">
        <f t="shared" si="56"/>
        <v>0</v>
      </c>
      <c r="AN110" s="43"/>
      <c r="AO110" s="28">
        <f t="shared" si="57"/>
        <v>0</v>
      </c>
      <c r="AP110" s="43"/>
      <c r="AQ110" s="323">
        <f t="shared" si="58"/>
        <v>0</v>
      </c>
      <c r="AR110" s="43"/>
      <c r="AS110" s="44">
        <f t="shared" si="59"/>
        <v>29105.510999999999</v>
      </c>
    </row>
    <row r="111" spans="1:45" x14ac:dyDescent="0.25">
      <c r="A111" s="28"/>
      <c r="B111" s="43"/>
      <c r="C111" s="43"/>
      <c r="D111" s="43"/>
      <c r="E111" s="43" t="s">
        <v>1102</v>
      </c>
      <c r="F111" s="43" t="s">
        <v>2000</v>
      </c>
      <c r="G111" s="46">
        <f t="shared" si="46"/>
        <v>22403.654600000002</v>
      </c>
      <c r="H111" s="46">
        <f t="shared" si="47"/>
        <v>19876.413075000004</v>
      </c>
      <c r="I111" s="28" t="s">
        <v>262</v>
      </c>
      <c r="J111" s="337">
        <v>1</v>
      </c>
      <c r="K111" s="46">
        <f t="shared" si="48"/>
        <v>22403.654600000002</v>
      </c>
      <c r="L111" s="46">
        <f t="shared" si="49"/>
        <v>19876.413075000004</v>
      </c>
      <c r="M111" s="338">
        <f t="shared" si="50"/>
        <v>0</v>
      </c>
      <c r="N111" s="43" t="s">
        <v>34</v>
      </c>
      <c r="O111" s="339">
        <v>85176259</v>
      </c>
      <c r="P111" s="340">
        <f>IFERROR(VLOOKUP(O111,NCM!$A$3:$D$99,COLUMN(head_porNCM_IPI)-COLUMN(head_porNCM_NCM)+1,FALSE),"")</f>
        <v>0.15</v>
      </c>
      <c r="Q111" s="43" t="s">
        <v>1165</v>
      </c>
      <c r="R111" s="78" t="s">
        <v>210</v>
      </c>
      <c r="S111" s="341"/>
      <c r="T111" s="28" t="s">
        <v>52</v>
      </c>
      <c r="U111" s="28" t="s">
        <v>2274</v>
      </c>
      <c r="V111" s="548">
        <v>44615</v>
      </c>
      <c r="W111" s="43"/>
      <c r="X111" s="342">
        <f t="shared" si="51"/>
        <v>4276.4133913043479</v>
      </c>
      <c r="Y111" s="342">
        <f t="shared" si="52"/>
        <v>3563.6778260869542</v>
      </c>
      <c r="Z111" s="46">
        <f t="shared" si="53"/>
        <v>392.00456086956524</v>
      </c>
      <c r="AA111" s="46">
        <f t="shared" si="54"/>
        <v>1805.5967652173913</v>
      </c>
      <c r="AB111" s="43"/>
      <c r="AC111" s="44">
        <v>27321.53</v>
      </c>
      <c r="AD111" s="31">
        <v>0.18</v>
      </c>
      <c r="AE111" s="31">
        <v>0.15</v>
      </c>
      <c r="AF111" s="31">
        <v>0</v>
      </c>
      <c r="AG111" s="28" t="s">
        <v>53</v>
      </c>
      <c r="AH111" s="46">
        <f t="shared" si="55"/>
        <v>31419.759499999996</v>
      </c>
      <c r="AI111" s="43"/>
      <c r="AJ111" s="28" t="s">
        <v>263</v>
      </c>
      <c r="AK111" s="337">
        <v>5.01</v>
      </c>
      <c r="AL111" s="43"/>
      <c r="AM111" s="44">
        <f t="shared" si="56"/>
        <v>0</v>
      </c>
      <c r="AN111" s="43"/>
      <c r="AO111" s="28">
        <f t="shared" si="57"/>
        <v>0</v>
      </c>
      <c r="AP111" s="43"/>
      <c r="AQ111" s="323">
        <f t="shared" si="58"/>
        <v>0</v>
      </c>
      <c r="AR111" s="43"/>
      <c r="AS111" s="44">
        <f t="shared" si="59"/>
        <v>31419.759499999996</v>
      </c>
    </row>
    <row r="112" spans="1:45" x14ac:dyDescent="0.25">
      <c r="A112" s="28"/>
      <c r="B112" s="43"/>
      <c r="C112" s="43"/>
      <c r="D112" s="43"/>
      <c r="E112" s="43" t="s">
        <v>1103</v>
      </c>
      <c r="F112" s="43" t="s">
        <v>2001</v>
      </c>
      <c r="G112" s="46">
        <f t="shared" si="46"/>
        <v>26126.954800000003</v>
      </c>
      <c r="H112" s="46">
        <f t="shared" si="47"/>
        <v>23179.706850000006</v>
      </c>
      <c r="I112" s="28" t="s">
        <v>262</v>
      </c>
      <c r="J112" s="337">
        <v>1</v>
      </c>
      <c r="K112" s="46">
        <f t="shared" si="48"/>
        <v>26126.954800000003</v>
      </c>
      <c r="L112" s="46">
        <f t="shared" si="49"/>
        <v>23179.706850000006</v>
      </c>
      <c r="M112" s="338">
        <f t="shared" si="50"/>
        <v>0</v>
      </c>
      <c r="N112" s="43" t="s">
        <v>34</v>
      </c>
      <c r="O112" s="339">
        <v>85176259</v>
      </c>
      <c r="P112" s="340">
        <f>IFERROR(VLOOKUP(O112,NCM!$A$3:$D$99,COLUMN(head_porNCM_IPI)-COLUMN(head_porNCM_NCM)+1,FALSE),"")</f>
        <v>0.15</v>
      </c>
      <c r="Q112" s="43" t="s">
        <v>1165</v>
      </c>
      <c r="R112" s="78" t="s">
        <v>210</v>
      </c>
      <c r="S112" s="341"/>
      <c r="T112" s="28" t="s">
        <v>52</v>
      </c>
      <c r="U112" s="28" t="s">
        <v>2274</v>
      </c>
      <c r="V112" s="548">
        <v>44615</v>
      </c>
      <c r="W112" s="43"/>
      <c r="X112" s="342">
        <f t="shared" si="51"/>
        <v>4987.1175652173915</v>
      </c>
      <c r="Y112" s="342">
        <f t="shared" si="52"/>
        <v>4155.9313043478251</v>
      </c>
      <c r="Z112" s="46">
        <f t="shared" si="53"/>
        <v>457.15244347826092</v>
      </c>
      <c r="AA112" s="46">
        <f t="shared" si="54"/>
        <v>2105.6718608695651</v>
      </c>
      <c r="AB112" s="43"/>
      <c r="AC112" s="44">
        <v>31862.14</v>
      </c>
      <c r="AD112" s="31">
        <v>0.18</v>
      </c>
      <c r="AE112" s="31">
        <v>0.15</v>
      </c>
      <c r="AF112" s="31">
        <v>0</v>
      </c>
      <c r="AG112" s="28" t="s">
        <v>53</v>
      </c>
      <c r="AH112" s="46">
        <f t="shared" si="55"/>
        <v>36641.460999999996</v>
      </c>
      <c r="AI112" s="43"/>
      <c r="AJ112" s="28" t="s">
        <v>263</v>
      </c>
      <c r="AK112" s="337">
        <v>5.01</v>
      </c>
      <c r="AL112" s="43"/>
      <c r="AM112" s="44">
        <f t="shared" si="56"/>
        <v>0</v>
      </c>
      <c r="AN112" s="43"/>
      <c r="AO112" s="28">
        <f t="shared" si="57"/>
        <v>0</v>
      </c>
      <c r="AP112" s="43"/>
      <c r="AQ112" s="323">
        <f t="shared" si="58"/>
        <v>0</v>
      </c>
      <c r="AR112" s="43"/>
      <c r="AS112" s="44">
        <f t="shared" si="59"/>
        <v>36641.460999999996</v>
      </c>
    </row>
    <row r="113" spans="1:45" x14ac:dyDescent="0.25">
      <c r="A113" s="28"/>
      <c r="B113" s="43"/>
      <c r="C113" s="43"/>
      <c r="D113" s="43"/>
      <c r="E113" s="43" t="s">
        <v>1104</v>
      </c>
      <c r="F113" s="43" t="s">
        <v>2002</v>
      </c>
      <c r="G113" s="46">
        <f t="shared" si="46"/>
        <v>27777.114600000001</v>
      </c>
      <c r="H113" s="46">
        <f t="shared" si="47"/>
        <v>24643.720575000003</v>
      </c>
      <c r="I113" s="28" t="s">
        <v>262</v>
      </c>
      <c r="J113" s="337">
        <v>1</v>
      </c>
      <c r="K113" s="46">
        <f t="shared" si="48"/>
        <v>27777.114600000001</v>
      </c>
      <c r="L113" s="46">
        <f t="shared" si="49"/>
        <v>24643.720575000003</v>
      </c>
      <c r="M113" s="338">
        <f t="shared" si="50"/>
        <v>0</v>
      </c>
      <c r="N113" s="43" t="s">
        <v>34</v>
      </c>
      <c r="O113" s="339">
        <v>85176259</v>
      </c>
      <c r="P113" s="340">
        <f>IFERROR(VLOOKUP(O113,NCM!$A$3:$D$99,COLUMN(head_porNCM_IPI)-COLUMN(head_porNCM_NCM)+1,FALSE),"")</f>
        <v>0.15</v>
      </c>
      <c r="Q113" s="43" t="s">
        <v>1165</v>
      </c>
      <c r="R113" s="78" t="s">
        <v>210</v>
      </c>
      <c r="S113" s="341"/>
      <c r="T113" s="28" t="s">
        <v>52</v>
      </c>
      <c r="U113" s="28" t="s">
        <v>2274</v>
      </c>
      <c r="V113" s="548">
        <v>44615</v>
      </c>
      <c r="W113" s="43"/>
      <c r="X113" s="342">
        <f t="shared" si="51"/>
        <v>5302.1003478260864</v>
      </c>
      <c r="Y113" s="342">
        <f t="shared" si="52"/>
        <v>4418.416956521738</v>
      </c>
      <c r="Z113" s="46">
        <f t="shared" si="53"/>
        <v>486.0258652173913</v>
      </c>
      <c r="AA113" s="46">
        <f t="shared" si="54"/>
        <v>2238.6645913043476</v>
      </c>
      <c r="AB113" s="43"/>
      <c r="AC113" s="44">
        <v>33874.53</v>
      </c>
      <c r="AD113" s="31">
        <v>0.18</v>
      </c>
      <c r="AE113" s="31">
        <v>0.15</v>
      </c>
      <c r="AF113" s="31">
        <v>0</v>
      </c>
      <c r="AG113" s="28" t="s">
        <v>53</v>
      </c>
      <c r="AH113" s="46">
        <f t="shared" si="55"/>
        <v>38955.709499999997</v>
      </c>
      <c r="AI113" s="43"/>
      <c r="AJ113" s="28" t="s">
        <v>263</v>
      </c>
      <c r="AK113" s="337">
        <v>5.01</v>
      </c>
      <c r="AL113" s="43"/>
      <c r="AM113" s="44">
        <f t="shared" si="56"/>
        <v>0</v>
      </c>
      <c r="AN113" s="43"/>
      <c r="AO113" s="28">
        <f t="shared" si="57"/>
        <v>0</v>
      </c>
      <c r="AP113" s="43"/>
      <c r="AQ113" s="323">
        <f t="shared" si="58"/>
        <v>0</v>
      </c>
      <c r="AR113" s="43"/>
      <c r="AS113" s="44">
        <f t="shared" si="59"/>
        <v>38955.709499999997</v>
      </c>
    </row>
    <row r="114" spans="1:45" x14ac:dyDescent="0.25">
      <c r="A114" s="28"/>
      <c r="B114" s="43"/>
      <c r="C114" s="43"/>
      <c r="D114" s="43"/>
      <c r="E114" s="43" t="s">
        <v>2003</v>
      </c>
      <c r="F114" s="43" t="s">
        <v>2004</v>
      </c>
      <c r="G114" s="46">
        <f t="shared" si="46"/>
        <v>623.3968000000001</v>
      </c>
      <c r="H114" s="46">
        <f t="shared" si="47"/>
        <v>553.07460000000015</v>
      </c>
      <c r="I114" s="28" t="s">
        <v>262</v>
      </c>
      <c r="J114" s="337">
        <v>1</v>
      </c>
      <c r="K114" s="46">
        <f t="shared" si="48"/>
        <v>623.3968000000001</v>
      </c>
      <c r="L114" s="46">
        <f t="shared" si="49"/>
        <v>553.07460000000015</v>
      </c>
      <c r="M114" s="338">
        <f t="shared" si="50"/>
        <v>0</v>
      </c>
      <c r="N114" s="43" t="s">
        <v>34</v>
      </c>
      <c r="O114" s="339">
        <v>85176259</v>
      </c>
      <c r="P114" s="340">
        <f>IFERROR(VLOOKUP(O114,NCM!$A$3:$D$99,COLUMN(head_porNCM_IPI)-COLUMN(head_porNCM_NCM)+1,FALSE),"")</f>
        <v>0.15</v>
      </c>
      <c r="Q114" s="43" t="s">
        <v>1165</v>
      </c>
      <c r="R114" s="78" t="s">
        <v>210</v>
      </c>
      <c r="S114" s="341"/>
      <c r="T114" s="28" t="s">
        <v>52</v>
      </c>
      <c r="U114" s="28" t="s">
        <v>2274</v>
      </c>
      <c r="V114" s="548">
        <v>44615</v>
      </c>
      <c r="W114" s="43"/>
      <c r="X114" s="342">
        <f t="shared" si="51"/>
        <v>118.99408695652174</v>
      </c>
      <c r="Y114" s="342">
        <f t="shared" si="52"/>
        <v>99.161739130434739</v>
      </c>
      <c r="Z114" s="46">
        <f t="shared" si="53"/>
        <v>10.907791304347828</v>
      </c>
      <c r="AA114" s="46">
        <f t="shared" si="54"/>
        <v>50.241947826086957</v>
      </c>
      <c r="AB114" s="43"/>
      <c r="AC114" s="44">
        <v>760.24</v>
      </c>
      <c r="AD114" s="31">
        <v>0.18</v>
      </c>
      <c r="AE114" s="31">
        <v>0.15</v>
      </c>
      <c r="AF114" s="31">
        <v>0</v>
      </c>
      <c r="AG114" s="28" t="s">
        <v>53</v>
      </c>
      <c r="AH114" s="46">
        <f t="shared" si="55"/>
        <v>874.27599999999995</v>
      </c>
      <c r="AI114" s="43"/>
      <c r="AJ114" s="28" t="s">
        <v>263</v>
      </c>
      <c r="AK114" s="337">
        <v>5.01</v>
      </c>
      <c r="AL114" s="43"/>
      <c r="AM114" s="44">
        <f t="shared" si="56"/>
        <v>0</v>
      </c>
      <c r="AN114" s="43"/>
      <c r="AO114" s="28">
        <f t="shared" si="57"/>
        <v>0</v>
      </c>
      <c r="AP114" s="43"/>
      <c r="AQ114" s="323">
        <f t="shared" si="58"/>
        <v>0</v>
      </c>
      <c r="AR114" s="43"/>
      <c r="AS114" s="44">
        <f t="shared" si="59"/>
        <v>874.27599999999995</v>
      </c>
    </row>
    <row r="115" spans="1:45" x14ac:dyDescent="0.25">
      <c r="A115" s="28"/>
      <c r="B115" s="43"/>
      <c r="C115" s="43"/>
      <c r="D115" s="43"/>
      <c r="E115" s="43" t="s">
        <v>2005</v>
      </c>
      <c r="F115" s="43" t="s">
        <v>2006</v>
      </c>
      <c r="G115" s="46">
        <f t="shared" si="46"/>
        <v>894.9398000000001</v>
      </c>
      <c r="H115" s="46">
        <f t="shared" si="47"/>
        <v>793.98622500000022</v>
      </c>
      <c r="I115" s="28" t="s">
        <v>262</v>
      </c>
      <c r="J115" s="337">
        <v>1</v>
      </c>
      <c r="K115" s="46">
        <f t="shared" si="48"/>
        <v>894.9398000000001</v>
      </c>
      <c r="L115" s="46">
        <f t="shared" si="49"/>
        <v>793.98622500000022</v>
      </c>
      <c r="M115" s="338">
        <f t="shared" si="50"/>
        <v>0</v>
      </c>
      <c r="N115" s="43" t="s">
        <v>34</v>
      </c>
      <c r="O115" s="339">
        <v>85176259</v>
      </c>
      <c r="P115" s="340">
        <f>IFERROR(VLOOKUP(O115,NCM!$A$3:$D$99,COLUMN(head_porNCM_IPI)-COLUMN(head_porNCM_NCM)+1,FALSE),"")</f>
        <v>0.15</v>
      </c>
      <c r="Q115" s="43" t="s">
        <v>1165</v>
      </c>
      <c r="R115" s="78" t="s">
        <v>210</v>
      </c>
      <c r="S115" s="341"/>
      <c r="T115" s="28" t="s">
        <v>52</v>
      </c>
      <c r="U115" s="28" t="s">
        <v>2274</v>
      </c>
      <c r="V115" s="548">
        <v>44615</v>
      </c>
      <c r="W115" s="43"/>
      <c r="X115" s="342">
        <f t="shared" si="51"/>
        <v>170.82626086956523</v>
      </c>
      <c r="Y115" s="342">
        <f t="shared" si="52"/>
        <v>142.35521739130434</v>
      </c>
      <c r="Z115" s="46">
        <f t="shared" si="53"/>
        <v>15.65907391304348</v>
      </c>
      <c r="AA115" s="46">
        <f t="shared" si="54"/>
        <v>72.126643478260874</v>
      </c>
      <c r="AB115" s="43"/>
      <c r="AC115" s="44">
        <v>1091.3900000000001</v>
      </c>
      <c r="AD115" s="31">
        <v>0.18</v>
      </c>
      <c r="AE115" s="31">
        <v>0.15</v>
      </c>
      <c r="AF115" s="31">
        <v>0</v>
      </c>
      <c r="AG115" s="28" t="s">
        <v>53</v>
      </c>
      <c r="AH115" s="46">
        <f t="shared" si="55"/>
        <v>1255.0985000000001</v>
      </c>
      <c r="AI115" s="43"/>
      <c r="AJ115" s="28" t="s">
        <v>263</v>
      </c>
      <c r="AK115" s="337">
        <v>5.01</v>
      </c>
      <c r="AL115" s="43"/>
      <c r="AM115" s="44">
        <f t="shared" si="56"/>
        <v>0</v>
      </c>
      <c r="AN115" s="43"/>
      <c r="AO115" s="28">
        <f t="shared" si="57"/>
        <v>0</v>
      </c>
      <c r="AP115" s="43"/>
      <c r="AQ115" s="323">
        <f t="shared" si="58"/>
        <v>0</v>
      </c>
      <c r="AR115" s="43"/>
      <c r="AS115" s="44">
        <f t="shared" si="59"/>
        <v>1255.0985000000001</v>
      </c>
    </row>
    <row r="116" spans="1:45" x14ac:dyDescent="0.25">
      <c r="A116" s="28"/>
      <c r="B116" s="43"/>
      <c r="C116" s="43"/>
      <c r="D116" s="43" t="s">
        <v>686</v>
      </c>
      <c r="E116" s="43"/>
      <c r="F116" s="43"/>
      <c r="G116" s="46">
        <f t="shared" si="46"/>
        <v>0</v>
      </c>
      <c r="H116" s="46">
        <f t="shared" si="47"/>
        <v>0</v>
      </c>
      <c r="I116" s="28"/>
      <c r="J116" s="337"/>
      <c r="K116" s="46" t="str">
        <f t="shared" si="48"/>
        <v/>
      </c>
      <c r="L116" s="46" t="str">
        <f t="shared" si="49"/>
        <v/>
      </c>
      <c r="M116" s="338">
        <f t="shared" si="50"/>
        <v>0</v>
      </c>
      <c r="N116" s="43"/>
      <c r="O116" s="339"/>
      <c r="P116" s="340" t="str">
        <f>IFERROR(VLOOKUP(O116,NCM!$A$3:$D$99,COLUMN(head_porNCM_IPI)-COLUMN(head_porNCM_NCM)+1,FALSE),"")</f>
        <v/>
      </c>
      <c r="Q116" s="43"/>
      <c r="R116" s="78"/>
      <c r="S116" s="341"/>
      <c r="T116" s="28"/>
      <c r="U116" s="28"/>
      <c r="V116" s="28"/>
      <c r="W116" s="43"/>
      <c r="X116" s="342">
        <f t="shared" si="51"/>
        <v>0</v>
      </c>
      <c r="Y116" s="342">
        <f t="shared" si="52"/>
        <v>0</v>
      </c>
      <c r="Z116" s="46">
        <f t="shared" si="53"/>
        <v>0</v>
      </c>
      <c r="AA116" s="46">
        <f t="shared" si="54"/>
        <v>0</v>
      </c>
      <c r="AB116" s="43"/>
      <c r="AC116" s="44">
        <v>0</v>
      </c>
      <c r="AD116" s="31"/>
      <c r="AE116" s="31"/>
      <c r="AF116" s="31"/>
      <c r="AG116" s="28"/>
      <c r="AH116" s="46">
        <f t="shared" si="55"/>
        <v>0</v>
      </c>
      <c r="AI116" s="43"/>
      <c r="AJ116" s="28"/>
      <c r="AK116" s="337"/>
      <c r="AL116" s="43"/>
      <c r="AM116" s="44">
        <f t="shared" si="56"/>
        <v>0</v>
      </c>
      <c r="AN116" s="43"/>
      <c r="AO116" s="28">
        <f t="shared" si="57"/>
        <v>0</v>
      </c>
      <c r="AP116" s="43"/>
      <c r="AQ116" s="323">
        <f t="shared" si="58"/>
        <v>0</v>
      </c>
      <c r="AR116" s="43"/>
      <c r="AS116" s="44">
        <f t="shared" si="59"/>
        <v>0</v>
      </c>
    </row>
    <row r="117" spans="1:45" x14ac:dyDescent="0.25">
      <c r="A117" s="28"/>
      <c r="B117" s="43"/>
      <c r="C117" s="43"/>
      <c r="D117" s="43"/>
      <c r="E117" s="43" t="s">
        <v>2007</v>
      </c>
      <c r="F117" s="43" t="s">
        <v>2008</v>
      </c>
      <c r="G117" s="46">
        <f t="shared" si="46"/>
        <v>7844.17</v>
      </c>
      <c r="H117" s="46">
        <f t="shared" si="47"/>
        <v>7118.5842750000011</v>
      </c>
      <c r="I117" s="28" t="s">
        <v>262</v>
      </c>
      <c r="J117" s="337">
        <v>1</v>
      </c>
      <c r="K117" s="46">
        <f t="shared" si="48"/>
        <v>7844.17</v>
      </c>
      <c r="L117" s="46">
        <f t="shared" si="49"/>
        <v>7118.5842750000011</v>
      </c>
      <c r="M117" s="338">
        <f t="shared" si="50"/>
        <v>0</v>
      </c>
      <c r="N117" s="43" t="s">
        <v>34</v>
      </c>
      <c r="O117" s="339">
        <v>85437099</v>
      </c>
      <c r="P117" s="340">
        <f>IFERROR(VLOOKUP(O117,NCM!$A$3:$D$99,COLUMN(head_porNCM_IPI)-COLUMN(head_porNCM_NCM)+1,FALSE),"")</f>
        <v>6.5000000000000002E-2</v>
      </c>
      <c r="Q117" s="43" t="s">
        <v>2275</v>
      </c>
      <c r="R117" s="78" t="s">
        <v>210</v>
      </c>
      <c r="S117" s="341"/>
      <c r="T117" s="28" t="s">
        <v>52</v>
      </c>
      <c r="U117" s="28" t="s">
        <v>2276</v>
      </c>
      <c r="V117" s="548">
        <v>44757</v>
      </c>
      <c r="W117" s="43"/>
      <c r="X117" s="342">
        <f t="shared" si="51"/>
        <v>0</v>
      </c>
      <c r="Y117" s="342">
        <f t="shared" si="52"/>
        <v>478.75215962441234</v>
      </c>
      <c r="Z117" s="46">
        <f t="shared" si="53"/>
        <v>121.52939436619721</v>
      </c>
      <c r="AA117" s="46">
        <f t="shared" si="54"/>
        <v>559.77175586854469</v>
      </c>
      <c r="AB117" s="43"/>
      <c r="AC117" s="44">
        <v>7844.17</v>
      </c>
      <c r="AD117" s="31">
        <v>0</v>
      </c>
      <c r="AE117" s="31">
        <v>6.5000000000000002E-2</v>
      </c>
      <c r="AF117" s="31">
        <v>0</v>
      </c>
      <c r="AG117" s="28" t="s">
        <v>53</v>
      </c>
      <c r="AH117" s="46">
        <f t="shared" si="55"/>
        <v>8354.0410499999998</v>
      </c>
      <c r="AI117" s="43"/>
      <c r="AJ117" s="28"/>
      <c r="AK117" s="337"/>
      <c r="AL117" s="43"/>
      <c r="AM117" s="44">
        <f t="shared" si="56"/>
        <v>0</v>
      </c>
      <c r="AN117" s="43"/>
      <c r="AO117" s="28">
        <f t="shared" si="57"/>
        <v>0</v>
      </c>
      <c r="AP117" s="43"/>
      <c r="AQ117" s="323">
        <f t="shared" si="58"/>
        <v>0</v>
      </c>
      <c r="AR117" s="43"/>
      <c r="AS117" s="44">
        <f t="shared" si="59"/>
        <v>8354.0410499999998</v>
      </c>
    </row>
    <row r="118" spans="1:45" x14ac:dyDescent="0.25">
      <c r="A118" s="28"/>
      <c r="B118" s="43"/>
      <c r="C118" s="43"/>
      <c r="D118" s="43"/>
      <c r="E118" s="43" t="s">
        <v>2009</v>
      </c>
      <c r="F118" s="43" t="s">
        <v>2010</v>
      </c>
      <c r="G118" s="46">
        <f t="shared" si="46"/>
        <v>6857.3</v>
      </c>
      <c r="H118" s="46">
        <f t="shared" si="47"/>
        <v>6222.9997500000009</v>
      </c>
      <c r="I118" s="28" t="s">
        <v>262</v>
      </c>
      <c r="J118" s="337">
        <v>1</v>
      </c>
      <c r="K118" s="46">
        <f t="shared" si="48"/>
        <v>6857.3</v>
      </c>
      <c r="L118" s="46">
        <f t="shared" si="49"/>
        <v>6222.9997500000009</v>
      </c>
      <c r="M118" s="338">
        <f t="shared" si="50"/>
        <v>0</v>
      </c>
      <c r="N118" s="43" t="s">
        <v>34</v>
      </c>
      <c r="O118" s="339">
        <v>85437099</v>
      </c>
      <c r="P118" s="340">
        <f>IFERROR(VLOOKUP(O118,NCM!$A$3:$D$99,COLUMN(head_porNCM_IPI)-COLUMN(head_porNCM_NCM)+1,FALSE),"")</f>
        <v>6.5000000000000002E-2</v>
      </c>
      <c r="Q118" s="43" t="s">
        <v>2275</v>
      </c>
      <c r="R118" s="78" t="s">
        <v>210</v>
      </c>
      <c r="S118" s="341"/>
      <c r="T118" s="28" t="s">
        <v>52</v>
      </c>
      <c r="U118" s="28" t="s">
        <v>2276</v>
      </c>
      <c r="V118" s="548">
        <v>44757</v>
      </c>
      <c r="W118" s="43"/>
      <c r="X118" s="342">
        <f t="shared" si="51"/>
        <v>0</v>
      </c>
      <c r="Y118" s="342">
        <f t="shared" si="52"/>
        <v>418.52065727699483</v>
      </c>
      <c r="Z118" s="46">
        <f t="shared" si="53"/>
        <v>106.23985915492959</v>
      </c>
      <c r="AA118" s="46">
        <f t="shared" si="54"/>
        <v>489.34723004694837</v>
      </c>
      <c r="AB118" s="43"/>
      <c r="AC118" s="44">
        <v>6857.3</v>
      </c>
      <c r="AD118" s="31">
        <v>0</v>
      </c>
      <c r="AE118" s="31">
        <v>6.5000000000000002E-2</v>
      </c>
      <c r="AF118" s="31">
        <v>0</v>
      </c>
      <c r="AG118" s="28" t="s">
        <v>53</v>
      </c>
      <c r="AH118" s="46">
        <f t="shared" si="55"/>
        <v>7303.0244999999995</v>
      </c>
      <c r="AI118" s="43"/>
      <c r="AJ118" s="28"/>
      <c r="AK118" s="337"/>
      <c r="AL118" s="43"/>
      <c r="AM118" s="44">
        <f t="shared" si="56"/>
        <v>0</v>
      </c>
      <c r="AN118" s="43"/>
      <c r="AO118" s="28">
        <f t="shared" si="57"/>
        <v>0</v>
      </c>
      <c r="AP118" s="43"/>
      <c r="AQ118" s="323">
        <f t="shared" si="58"/>
        <v>0</v>
      </c>
      <c r="AR118" s="43"/>
      <c r="AS118" s="44">
        <f t="shared" si="59"/>
        <v>7303.0244999999995</v>
      </c>
    </row>
    <row r="119" spans="1:45" x14ac:dyDescent="0.25">
      <c r="A119" s="28"/>
      <c r="B119" s="43"/>
      <c r="C119" s="43"/>
      <c r="D119" s="43"/>
      <c r="E119" s="43" t="s">
        <v>688</v>
      </c>
      <c r="F119" s="43" t="s">
        <v>936</v>
      </c>
      <c r="G119" s="46">
        <f t="shared" si="46"/>
        <v>2029.5738000000003</v>
      </c>
      <c r="H119" s="46">
        <f t="shared" si="47"/>
        <v>1800.6279750000006</v>
      </c>
      <c r="I119" s="28" t="s">
        <v>262</v>
      </c>
      <c r="J119" s="337">
        <v>1</v>
      </c>
      <c r="K119" s="46">
        <f t="shared" si="48"/>
        <v>2029.5738000000003</v>
      </c>
      <c r="L119" s="46">
        <f t="shared" si="49"/>
        <v>1800.6279750000006</v>
      </c>
      <c r="M119" s="338">
        <f t="shared" si="50"/>
        <v>0</v>
      </c>
      <c r="N119" s="43" t="s">
        <v>34</v>
      </c>
      <c r="O119" s="339">
        <v>85176259</v>
      </c>
      <c r="P119" s="340">
        <f>IFERROR(VLOOKUP(O119,NCM!$A$3:$D$99,COLUMN(head_porNCM_IPI)-COLUMN(head_porNCM_NCM)+1,FALSE),"")</f>
        <v>0.15</v>
      </c>
      <c r="Q119" s="43" t="s">
        <v>804</v>
      </c>
      <c r="R119" s="78" t="s">
        <v>210</v>
      </c>
      <c r="S119" s="341"/>
      <c r="T119" s="28" t="s">
        <v>52</v>
      </c>
      <c r="U119" s="28" t="s">
        <v>2742</v>
      </c>
      <c r="V119" s="548">
        <v>45159</v>
      </c>
      <c r="W119" s="43"/>
      <c r="X119" s="342">
        <f t="shared" si="51"/>
        <v>405.93731207289295</v>
      </c>
      <c r="Y119" s="342">
        <f t="shared" si="52"/>
        <v>219.88271070615019</v>
      </c>
      <c r="Z119" s="46">
        <f t="shared" si="53"/>
        <v>37.210920273348528</v>
      </c>
      <c r="AA119" s="46">
        <f t="shared" si="54"/>
        <v>171.39575398633258</v>
      </c>
      <c r="AB119" s="43"/>
      <c r="AC119" s="44">
        <v>2475.09</v>
      </c>
      <c r="AD119" s="31">
        <v>0.18</v>
      </c>
      <c r="AE119" s="31">
        <v>9.7500000000000003E-2</v>
      </c>
      <c r="AF119" s="31">
        <v>0</v>
      </c>
      <c r="AG119" s="28" t="s">
        <v>53</v>
      </c>
      <c r="AH119" s="46">
        <f t="shared" si="55"/>
        <v>2716.4112749999999</v>
      </c>
      <c r="AI119" s="43"/>
      <c r="AJ119" s="28" t="s">
        <v>263</v>
      </c>
      <c r="AK119" s="337">
        <v>4.9800000000000004</v>
      </c>
      <c r="AL119" s="43"/>
      <c r="AM119" s="44">
        <f t="shared" si="56"/>
        <v>0</v>
      </c>
      <c r="AN119" s="43"/>
      <c r="AO119" s="28">
        <f t="shared" si="57"/>
        <v>0</v>
      </c>
      <c r="AP119" s="43"/>
      <c r="AQ119" s="323">
        <f t="shared" si="58"/>
        <v>0</v>
      </c>
      <c r="AR119" s="43"/>
      <c r="AS119" s="44">
        <f t="shared" si="59"/>
        <v>2716.4112749999999</v>
      </c>
    </row>
    <row r="120" spans="1:45" x14ac:dyDescent="0.25">
      <c r="A120" s="28"/>
      <c r="B120" s="43"/>
      <c r="C120" s="43"/>
      <c r="D120" s="43"/>
      <c r="E120" s="43" t="s">
        <v>687</v>
      </c>
      <c r="F120" s="43" t="s">
        <v>935</v>
      </c>
      <c r="G120" s="46">
        <f t="shared" ref="G120:G183" si="60">AC120*(1-AD120)</f>
        <v>2698.8988000000004</v>
      </c>
      <c r="H120" s="46">
        <f t="shared" ref="H120:H183" si="61">AC120*(1-AD120-pis_naocum-cofins_naocum)</f>
        <v>2394.4498500000004</v>
      </c>
      <c r="I120" s="28" t="s">
        <v>262</v>
      </c>
      <c r="J120" s="337">
        <v>1</v>
      </c>
      <c r="K120" s="46">
        <f t="shared" ref="K120:K183" si="62">IFERROR(G120*J120*VLOOKUP(I120,tbl_cambio,2,FALSE),"")</f>
        <v>2698.8988000000004</v>
      </c>
      <c r="L120" s="46">
        <f t="shared" ref="L120:L183" si="63">IFERROR(H120*J120*VLOOKUP(I120,tbl_cambio,2,FALSE),"")</f>
        <v>2394.4498500000004</v>
      </c>
      <c r="M120" s="338">
        <f t="shared" ref="M120:M183" si="64">SUMIF(col_item,"="&amp;E120,col_qtd)</f>
        <v>0</v>
      </c>
      <c r="N120" s="43" t="s">
        <v>34</v>
      </c>
      <c r="O120" s="339">
        <v>85176259</v>
      </c>
      <c r="P120" s="340">
        <f>IFERROR(VLOOKUP(O120,NCM!$A$3:$D$99,COLUMN(head_porNCM_IPI)-COLUMN(head_porNCM_NCM)+1,FALSE),"")</f>
        <v>0.15</v>
      </c>
      <c r="Q120" s="43" t="s">
        <v>804</v>
      </c>
      <c r="R120" s="78" t="s">
        <v>210</v>
      </c>
      <c r="S120" s="341"/>
      <c r="T120" s="28" t="s">
        <v>52</v>
      </c>
      <c r="U120" s="28" t="s">
        <v>2742</v>
      </c>
      <c r="V120" s="548">
        <v>45159</v>
      </c>
      <c r="W120" s="43"/>
      <c r="X120" s="342">
        <f t="shared" ref="X120:X183" si="65">(AC120-Y120)*AD120</f>
        <v>539.80974943052399</v>
      </c>
      <c r="Y120" s="342">
        <f t="shared" ref="Y120:Y183" si="66">AC120-AC120/(1+AE120)</f>
        <v>292.39694760820021</v>
      </c>
      <c r="Z120" s="46">
        <f t="shared" ref="Z120:Z183" si="67">(AC120-Y120)*pis_naocum</f>
        <v>49.482560364464703</v>
      </c>
      <c r="AA120" s="46">
        <f t="shared" ref="AA120:AA183" si="68">(AC120-Y120)*cofins_naocum</f>
        <v>227.91967198177679</v>
      </c>
      <c r="AB120" s="43"/>
      <c r="AC120" s="44">
        <v>3291.34</v>
      </c>
      <c r="AD120" s="31">
        <v>0.18</v>
      </c>
      <c r="AE120" s="31">
        <v>9.7500000000000003E-2</v>
      </c>
      <c r="AF120" s="31">
        <v>0</v>
      </c>
      <c r="AG120" s="28" t="s">
        <v>53</v>
      </c>
      <c r="AH120" s="46">
        <f t="shared" ref="AH120:AH183" si="69">AC120*(1+AE120)</f>
        <v>3612.2456499999998</v>
      </c>
      <c r="AI120" s="43"/>
      <c r="AJ120" s="28" t="s">
        <v>263</v>
      </c>
      <c r="AK120" s="337">
        <v>4.9800000000000004</v>
      </c>
      <c r="AL120" s="43"/>
      <c r="AM120" s="44">
        <f t="shared" ref="AM120:AM183" si="70">IF(AND(AJ120&lt;&gt;"",AK120&gt;0),AQ120*(VLOOKUP(AJ120,tbl_cambio,2,FALSE)/AK120-1),0)</f>
        <v>0</v>
      </c>
      <c r="AN120" s="43"/>
      <c r="AO120" s="28">
        <f t="shared" ref="AO120:AO183" si="71">IF(T120="Sim",ROUNDUP(M120*sobress_pc,0),0)</f>
        <v>0</v>
      </c>
      <c r="AP120" s="43"/>
      <c r="AQ120" s="323">
        <f t="shared" ref="AQ120:AQ183" si="72">SUMIFS(col_custoTotal,col_fatdir,"Não",col_item,E120)</f>
        <v>0</v>
      </c>
      <c r="AR120" s="43"/>
      <c r="AS120" s="44">
        <f t="shared" ref="AS120:AS183" si="73">IFERROR(AH120*VLOOKUP(I120,tbl_cambio,2,FALSE),0)</f>
        <v>3612.2456499999998</v>
      </c>
    </row>
    <row r="121" spans="1:45" x14ac:dyDescent="0.25">
      <c r="A121" s="28"/>
      <c r="B121" s="43"/>
      <c r="C121" s="43"/>
      <c r="D121" s="43"/>
      <c r="E121" s="43" t="s">
        <v>2308</v>
      </c>
      <c r="F121" s="43" t="s">
        <v>3054</v>
      </c>
      <c r="G121" s="46">
        <f t="shared" si="60"/>
        <v>4328.4671999999991</v>
      </c>
      <c r="H121" s="46">
        <f t="shared" si="61"/>
        <v>3911.4013500000001</v>
      </c>
      <c r="I121" s="28" t="s">
        <v>262</v>
      </c>
      <c r="J121" s="337">
        <v>1</v>
      </c>
      <c r="K121" s="46">
        <f t="shared" si="62"/>
        <v>4328.4671999999991</v>
      </c>
      <c r="L121" s="46">
        <f t="shared" si="63"/>
        <v>3911.4013500000001</v>
      </c>
      <c r="M121" s="338">
        <f t="shared" si="64"/>
        <v>2</v>
      </c>
      <c r="N121" s="43" t="s">
        <v>34</v>
      </c>
      <c r="O121" s="339">
        <v>85176234</v>
      </c>
      <c r="P121" s="340">
        <f>IFERROR(VLOOKUP(O121,NCM!$A$3:$D$99,COLUMN(head_porNCM_IPI)-COLUMN(head_porNCM_NCM)+1,FALSE),"")</f>
        <v>9.7500000000000003E-2</v>
      </c>
      <c r="Q121" s="43" t="s">
        <v>804</v>
      </c>
      <c r="R121" s="78" t="s">
        <v>210</v>
      </c>
      <c r="S121" s="341"/>
      <c r="T121" s="28" t="s">
        <v>52</v>
      </c>
      <c r="U121" s="28" t="s">
        <v>3090</v>
      </c>
      <c r="V121" s="548">
        <v>45467</v>
      </c>
      <c r="W121" s="43"/>
      <c r="X121" s="342">
        <f t="shared" si="65"/>
        <v>164.33056947608202</v>
      </c>
      <c r="Y121" s="342">
        <f t="shared" si="66"/>
        <v>400.55576309794924</v>
      </c>
      <c r="Z121" s="46">
        <f t="shared" si="67"/>
        <v>67.786359908883838</v>
      </c>
      <c r="AA121" s="46">
        <f t="shared" si="68"/>
        <v>312.2280820045558</v>
      </c>
      <c r="AB121" s="43"/>
      <c r="AC121" s="44">
        <v>4508.82</v>
      </c>
      <c r="AD121" s="31">
        <v>0.04</v>
      </c>
      <c r="AE121" s="31">
        <v>9.7500000000000003E-2</v>
      </c>
      <c r="AF121" s="31">
        <v>0</v>
      </c>
      <c r="AG121" s="28" t="s">
        <v>53</v>
      </c>
      <c r="AH121" s="46">
        <f t="shared" si="69"/>
        <v>4948.4299499999997</v>
      </c>
      <c r="AI121" s="43"/>
      <c r="AJ121" s="28" t="s">
        <v>263</v>
      </c>
      <c r="AK121" s="337">
        <v>5.39</v>
      </c>
      <c r="AL121" s="43"/>
      <c r="AM121" s="44">
        <f t="shared" si="70"/>
        <v>58.054194434136569</v>
      </c>
      <c r="AN121" s="43"/>
      <c r="AO121" s="28">
        <f t="shared" si="71"/>
        <v>1</v>
      </c>
      <c r="AP121" s="43"/>
      <c r="AQ121" s="323">
        <f t="shared" si="72"/>
        <v>7822.8027000000002</v>
      </c>
      <c r="AR121" s="43"/>
      <c r="AS121" s="44">
        <f t="shared" si="73"/>
        <v>4948.4299499999997</v>
      </c>
    </row>
    <row r="122" spans="1:45" x14ac:dyDescent="0.25">
      <c r="A122" s="28"/>
      <c r="B122" s="43"/>
      <c r="C122" s="43"/>
      <c r="D122" s="43"/>
      <c r="E122" s="43" t="s">
        <v>3055</v>
      </c>
      <c r="F122" s="43" t="s">
        <v>3056</v>
      </c>
      <c r="G122" s="46">
        <f t="shared" si="60"/>
        <v>4328.4671999999991</v>
      </c>
      <c r="H122" s="46">
        <f t="shared" si="61"/>
        <v>3911.4013500000001</v>
      </c>
      <c r="I122" s="28" t="s">
        <v>262</v>
      </c>
      <c r="J122" s="337">
        <v>1</v>
      </c>
      <c r="K122" s="46">
        <f t="shared" si="62"/>
        <v>4328.4671999999991</v>
      </c>
      <c r="L122" s="46">
        <f t="shared" si="63"/>
        <v>3911.4013500000001</v>
      </c>
      <c r="M122" s="338">
        <f t="shared" si="64"/>
        <v>0</v>
      </c>
      <c r="N122" s="43" t="s">
        <v>34</v>
      </c>
      <c r="O122" s="339">
        <v>85176234</v>
      </c>
      <c r="P122" s="340">
        <f>IFERROR(VLOOKUP(O122,NCM!$A$3:$D$99,COLUMN(head_porNCM_IPI)-COLUMN(head_porNCM_NCM)+1,FALSE),"")</f>
        <v>9.7500000000000003E-2</v>
      </c>
      <c r="Q122" s="43" t="s">
        <v>804</v>
      </c>
      <c r="R122" s="78" t="s">
        <v>210</v>
      </c>
      <c r="S122" s="341"/>
      <c r="T122" s="28" t="s">
        <v>52</v>
      </c>
      <c r="U122" s="28"/>
      <c r="V122" s="28" t="e">
        <v>#VALUE!</v>
      </c>
      <c r="W122" s="43"/>
      <c r="X122" s="342">
        <f t="shared" si="65"/>
        <v>164.33056947608202</v>
      </c>
      <c r="Y122" s="342">
        <f t="shared" si="66"/>
        <v>400.55576309794924</v>
      </c>
      <c r="Z122" s="46">
        <f t="shared" si="67"/>
        <v>67.786359908883838</v>
      </c>
      <c r="AA122" s="46">
        <f t="shared" si="68"/>
        <v>312.2280820045558</v>
      </c>
      <c r="AB122" s="43"/>
      <c r="AC122" s="44">
        <v>4508.82</v>
      </c>
      <c r="AD122" s="31">
        <v>0.04</v>
      </c>
      <c r="AE122" s="31">
        <v>9.7500000000000003E-2</v>
      </c>
      <c r="AF122" s="31">
        <v>0</v>
      </c>
      <c r="AG122" s="28" t="s">
        <v>53</v>
      </c>
      <c r="AH122" s="46">
        <f t="shared" si="69"/>
        <v>4948.4299499999997</v>
      </c>
      <c r="AI122" s="43"/>
      <c r="AJ122" s="28" t="s">
        <v>263</v>
      </c>
      <c r="AK122" s="337"/>
      <c r="AL122" s="43"/>
      <c r="AM122" s="44">
        <f t="shared" si="70"/>
        <v>0</v>
      </c>
      <c r="AN122" s="43"/>
      <c r="AO122" s="28">
        <f t="shared" si="71"/>
        <v>0</v>
      </c>
      <c r="AP122" s="43"/>
      <c r="AQ122" s="323">
        <f t="shared" si="72"/>
        <v>0</v>
      </c>
      <c r="AR122" s="43"/>
      <c r="AS122" s="44">
        <f t="shared" si="73"/>
        <v>4948.4299499999997</v>
      </c>
    </row>
    <row r="123" spans="1:45" x14ac:dyDescent="0.25">
      <c r="A123" s="28"/>
      <c r="B123" s="43"/>
      <c r="C123" s="43"/>
      <c r="D123" s="43"/>
      <c r="E123" s="43" t="s">
        <v>2409</v>
      </c>
      <c r="F123" s="43" t="s">
        <v>1077</v>
      </c>
      <c r="G123" s="46">
        <f t="shared" si="60"/>
        <v>10277.429000000002</v>
      </c>
      <c r="H123" s="46">
        <f t="shared" si="61"/>
        <v>9118.0848750000023</v>
      </c>
      <c r="I123" s="28" t="s">
        <v>262</v>
      </c>
      <c r="J123" s="337">
        <v>1</v>
      </c>
      <c r="K123" s="46">
        <f t="shared" si="62"/>
        <v>10277.429000000002</v>
      </c>
      <c r="L123" s="46">
        <f t="shared" si="63"/>
        <v>9118.0848750000023</v>
      </c>
      <c r="M123" s="338">
        <f t="shared" si="64"/>
        <v>0</v>
      </c>
      <c r="N123" s="43" t="s">
        <v>34</v>
      </c>
      <c r="O123" s="339">
        <v>85176259</v>
      </c>
      <c r="P123" s="340">
        <f>IFERROR(VLOOKUP(O123,NCM!$A$3:$D$99,COLUMN(head_porNCM_IPI)-COLUMN(head_porNCM_NCM)+1,FALSE),"")</f>
        <v>0.15</v>
      </c>
      <c r="Q123" s="43" t="s">
        <v>804</v>
      </c>
      <c r="R123" s="78" t="s">
        <v>210</v>
      </c>
      <c r="S123" s="341"/>
      <c r="T123" s="28" t="s">
        <v>52</v>
      </c>
      <c r="U123" s="28" t="s">
        <v>2742</v>
      </c>
      <c r="V123" s="548">
        <v>45159</v>
      </c>
      <c r="W123" s="43"/>
      <c r="X123" s="342">
        <f t="shared" si="65"/>
        <v>2055.6000000000004</v>
      </c>
      <c r="Y123" s="342">
        <f t="shared" si="66"/>
        <v>1113.4499999999989</v>
      </c>
      <c r="Z123" s="46">
        <f t="shared" si="67"/>
        <v>188.43000000000004</v>
      </c>
      <c r="AA123" s="46">
        <f t="shared" si="68"/>
        <v>867.92000000000007</v>
      </c>
      <c r="AB123" s="43"/>
      <c r="AC123" s="44">
        <v>12533.45</v>
      </c>
      <c r="AD123" s="31">
        <v>0.18</v>
      </c>
      <c r="AE123" s="31">
        <v>9.7500000000000003E-2</v>
      </c>
      <c r="AF123" s="31">
        <v>0</v>
      </c>
      <c r="AG123" s="28" t="s">
        <v>53</v>
      </c>
      <c r="AH123" s="46">
        <f t="shared" si="69"/>
        <v>13755.461374999999</v>
      </c>
      <c r="AI123" s="43"/>
      <c r="AJ123" s="28" t="s">
        <v>263</v>
      </c>
      <c r="AK123" s="337">
        <v>4.9800000000000004</v>
      </c>
      <c r="AL123" s="43"/>
      <c r="AM123" s="44">
        <f t="shared" si="70"/>
        <v>0</v>
      </c>
      <c r="AN123" s="43"/>
      <c r="AO123" s="28">
        <f t="shared" si="71"/>
        <v>0</v>
      </c>
      <c r="AP123" s="43"/>
      <c r="AQ123" s="323">
        <f t="shared" si="72"/>
        <v>0</v>
      </c>
      <c r="AR123" s="43"/>
      <c r="AS123" s="44">
        <f t="shared" si="73"/>
        <v>13755.461374999999</v>
      </c>
    </row>
    <row r="124" spans="1:45" x14ac:dyDescent="0.25">
      <c r="A124" s="28"/>
      <c r="B124" s="43"/>
      <c r="C124" s="43"/>
      <c r="D124" s="43"/>
      <c r="E124" s="43" t="s">
        <v>689</v>
      </c>
      <c r="F124" s="43" t="s">
        <v>937</v>
      </c>
      <c r="G124" s="46">
        <f t="shared" si="60"/>
        <v>2634.127</v>
      </c>
      <c r="H124" s="46">
        <f t="shared" si="61"/>
        <v>2336.9846250000005</v>
      </c>
      <c r="I124" s="28" t="s">
        <v>262</v>
      </c>
      <c r="J124" s="337">
        <v>1</v>
      </c>
      <c r="K124" s="46">
        <f t="shared" si="62"/>
        <v>2634.127</v>
      </c>
      <c r="L124" s="46">
        <f t="shared" si="63"/>
        <v>2336.9846250000005</v>
      </c>
      <c r="M124" s="338">
        <f t="shared" si="64"/>
        <v>0</v>
      </c>
      <c r="N124" s="43" t="s">
        <v>34</v>
      </c>
      <c r="O124" s="339">
        <v>85176259</v>
      </c>
      <c r="P124" s="340">
        <f>IFERROR(VLOOKUP(O124,NCM!$A$3:$D$99,COLUMN(head_porNCM_IPI)-COLUMN(head_porNCM_NCM)+1,FALSE),"")</f>
        <v>0.15</v>
      </c>
      <c r="Q124" s="43" t="s">
        <v>804</v>
      </c>
      <c r="R124" s="78" t="s">
        <v>210</v>
      </c>
      <c r="S124" s="341"/>
      <c r="T124" s="28" t="s">
        <v>52</v>
      </c>
      <c r="U124" s="28" t="s">
        <v>2742</v>
      </c>
      <c r="V124" s="548">
        <v>45159</v>
      </c>
      <c r="W124" s="43"/>
      <c r="X124" s="342">
        <f t="shared" si="65"/>
        <v>526.85466970387245</v>
      </c>
      <c r="Y124" s="342">
        <f t="shared" si="66"/>
        <v>285.37961275626412</v>
      </c>
      <c r="Z124" s="46">
        <f t="shared" si="67"/>
        <v>48.29501138952164</v>
      </c>
      <c r="AA124" s="46">
        <f t="shared" si="68"/>
        <v>222.44974943052392</v>
      </c>
      <c r="AB124" s="43"/>
      <c r="AC124" s="44">
        <v>3212.35</v>
      </c>
      <c r="AD124" s="31">
        <v>0.18</v>
      </c>
      <c r="AE124" s="31">
        <v>9.7500000000000003E-2</v>
      </c>
      <c r="AF124" s="31">
        <v>0</v>
      </c>
      <c r="AG124" s="28" t="s">
        <v>53</v>
      </c>
      <c r="AH124" s="46">
        <f t="shared" si="69"/>
        <v>3525.5541249999997</v>
      </c>
      <c r="AI124" s="43"/>
      <c r="AJ124" s="28" t="s">
        <v>263</v>
      </c>
      <c r="AK124" s="337">
        <v>4.9800000000000004</v>
      </c>
      <c r="AL124" s="43"/>
      <c r="AM124" s="44">
        <f t="shared" si="70"/>
        <v>0</v>
      </c>
      <c r="AN124" s="43"/>
      <c r="AO124" s="28">
        <f t="shared" si="71"/>
        <v>0</v>
      </c>
      <c r="AP124" s="43"/>
      <c r="AQ124" s="323">
        <f t="shared" si="72"/>
        <v>0</v>
      </c>
      <c r="AR124" s="43"/>
      <c r="AS124" s="44">
        <f t="shared" si="73"/>
        <v>3525.5541249999997</v>
      </c>
    </row>
    <row r="125" spans="1:45" x14ac:dyDescent="0.25">
      <c r="A125" s="28"/>
      <c r="B125" s="43"/>
      <c r="C125" s="43"/>
      <c r="D125" s="43"/>
      <c r="E125" s="43" t="s">
        <v>2309</v>
      </c>
      <c r="F125" s="43" t="s">
        <v>2310</v>
      </c>
      <c r="G125" s="46">
        <f t="shared" si="60"/>
        <v>12621.9072</v>
      </c>
      <c r="H125" s="46">
        <f t="shared" si="61"/>
        <v>11405.733850000001</v>
      </c>
      <c r="I125" s="28" t="s">
        <v>262</v>
      </c>
      <c r="J125" s="337">
        <v>1</v>
      </c>
      <c r="K125" s="46">
        <f t="shared" si="62"/>
        <v>12621.9072</v>
      </c>
      <c r="L125" s="46">
        <f t="shared" si="63"/>
        <v>11405.733850000001</v>
      </c>
      <c r="M125" s="338">
        <f t="shared" si="64"/>
        <v>2</v>
      </c>
      <c r="N125" s="43" t="s">
        <v>34</v>
      </c>
      <c r="O125" s="339">
        <v>85176234</v>
      </c>
      <c r="P125" s="340">
        <f>IFERROR(VLOOKUP(O125,NCM!$A$3:$D$99,COLUMN(head_porNCM_IPI)-COLUMN(head_porNCM_NCM)+1,FALSE),"")</f>
        <v>9.7500000000000003E-2</v>
      </c>
      <c r="Q125" s="43" t="s">
        <v>804</v>
      </c>
      <c r="R125" s="78" t="s">
        <v>210</v>
      </c>
      <c r="S125" s="341"/>
      <c r="T125" s="28" t="s">
        <v>52</v>
      </c>
      <c r="U125" s="28" t="s">
        <v>3090</v>
      </c>
      <c r="V125" s="548">
        <v>45467</v>
      </c>
      <c r="W125" s="43"/>
      <c r="X125" s="342">
        <f t="shared" si="65"/>
        <v>479.19161731207294</v>
      </c>
      <c r="Y125" s="342">
        <f t="shared" si="66"/>
        <v>1168.0295671981767</v>
      </c>
      <c r="Z125" s="46">
        <f t="shared" si="67"/>
        <v>197.66654214123008</v>
      </c>
      <c r="AA125" s="46">
        <f t="shared" si="68"/>
        <v>910.46407289293847</v>
      </c>
      <c r="AB125" s="43"/>
      <c r="AC125" s="44">
        <v>13147.82</v>
      </c>
      <c r="AD125" s="31">
        <v>0.04</v>
      </c>
      <c r="AE125" s="31">
        <v>9.7500000000000003E-2</v>
      </c>
      <c r="AF125" s="31">
        <v>0</v>
      </c>
      <c r="AG125" s="28" t="s">
        <v>53</v>
      </c>
      <c r="AH125" s="46">
        <f t="shared" si="69"/>
        <v>14429.73245</v>
      </c>
      <c r="AI125" s="43"/>
      <c r="AJ125" s="28" t="s">
        <v>263</v>
      </c>
      <c r="AK125" s="337">
        <v>5.39</v>
      </c>
      <c r="AL125" s="43"/>
      <c r="AM125" s="44">
        <f t="shared" si="70"/>
        <v>169.28732987012776</v>
      </c>
      <c r="AN125" s="43"/>
      <c r="AO125" s="28">
        <f t="shared" si="71"/>
        <v>1</v>
      </c>
      <c r="AP125" s="43"/>
      <c r="AQ125" s="323">
        <f t="shared" si="72"/>
        <v>22811.467700000001</v>
      </c>
      <c r="AR125" s="43"/>
      <c r="AS125" s="44">
        <f t="shared" si="73"/>
        <v>14429.73245</v>
      </c>
    </row>
    <row r="126" spans="1:45" x14ac:dyDescent="0.25">
      <c r="A126" s="28"/>
      <c r="B126" s="43"/>
      <c r="C126" s="43"/>
      <c r="D126" s="43"/>
      <c r="E126" s="43" t="s">
        <v>2410</v>
      </c>
      <c r="F126" s="43" t="s">
        <v>3057</v>
      </c>
      <c r="G126" s="46">
        <f t="shared" si="60"/>
        <v>1197.9263999999998</v>
      </c>
      <c r="H126" s="46">
        <f t="shared" si="61"/>
        <v>1082.5011999999999</v>
      </c>
      <c r="I126" s="28" t="s">
        <v>262</v>
      </c>
      <c r="J126" s="337">
        <v>1</v>
      </c>
      <c r="K126" s="46">
        <f t="shared" si="62"/>
        <v>1197.9263999999998</v>
      </c>
      <c r="L126" s="46">
        <f t="shared" si="63"/>
        <v>1082.5011999999999</v>
      </c>
      <c r="M126" s="338">
        <f t="shared" si="64"/>
        <v>6</v>
      </c>
      <c r="N126" s="43" t="s">
        <v>34</v>
      </c>
      <c r="O126" s="339">
        <v>85177900</v>
      </c>
      <c r="P126" s="340">
        <f>IFERROR(VLOOKUP(O126,NCM!$A$3:$D$99,COLUMN(head_porNCM_IPI)-COLUMN(head_porNCM_NCM)+1,FALSE),"")</f>
        <v>7.4999999999999997E-2</v>
      </c>
      <c r="Q126" s="43" t="s">
        <v>804</v>
      </c>
      <c r="R126" s="78" t="s">
        <v>210</v>
      </c>
      <c r="S126" s="341"/>
      <c r="T126" s="28" t="s">
        <v>52</v>
      </c>
      <c r="U126" s="28" t="s">
        <v>3090</v>
      </c>
      <c r="V126" s="548">
        <v>45467</v>
      </c>
      <c r="W126" s="43"/>
      <c r="X126" s="342">
        <f t="shared" si="65"/>
        <v>46.431255813953484</v>
      </c>
      <c r="Y126" s="342">
        <f t="shared" si="66"/>
        <v>87.058604651162796</v>
      </c>
      <c r="Z126" s="46">
        <f t="shared" si="67"/>
        <v>19.152893023255814</v>
      </c>
      <c r="AA126" s="46">
        <f t="shared" si="68"/>
        <v>88.219386046511616</v>
      </c>
      <c r="AB126" s="43"/>
      <c r="AC126" s="44">
        <v>1247.8399999999999</v>
      </c>
      <c r="AD126" s="31">
        <v>0.04</v>
      </c>
      <c r="AE126" s="31">
        <v>7.4999999999999997E-2</v>
      </c>
      <c r="AF126" s="31">
        <v>0</v>
      </c>
      <c r="AG126" s="28" t="s">
        <v>53</v>
      </c>
      <c r="AH126" s="46">
        <f t="shared" si="69"/>
        <v>1341.4279999999999</v>
      </c>
      <c r="AI126" s="43"/>
      <c r="AJ126" s="28" t="s">
        <v>263</v>
      </c>
      <c r="AK126" s="337">
        <v>5.39</v>
      </c>
      <c r="AL126" s="43"/>
      <c r="AM126" s="44">
        <f t="shared" si="70"/>
        <v>48.200424489795317</v>
      </c>
      <c r="AN126" s="43"/>
      <c r="AO126" s="28">
        <f t="shared" si="71"/>
        <v>1</v>
      </c>
      <c r="AP126" s="43"/>
      <c r="AQ126" s="323">
        <f t="shared" si="72"/>
        <v>6495.0072</v>
      </c>
      <c r="AR126" s="43"/>
      <c r="AS126" s="44">
        <f t="shared" si="73"/>
        <v>1341.4279999999999</v>
      </c>
    </row>
    <row r="127" spans="1:45" x14ac:dyDescent="0.25">
      <c r="A127" s="28"/>
      <c r="B127" s="43"/>
      <c r="C127" s="43"/>
      <c r="D127" s="43"/>
      <c r="E127" s="43" t="s">
        <v>3058</v>
      </c>
      <c r="F127" s="43" t="s">
        <v>3059</v>
      </c>
      <c r="G127" s="46">
        <f t="shared" si="60"/>
        <v>4327.2096000000001</v>
      </c>
      <c r="H127" s="46">
        <f t="shared" si="61"/>
        <v>3910.2649250000004</v>
      </c>
      <c r="I127" s="28" t="s">
        <v>262</v>
      </c>
      <c r="J127" s="337">
        <v>1</v>
      </c>
      <c r="K127" s="46">
        <f t="shared" si="62"/>
        <v>4327.2096000000001</v>
      </c>
      <c r="L127" s="46">
        <f t="shared" si="63"/>
        <v>3910.2649250000004</v>
      </c>
      <c r="M127" s="338">
        <f t="shared" si="64"/>
        <v>0</v>
      </c>
      <c r="N127" s="43" t="s">
        <v>34</v>
      </c>
      <c r="O127" s="339">
        <v>85177900</v>
      </c>
      <c r="P127" s="340">
        <f>IFERROR(VLOOKUP(O127,NCM!$A$3:$D$99,COLUMN(head_porNCM_IPI)-COLUMN(head_porNCM_NCM)+1,FALSE),"")</f>
        <v>7.4999999999999997E-2</v>
      </c>
      <c r="Q127" s="43" t="s">
        <v>804</v>
      </c>
      <c r="R127" s="78" t="s">
        <v>210</v>
      </c>
      <c r="S127" s="341"/>
      <c r="T127" s="28" t="s">
        <v>52</v>
      </c>
      <c r="U127" s="28" t="s">
        <v>3090</v>
      </c>
      <c r="V127" s="548">
        <v>45467</v>
      </c>
      <c r="W127" s="43"/>
      <c r="X127" s="342">
        <f t="shared" si="65"/>
        <v>167.72130232558143</v>
      </c>
      <c r="Y127" s="342">
        <f t="shared" si="66"/>
        <v>314.47744186046475</v>
      </c>
      <c r="Z127" s="46">
        <f t="shared" si="67"/>
        <v>69.185037209302337</v>
      </c>
      <c r="AA127" s="46">
        <f t="shared" si="68"/>
        <v>318.67047441860467</v>
      </c>
      <c r="AB127" s="43"/>
      <c r="AC127" s="44">
        <v>4507.51</v>
      </c>
      <c r="AD127" s="31">
        <v>0.04</v>
      </c>
      <c r="AE127" s="31">
        <v>7.4999999999999997E-2</v>
      </c>
      <c r="AF127" s="31">
        <v>0</v>
      </c>
      <c r="AG127" s="28" t="s">
        <v>53</v>
      </c>
      <c r="AH127" s="46">
        <f t="shared" si="69"/>
        <v>4845.5732500000004</v>
      </c>
      <c r="AI127" s="43"/>
      <c r="AJ127" s="28" t="s">
        <v>263</v>
      </c>
      <c r="AK127" s="337">
        <v>5.39</v>
      </c>
      <c r="AL127" s="43"/>
      <c r="AM127" s="44">
        <f t="shared" si="70"/>
        <v>0</v>
      </c>
      <c r="AN127" s="43"/>
      <c r="AO127" s="28">
        <f t="shared" si="71"/>
        <v>0</v>
      </c>
      <c r="AP127" s="43"/>
      <c r="AQ127" s="323">
        <f t="shared" si="72"/>
        <v>0</v>
      </c>
      <c r="AR127" s="43"/>
      <c r="AS127" s="44">
        <f t="shared" si="73"/>
        <v>4845.5732500000004</v>
      </c>
    </row>
    <row r="128" spans="1:45" x14ac:dyDescent="0.25">
      <c r="A128" s="28"/>
      <c r="B128" s="43"/>
      <c r="C128" s="43"/>
      <c r="D128" s="43"/>
      <c r="E128" s="43" t="s">
        <v>1208</v>
      </c>
      <c r="F128" s="43" t="s">
        <v>2011</v>
      </c>
      <c r="G128" s="46">
        <f t="shared" si="60"/>
        <v>10517.566000000001</v>
      </c>
      <c r="H128" s="46">
        <f t="shared" si="61"/>
        <v>9331.1332500000008</v>
      </c>
      <c r="I128" s="28" t="s">
        <v>262</v>
      </c>
      <c r="J128" s="337">
        <v>1</v>
      </c>
      <c r="K128" s="46">
        <f t="shared" si="62"/>
        <v>10517.566000000001</v>
      </c>
      <c r="L128" s="46">
        <f t="shared" si="63"/>
        <v>9331.1332500000008</v>
      </c>
      <c r="M128" s="338">
        <f t="shared" si="64"/>
        <v>0</v>
      </c>
      <c r="N128" s="43" t="s">
        <v>34</v>
      </c>
      <c r="O128" s="339">
        <v>85176259</v>
      </c>
      <c r="P128" s="340">
        <f>IFERROR(VLOOKUP(O128,NCM!$A$3:$D$99,COLUMN(head_porNCM_IPI)-COLUMN(head_porNCM_NCM)+1,FALSE),"")</f>
        <v>0.15</v>
      </c>
      <c r="Q128" s="43" t="s">
        <v>1165</v>
      </c>
      <c r="R128" s="78" t="s">
        <v>210</v>
      </c>
      <c r="S128" s="341"/>
      <c r="T128" s="28" t="s">
        <v>52</v>
      </c>
      <c r="U128" s="28" t="s">
        <v>2274</v>
      </c>
      <c r="V128" s="548">
        <v>44615</v>
      </c>
      <c r="W128" s="43"/>
      <c r="X128" s="342">
        <f t="shared" si="65"/>
        <v>2007.5947826086958</v>
      </c>
      <c r="Y128" s="342">
        <f t="shared" si="66"/>
        <v>1672.9956521739114</v>
      </c>
      <c r="Z128" s="46">
        <f t="shared" si="67"/>
        <v>184.02952173913047</v>
      </c>
      <c r="AA128" s="46">
        <f t="shared" si="68"/>
        <v>847.65113043478266</v>
      </c>
      <c r="AB128" s="43"/>
      <c r="AC128" s="44">
        <v>12826.3</v>
      </c>
      <c r="AD128" s="31">
        <v>0.18</v>
      </c>
      <c r="AE128" s="31">
        <v>0.15</v>
      </c>
      <c r="AF128" s="31">
        <v>0</v>
      </c>
      <c r="AG128" s="28" t="s">
        <v>53</v>
      </c>
      <c r="AH128" s="46">
        <f t="shared" si="69"/>
        <v>14750.244999999997</v>
      </c>
      <c r="AI128" s="43"/>
      <c r="AJ128" s="28" t="s">
        <v>263</v>
      </c>
      <c r="AK128" s="337">
        <v>5.01</v>
      </c>
      <c r="AL128" s="43"/>
      <c r="AM128" s="44">
        <f t="shared" si="70"/>
        <v>0</v>
      </c>
      <c r="AN128" s="43"/>
      <c r="AO128" s="28">
        <f t="shared" si="71"/>
        <v>0</v>
      </c>
      <c r="AP128" s="43"/>
      <c r="AQ128" s="323">
        <f t="shared" si="72"/>
        <v>0</v>
      </c>
      <c r="AR128" s="43"/>
      <c r="AS128" s="44">
        <f t="shared" si="73"/>
        <v>14750.244999999997</v>
      </c>
    </row>
    <row r="129" spans="1:45" x14ac:dyDescent="0.25">
      <c r="A129" s="28"/>
      <c r="B129" s="43"/>
      <c r="C129" s="43"/>
      <c r="D129" s="43"/>
      <c r="E129" s="43" t="s">
        <v>1105</v>
      </c>
      <c r="F129" s="43" t="s">
        <v>2012</v>
      </c>
      <c r="G129" s="46">
        <f t="shared" si="60"/>
        <v>15083.818000000003</v>
      </c>
      <c r="H129" s="46">
        <f t="shared" si="61"/>
        <v>13382.289750000004</v>
      </c>
      <c r="I129" s="28" t="s">
        <v>262</v>
      </c>
      <c r="J129" s="337">
        <v>1</v>
      </c>
      <c r="K129" s="46">
        <f t="shared" si="62"/>
        <v>15083.818000000003</v>
      </c>
      <c r="L129" s="46">
        <f t="shared" si="63"/>
        <v>13382.289750000004</v>
      </c>
      <c r="M129" s="338">
        <f t="shared" si="64"/>
        <v>0</v>
      </c>
      <c r="N129" s="43" t="s">
        <v>34</v>
      </c>
      <c r="O129" s="339">
        <v>85176259</v>
      </c>
      <c r="P129" s="340">
        <f>IFERROR(VLOOKUP(O129,NCM!$A$3:$D$99,COLUMN(head_porNCM_IPI)-COLUMN(head_porNCM_NCM)+1,FALSE),"")</f>
        <v>0.15</v>
      </c>
      <c r="Q129" s="43" t="s">
        <v>1165</v>
      </c>
      <c r="R129" s="78" t="s">
        <v>210</v>
      </c>
      <c r="S129" s="341"/>
      <c r="T129" s="28" t="s">
        <v>52</v>
      </c>
      <c r="U129" s="28" t="s">
        <v>2274</v>
      </c>
      <c r="V129" s="548">
        <v>44615</v>
      </c>
      <c r="W129" s="43"/>
      <c r="X129" s="342">
        <f t="shared" si="65"/>
        <v>2879.2017391304353</v>
      </c>
      <c r="Y129" s="342">
        <f t="shared" si="66"/>
        <v>2399.3347826086938</v>
      </c>
      <c r="Z129" s="46">
        <f t="shared" si="67"/>
        <v>263.92682608695657</v>
      </c>
      <c r="AA129" s="46">
        <f t="shared" si="68"/>
        <v>1215.6629565217393</v>
      </c>
      <c r="AB129" s="43"/>
      <c r="AC129" s="44">
        <v>18394.900000000001</v>
      </c>
      <c r="AD129" s="31">
        <v>0.18</v>
      </c>
      <c r="AE129" s="31">
        <v>0.15</v>
      </c>
      <c r="AF129" s="31">
        <v>0</v>
      </c>
      <c r="AG129" s="28" t="s">
        <v>53</v>
      </c>
      <c r="AH129" s="46">
        <f t="shared" si="69"/>
        <v>21154.134999999998</v>
      </c>
      <c r="AI129" s="43"/>
      <c r="AJ129" s="28" t="s">
        <v>263</v>
      </c>
      <c r="AK129" s="337">
        <v>5.01</v>
      </c>
      <c r="AL129" s="43"/>
      <c r="AM129" s="44">
        <f t="shared" si="70"/>
        <v>0</v>
      </c>
      <c r="AN129" s="43"/>
      <c r="AO129" s="28">
        <f t="shared" si="71"/>
        <v>0</v>
      </c>
      <c r="AP129" s="43"/>
      <c r="AQ129" s="323">
        <f t="shared" si="72"/>
        <v>0</v>
      </c>
      <c r="AR129" s="43"/>
      <c r="AS129" s="44">
        <f t="shared" si="73"/>
        <v>21154.134999999998</v>
      </c>
    </row>
    <row r="130" spans="1:45" x14ac:dyDescent="0.25">
      <c r="A130" s="28"/>
      <c r="B130" s="43"/>
      <c r="C130" s="43"/>
      <c r="D130" s="43"/>
      <c r="E130" s="43" t="s">
        <v>1106</v>
      </c>
      <c r="F130" s="43" t="s">
        <v>2013</v>
      </c>
      <c r="G130" s="46">
        <f t="shared" si="60"/>
        <v>16353.128800000002</v>
      </c>
      <c r="H130" s="46">
        <f t="shared" si="61"/>
        <v>14508.416100000002</v>
      </c>
      <c r="I130" s="28" t="s">
        <v>262</v>
      </c>
      <c r="J130" s="337">
        <v>1</v>
      </c>
      <c r="K130" s="46">
        <f t="shared" si="62"/>
        <v>16353.128800000002</v>
      </c>
      <c r="L130" s="46">
        <f t="shared" si="63"/>
        <v>14508.416100000002</v>
      </c>
      <c r="M130" s="338">
        <f t="shared" si="64"/>
        <v>0</v>
      </c>
      <c r="N130" s="43" t="s">
        <v>34</v>
      </c>
      <c r="O130" s="339">
        <v>85176259</v>
      </c>
      <c r="P130" s="340">
        <f>IFERROR(VLOOKUP(O130,NCM!$A$3:$D$99,COLUMN(head_porNCM_IPI)-COLUMN(head_porNCM_NCM)+1,FALSE),"")</f>
        <v>0.15</v>
      </c>
      <c r="Q130" s="43" t="s">
        <v>1165</v>
      </c>
      <c r="R130" s="78" t="s">
        <v>210</v>
      </c>
      <c r="S130" s="341"/>
      <c r="T130" s="28" t="s">
        <v>52</v>
      </c>
      <c r="U130" s="28" t="s">
        <v>2274</v>
      </c>
      <c r="V130" s="548">
        <v>44615</v>
      </c>
      <c r="W130" s="43"/>
      <c r="X130" s="342">
        <f t="shared" si="65"/>
        <v>3121.4880000000003</v>
      </c>
      <c r="Y130" s="342">
        <f t="shared" si="66"/>
        <v>2601.239999999998</v>
      </c>
      <c r="Z130" s="46">
        <f t="shared" si="67"/>
        <v>286.13640000000004</v>
      </c>
      <c r="AA130" s="46">
        <f t="shared" si="68"/>
        <v>1317.9616000000001</v>
      </c>
      <c r="AB130" s="43"/>
      <c r="AC130" s="44">
        <v>19942.84</v>
      </c>
      <c r="AD130" s="31">
        <v>0.18</v>
      </c>
      <c r="AE130" s="31">
        <v>0.15</v>
      </c>
      <c r="AF130" s="31">
        <v>0</v>
      </c>
      <c r="AG130" s="28" t="s">
        <v>53</v>
      </c>
      <c r="AH130" s="46">
        <f t="shared" si="69"/>
        <v>22934.266</v>
      </c>
      <c r="AI130" s="43"/>
      <c r="AJ130" s="28" t="s">
        <v>263</v>
      </c>
      <c r="AK130" s="337">
        <v>5.01</v>
      </c>
      <c r="AL130" s="43"/>
      <c r="AM130" s="44">
        <f t="shared" si="70"/>
        <v>0</v>
      </c>
      <c r="AN130" s="43"/>
      <c r="AO130" s="28">
        <f t="shared" si="71"/>
        <v>0</v>
      </c>
      <c r="AP130" s="43"/>
      <c r="AQ130" s="323">
        <f t="shared" si="72"/>
        <v>0</v>
      </c>
      <c r="AR130" s="43"/>
      <c r="AS130" s="44">
        <f t="shared" si="73"/>
        <v>22934.266</v>
      </c>
    </row>
    <row r="131" spans="1:45" x14ac:dyDescent="0.25">
      <c r="A131" s="28"/>
      <c r="B131" s="43"/>
      <c r="C131" s="43"/>
      <c r="D131" s="43"/>
      <c r="E131" s="43" t="s">
        <v>938</v>
      </c>
      <c r="F131" s="43" t="s">
        <v>939</v>
      </c>
      <c r="G131" s="46">
        <f t="shared" si="60"/>
        <v>15796.975945017182</v>
      </c>
      <c r="H131" s="46">
        <f t="shared" si="61"/>
        <v>14015.000000000002</v>
      </c>
      <c r="I131" s="28" t="s">
        <v>262</v>
      </c>
      <c r="J131" s="337">
        <v>1</v>
      </c>
      <c r="K131" s="46">
        <f t="shared" si="62"/>
        <v>15796.975945017182</v>
      </c>
      <c r="L131" s="46">
        <f t="shared" si="63"/>
        <v>14015.000000000002</v>
      </c>
      <c r="M131" s="338">
        <f t="shared" si="64"/>
        <v>0</v>
      </c>
      <c r="N131" s="43" t="s">
        <v>34</v>
      </c>
      <c r="O131" s="339">
        <v>85176259</v>
      </c>
      <c r="P131" s="340">
        <f>IFERROR(VLOOKUP(O131,NCM!$A$3:$D$99,COLUMN(head_porNCM_IPI)-COLUMN(head_porNCM_NCM)+1,FALSE),"")</f>
        <v>0.15</v>
      </c>
      <c r="Q131" s="43" t="s">
        <v>1109</v>
      </c>
      <c r="R131" s="78" t="s">
        <v>211</v>
      </c>
      <c r="S131" s="341"/>
      <c r="T131" s="28" t="s">
        <v>52</v>
      </c>
      <c r="U131" s="28" t="s">
        <v>2273</v>
      </c>
      <c r="V131" s="548">
        <v>44629</v>
      </c>
      <c r="W131" s="43"/>
      <c r="X131" s="342">
        <f t="shared" si="65"/>
        <v>3015.3294486777227</v>
      </c>
      <c r="Y131" s="342">
        <f t="shared" si="66"/>
        <v>2512.7745405647693</v>
      </c>
      <c r="Z131" s="46">
        <f t="shared" si="67"/>
        <v>276.40519946212459</v>
      </c>
      <c r="AA131" s="46">
        <f t="shared" si="68"/>
        <v>1273.1391005528162</v>
      </c>
      <c r="AB131" s="43"/>
      <c r="AC131" s="44">
        <v>19264.604810996563</v>
      </c>
      <c r="AD131" s="31">
        <v>0.18</v>
      </c>
      <c r="AE131" s="31">
        <v>0.15</v>
      </c>
      <c r="AF131" s="31">
        <v>0</v>
      </c>
      <c r="AG131" s="28" t="s">
        <v>53</v>
      </c>
      <c r="AH131" s="46">
        <f t="shared" si="69"/>
        <v>22154.295532646047</v>
      </c>
      <c r="AI131" s="43"/>
      <c r="AJ131" s="28" t="s">
        <v>263</v>
      </c>
      <c r="AK131" s="337">
        <v>5</v>
      </c>
      <c r="AL131" s="43"/>
      <c r="AM131" s="44">
        <f t="shared" si="70"/>
        <v>0</v>
      </c>
      <c r="AN131" s="43"/>
      <c r="AO131" s="28">
        <f t="shared" si="71"/>
        <v>0</v>
      </c>
      <c r="AP131" s="43"/>
      <c r="AQ131" s="323">
        <f t="shared" si="72"/>
        <v>0</v>
      </c>
      <c r="AR131" s="43"/>
      <c r="AS131" s="44">
        <f t="shared" si="73"/>
        <v>22154.295532646047</v>
      </c>
    </row>
    <row r="132" spans="1:45" x14ac:dyDescent="0.25">
      <c r="A132" s="28"/>
      <c r="B132" s="43"/>
      <c r="C132" s="43"/>
      <c r="D132" s="43"/>
      <c r="E132" s="43" t="s">
        <v>2411</v>
      </c>
      <c r="F132" s="43" t="s">
        <v>2412</v>
      </c>
      <c r="G132" s="46">
        <f t="shared" si="60"/>
        <v>564.86399999999992</v>
      </c>
      <c r="H132" s="46">
        <f t="shared" si="61"/>
        <v>510.43700000000001</v>
      </c>
      <c r="I132" s="28" t="s">
        <v>262</v>
      </c>
      <c r="J132" s="337">
        <v>1</v>
      </c>
      <c r="K132" s="46">
        <f t="shared" si="62"/>
        <v>564.86399999999992</v>
      </c>
      <c r="L132" s="46">
        <f t="shared" si="63"/>
        <v>510.43700000000001</v>
      </c>
      <c r="M132" s="338">
        <f t="shared" si="64"/>
        <v>0</v>
      </c>
      <c r="N132" s="43" t="s">
        <v>34</v>
      </c>
      <c r="O132" s="339">
        <v>85176294</v>
      </c>
      <c r="P132" s="340">
        <f>IFERROR(VLOOKUP(O132,NCM!$A$3:$D$99,COLUMN(head_porNCM_IPI)-COLUMN(head_porNCM_NCM)+1,FALSE),"")</f>
        <v>9.7500000000000003E-2</v>
      </c>
      <c r="Q132" s="43" t="s">
        <v>2743</v>
      </c>
      <c r="R132" s="78" t="s">
        <v>210</v>
      </c>
      <c r="S132" s="341"/>
      <c r="T132" s="28" t="s">
        <v>52</v>
      </c>
      <c r="U132" s="28" t="s">
        <v>2744</v>
      </c>
      <c r="V132" s="548">
        <v>45062</v>
      </c>
      <c r="W132" s="43"/>
      <c r="X132" s="342">
        <f t="shared" si="65"/>
        <v>21.445102505694763</v>
      </c>
      <c r="Y132" s="342">
        <f t="shared" si="66"/>
        <v>52.272437357630906</v>
      </c>
      <c r="Z132" s="46">
        <f t="shared" si="67"/>
        <v>8.84610478359909</v>
      </c>
      <c r="AA132" s="46">
        <f t="shared" si="68"/>
        <v>40.745694760820051</v>
      </c>
      <c r="AB132" s="43"/>
      <c r="AC132" s="44">
        <v>588.4</v>
      </c>
      <c r="AD132" s="31">
        <v>0.04</v>
      </c>
      <c r="AE132" s="31">
        <v>9.7500000000000003E-2</v>
      </c>
      <c r="AF132" s="31">
        <v>0</v>
      </c>
      <c r="AG132" s="28" t="s">
        <v>53</v>
      </c>
      <c r="AH132" s="46">
        <f t="shared" si="69"/>
        <v>645.76899999999989</v>
      </c>
      <c r="AI132" s="43"/>
      <c r="AJ132" s="28" t="s">
        <v>263</v>
      </c>
      <c r="AK132" s="337">
        <v>4.9400000000000004</v>
      </c>
      <c r="AL132" s="43"/>
      <c r="AM132" s="44">
        <f t="shared" si="70"/>
        <v>0</v>
      </c>
      <c r="AN132" s="43"/>
      <c r="AO132" s="28">
        <f t="shared" si="71"/>
        <v>0</v>
      </c>
      <c r="AP132" s="43"/>
      <c r="AQ132" s="323">
        <f t="shared" si="72"/>
        <v>0</v>
      </c>
      <c r="AR132" s="43"/>
      <c r="AS132" s="44">
        <f t="shared" si="73"/>
        <v>645.76899999999989</v>
      </c>
    </row>
    <row r="133" spans="1:45" x14ac:dyDescent="0.25">
      <c r="A133" s="28"/>
      <c r="B133" s="43"/>
      <c r="C133" s="43"/>
      <c r="D133" s="43" t="s">
        <v>1209</v>
      </c>
      <c r="E133" s="43"/>
      <c r="F133" s="43"/>
      <c r="G133" s="46">
        <f t="shared" si="60"/>
        <v>0</v>
      </c>
      <c r="H133" s="46">
        <f t="shared" si="61"/>
        <v>0</v>
      </c>
      <c r="I133" s="28"/>
      <c r="J133" s="337"/>
      <c r="K133" s="46" t="str">
        <f t="shared" si="62"/>
        <v/>
      </c>
      <c r="L133" s="46" t="str">
        <f t="shared" si="63"/>
        <v/>
      </c>
      <c r="M133" s="338">
        <f t="shared" si="64"/>
        <v>0</v>
      </c>
      <c r="N133" s="43"/>
      <c r="O133" s="339"/>
      <c r="P133" s="340" t="str">
        <f>IFERROR(VLOOKUP(O133,NCM!$A$3:$D$99,COLUMN(head_porNCM_IPI)-COLUMN(head_porNCM_NCM)+1,FALSE),"")</f>
        <v/>
      </c>
      <c r="Q133" s="43"/>
      <c r="R133" s="78"/>
      <c r="S133" s="341"/>
      <c r="T133" s="28"/>
      <c r="U133" s="28"/>
      <c r="V133" s="28"/>
      <c r="W133" s="43"/>
      <c r="X133" s="342">
        <f t="shared" si="65"/>
        <v>0</v>
      </c>
      <c r="Y133" s="342">
        <f t="shared" si="66"/>
        <v>0</v>
      </c>
      <c r="Z133" s="46">
        <f t="shared" si="67"/>
        <v>0</v>
      </c>
      <c r="AA133" s="46">
        <f t="shared" si="68"/>
        <v>0</v>
      </c>
      <c r="AB133" s="43"/>
      <c r="AC133" s="44">
        <v>0</v>
      </c>
      <c r="AD133" s="31"/>
      <c r="AE133" s="31"/>
      <c r="AF133" s="31"/>
      <c r="AG133" s="28"/>
      <c r="AH133" s="46">
        <f t="shared" si="69"/>
        <v>0</v>
      </c>
      <c r="AI133" s="43"/>
      <c r="AJ133" s="28"/>
      <c r="AK133" s="337"/>
      <c r="AL133" s="43"/>
      <c r="AM133" s="44">
        <f t="shared" si="70"/>
        <v>0</v>
      </c>
      <c r="AN133" s="43"/>
      <c r="AO133" s="28">
        <f t="shared" si="71"/>
        <v>0</v>
      </c>
      <c r="AP133" s="43"/>
      <c r="AQ133" s="323">
        <f t="shared" si="72"/>
        <v>0</v>
      </c>
      <c r="AR133" s="43"/>
      <c r="AS133" s="44">
        <f t="shared" si="73"/>
        <v>0</v>
      </c>
    </row>
    <row r="134" spans="1:45" x14ac:dyDescent="0.25">
      <c r="A134" s="28"/>
      <c r="B134" s="43"/>
      <c r="C134" s="43"/>
      <c r="D134" s="43"/>
      <c r="E134" s="43" t="s">
        <v>1210</v>
      </c>
      <c r="F134" s="43" t="s">
        <v>1211</v>
      </c>
      <c r="G134" s="46">
        <f t="shared" si="60"/>
        <v>9372</v>
      </c>
      <c r="H134" s="46">
        <f t="shared" si="61"/>
        <v>8386.8750000000018</v>
      </c>
      <c r="I134" s="28" t="s">
        <v>262</v>
      </c>
      <c r="J134" s="337">
        <v>1</v>
      </c>
      <c r="K134" s="46">
        <f t="shared" si="62"/>
        <v>9372</v>
      </c>
      <c r="L134" s="46">
        <f t="shared" si="63"/>
        <v>8386.8750000000018</v>
      </c>
      <c r="M134" s="338">
        <f t="shared" si="64"/>
        <v>0</v>
      </c>
      <c r="N134" s="43" t="s">
        <v>34</v>
      </c>
      <c r="O134" s="339">
        <v>85176249</v>
      </c>
      <c r="P134" s="340">
        <f>IFERROR(VLOOKUP(O134,NCM!$A$3:$D$99,COLUMN(head_porNCM_IPI)-COLUMN(head_porNCM_NCM)+1,FALSE),"")</f>
        <v>9.7500000000000003E-2</v>
      </c>
      <c r="Q134" s="43" t="s">
        <v>1876</v>
      </c>
      <c r="R134" s="78" t="s">
        <v>210</v>
      </c>
      <c r="S134" s="341"/>
      <c r="T134" s="28" t="s">
        <v>52</v>
      </c>
      <c r="U134" s="28" t="s">
        <v>1877</v>
      </c>
      <c r="V134" s="548">
        <v>43158</v>
      </c>
      <c r="W134" s="43"/>
      <c r="X134" s="342">
        <f t="shared" si="65"/>
        <v>1217.1428571428571</v>
      </c>
      <c r="Y134" s="342">
        <f t="shared" si="66"/>
        <v>507.14285714285688</v>
      </c>
      <c r="Z134" s="46">
        <f t="shared" si="67"/>
        <v>167.35714285714286</v>
      </c>
      <c r="AA134" s="46">
        <f t="shared" si="68"/>
        <v>770.85714285714289</v>
      </c>
      <c r="AB134" s="43"/>
      <c r="AC134" s="44">
        <v>10650</v>
      </c>
      <c r="AD134" s="31">
        <v>0.12</v>
      </c>
      <c r="AE134" s="31">
        <v>0.05</v>
      </c>
      <c r="AF134" s="31">
        <v>0</v>
      </c>
      <c r="AG134" s="28" t="s">
        <v>53</v>
      </c>
      <c r="AH134" s="46">
        <f t="shared" si="69"/>
        <v>11182.5</v>
      </c>
      <c r="AI134" s="43"/>
      <c r="AJ134" s="28" t="s">
        <v>263</v>
      </c>
      <c r="AK134" s="337">
        <v>3.23</v>
      </c>
      <c r="AL134" s="43"/>
      <c r="AM134" s="44">
        <f t="shared" si="70"/>
        <v>0</v>
      </c>
      <c r="AN134" s="43"/>
      <c r="AO134" s="28">
        <f t="shared" si="71"/>
        <v>0</v>
      </c>
      <c r="AP134" s="43"/>
      <c r="AQ134" s="323">
        <f t="shared" si="72"/>
        <v>0</v>
      </c>
      <c r="AR134" s="43"/>
      <c r="AS134" s="44">
        <f t="shared" si="73"/>
        <v>11182.5</v>
      </c>
    </row>
    <row r="135" spans="1:45" x14ac:dyDescent="0.25">
      <c r="A135" s="28"/>
      <c r="B135" s="43"/>
      <c r="C135" s="43"/>
      <c r="D135" s="43"/>
      <c r="E135" s="43" t="s">
        <v>1212</v>
      </c>
      <c r="F135" s="43" t="s">
        <v>1213</v>
      </c>
      <c r="G135" s="46">
        <f t="shared" si="60"/>
        <v>1095.5999999999999</v>
      </c>
      <c r="H135" s="46">
        <f t="shared" si="61"/>
        <v>980.43750000000011</v>
      </c>
      <c r="I135" s="28" t="s">
        <v>262</v>
      </c>
      <c r="J135" s="337">
        <v>1</v>
      </c>
      <c r="K135" s="46">
        <f t="shared" si="62"/>
        <v>1095.5999999999999</v>
      </c>
      <c r="L135" s="46">
        <f t="shared" si="63"/>
        <v>980.43750000000011</v>
      </c>
      <c r="M135" s="338">
        <f t="shared" si="64"/>
        <v>0</v>
      </c>
      <c r="N135" s="43" t="s">
        <v>34</v>
      </c>
      <c r="O135" s="339">
        <v>85176249</v>
      </c>
      <c r="P135" s="340">
        <f>IFERROR(VLOOKUP(O135,NCM!$A$3:$D$99,COLUMN(head_porNCM_IPI)-COLUMN(head_porNCM_NCM)+1,FALSE),"")</f>
        <v>9.7500000000000003E-2</v>
      </c>
      <c r="Q135" s="43" t="s">
        <v>1876</v>
      </c>
      <c r="R135" s="78" t="s">
        <v>210</v>
      </c>
      <c r="S135" s="341"/>
      <c r="T135" s="28" t="s">
        <v>52</v>
      </c>
      <c r="U135" s="28" t="s">
        <v>1877</v>
      </c>
      <c r="V135" s="548">
        <v>43158</v>
      </c>
      <c r="W135" s="43"/>
      <c r="X135" s="342">
        <f t="shared" si="65"/>
        <v>142.28571428571425</v>
      </c>
      <c r="Y135" s="342">
        <f t="shared" si="66"/>
        <v>59.285714285714448</v>
      </c>
      <c r="Z135" s="46">
        <f t="shared" si="67"/>
        <v>19.564285714285713</v>
      </c>
      <c r="AA135" s="46">
        <f t="shared" si="68"/>
        <v>90.1142857142857</v>
      </c>
      <c r="AB135" s="43"/>
      <c r="AC135" s="44">
        <v>1245</v>
      </c>
      <c r="AD135" s="31">
        <v>0.12</v>
      </c>
      <c r="AE135" s="31">
        <v>0.05</v>
      </c>
      <c r="AF135" s="31">
        <v>0</v>
      </c>
      <c r="AG135" s="28" t="s">
        <v>53</v>
      </c>
      <c r="AH135" s="46">
        <f t="shared" si="69"/>
        <v>1307.25</v>
      </c>
      <c r="AI135" s="43"/>
      <c r="AJ135" s="28" t="s">
        <v>263</v>
      </c>
      <c r="AK135" s="337">
        <v>3.23</v>
      </c>
      <c r="AL135" s="43"/>
      <c r="AM135" s="44">
        <f t="shared" si="70"/>
        <v>0</v>
      </c>
      <c r="AN135" s="43"/>
      <c r="AO135" s="28">
        <f t="shared" si="71"/>
        <v>0</v>
      </c>
      <c r="AP135" s="43"/>
      <c r="AQ135" s="323">
        <f t="shared" si="72"/>
        <v>0</v>
      </c>
      <c r="AR135" s="43"/>
      <c r="AS135" s="44">
        <f t="shared" si="73"/>
        <v>1307.25</v>
      </c>
    </row>
    <row r="136" spans="1:45" x14ac:dyDescent="0.25">
      <c r="A136" s="28"/>
      <c r="B136" s="43"/>
      <c r="C136" s="43"/>
      <c r="D136" s="43"/>
      <c r="E136" s="43" t="s">
        <v>1214</v>
      </c>
      <c r="F136" s="43" t="s">
        <v>1215</v>
      </c>
      <c r="G136" s="46">
        <f t="shared" si="60"/>
        <v>1716</v>
      </c>
      <c r="H136" s="46">
        <f t="shared" si="61"/>
        <v>1535.6250000000002</v>
      </c>
      <c r="I136" s="28" t="s">
        <v>262</v>
      </c>
      <c r="J136" s="337">
        <v>1</v>
      </c>
      <c r="K136" s="46">
        <f t="shared" si="62"/>
        <v>1716</v>
      </c>
      <c r="L136" s="46">
        <f t="shared" si="63"/>
        <v>1535.6250000000002</v>
      </c>
      <c r="M136" s="338">
        <f t="shared" si="64"/>
        <v>0</v>
      </c>
      <c r="N136" s="43" t="s">
        <v>34</v>
      </c>
      <c r="O136" s="339">
        <v>85176249</v>
      </c>
      <c r="P136" s="340">
        <f>IFERROR(VLOOKUP(O136,NCM!$A$3:$D$99,COLUMN(head_porNCM_IPI)-COLUMN(head_porNCM_NCM)+1,FALSE),"")</f>
        <v>9.7500000000000003E-2</v>
      </c>
      <c r="Q136" s="43" t="s">
        <v>1876</v>
      </c>
      <c r="R136" s="78" t="s">
        <v>210</v>
      </c>
      <c r="S136" s="341"/>
      <c r="T136" s="28" t="s">
        <v>52</v>
      </c>
      <c r="U136" s="28" t="s">
        <v>1877</v>
      </c>
      <c r="V136" s="548">
        <v>43158</v>
      </c>
      <c r="W136" s="43"/>
      <c r="X136" s="342">
        <f t="shared" si="65"/>
        <v>222.85714285714283</v>
      </c>
      <c r="Y136" s="342">
        <f t="shared" si="66"/>
        <v>92.85714285714289</v>
      </c>
      <c r="Z136" s="46">
        <f t="shared" si="67"/>
        <v>30.642857142857142</v>
      </c>
      <c r="AA136" s="46">
        <f t="shared" si="68"/>
        <v>141.14285714285714</v>
      </c>
      <c r="AB136" s="43"/>
      <c r="AC136" s="44">
        <v>1950</v>
      </c>
      <c r="AD136" s="31">
        <v>0.12</v>
      </c>
      <c r="AE136" s="31">
        <v>0.05</v>
      </c>
      <c r="AF136" s="31">
        <v>0</v>
      </c>
      <c r="AG136" s="28" t="s">
        <v>53</v>
      </c>
      <c r="AH136" s="46">
        <f t="shared" si="69"/>
        <v>2047.5</v>
      </c>
      <c r="AI136" s="43"/>
      <c r="AJ136" s="28" t="s">
        <v>263</v>
      </c>
      <c r="AK136" s="337">
        <v>3.23</v>
      </c>
      <c r="AL136" s="43"/>
      <c r="AM136" s="44">
        <f t="shared" si="70"/>
        <v>0</v>
      </c>
      <c r="AN136" s="43"/>
      <c r="AO136" s="28">
        <f t="shared" si="71"/>
        <v>0</v>
      </c>
      <c r="AP136" s="43"/>
      <c r="AQ136" s="323">
        <f t="shared" si="72"/>
        <v>0</v>
      </c>
      <c r="AR136" s="43"/>
      <c r="AS136" s="44">
        <f t="shared" si="73"/>
        <v>2047.5</v>
      </c>
    </row>
    <row r="137" spans="1:45" x14ac:dyDescent="0.25">
      <c r="A137" s="28"/>
      <c r="B137" s="43"/>
      <c r="C137" s="43"/>
      <c r="D137" s="43"/>
      <c r="E137" s="43" t="s">
        <v>1216</v>
      </c>
      <c r="F137" s="43" t="s">
        <v>1217</v>
      </c>
      <c r="G137" s="46">
        <f t="shared" si="60"/>
        <v>1593.68</v>
      </c>
      <c r="H137" s="46">
        <f t="shared" si="61"/>
        <v>1426.1625000000001</v>
      </c>
      <c r="I137" s="28" t="s">
        <v>262</v>
      </c>
      <c r="J137" s="337">
        <v>1</v>
      </c>
      <c r="K137" s="46">
        <f t="shared" si="62"/>
        <v>1593.68</v>
      </c>
      <c r="L137" s="46">
        <f t="shared" si="63"/>
        <v>1426.1625000000001</v>
      </c>
      <c r="M137" s="338">
        <f t="shared" si="64"/>
        <v>0</v>
      </c>
      <c r="N137" s="43" t="s">
        <v>34</v>
      </c>
      <c r="O137" s="339">
        <v>85176249</v>
      </c>
      <c r="P137" s="340">
        <f>IFERROR(VLOOKUP(O137,NCM!$A$3:$D$99,COLUMN(head_porNCM_IPI)-COLUMN(head_porNCM_NCM)+1,FALSE),"")</f>
        <v>9.7500000000000003E-2</v>
      </c>
      <c r="Q137" s="43" t="s">
        <v>1876</v>
      </c>
      <c r="R137" s="78" t="s">
        <v>210</v>
      </c>
      <c r="S137" s="341"/>
      <c r="T137" s="28" t="s">
        <v>52</v>
      </c>
      <c r="U137" s="28" t="s">
        <v>1877</v>
      </c>
      <c r="V137" s="548">
        <v>43158</v>
      </c>
      <c r="W137" s="43"/>
      <c r="X137" s="342">
        <f t="shared" si="65"/>
        <v>206.97142857142853</v>
      </c>
      <c r="Y137" s="342">
        <f t="shared" si="66"/>
        <v>86.238095238095411</v>
      </c>
      <c r="Z137" s="46">
        <f t="shared" si="67"/>
        <v>28.458571428571428</v>
      </c>
      <c r="AA137" s="46">
        <f t="shared" si="68"/>
        <v>131.08190476190475</v>
      </c>
      <c r="AB137" s="43"/>
      <c r="AC137" s="44">
        <v>1811</v>
      </c>
      <c r="AD137" s="31">
        <v>0.12</v>
      </c>
      <c r="AE137" s="31">
        <v>0.05</v>
      </c>
      <c r="AF137" s="31">
        <v>0</v>
      </c>
      <c r="AG137" s="28" t="s">
        <v>53</v>
      </c>
      <c r="AH137" s="46">
        <f t="shared" si="69"/>
        <v>1901.5500000000002</v>
      </c>
      <c r="AI137" s="43"/>
      <c r="AJ137" s="28" t="s">
        <v>263</v>
      </c>
      <c r="AK137" s="337">
        <v>3.23</v>
      </c>
      <c r="AL137" s="43"/>
      <c r="AM137" s="44">
        <f t="shared" si="70"/>
        <v>0</v>
      </c>
      <c r="AN137" s="43"/>
      <c r="AO137" s="28">
        <f t="shared" si="71"/>
        <v>0</v>
      </c>
      <c r="AP137" s="43"/>
      <c r="AQ137" s="323">
        <f t="shared" si="72"/>
        <v>0</v>
      </c>
      <c r="AR137" s="43"/>
      <c r="AS137" s="44">
        <f t="shared" si="73"/>
        <v>1901.5500000000002</v>
      </c>
    </row>
    <row r="138" spans="1:45" x14ac:dyDescent="0.25">
      <c r="A138" s="28"/>
      <c r="B138" s="43"/>
      <c r="C138" s="43"/>
      <c r="D138" s="43" t="s">
        <v>690</v>
      </c>
      <c r="E138" s="43"/>
      <c r="F138" s="43"/>
      <c r="G138" s="46">
        <f t="shared" si="60"/>
        <v>0</v>
      </c>
      <c r="H138" s="46">
        <f t="shared" si="61"/>
        <v>0</v>
      </c>
      <c r="I138" s="28"/>
      <c r="J138" s="337"/>
      <c r="K138" s="46" t="str">
        <f t="shared" si="62"/>
        <v/>
      </c>
      <c r="L138" s="46" t="str">
        <f t="shared" si="63"/>
        <v/>
      </c>
      <c r="M138" s="338">
        <f t="shared" si="64"/>
        <v>0</v>
      </c>
      <c r="N138" s="43"/>
      <c r="O138" s="339"/>
      <c r="P138" s="340" t="str">
        <f>IFERROR(VLOOKUP(O138,NCM!$A$3:$D$99,COLUMN(head_porNCM_IPI)-COLUMN(head_porNCM_NCM)+1,FALSE),"")</f>
        <v/>
      </c>
      <c r="Q138" s="43"/>
      <c r="R138" s="78"/>
      <c r="S138" s="341"/>
      <c r="T138" s="28"/>
      <c r="U138" s="28"/>
      <c r="V138" s="28"/>
      <c r="W138" s="43"/>
      <c r="X138" s="342">
        <f t="shared" si="65"/>
        <v>0</v>
      </c>
      <c r="Y138" s="342">
        <f t="shared" si="66"/>
        <v>0</v>
      </c>
      <c r="Z138" s="46">
        <f t="shared" si="67"/>
        <v>0</v>
      </c>
      <c r="AA138" s="46">
        <f t="shared" si="68"/>
        <v>0</v>
      </c>
      <c r="AB138" s="43"/>
      <c r="AC138" s="44">
        <v>0</v>
      </c>
      <c r="AD138" s="31"/>
      <c r="AE138" s="31"/>
      <c r="AF138" s="31"/>
      <c r="AG138" s="28"/>
      <c r="AH138" s="46">
        <f t="shared" si="69"/>
        <v>0</v>
      </c>
      <c r="AI138" s="43"/>
      <c r="AJ138" s="28"/>
      <c r="AK138" s="337"/>
      <c r="AL138" s="43"/>
      <c r="AM138" s="44">
        <f t="shared" si="70"/>
        <v>0</v>
      </c>
      <c r="AN138" s="43"/>
      <c r="AO138" s="28">
        <f t="shared" si="71"/>
        <v>0</v>
      </c>
      <c r="AP138" s="43"/>
      <c r="AQ138" s="323">
        <f t="shared" si="72"/>
        <v>0</v>
      </c>
      <c r="AR138" s="43"/>
      <c r="AS138" s="44">
        <f t="shared" si="73"/>
        <v>0</v>
      </c>
    </row>
    <row r="139" spans="1:45" x14ac:dyDescent="0.25">
      <c r="A139" s="28"/>
      <c r="B139" s="43"/>
      <c r="C139" s="43"/>
      <c r="D139" s="43" t="s">
        <v>2311</v>
      </c>
      <c r="E139" s="43"/>
      <c r="F139" s="43"/>
      <c r="G139" s="46">
        <f t="shared" si="60"/>
        <v>0</v>
      </c>
      <c r="H139" s="46">
        <f t="shared" si="61"/>
        <v>0</v>
      </c>
      <c r="I139" s="28"/>
      <c r="J139" s="337"/>
      <c r="K139" s="46" t="str">
        <f t="shared" si="62"/>
        <v/>
      </c>
      <c r="L139" s="46" t="str">
        <f t="shared" si="63"/>
        <v/>
      </c>
      <c r="M139" s="338">
        <f t="shared" si="64"/>
        <v>0</v>
      </c>
      <c r="N139" s="43"/>
      <c r="O139" s="339"/>
      <c r="P139" s="340" t="str">
        <f>IFERROR(VLOOKUP(O139,NCM!$A$3:$D$99,COLUMN(head_porNCM_IPI)-COLUMN(head_porNCM_NCM)+1,FALSE),"")</f>
        <v/>
      </c>
      <c r="Q139" s="43"/>
      <c r="R139" s="78"/>
      <c r="S139" s="341"/>
      <c r="T139" s="28"/>
      <c r="U139" s="28"/>
      <c r="V139" s="28"/>
      <c r="W139" s="43"/>
      <c r="X139" s="342">
        <f t="shared" si="65"/>
        <v>0</v>
      </c>
      <c r="Y139" s="342">
        <f t="shared" si="66"/>
        <v>0</v>
      </c>
      <c r="Z139" s="46">
        <f t="shared" si="67"/>
        <v>0</v>
      </c>
      <c r="AA139" s="46">
        <f t="shared" si="68"/>
        <v>0</v>
      </c>
      <c r="AB139" s="43"/>
      <c r="AC139" s="44">
        <v>0</v>
      </c>
      <c r="AD139" s="31"/>
      <c r="AE139" s="31"/>
      <c r="AF139" s="31"/>
      <c r="AG139" s="28"/>
      <c r="AH139" s="46">
        <f t="shared" si="69"/>
        <v>0</v>
      </c>
      <c r="AI139" s="43"/>
      <c r="AJ139" s="28"/>
      <c r="AK139" s="337"/>
      <c r="AL139" s="43"/>
      <c r="AM139" s="44">
        <f t="shared" si="70"/>
        <v>0</v>
      </c>
      <c r="AN139" s="43"/>
      <c r="AO139" s="28">
        <f t="shared" si="71"/>
        <v>0</v>
      </c>
      <c r="AP139" s="43"/>
      <c r="AQ139" s="323">
        <f t="shared" si="72"/>
        <v>0</v>
      </c>
      <c r="AR139" s="43"/>
      <c r="AS139" s="44">
        <f t="shared" si="73"/>
        <v>0</v>
      </c>
    </row>
    <row r="140" spans="1:45" x14ac:dyDescent="0.25">
      <c r="A140" s="28"/>
      <c r="B140" s="43"/>
      <c r="C140" s="43"/>
      <c r="D140" s="43"/>
      <c r="E140" s="43" t="s">
        <v>2312</v>
      </c>
      <c r="F140" s="43" t="s">
        <v>2413</v>
      </c>
      <c r="G140" s="46">
        <f t="shared" si="60"/>
        <v>63730.292825396828</v>
      </c>
      <c r="H140" s="46">
        <f t="shared" si="61"/>
        <v>57031.37000000001</v>
      </c>
      <c r="I140" s="28" t="s">
        <v>262</v>
      </c>
      <c r="J140" s="337">
        <v>1</v>
      </c>
      <c r="K140" s="46">
        <f t="shared" si="62"/>
        <v>63730.292825396828</v>
      </c>
      <c r="L140" s="46">
        <f t="shared" si="63"/>
        <v>57031.37000000001</v>
      </c>
      <c r="M140" s="338">
        <f t="shared" si="64"/>
        <v>0</v>
      </c>
      <c r="N140" s="43" t="s">
        <v>668</v>
      </c>
      <c r="O140" s="339">
        <v>84715010</v>
      </c>
      <c r="P140" s="340">
        <f>IFERROR(VLOOKUP(O140,NCM!$A$3:$D$99,COLUMN(head_porNCM_IPI)-COLUMN(head_porNCM_NCM)+1,FALSE),"")</f>
        <v>0.15</v>
      </c>
      <c r="Q140" s="43" t="s">
        <v>1109</v>
      </c>
      <c r="R140" s="78" t="s">
        <v>211</v>
      </c>
      <c r="S140" s="341"/>
      <c r="T140" s="28" t="s">
        <v>52</v>
      </c>
      <c r="U140" s="28" t="s">
        <v>2745</v>
      </c>
      <c r="V140" s="548">
        <v>45363</v>
      </c>
      <c r="W140" s="43"/>
      <c r="X140" s="342">
        <f t="shared" si="65"/>
        <v>7556.9517184265023</v>
      </c>
      <c r="Y140" s="342">
        <f t="shared" si="66"/>
        <v>9446.1896480331197</v>
      </c>
      <c r="Z140" s="46">
        <f t="shared" si="67"/>
        <v>1039.080861283644</v>
      </c>
      <c r="AA140" s="46">
        <f t="shared" si="68"/>
        <v>4786.0694216701177</v>
      </c>
      <c r="AB140" s="43"/>
      <c r="AC140" s="44">
        <v>72420.787301587305</v>
      </c>
      <c r="AD140" s="31">
        <v>0.12</v>
      </c>
      <c r="AE140" s="31">
        <v>0.15</v>
      </c>
      <c r="AF140" s="31">
        <v>0</v>
      </c>
      <c r="AG140" s="28" t="s">
        <v>53</v>
      </c>
      <c r="AH140" s="46">
        <f t="shared" si="69"/>
        <v>83283.905396825401</v>
      </c>
      <c r="AI140" s="43"/>
      <c r="AJ140" s="28" t="s">
        <v>263</v>
      </c>
      <c r="AK140" s="337">
        <v>4.96</v>
      </c>
      <c r="AL140" s="43"/>
      <c r="AM140" s="44">
        <f t="shared" si="70"/>
        <v>0</v>
      </c>
      <c r="AN140" s="43"/>
      <c r="AO140" s="28">
        <f t="shared" si="71"/>
        <v>0</v>
      </c>
      <c r="AP140" s="43"/>
      <c r="AQ140" s="323">
        <f t="shared" si="72"/>
        <v>0</v>
      </c>
      <c r="AR140" s="43"/>
      <c r="AS140" s="44">
        <f t="shared" si="73"/>
        <v>83283.905396825401</v>
      </c>
    </row>
    <row r="141" spans="1:45" x14ac:dyDescent="0.25">
      <c r="A141" s="28"/>
      <c r="B141" s="43"/>
      <c r="C141" s="43"/>
      <c r="D141" s="43"/>
      <c r="E141" s="43" t="s">
        <v>2298</v>
      </c>
      <c r="F141" s="43" t="s">
        <v>2414</v>
      </c>
      <c r="G141" s="46">
        <f t="shared" si="60"/>
        <v>47832.061968253976</v>
      </c>
      <c r="H141" s="46">
        <f t="shared" si="61"/>
        <v>42804.260000000009</v>
      </c>
      <c r="I141" s="28" t="s">
        <v>262</v>
      </c>
      <c r="J141" s="337">
        <v>1</v>
      </c>
      <c r="K141" s="46">
        <f t="shared" si="62"/>
        <v>47832.061968253976</v>
      </c>
      <c r="L141" s="46">
        <f t="shared" si="63"/>
        <v>42804.260000000009</v>
      </c>
      <c r="M141" s="338">
        <f t="shared" si="64"/>
        <v>0</v>
      </c>
      <c r="N141" s="43" t="s">
        <v>668</v>
      </c>
      <c r="O141" s="339">
        <v>84715010</v>
      </c>
      <c r="P141" s="340">
        <f>IFERROR(VLOOKUP(O141,NCM!$A$3:$D$99,COLUMN(head_porNCM_IPI)-COLUMN(head_porNCM_NCM)+1,FALSE),"")</f>
        <v>0.15</v>
      </c>
      <c r="Q141" s="43" t="s">
        <v>1109</v>
      </c>
      <c r="R141" s="78" t="s">
        <v>211</v>
      </c>
      <c r="S141" s="341"/>
      <c r="T141" s="28" t="s">
        <v>52</v>
      </c>
      <c r="U141" s="28" t="s">
        <v>2745</v>
      </c>
      <c r="V141" s="548">
        <v>45363</v>
      </c>
      <c r="W141" s="43"/>
      <c r="X141" s="342">
        <f t="shared" si="65"/>
        <v>5671.7860041407876</v>
      </c>
      <c r="Y141" s="342">
        <f t="shared" si="66"/>
        <v>7089.7325051759835</v>
      </c>
      <c r="Z141" s="46">
        <f t="shared" si="67"/>
        <v>779.87057556935827</v>
      </c>
      <c r="AA141" s="46">
        <f t="shared" si="68"/>
        <v>3592.1311359558317</v>
      </c>
      <c r="AB141" s="43"/>
      <c r="AC141" s="44">
        <v>54354.615873015879</v>
      </c>
      <c r="AD141" s="31">
        <v>0.12</v>
      </c>
      <c r="AE141" s="31">
        <v>0.15</v>
      </c>
      <c r="AF141" s="31">
        <v>0</v>
      </c>
      <c r="AG141" s="28" t="s">
        <v>53</v>
      </c>
      <c r="AH141" s="46">
        <f t="shared" si="69"/>
        <v>62507.808253968258</v>
      </c>
      <c r="AI141" s="43"/>
      <c r="AJ141" s="28" t="s">
        <v>263</v>
      </c>
      <c r="AK141" s="337">
        <v>4.96</v>
      </c>
      <c r="AL141" s="43"/>
      <c r="AM141" s="44">
        <f t="shared" si="70"/>
        <v>0</v>
      </c>
      <c r="AN141" s="43"/>
      <c r="AO141" s="28">
        <f t="shared" si="71"/>
        <v>0</v>
      </c>
      <c r="AP141" s="43"/>
      <c r="AQ141" s="323">
        <f t="shared" si="72"/>
        <v>0</v>
      </c>
      <c r="AR141" s="43"/>
      <c r="AS141" s="44">
        <f t="shared" si="73"/>
        <v>62507.808253968258</v>
      </c>
    </row>
    <row r="142" spans="1:45" x14ac:dyDescent="0.25">
      <c r="A142" s="28"/>
      <c r="B142" s="43"/>
      <c r="C142" s="43"/>
      <c r="D142" s="43" t="s">
        <v>2415</v>
      </c>
      <c r="E142" s="43"/>
      <c r="F142" s="43"/>
      <c r="G142" s="46">
        <f t="shared" si="60"/>
        <v>0</v>
      </c>
      <c r="H142" s="46">
        <f t="shared" si="61"/>
        <v>0</v>
      </c>
      <c r="I142" s="28"/>
      <c r="J142" s="337"/>
      <c r="K142" s="46" t="str">
        <f t="shared" si="62"/>
        <v/>
      </c>
      <c r="L142" s="46" t="str">
        <f t="shared" si="63"/>
        <v/>
      </c>
      <c r="M142" s="338">
        <f t="shared" si="64"/>
        <v>0</v>
      </c>
      <c r="N142" s="43"/>
      <c r="O142" s="339"/>
      <c r="P142" s="340" t="str">
        <f>IFERROR(VLOOKUP(O142,NCM!$A$3:$D$99,COLUMN(head_porNCM_IPI)-COLUMN(head_porNCM_NCM)+1,FALSE),"")</f>
        <v/>
      </c>
      <c r="Q142" s="43"/>
      <c r="R142" s="78"/>
      <c r="S142" s="341"/>
      <c r="T142" s="28"/>
      <c r="U142" s="28"/>
      <c r="V142" s="28"/>
      <c r="W142" s="43"/>
      <c r="X142" s="342">
        <f t="shared" si="65"/>
        <v>0</v>
      </c>
      <c r="Y142" s="342">
        <f t="shared" si="66"/>
        <v>0</v>
      </c>
      <c r="Z142" s="46">
        <f t="shared" si="67"/>
        <v>0</v>
      </c>
      <c r="AA142" s="46">
        <f t="shared" si="68"/>
        <v>0</v>
      </c>
      <c r="AB142" s="43"/>
      <c r="AC142" s="44">
        <v>0</v>
      </c>
      <c r="AD142" s="31"/>
      <c r="AE142" s="31"/>
      <c r="AF142" s="31"/>
      <c r="AG142" s="28"/>
      <c r="AH142" s="46">
        <f t="shared" si="69"/>
        <v>0</v>
      </c>
      <c r="AI142" s="43"/>
      <c r="AJ142" s="28"/>
      <c r="AK142" s="337"/>
      <c r="AL142" s="43"/>
      <c r="AM142" s="44">
        <f t="shared" si="70"/>
        <v>0</v>
      </c>
      <c r="AN142" s="43"/>
      <c r="AO142" s="28">
        <f t="shared" si="71"/>
        <v>0</v>
      </c>
      <c r="AP142" s="43"/>
      <c r="AQ142" s="323">
        <f t="shared" si="72"/>
        <v>0</v>
      </c>
      <c r="AR142" s="43"/>
      <c r="AS142" s="44">
        <f t="shared" si="73"/>
        <v>0</v>
      </c>
    </row>
    <row r="143" spans="1:45" x14ac:dyDescent="0.25">
      <c r="A143" s="28"/>
      <c r="B143" s="43"/>
      <c r="C143" s="43"/>
      <c r="D143" s="43"/>
      <c r="E143" s="43" t="s">
        <v>2416</v>
      </c>
      <c r="F143" s="43" t="s">
        <v>2417</v>
      </c>
      <c r="G143" s="46">
        <f t="shared" si="60"/>
        <v>80094.887835990899</v>
      </c>
      <c r="H143" s="46">
        <f t="shared" si="61"/>
        <v>71059.793781321205</v>
      </c>
      <c r="I143" s="28" t="s">
        <v>262</v>
      </c>
      <c r="J143" s="337">
        <v>1</v>
      </c>
      <c r="K143" s="46">
        <f t="shared" si="62"/>
        <v>80094.887835990899</v>
      </c>
      <c r="L143" s="46">
        <f t="shared" si="63"/>
        <v>71059.793781321205</v>
      </c>
      <c r="M143" s="338">
        <f t="shared" si="64"/>
        <v>2</v>
      </c>
      <c r="N143" s="43" t="s">
        <v>668</v>
      </c>
      <c r="O143" s="339">
        <v>84714100</v>
      </c>
      <c r="P143" s="340">
        <f>IFERROR(VLOOKUP(O143,NCM!$A$3:$D$99,COLUMN(head_porNCM_IPI)-COLUMN(head_porNCM_NCM)+1,FALSE),"")</f>
        <v>9.7500000000000003E-2</v>
      </c>
      <c r="Q143" s="43" t="s">
        <v>1865</v>
      </c>
      <c r="R143" s="78" t="s">
        <v>210</v>
      </c>
      <c r="S143" s="341"/>
      <c r="T143" s="28" t="s">
        <v>52</v>
      </c>
      <c r="U143" s="28" t="s">
        <v>3122</v>
      </c>
      <c r="V143" s="548">
        <v>45485</v>
      </c>
      <c r="W143" s="43"/>
      <c r="X143" s="342">
        <f t="shared" si="65"/>
        <v>16019.867559840392</v>
      </c>
      <c r="Y143" s="342">
        <f t="shared" si="66"/>
        <v>8677.4282615802076</v>
      </c>
      <c r="Z143" s="46">
        <f t="shared" si="67"/>
        <v>1468.4878596520361</v>
      </c>
      <c r="AA143" s="46">
        <f t="shared" si="68"/>
        <v>6763.9440808214986</v>
      </c>
      <c r="AB143" s="43"/>
      <c r="AC143" s="44">
        <v>97676.692482915721</v>
      </c>
      <c r="AD143" s="31">
        <v>0.18</v>
      </c>
      <c r="AE143" s="31">
        <v>9.7500000000000003E-2</v>
      </c>
      <c r="AF143" s="31">
        <v>0</v>
      </c>
      <c r="AG143" s="28" t="s">
        <v>53</v>
      </c>
      <c r="AH143" s="46">
        <f t="shared" si="69"/>
        <v>107200.17</v>
      </c>
      <c r="AI143" s="43"/>
      <c r="AJ143" s="28" t="s">
        <v>263</v>
      </c>
      <c r="AK143" s="337">
        <v>5.42</v>
      </c>
      <c r="AL143" s="43"/>
      <c r="AM143" s="44">
        <f t="shared" si="70"/>
        <v>262.21326118566776</v>
      </c>
      <c r="AN143" s="43"/>
      <c r="AO143" s="28">
        <f t="shared" si="71"/>
        <v>1</v>
      </c>
      <c r="AP143" s="43"/>
      <c r="AQ143" s="323">
        <f t="shared" si="72"/>
        <v>142119.58756264241</v>
      </c>
      <c r="AR143" s="43"/>
      <c r="AS143" s="44">
        <f t="shared" si="73"/>
        <v>107200.17</v>
      </c>
    </row>
    <row r="144" spans="1:45" x14ac:dyDescent="0.25">
      <c r="A144" s="28"/>
      <c r="B144" s="43"/>
      <c r="C144" s="43"/>
      <c r="D144" s="43" t="s">
        <v>734</v>
      </c>
      <c r="E144" s="43"/>
      <c r="F144" s="43"/>
      <c r="G144" s="46">
        <f t="shared" si="60"/>
        <v>0</v>
      </c>
      <c r="H144" s="46">
        <f t="shared" si="61"/>
        <v>0</v>
      </c>
      <c r="I144" s="28"/>
      <c r="J144" s="337"/>
      <c r="K144" s="46" t="str">
        <f t="shared" si="62"/>
        <v/>
      </c>
      <c r="L144" s="46" t="str">
        <f t="shared" si="63"/>
        <v/>
      </c>
      <c r="M144" s="338">
        <f t="shared" si="64"/>
        <v>0</v>
      </c>
      <c r="N144" s="43"/>
      <c r="O144" s="339"/>
      <c r="P144" s="340" t="str">
        <f>IFERROR(VLOOKUP(O144,NCM!$A$3:$D$99,COLUMN(head_porNCM_IPI)-COLUMN(head_porNCM_NCM)+1,FALSE),"")</f>
        <v/>
      </c>
      <c r="Q144" s="43"/>
      <c r="R144" s="78"/>
      <c r="S144" s="341"/>
      <c r="T144" s="28"/>
      <c r="U144" s="28"/>
      <c r="V144" s="28"/>
      <c r="W144" s="43"/>
      <c r="X144" s="342">
        <f t="shared" si="65"/>
        <v>0</v>
      </c>
      <c r="Y144" s="342">
        <f t="shared" si="66"/>
        <v>0</v>
      </c>
      <c r="Z144" s="46">
        <f t="shared" si="67"/>
        <v>0</v>
      </c>
      <c r="AA144" s="46">
        <f t="shared" si="68"/>
        <v>0</v>
      </c>
      <c r="AB144" s="43"/>
      <c r="AC144" s="44">
        <v>0</v>
      </c>
      <c r="AD144" s="31"/>
      <c r="AE144" s="31"/>
      <c r="AF144" s="31"/>
      <c r="AG144" s="28"/>
      <c r="AH144" s="46">
        <f t="shared" si="69"/>
        <v>0</v>
      </c>
      <c r="AI144" s="43"/>
      <c r="AJ144" s="28"/>
      <c r="AK144" s="337"/>
      <c r="AL144" s="43"/>
      <c r="AM144" s="44">
        <f t="shared" si="70"/>
        <v>0</v>
      </c>
      <c r="AN144" s="43"/>
      <c r="AO144" s="28">
        <f t="shared" si="71"/>
        <v>0</v>
      </c>
      <c r="AP144" s="43"/>
      <c r="AQ144" s="323">
        <f t="shared" si="72"/>
        <v>0</v>
      </c>
      <c r="AR144" s="43"/>
      <c r="AS144" s="44">
        <f t="shared" si="73"/>
        <v>0</v>
      </c>
    </row>
    <row r="145" spans="1:45" x14ac:dyDescent="0.25">
      <c r="A145" s="28"/>
      <c r="B145" s="43"/>
      <c r="C145" s="43"/>
      <c r="D145" s="43"/>
      <c r="E145" s="43" t="s">
        <v>2418</v>
      </c>
      <c r="F145" s="43" t="s">
        <v>2419</v>
      </c>
      <c r="G145" s="46">
        <f t="shared" si="60"/>
        <v>1536.557</v>
      </c>
      <c r="H145" s="46">
        <f t="shared" si="61"/>
        <v>1363.2258750000003</v>
      </c>
      <c r="I145" s="28" t="s">
        <v>262</v>
      </c>
      <c r="J145" s="337">
        <v>1</v>
      </c>
      <c r="K145" s="46">
        <f t="shared" si="62"/>
        <v>1536.557</v>
      </c>
      <c r="L145" s="46">
        <f t="shared" si="63"/>
        <v>1363.2258750000003</v>
      </c>
      <c r="M145" s="338">
        <f t="shared" si="64"/>
        <v>0</v>
      </c>
      <c r="N145" s="43" t="s">
        <v>668</v>
      </c>
      <c r="O145" s="339">
        <v>84715010</v>
      </c>
      <c r="P145" s="340">
        <f>IFERROR(VLOOKUP(O145,NCM!$A$3:$D$99,COLUMN(head_porNCM_IPI)-COLUMN(head_porNCM_NCM)+1,FALSE),"")</f>
        <v>0.15</v>
      </c>
      <c r="Q145" s="43" t="s">
        <v>734</v>
      </c>
      <c r="R145" s="78" t="s">
        <v>210</v>
      </c>
      <c r="S145" s="341"/>
      <c r="T145" s="28" t="s">
        <v>52</v>
      </c>
      <c r="U145" s="28" t="s">
        <v>2746</v>
      </c>
      <c r="V145" s="548">
        <v>45377</v>
      </c>
      <c r="W145" s="43"/>
      <c r="X145" s="342">
        <f t="shared" si="65"/>
        <v>293.29826086956524</v>
      </c>
      <c r="Y145" s="342">
        <f t="shared" si="66"/>
        <v>244.41521739130417</v>
      </c>
      <c r="Z145" s="46">
        <f t="shared" si="67"/>
        <v>26.88567391304348</v>
      </c>
      <c r="AA145" s="46">
        <f t="shared" si="68"/>
        <v>123.83704347826087</v>
      </c>
      <c r="AB145" s="43"/>
      <c r="AC145" s="44">
        <v>1873.85</v>
      </c>
      <c r="AD145" s="31">
        <v>0.18</v>
      </c>
      <c r="AE145" s="31">
        <v>0.15</v>
      </c>
      <c r="AF145" s="31">
        <v>0</v>
      </c>
      <c r="AG145" s="28" t="s">
        <v>53</v>
      </c>
      <c r="AH145" s="46">
        <f t="shared" si="69"/>
        <v>2154.9274999999998</v>
      </c>
      <c r="AI145" s="43"/>
      <c r="AJ145" s="28" t="s">
        <v>263</v>
      </c>
      <c r="AK145" s="337">
        <v>5.2</v>
      </c>
      <c r="AL145" s="43"/>
      <c r="AM145" s="44">
        <f t="shared" si="70"/>
        <v>0</v>
      </c>
      <c r="AN145" s="43"/>
      <c r="AO145" s="28">
        <f t="shared" si="71"/>
        <v>0</v>
      </c>
      <c r="AP145" s="43"/>
      <c r="AQ145" s="323">
        <f t="shared" si="72"/>
        <v>0</v>
      </c>
      <c r="AR145" s="43"/>
      <c r="AS145" s="44">
        <f t="shared" si="73"/>
        <v>2154.9274999999998</v>
      </c>
    </row>
    <row r="146" spans="1:45" x14ac:dyDescent="0.25">
      <c r="A146" s="28"/>
      <c r="B146" s="43"/>
      <c r="C146" s="43"/>
      <c r="D146" s="43"/>
      <c r="E146" s="43" t="s">
        <v>2420</v>
      </c>
      <c r="F146" s="43" t="s">
        <v>2421</v>
      </c>
      <c r="G146" s="46">
        <f t="shared" si="60"/>
        <v>8604.8011999999999</v>
      </c>
      <c r="H146" s="46">
        <f t="shared" si="61"/>
        <v>7634.1376500000015</v>
      </c>
      <c r="I146" s="28" t="s">
        <v>262</v>
      </c>
      <c r="J146" s="337">
        <v>1</v>
      </c>
      <c r="K146" s="46">
        <f t="shared" si="62"/>
        <v>8604.8011999999999</v>
      </c>
      <c r="L146" s="46">
        <f t="shared" si="63"/>
        <v>7634.1376500000015</v>
      </c>
      <c r="M146" s="338">
        <f t="shared" si="64"/>
        <v>0</v>
      </c>
      <c r="N146" s="43" t="s">
        <v>668</v>
      </c>
      <c r="O146" s="339">
        <v>84715010</v>
      </c>
      <c r="P146" s="340">
        <f>IFERROR(VLOOKUP(O146,NCM!$A$3:$D$99,COLUMN(head_porNCM_IPI)-COLUMN(head_porNCM_NCM)+1,FALSE),"")</f>
        <v>0.15</v>
      </c>
      <c r="Q146" s="43" t="s">
        <v>734</v>
      </c>
      <c r="R146" s="78" t="s">
        <v>210</v>
      </c>
      <c r="S146" s="341"/>
      <c r="T146" s="28" t="s">
        <v>52</v>
      </c>
      <c r="U146" s="28" t="s">
        <v>2746</v>
      </c>
      <c r="V146" s="548">
        <v>45377</v>
      </c>
      <c r="W146" s="43"/>
      <c r="X146" s="342">
        <f t="shared" si="65"/>
        <v>1642.4859130434784</v>
      </c>
      <c r="Y146" s="342">
        <f t="shared" si="66"/>
        <v>1368.7382608695643</v>
      </c>
      <c r="Z146" s="46">
        <f t="shared" si="67"/>
        <v>150.5612086956522</v>
      </c>
      <c r="AA146" s="46">
        <f t="shared" si="68"/>
        <v>693.49405217391313</v>
      </c>
      <c r="AB146" s="43"/>
      <c r="AC146" s="44">
        <v>10493.66</v>
      </c>
      <c r="AD146" s="31">
        <v>0.18</v>
      </c>
      <c r="AE146" s="31">
        <v>0.15</v>
      </c>
      <c r="AF146" s="31">
        <v>0</v>
      </c>
      <c r="AG146" s="28" t="s">
        <v>53</v>
      </c>
      <c r="AH146" s="46">
        <f t="shared" si="69"/>
        <v>12067.708999999999</v>
      </c>
      <c r="AI146" s="43"/>
      <c r="AJ146" s="28" t="s">
        <v>263</v>
      </c>
      <c r="AK146" s="337">
        <v>5.2</v>
      </c>
      <c r="AL146" s="43"/>
      <c r="AM146" s="44">
        <f t="shared" si="70"/>
        <v>0</v>
      </c>
      <c r="AN146" s="43"/>
      <c r="AO146" s="28">
        <f t="shared" si="71"/>
        <v>0</v>
      </c>
      <c r="AP146" s="43"/>
      <c r="AQ146" s="323">
        <f t="shared" si="72"/>
        <v>0</v>
      </c>
      <c r="AR146" s="43"/>
      <c r="AS146" s="44">
        <f t="shared" si="73"/>
        <v>12067.708999999999</v>
      </c>
    </row>
    <row r="147" spans="1:45" x14ac:dyDescent="0.25">
      <c r="A147" s="28"/>
      <c r="B147" s="43"/>
      <c r="C147" s="43"/>
      <c r="D147" s="43"/>
      <c r="E147" s="43" t="s">
        <v>2422</v>
      </c>
      <c r="F147" s="43" t="s">
        <v>2423</v>
      </c>
      <c r="G147" s="46">
        <f t="shared" si="60"/>
        <v>3124.364</v>
      </c>
      <c r="H147" s="46">
        <f t="shared" si="61"/>
        <v>2771.9205000000006</v>
      </c>
      <c r="I147" s="28" t="s">
        <v>262</v>
      </c>
      <c r="J147" s="337">
        <v>1</v>
      </c>
      <c r="K147" s="46">
        <f t="shared" si="62"/>
        <v>3124.364</v>
      </c>
      <c r="L147" s="46">
        <f t="shared" si="63"/>
        <v>2771.9205000000006</v>
      </c>
      <c r="M147" s="338">
        <f t="shared" si="64"/>
        <v>0</v>
      </c>
      <c r="N147" s="43" t="s">
        <v>668</v>
      </c>
      <c r="O147" s="339">
        <v>84715010</v>
      </c>
      <c r="P147" s="340">
        <f>IFERROR(VLOOKUP(O147,NCM!$A$3:$D$99,COLUMN(head_porNCM_IPI)-COLUMN(head_porNCM_NCM)+1,FALSE),"")</f>
        <v>0.15</v>
      </c>
      <c r="Q147" s="43" t="s">
        <v>734</v>
      </c>
      <c r="R147" s="78" t="s">
        <v>210</v>
      </c>
      <c r="S147" s="341"/>
      <c r="T147" s="28" t="s">
        <v>52</v>
      </c>
      <c r="U147" s="28" t="s">
        <v>2746</v>
      </c>
      <c r="V147" s="548">
        <v>45377</v>
      </c>
      <c r="W147" s="43"/>
      <c r="X147" s="342">
        <f t="shared" si="65"/>
        <v>596.37913043478261</v>
      </c>
      <c r="Y147" s="342">
        <f t="shared" si="66"/>
        <v>496.98260869565183</v>
      </c>
      <c r="Z147" s="46">
        <f t="shared" si="67"/>
        <v>54.668086956521748</v>
      </c>
      <c r="AA147" s="46">
        <f t="shared" si="68"/>
        <v>251.80452173913045</v>
      </c>
      <c r="AB147" s="43"/>
      <c r="AC147" s="44">
        <v>3810.2</v>
      </c>
      <c r="AD147" s="31">
        <v>0.18</v>
      </c>
      <c r="AE147" s="31">
        <v>0.15</v>
      </c>
      <c r="AF147" s="31">
        <v>0</v>
      </c>
      <c r="AG147" s="28" t="s">
        <v>53</v>
      </c>
      <c r="AH147" s="46">
        <f t="shared" si="69"/>
        <v>4381.7299999999996</v>
      </c>
      <c r="AI147" s="43"/>
      <c r="AJ147" s="28" t="s">
        <v>263</v>
      </c>
      <c r="AK147" s="337">
        <v>5.2</v>
      </c>
      <c r="AL147" s="43"/>
      <c r="AM147" s="44">
        <f t="shared" si="70"/>
        <v>0</v>
      </c>
      <c r="AN147" s="43"/>
      <c r="AO147" s="28">
        <f t="shared" si="71"/>
        <v>0</v>
      </c>
      <c r="AP147" s="43"/>
      <c r="AQ147" s="323">
        <f t="shared" si="72"/>
        <v>0</v>
      </c>
      <c r="AR147" s="43"/>
      <c r="AS147" s="44">
        <f t="shared" si="73"/>
        <v>4381.7299999999996</v>
      </c>
    </row>
    <row r="148" spans="1:45" x14ac:dyDescent="0.25">
      <c r="A148" s="28"/>
      <c r="B148" s="43"/>
      <c r="C148" s="43"/>
      <c r="D148" s="43"/>
      <c r="E148" s="43" t="s">
        <v>2424</v>
      </c>
      <c r="F148" s="43" t="s">
        <v>2425</v>
      </c>
      <c r="G148" s="46">
        <f t="shared" si="60"/>
        <v>4256.9070000000011</v>
      </c>
      <c r="H148" s="46">
        <f t="shared" si="61"/>
        <v>3776.7071250000008</v>
      </c>
      <c r="I148" s="28" t="s">
        <v>262</v>
      </c>
      <c r="J148" s="337">
        <v>1</v>
      </c>
      <c r="K148" s="46">
        <f t="shared" si="62"/>
        <v>4256.9070000000011</v>
      </c>
      <c r="L148" s="46">
        <f t="shared" si="63"/>
        <v>3776.7071250000008</v>
      </c>
      <c r="M148" s="338">
        <f t="shared" si="64"/>
        <v>0</v>
      </c>
      <c r="N148" s="43" t="s">
        <v>668</v>
      </c>
      <c r="O148" s="339">
        <v>84715010</v>
      </c>
      <c r="P148" s="340">
        <f>IFERROR(VLOOKUP(O148,NCM!$A$3:$D$99,COLUMN(head_porNCM_IPI)-COLUMN(head_porNCM_NCM)+1,FALSE),"")</f>
        <v>0.15</v>
      </c>
      <c r="Q148" s="43" t="s">
        <v>734</v>
      </c>
      <c r="R148" s="78" t="s">
        <v>210</v>
      </c>
      <c r="S148" s="341"/>
      <c r="T148" s="28" t="s">
        <v>52</v>
      </c>
      <c r="U148" s="28" t="s">
        <v>2746</v>
      </c>
      <c r="V148" s="548">
        <v>45377</v>
      </c>
      <c r="W148" s="43"/>
      <c r="X148" s="342">
        <f t="shared" si="65"/>
        <v>812.55913043478279</v>
      </c>
      <c r="Y148" s="342">
        <f t="shared" si="66"/>
        <v>677.13260869565147</v>
      </c>
      <c r="Z148" s="46">
        <f t="shared" si="67"/>
        <v>74.484586956521767</v>
      </c>
      <c r="AA148" s="46">
        <f t="shared" si="68"/>
        <v>343.08052173913052</v>
      </c>
      <c r="AB148" s="43"/>
      <c r="AC148" s="44">
        <v>5191.3500000000004</v>
      </c>
      <c r="AD148" s="31">
        <v>0.18</v>
      </c>
      <c r="AE148" s="31">
        <v>0.15</v>
      </c>
      <c r="AF148" s="31">
        <v>0</v>
      </c>
      <c r="AG148" s="28" t="s">
        <v>53</v>
      </c>
      <c r="AH148" s="46">
        <f t="shared" si="69"/>
        <v>5970.0524999999998</v>
      </c>
      <c r="AI148" s="43"/>
      <c r="AJ148" s="28" t="s">
        <v>263</v>
      </c>
      <c r="AK148" s="337">
        <v>5.2</v>
      </c>
      <c r="AL148" s="43"/>
      <c r="AM148" s="44">
        <f t="shared" si="70"/>
        <v>0</v>
      </c>
      <c r="AN148" s="43"/>
      <c r="AO148" s="28">
        <f t="shared" si="71"/>
        <v>0</v>
      </c>
      <c r="AP148" s="43"/>
      <c r="AQ148" s="323">
        <f t="shared" si="72"/>
        <v>0</v>
      </c>
      <c r="AR148" s="43"/>
      <c r="AS148" s="44">
        <f t="shared" si="73"/>
        <v>5970.0524999999998</v>
      </c>
    </row>
    <row r="149" spans="1:45" x14ac:dyDescent="0.25">
      <c r="A149" s="28"/>
      <c r="B149" s="43"/>
      <c r="C149" s="43"/>
      <c r="D149" s="43"/>
      <c r="E149" s="43" t="s">
        <v>2313</v>
      </c>
      <c r="F149" s="43" t="s">
        <v>2314</v>
      </c>
      <c r="G149" s="46">
        <f t="shared" si="60"/>
        <v>9222.6482400000004</v>
      </c>
      <c r="H149" s="46">
        <f t="shared" si="61"/>
        <v>8182.2885300000016</v>
      </c>
      <c r="I149" s="28" t="s">
        <v>262</v>
      </c>
      <c r="J149" s="337">
        <v>1</v>
      </c>
      <c r="K149" s="46">
        <f t="shared" si="62"/>
        <v>9222.6482400000004</v>
      </c>
      <c r="L149" s="46">
        <f t="shared" si="63"/>
        <v>8182.2885300000016</v>
      </c>
      <c r="M149" s="338">
        <f t="shared" si="64"/>
        <v>0</v>
      </c>
      <c r="N149" s="43" t="s">
        <v>668</v>
      </c>
      <c r="O149" s="339">
        <v>84715010</v>
      </c>
      <c r="P149" s="340">
        <f>IFERROR(VLOOKUP(O149,NCM!$A$3:$D$99,COLUMN(head_porNCM_IPI)-COLUMN(head_porNCM_NCM)+1,FALSE),"")</f>
        <v>0.15</v>
      </c>
      <c r="Q149" s="43" t="s">
        <v>734</v>
      </c>
      <c r="R149" s="78" t="s">
        <v>210</v>
      </c>
      <c r="S149" s="341"/>
      <c r="T149" s="28" t="s">
        <v>52</v>
      </c>
      <c r="U149" s="28" t="s">
        <v>2351</v>
      </c>
      <c r="V149" s="548">
        <v>44966</v>
      </c>
      <c r="W149" s="43"/>
      <c r="X149" s="342">
        <f t="shared" si="65"/>
        <v>1760.4206608695652</v>
      </c>
      <c r="Y149" s="342">
        <f t="shared" si="66"/>
        <v>1467.0172173913033</v>
      </c>
      <c r="Z149" s="46">
        <f t="shared" si="67"/>
        <v>161.37189391304349</v>
      </c>
      <c r="AA149" s="46">
        <f t="shared" si="68"/>
        <v>743.28872347826086</v>
      </c>
      <c r="AB149" s="43"/>
      <c r="AC149" s="44">
        <v>11247.132</v>
      </c>
      <c r="AD149" s="31">
        <v>0.18</v>
      </c>
      <c r="AE149" s="31">
        <v>0.15</v>
      </c>
      <c r="AF149" s="31">
        <v>0</v>
      </c>
      <c r="AG149" s="28" t="s">
        <v>53</v>
      </c>
      <c r="AH149" s="46">
        <f t="shared" si="69"/>
        <v>12934.201799999999</v>
      </c>
      <c r="AI149" s="43"/>
      <c r="AJ149" s="28" t="s">
        <v>263</v>
      </c>
      <c r="AK149" s="337">
        <v>5.2</v>
      </c>
      <c r="AL149" s="43"/>
      <c r="AM149" s="44">
        <f t="shared" si="70"/>
        <v>0</v>
      </c>
      <c r="AN149" s="43"/>
      <c r="AO149" s="28">
        <f t="shared" si="71"/>
        <v>0</v>
      </c>
      <c r="AP149" s="43"/>
      <c r="AQ149" s="323">
        <f t="shared" si="72"/>
        <v>0</v>
      </c>
      <c r="AR149" s="43"/>
      <c r="AS149" s="44">
        <f t="shared" si="73"/>
        <v>12934.201799999999</v>
      </c>
    </row>
    <row r="150" spans="1:45" x14ac:dyDescent="0.25">
      <c r="A150" s="28"/>
      <c r="B150" s="43"/>
      <c r="C150" s="43"/>
      <c r="D150" s="43" t="s">
        <v>691</v>
      </c>
      <c r="E150" s="43"/>
      <c r="F150" s="43"/>
      <c r="G150" s="46">
        <f t="shared" si="60"/>
        <v>0</v>
      </c>
      <c r="H150" s="46">
        <f t="shared" si="61"/>
        <v>0</v>
      </c>
      <c r="I150" s="28"/>
      <c r="J150" s="337"/>
      <c r="K150" s="46" t="str">
        <f t="shared" si="62"/>
        <v/>
      </c>
      <c r="L150" s="46" t="str">
        <f t="shared" si="63"/>
        <v/>
      </c>
      <c r="M150" s="338">
        <f t="shared" si="64"/>
        <v>0</v>
      </c>
      <c r="N150" s="43"/>
      <c r="O150" s="339"/>
      <c r="P150" s="340" t="str">
        <f>IFERROR(VLOOKUP(O150,NCM!$A$3:$D$99,COLUMN(head_porNCM_IPI)-COLUMN(head_porNCM_NCM)+1,FALSE),"")</f>
        <v/>
      </c>
      <c r="Q150" s="43"/>
      <c r="R150" s="78"/>
      <c r="S150" s="341"/>
      <c r="T150" s="28"/>
      <c r="U150" s="28"/>
      <c r="V150" s="28"/>
      <c r="W150" s="43"/>
      <c r="X150" s="342">
        <f t="shared" si="65"/>
        <v>0</v>
      </c>
      <c r="Y150" s="342">
        <f t="shared" si="66"/>
        <v>0</v>
      </c>
      <c r="Z150" s="46">
        <f t="shared" si="67"/>
        <v>0</v>
      </c>
      <c r="AA150" s="46">
        <f t="shared" si="68"/>
        <v>0</v>
      </c>
      <c r="AB150" s="43"/>
      <c r="AC150" s="44">
        <v>0</v>
      </c>
      <c r="AD150" s="31"/>
      <c r="AE150" s="31"/>
      <c r="AF150" s="31"/>
      <c r="AG150" s="28"/>
      <c r="AH150" s="46">
        <f t="shared" si="69"/>
        <v>0</v>
      </c>
      <c r="AI150" s="43"/>
      <c r="AJ150" s="28"/>
      <c r="AK150" s="337"/>
      <c r="AL150" s="43"/>
      <c r="AM150" s="44">
        <f t="shared" si="70"/>
        <v>0</v>
      </c>
      <c r="AN150" s="43"/>
      <c r="AO150" s="28">
        <f t="shared" si="71"/>
        <v>0</v>
      </c>
      <c r="AP150" s="43"/>
      <c r="AQ150" s="323">
        <f t="shared" si="72"/>
        <v>0</v>
      </c>
      <c r="AR150" s="43"/>
      <c r="AS150" s="44">
        <f t="shared" si="73"/>
        <v>0</v>
      </c>
    </row>
    <row r="151" spans="1:45" x14ac:dyDescent="0.25">
      <c r="A151" s="28"/>
      <c r="B151" s="43"/>
      <c r="C151" s="43"/>
      <c r="D151" s="43"/>
      <c r="E151" s="43" t="s">
        <v>1128</v>
      </c>
      <c r="F151" s="43" t="s">
        <v>2315</v>
      </c>
      <c r="G151" s="46">
        <f t="shared" si="60"/>
        <v>12563.750399999999</v>
      </c>
      <c r="H151" s="46">
        <f t="shared" si="61"/>
        <v>11353.180700000001</v>
      </c>
      <c r="I151" s="28" t="s">
        <v>262</v>
      </c>
      <c r="J151" s="337">
        <v>1</v>
      </c>
      <c r="K151" s="46">
        <f t="shared" si="62"/>
        <v>12563.750399999999</v>
      </c>
      <c r="L151" s="46">
        <f t="shared" si="63"/>
        <v>11353.180700000001</v>
      </c>
      <c r="M151" s="338">
        <f t="shared" si="64"/>
        <v>0</v>
      </c>
      <c r="N151" s="43" t="s">
        <v>668</v>
      </c>
      <c r="O151" s="339">
        <v>84715010</v>
      </c>
      <c r="P151" s="340">
        <f>IFERROR(VLOOKUP(O151,NCM!$A$3:$D$99,COLUMN(head_porNCM_IPI)-COLUMN(head_porNCM_NCM)+1,FALSE),"")</f>
        <v>0.15</v>
      </c>
      <c r="Q151" s="43" t="s">
        <v>691</v>
      </c>
      <c r="R151" s="78" t="s">
        <v>210</v>
      </c>
      <c r="S151" s="341"/>
      <c r="T151" s="28" t="s">
        <v>52</v>
      </c>
      <c r="U151" s="28" t="s">
        <v>2747</v>
      </c>
      <c r="V151" s="548">
        <v>45322</v>
      </c>
      <c r="W151" s="43"/>
      <c r="X151" s="342">
        <f t="shared" si="65"/>
        <v>455.20834782608699</v>
      </c>
      <c r="Y151" s="342">
        <f t="shared" si="66"/>
        <v>1707.0313043478254</v>
      </c>
      <c r="Z151" s="46">
        <f t="shared" si="67"/>
        <v>187.77344347826087</v>
      </c>
      <c r="AA151" s="46">
        <f t="shared" si="68"/>
        <v>864.89586086956524</v>
      </c>
      <c r="AB151" s="43"/>
      <c r="AC151" s="44">
        <v>13087.24</v>
      </c>
      <c r="AD151" s="31">
        <v>0.04</v>
      </c>
      <c r="AE151" s="31">
        <v>0.15</v>
      </c>
      <c r="AF151" s="31">
        <v>0</v>
      </c>
      <c r="AG151" s="28" t="s">
        <v>53</v>
      </c>
      <c r="AH151" s="46">
        <f t="shared" si="69"/>
        <v>15050.325999999999</v>
      </c>
      <c r="AI151" s="43"/>
      <c r="AJ151" s="28" t="s">
        <v>263</v>
      </c>
      <c r="AK151" s="337">
        <v>5.15</v>
      </c>
      <c r="AL151" s="43"/>
      <c r="AM151" s="44">
        <f t="shared" si="70"/>
        <v>0</v>
      </c>
      <c r="AN151" s="43"/>
      <c r="AO151" s="28">
        <f t="shared" si="71"/>
        <v>0</v>
      </c>
      <c r="AP151" s="43"/>
      <c r="AQ151" s="323">
        <f t="shared" si="72"/>
        <v>0</v>
      </c>
      <c r="AR151" s="43"/>
      <c r="AS151" s="44">
        <f t="shared" si="73"/>
        <v>15050.325999999999</v>
      </c>
    </row>
    <row r="152" spans="1:45" x14ac:dyDescent="0.25">
      <c r="A152" s="28"/>
      <c r="B152" s="43"/>
      <c r="C152" s="43"/>
      <c r="D152" s="43"/>
      <c r="E152" s="43" t="s">
        <v>1131</v>
      </c>
      <c r="F152" s="43" t="s">
        <v>2316</v>
      </c>
      <c r="G152" s="46">
        <f t="shared" si="60"/>
        <v>5119.5551999999998</v>
      </c>
      <c r="H152" s="46">
        <f t="shared" si="61"/>
        <v>4626.264725</v>
      </c>
      <c r="I152" s="28" t="s">
        <v>262</v>
      </c>
      <c r="J152" s="337">
        <v>1</v>
      </c>
      <c r="K152" s="46">
        <f t="shared" si="62"/>
        <v>5119.5551999999998</v>
      </c>
      <c r="L152" s="46">
        <f t="shared" si="63"/>
        <v>4626.264725</v>
      </c>
      <c r="M152" s="338">
        <f t="shared" si="64"/>
        <v>0</v>
      </c>
      <c r="N152" s="43" t="s">
        <v>668</v>
      </c>
      <c r="O152" s="339">
        <v>84715010</v>
      </c>
      <c r="P152" s="340">
        <f>IFERROR(VLOOKUP(O152,NCM!$A$3:$D$99,COLUMN(head_porNCM_IPI)-COLUMN(head_porNCM_NCM)+1,FALSE),"")</f>
        <v>0.15</v>
      </c>
      <c r="Q152" s="43" t="s">
        <v>691</v>
      </c>
      <c r="R152" s="78" t="s">
        <v>210</v>
      </c>
      <c r="S152" s="341"/>
      <c r="T152" s="28" t="s">
        <v>52</v>
      </c>
      <c r="U152" s="28" t="s">
        <v>2747</v>
      </c>
      <c r="V152" s="548">
        <v>45322</v>
      </c>
      <c r="W152" s="43"/>
      <c r="X152" s="342">
        <f t="shared" si="65"/>
        <v>185.4911304347826</v>
      </c>
      <c r="Y152" s="342">
        <f t="shared" si="66"/>
        <v>695.59173913043469</v>
      </c>
      <c r="Z152" s="46">
        <f t="shared" si="67"/>
        <v>76.515091304347834</v>
      </c>
      <c r="AA152" s="46">
        <f t="shared" si="68"/>
        <v>352.43314782608695</v>
      </c>
      <c r="AB152" s="43"/>
      <c r="AC152" s="44">
        <v>5332.87</v>
      </c>
      <c r="AD152" s="31">
        <v>0.04</v>
      </c>
      <c r="AE152" s="31">
        <v>0.15</v>
      </c>
      <c r="AF152" s="31">
        <v>0</v>
      </c>
      <c r="AG152" s="28" t="s">
        <v>53</v>
      </c>
      <c r="AH152" s="46">
        <f t="shared" si="69"/>
        <v>6132.8004999999994</v>
      </c>
      <c r="AI152" s="43"/>
      <c r="AJ152" s="28" t="s">
        <v>263</v>
      </c>
      <c r="AK152" s="337">
        <v>5.15</v>
      </c>
      <c r="AL152" s="43"/>
      <c r="AM152" s="44">
        <f t="shared" si="70"/>
        <v>0</v>
      </c>
      <c r="AN152" s="43"/>
      <c r="AO152" s="28">
        <f t="shared" si="71"/>
        <v>0</v>
      </c>
      <c r="AP152" s="43"/>
      <c r="AQ152" s="323">
        <f t="shared" si="72"/>
        <v>0</v>
      </c>
      <c r="AR152" s="43"/>
      <c r="AS152" s="44">
        <f t="shared" si="73"/>
        <v>6132.8004999999994</v>
      </c>
    </row>
    <row r="153" spans="1:45" x14ac:dyDescent="0.25">
      <c r="A153" s="28"/>
      <c r="B153" s="43"/>
      <c r="C153" s="43"/>
      <c r="D153" s="43"/>
      <c r="E153" s="43" t="s">
        <v>2317</v>
      </c>
      <c r="F153" s="43" t="s">
        <v>2318</v>
      </c>
      <c r="G153" s="46">
        <f t="shared" si="60"/>
        <v>3931.2383999999997</v>
      </c>
      <c r="H153" s="46">
        <f t="shared" si="61"/>
        <v>3552.4472000000001</v>
      </c>
      <c r="I153" s="28" t="s">
        <v>262</v>
      </c>
      <c r="J153" s="337">
        <v>1</v>
      </c>
      <c r="K153" s="46">
        <f t="shared" si="62"/>
        <v>3931.2383999999997</v>
      </c>
      <c r="L153" s="46">
        <f t="shared" si="63"/>
        <v>3552.4472000000001</v>
      </c>
      <c r="M153" s="338">
        <f t="shared" si="64"/>
        <v>0</v>
      </c>
      <c r="N153" s="43" t="s">
        <v>668</v>
      </c>
      <c r="O153" s="339">
        <v>84715010</v>
      </c>
      <c r="P153" s="340">
        <f>IFERROR(VLOOKUP(O153,NCM!$A$3:$D$99,COLUMN(head_porNCM_IPI)-COLUMN(head_porNCM_NCM)+1,FALSE),"")</f>
        <v>0.15</v>
      </c>
      <c r="Q153" s="43" t="s">
        <v>691</v>
      </c>
      <c r="R153" s="78" t="s">
        <v>210</v>
      </c>
      <c r="S153" s="341"/>
      <c r="T153" s="28" t="s">
        <v>52</v>
      </c>
      <c r="U153" s="28" t="s">
        <v>2747</v>
      </c>
      <c r="V153" s="548">
        <v>45322</v>
      </c>
      <c r="W153" s="43"/>
      <c r="X153" s="342">
        <f t="shared" si="65"/>
        <v>142.43617391304349</v>
      </c>
      <c r="Y153" s="342">
        <f t="shared" si="66"/>
        <v>534.1356521739126</v>
      </c>
      <c r="Z153" s="46">
        <f t="shared" si="67"/>
        <v>58.754921739130445</v>
      </c>
      <c r="AA153" s="46">
        <f t="shared" si="68"/>
        <v>270.62873043478265</v>
      </c>
      <c r="AB153" s="43"/>
      <c r="AC153" s="44">
        <v>4095.04</v>
      </c>
      <c r="AD153" s="31">
        <v>0.04</v>
      </c>
      <c r="AE153" s="31">
        <v>0.15</v>
      </c>
      <c r="AF153" s="31">
        <v>0</v>
      </c>
      <c r="AG153" s="28" t="s">
        <v>53</v>
      </c>
      <c r="AH153" s="46">
        <f t="shared" si="69"/>
        <v>4709.2959999999994</v>
      </c>
      <c r="AI153" s="43"/>
      <c r="AJ153" s="28" t="s">
        <v>263</v>
      </c>
      <c r="AK153" s="337">
        <v>5.15</v>
      </c>
      <c r="AL153" s="43"/>
      <c r="AM153" s="44">
        <f t="shared" si="70"/>
        <v>0</v>
      </c>
      <c r="AN153" s="43"/>
      <c r="AO153" s="28">
        <f t="shared" si="71"/>
        <v>0</v>
      </c>
      <c r="AP153" s="43"/>
      <c r="AQ153" s="323">
        <f t="shared" si="72"/>
        <v>0</v>
      </c>
      <c r="AR153" s="43"/>
      <c r="AS153" s="44">
        <f t="shared" si="73"/>
        <v>4709.2959999999994</v>
      </c>
    </row>
    <row r="154" spans="1:45" x14ac:dyDescent="0.25">
      <c r="A154" s="28"/>
      <c r="B154" s="43"/>
      <c r="C154" s="43"/>
      <c r="D154" s="43"/>
      <c r="E154" s="43" t="s">
        <v>2319</v>
      </c>
      <c r="F154" s="43" t="s">
        <v>2320</v>
      </c>
      <c r="G154" s="46">
        <f t="shared" si="60"/>
        <v>27465.878400000001</v>
      </c>
      <c r="H154" s="46">
        <f t="shared" si="61"/>
        <v>24819.426575000001</v>
      </c>
      <c r="I154" s="28" t="s">
        <v>262</v>
      </c>
      <c r="J154" s="337">
        <v>1</v>
      </c>
      <c r="K154" s="46">
        <f t="shared" si="62"/>
        <v>27465.878400000001</v>
      </c>
      <c r="L154" s="46">
        <f t="shared" si="63"/>
        <v>24819.426575000001</v>
      </c>
      <c r="M154" s="338">
        <f t="shared" si="64"/>
        <v>0</v>
      </c>
      <c r="N154" s="43" t="s">
        <v>668</v>
      </c>
      <c r="O154" s="339">
        <v>84715010</v>
      </c>
      <c r="P154" s="340">
        <f>IFERROR(VLOOKUP(O154,NCM!$A$3:$D$99,COLUMN(head_porNCM_IPI)-COLUMN(head_porNCM_NCM)+1,FALSE),"")</f>
        <v>0.15</v>
      </c>
      <c r="Q154" s="43" t="s">
        <v>691</v>
      </c>
      <c r="R154" s="78" t="s">
        <v>210</v>
      </c>
      <c r="S154" s="341"/>
      <c r="T154" s="28" t="s">
        <v>52</v>
      </c>
      <c r="U154" s="28" t="s">
        <v>2747</v>
      </c>
      <c r="V154" s="548">
        <v>45322</v>
      </c>
      <c r="W154" s="43"/>
      <c r="X154" s="342">
        <f t="shared" si="65"/>
        <v>995.14052173913046</v>
      </c>
      <c r="Y154" s="342">
        <f t="shared" si="66"/>
        <v>3731.7769565217386</v>
      </c>
      <c r="Z154" s="46">
        <f t="shared" si="67"/>
        <v>410.49546521739137</v>
      </c>
      <c r="AA154" s="46">
        <f t="shared" si="68"/>
        <v>1890.7669913043478</v>
      </c>
      <c r="AB154" s="43"/>
      <c r="AC154" s="44">
        <v>28610.29</v>
      </c>
      <c r="AD154" s="31">
        <v>0.04</v>
      </c>
      <c r="AE154" s="31">
        <v>0.15</v>
      </c>
      <c r="AF154" s="31">
        <v>0</v>
      </c>
      <c r="AG154" s="28" t="s">
        <v>53</v>
      </c>
      <c r="AH154" s="46">
        <f t="shared" si="69"/>
        <v>32901.833500000001</v>
      </c>
      <c r="AI154" s="43"/>
      <c r="AJ154" s="28" t="s">
        <v>263</v>
      </c>
      <c r="AK154" s="337">
        <v>5.15</v>
      </c>
      <c r="AL154" s="43"/>
      <c r="AM154" s="44">
        <f t="shared" si="70"/>
        <v>0</v>
      </c>
      <c r="AN154" s="43"/>
      <c r="AO154" s="28">
        <f t="shared" si="71"/>
        <v>0</v>
      </c>
      <c r="AP154" s="43"/>
      <c r="AQ154" s="323">
        <f t="shared" si="72"/>
        <v>0</v>
      </c>
      <c r="AR154" s="43"/>
      <c r="AS154" s="44">
        <f t="shared" si="73"/>
        <v>32901.833500000001</v>
      </c>
    </row>
    <row r="155" spans="1:45" x14ac:dyDescent="0.25">
      <c r="A155" s="28"/>
      <c r="B155" s="43"/>
      <c r="C155" s="43"/>
      <c r="D155" s="43"/>
      <c r="E155" s="43" t="s">
        <v>2321</v>
      </c>
      <c r="F155" s="43" t="s">
        <v>2322</v>
      </c>
      <c r="G155" s="46">
        <f t="shared" si="60"/>
        <v>28806.48</v>
      </c>
      <c r="H155" s="46">
        <f t="shared" si="61"/>
        <v>26030.855625</v>
      </c>
      <c r="I155" s="28" t="s">
        <v>262</v>
      </c>
      <c r="J155" s="337">
        <v>1</v>
      </c>
      <c r="K155" s="46">
        <f t="shared" si="62"/>
        <v>28806.48</v>
      </c>
      <c r="L155" s="46">
        <f t="shared" si="63"/>
        <v>26030.855625</v>
      </c>
      <c r="M155" s="338">
        <f t="shared" si="64"/>
        <v>0</v>
      </c>
      <c r="N155" s="43" t="s">
        <v>668</v>
      </c>
      <c r="O155" s="339">
        <v>84715010</v>
      </c>
      <c r="P155" s="340">
        <f>IFERROR(VLOOKUP(O155,NCM!$A$3:$D$99,COLUMN(head_porNCM_IPI)-COLUMN(head_porNCM_NCM)+1,FALSE),"")</f>
        <v>0.15</v>
      </c>
      <c r="Q155" s="43" t="s">
        <v>691</v>
      </c>
      <c r="R155" s="78" t="s">
        <v>210</v>
      </c>
      <c r="S155" s="341"/>
      <c r="T155" s="28" t="s">
        <v>52</v>
      </c>
      <c r="U155" s="28" t="s">
        <v>2747</v>
      </c>
      <c r="V155" s="548">
        <v>45322</v>
      </c>
      <c r="W155" s="43"/>
      <c r="X155" s="342">
        <f t="shared" si="65"/>
        <v>1043.7130434782609</v>
      </c>
      <c r="Y155" s="342">
        <f t="shared" si="66"/>
        <v>3913.9239130434762</v>
      </c>
      <c r="Z155" s="46">
        <f t="shared" si="67"/>
        <v>430.53163043478264</v>
      </c>
      <c r="AA155" s="46">
        <f t="shared" si="68"/>
        <v>1983.0547826086959</v>
      </c>
      <c r="AB155" s="43"/>
      <c r="AC155" s="44">
        <v>30006.75</v>
      </c>
      <c r="AD155" s="31">
        <v>0.04</v>
      </c>
      <c r="AE155" s="31">
        <v>0.15</v>
      </c>
      <c r="AF155" s="31">
        <v>0</v>
      </c>
      <c r="AG155" s="28" t="s">
        <v>53</v>
      </c>
      <c r="AH155" s="46">
        <f t="shared" si="69"/>
        <v>34507.762499999997</v>
      </c>
      <c r="AI155" s="43"/>
      <c r="AJ155" s="28" t="s">
        <v>263</v>
      </c>
      <c r="AK155" s="337">
        <v>5.15</v>
      </c>
      <c r="AL155" s="43"/>
      <c r="AM155" s="44">
        <f t="shared" si="70"/>
        <v>0</v>
      </c>
      <c r="AN155" s="43"/>
      <c r="AO155" s="28">
        <f t="shared" si="71"/>
        <v>0</v>
      </c>
      <c r="AP155" s="43"/>
      <c r="AQ155" s="323">
        <f t="shared" si="72"/>
        <v>0</v>
      </c>
      <c r="AR155" s="43"/>
      <c r="AS155" s="44">
        <f t="shared" si="73"/>
        <v>34507.762499999997</v>
      </c>
    </row>
    <row r="156" spans="1:45" x14ac:dyDescent="0.25">
      <c r="A156" s="28"/>
      <c r="B156" s="43"/>
      <c r="C156" s="43"/>
      <c r="D156" s="43"/>
      <c r="E156" s="43" t="s">
        <v>2323</v>
      </c>
      <c r="F156" s="43" t="s">
        <v>2324</v>
      </c>
      <c r="G156" s="46">
        <f t="shared" si="60"/>
        <v>59730.249600000003</v>
      </c>
      <c r="H156" s="46">
        <f t="shared" si="61"/>
        <v>53974.991175000003</v>
      </c>
      <c r="I156" s="28" t="s">
        <v>262</v>
      </c>
      <c r="J156" s="337">
        <v>1</v>
      </c>
      <c r="K156" s="46">
        <f t="shared" si="62"/>
        <v>59730.249600000003</v>
      </c>
      <c r="L156" s="46">
        <f t="shared" si="63"/>
        <v>53974.991175000003</v>
      </c>
      <c r="M156" s="338">
        <f t="shared" si="64"/>
        <v>0</v>
      </c>
      <c r="N156" s="43" t="s">
        <v>668</v>
      </c>
      <c r="O156" s="339">
        <v>84715010</v>
      </c>
      <c r="P156" s="340">
        <f>IFERROR(VLOOKUP(O156,NCM!$A$3:$D$99,COLUMN(head_porNCM_IPI)-COLUMN(head_porNCM_NCM)+1,FALSE),"")</f>
        <v>0.15</v>
      </c>
      <c r="Q156" s="43" t="s">
        <v>691</v>
      </c>
      <c r="R156" s="78" t="s">
        <v>210</v>
      </c>
      <c r="S156" s="341"/>
      <c r="T156" s="28" t="s">
        <v>52</v>
      </c>
      <c r="U156" s="28" t="s">
        <v>2747</v>
      </c>
      <c r="V156" s="548">
        <v>45322</v>
      </c>
      <c r="W156" s="43"/>
      <c r="X156" s="342">
        <f t="shared" si="65"/>
        <v>2164.13947826087</v>
      </c>
      <c r="Y156" s="342">
        <f t="shared" si="66"/>
        <v>8115.523043478257</v>
      </c>
      <c r="Z156" s="46">
        <f t="shared" si="67"/>
        <v>892.70753478260883</v>
      </c>
      <c r="AA156" s="46">
        <f t="shared" si="68"/>
        <v>4111.8650086956523</v>
      </c>
      <c r="AB156" s="43"/>
      <c r="AC156" s="44">
        <v>62219.01</v>
      </c>
      <c r="AD156" s="31">
        <v>0.04</v>
      </c>
      <c r="AE156" s="31">
        <v>0.15</v>
      </c>
      <c r="AF156" s="31">
        <v>0</v>
      </c>
      <c r="AG156" s="28" t="s">
        <v>53</v>
      </c>
      <c r="AH156" s="46">
        <f t="shared" si="69"/>
        <v>71551.861499999999</v>
      </c>
      <c r="AI156" s="43"/>
      <c r="AJ156" s="28" t="s">
        <v>263</v>
      </c>
      <c r="AK156" s="337">
        <v>5.15</v>
      </c>
      <c r="AL156" s="43"/>
      <c r="AM156" s="44">
        <f t="shared" si="70"/>
        <v>0</v>
      </c>
      <c r="AN156" s="43"/>
      <c r="AO156" s="28">
        <f t="shared" si="71"/>
        <v>0</v>
      </c>
      <c r="AP156" s="43"/>
      <c r="AQ156" s="323">
        <f t="shared" si="72"/>
        <v>0</v>
      </c>
      <c r="AR156" s="43"/>
      <c r="AS156" s="44">
        <f t="shared" si="73"/>
        <v>71551.861499999999</v>
      </c>
    </row>
    <row r="157" spans="1:45" x14ac:dyDescent="0.25">
      <c r="A157" s="28"/>
      <c r="B157" s="43"/>
      <c r="C157" s="43"/>
      <c r="D157" s="43" t="s">
        <v>2014</v>
      </c>
      <c r="E157" s="43"/>
      <c r="F157" s="43"/>
      <c r="G157" s="46">
        <f t="shared" si="60"/>
        <v>0</v>
      </c>
      <c r="H157" s="46">
        <f t="shared" si="61"/>
        <v>0</v>
      </c>
      <c r="I157" s="28"/>
      <c r="J157" s="337"/>
      <c r="K157" s="46" t="str">
        <f t="shared" si="62"/>
        <v/>
      </c>
      <c r="L157" s="46" t="str">
        <f t="shared" si="63"/>
        <v/>
      </c>
      <c r="M157" s="338">
        <f t="shared" si="64"/>
        <v>0</v>
      </c>
      <c r="N157" s="43"/>
      <c r="O157" s="339"/>
      <c r="P157" s="340" t="str">
        <f>IFERROR(VLOOKUP(O157,NCM!$A$3:$D$99,COLUMN(head_porNCM_IPI)-COLUMN(head_porNCM_NCM)+1,FALSE),"")</f>
        <v/>
      </c>
      <c r="Q157" s="43"/>
      <c r="R157" s="78"/>
      <c r="S157" s="341"/>
      <c r="T157" s="28"/>
      <c r="U157" s="28"/>
      <c r="V157" s="28"/>
      <c r="W157" s="43"/>
      <c r="X157" s="342">
        <f t="shared" si="65"/>
        <v>0</v>
      </c>
      <c r="Y157" s="342">
        <f t="shared" si="66"/>
        <v>0</v>
      </c>
      <c r="Z157" s="46">
        <f t="shared" si="67"/>
        <v>0</v>
      </c>
      <c r="AA157" s="46">
        <f t="shared" si="68"/>
        <v>0</v>
      </c>
      <c r="AB157" s="43"/>
      <c r="AC157" s="44">
        <v>0</v>
      </c>
      <c r="AD157" s="31"/>
      <c r="AE157" s="31"/>
      <c r="AF157" s="31"/>
      <c r="AG157" s="28"/>
      <c r="AH157" s="46">
        <f t="shared" si="69"/>
        <v>0</v>
      </c>
      <c r="AI157" s="43"/>
      <c r="AJ157" s="28"/>
      <c r="AK157" s="337"/>
      <c r="AL157" s="43"/>
      <c r="AM157" s="44">
        <f t="shared" si="70"/>
        <v>0</v>
      </c>
      <c r="AN157" s="43"/>
      <c r="AO157" s="28">
        <f t="shared" si="71"/>
        <v>0</v>
      </c>
      <c r="AP157" s="43"/>
      <c r="AQ157" s="323">
        <f t="shared" si="72"/>
        <v>0</v>
      </c>
      <c r="AR157" s="43"/>
      <c r="AS157" s="44">
        <f t="shared" si="73"/>
        <v>0</v>
      </c>
    </row>
    <row r="158" spans="1:45" x14ac:dyDescent="0.25">
      <c r="A158" s="28"/>
      <c r="B158" s="43"/>
      <c r="C158" s="43"/>
      <c r="D158" s="43"/>
      <c r="E158" s="43" t="s">
        <v>2015</v>
      </c>
      <c r="F158" s="43" t="s">
        <v>2016</v>
      </c>
      <c r="G158" s="46">
        <f t="shared" si="60"/>
        <v>31788.866200000004</v>
      </c>
      <c r="H158" s="46">
        <f t="shared" si="61"/>
        <v>28202.927025000008</v>
      </c>
      <c r="I158" s="28" t="s">
        <v>262</v>
      </c>
      <c r="J158" s="337">
        <v>1</v>
      </c>
      <c r="K158" s="46">
        <f t="shared" si="62"/>
        <v>31788.866200000004</v>
      </c>
      <c r="L158" s="46">
        <f t="shared" si="63"/>
        <v>28202.927025000008</v>
      </c>
      <c r="M158" s="338">
        <f t="shared" si="64"/>
        <v>0</v>
      </c>
      <c r="N158" s="43" t="s">
        <v>668</v>
      </c>
      <c r="O158" s="339">
        <v>84715010</v>
      </c>
      <c r="P158" s="340">
        <f>IFERROR(VLOOKUP(O158,NCM!$A$3:$D$99,COLUMN(head_porNCM_IPI)-COLUMN(head_porNCM_NCM)+1,FALSE),"")</f>
        <v>0.15</v>
      </c>
      <c r="Q158" s="43" t="s">
        <v>2014</v>
      </c>
      <c r="R158" s="78" t="s">
        <v>210</v>
      </c>
      <c r="S158" s="341"/>
      <c r="T158" s="28" t="s">
        <v>52</v>
      </c>
      <c r="U158" s="28" t="s">
        <v>2277</v>
      </c>
      <c r="V158" s="548">
        <v>44671</v>
      </c>
      <c r="W158" s="43"/>
      <c r="X158" s="342">
        <f t="shared" si="65"/>
        <v>6272.3989213483146</v>
      </c>
      <c r="Y158" s="342">
        <f t="shared" si="66"/>
        <v>3920.2493258426985</v>
      </c>
      <c r="Z158" s="46">
        <f t="shared" si="67"/>
        <v>574.9699011235956</v>
      </c>
      <c r="AA158" s="46">
        <f t="shared" si="68"/>
        <v>2648.3462112359553</v>
      </c>
      <c r="AB158" s="43"/>
      <c r="AC158" s="44">
        <v>38766.910000000003</v>
      </c>
      <c r="AD158" s="31">
        <v>0.18</v>
      </c>
      <c r="AE158" s="31">
        <v>0.1125</v>
      </c>
      <c r="AF158" s="31">
        <v>0</v>
      </c>
      <c r="AG158" s="28" t="s">
        <v>53</v>
      </c>
      <c r="AH158" s="46">
        <f t="shared" si="69"/>
        <v>43128.187375000009</v>
      </c>
      <c r="AI158" s="43"/>
      <c r="AJ158" s="28" t="s">
        <v>263</v>
      </c>
      <c r="AK158" s="337">
        <v>4.62</v>
      </c>
      <c r="AL158" s="43"/>
      <c r="AM158" s="44">
        <f t="shared" si="70"/>
        <v>0</v>
      </c>
      <c r="AN158" s="43"/>
      <c r="AO158" s="28">
        <f t="shared" si="71"/>
        <v>0</v>
      </c>
      <c r="AP158" s="43"/>
      <c r="AQ158" s="323">
        <f t="shared" si="72"/>
        <v>0</v>
      </c>
      <c r="AR158" s="43"/>
      <c r="AS158" s="44">
        <f t="shared" si="73"/>
        <v>43128.187375000009</v>
      </c>
    </row>
    <row r="159" spans="1:45" x14ac:dyDescent="0.25">
      <c r="A159" s="28"/>
      <c r="B159" s="43"/>
      <c r="C159" s="43"/>
      <c r="D159" s="43"/>
      <c r="E159" s="43" t="s">
        <v>2017</v>
      </c>
      <c r="F159" s="43" t="s">
        <v>2018</v>
      </c>
      <c r="G159" s="46">
        <f t="shared" si="60"/>
        <v>5815.3580000000002</v>
      </c>
      <c r="H159" s="46">
        <f t="shared" si="61"/>
        <v>5159.3572500000009</v>
      </c>
      <c r="I159" s="28" t="s">
        <v>262</v>
      </c>
      <c r="J159" s="337">
        <v>1</v>
      </c>
      <c r="K159" s="46">
        <f t="shared" si="62"/>
        <v>5815.3580000000002</v>
      </c>
      <c r="L159" s="46">
        <f t="shared" si="63"/>
        <v>5159.3572500000009</v>
      </c>
      <c r="M159" s="338">
        <f t="shared" si="64"/>
        <v>0</v>
      </c>
      <c r="N159" s="43" t="s">
        <v>668</v>
      </c>
      <c r="O159" s="339">
        <v>84715010</v>
      </c>
      <c r="P159" s="340">
        <f>IFERROR(VLOOKUP(O159,NCM!$A$3:$D$99,COLUMN(head_porNCM_IPI)-COLUMN(head_porNCM_NCM)+1,FALSE),"")</f>
        <v>0.15</v>
      </c>
      <c r="Q159" s="43" t="s">
        <v>2014</v>
      </c>
      <c r="R159" s="78" t="s">
        <v>210</v>
      </c>
      <c r="S159" s="341"/>
      <c r="T159" s="28" t="s">
        <v>52</v>
      </c>
      <c r="U159" s="28" t="s">
        <v>2277</v>
      </c>
      <c r="V159" s="548">
        <v>44671</v>
      </c>
      <c r="W159" s="43"/>
      <c r="X159" s="342">
        <f t="shared" si="65"/>
        <v>1147.4534831460671</v>
      </c>
      <c r="Y159" s="342">
        <f t="shared" si="66"/>
        <v>717.15842696629261</v>
      </c>
      <c r="Z159" s="46">
        <f t="shared" si="67"/>
        <v>105.18323595505618</v>
      </c>
      <c r="AA159" s="46">
        <f t="shared" si="68"/>
        <v>484.48035955056173</v>
      </c>
      <c r="AB159" s="43"/>
      <c r="AC159" s="44">
        <v>7091.9</v>
      </c>
      <c r="AD159" s="31">
        <v>0.18</v>
      </c>
      <c r="AE159" s="31">
        <v>0.1125</v>
      </c>
      <c r="AF159" s="31">
        <v>0</v>
      </c>
      <c r="AG159" s="28" t="s">
        <v>53</v>
      </c>
      <c r="AH159" s="46">
        <f t="shared" si="69"/>
        <v>7889.7387499999995</v>
      </c>
      <c r="AI159" s="43"/>
      <c r="AJ159" s="28" t="s">
        <v>263</v>
      </c>
      <c r="AK159" s="337">
        <v>4.62</v>
      </c>
      <c r="AL159" s="43"/>
      <c r="AM159" s="44">
        <f t="shared" si="70"/>
        <v>0</v>
      </c>
      <c r="AN159" s="43"/>
      <c r="AO159" s="28">
        <f t="shared" si="71"/>
        <v>0</v>
      </c>
      <c r="AP159" s="43"/>
      <c r="AQ159" s="323">
        <f t="shared" si="72"/>
        <v>0</v>
      </c>
      <c r="AR159" s="43"/>
      <c r="AS159" s="44">
        <f t="shared" si="73"/>
        <v>7889.7387499999995</v>
      </c>
    </row>
    <row r="160" spans="1:45" x14ac:dyDescent="0.25">
      <c r="A160" s="28"/>
      <c r="B160" s="43"/>
      <c r="C160" s="43"/>
      <c r="D160" s="43"/>
      <c r="E160" s="43" t="s">
        <v>2019</v>
      </c>
      <c r="F160" s="43" t="s">
        <v>2020</v>
      </c>
      <c r="G160" s="46">
        <f t="shared" si="60"/>
        <v>10557.262199999999</v>
      </c>
      <c r="H160" s="46">
        <f t="shared" si="61"/>
        <v>9366.3515250000019</v>
      </c>
      <c r="I160" s="28" t="s">
        <v>262</v>
      </c>
      <c r="J160" s="337">
        <v>1</v>
      </c>
      <c r="K160" s="46">
        <f t="shared" si="62"/>
        <v>10557.262199999999</v>
      </c>
      <c r="L160" s="46">
        <f t="shared" si="63"/>
        <v>9366.3515250000019</v>
      </c>
      <c r="M160" s="338">
        <f t="shared" si="64"/>
        <v>0</v>
      </c>
      <c r="N160" s="43" t="s">
        <v>668</v>
      </c>
      <c r="O160" s="339">
        <v>84715010</v>
      </c>
      <c r="P160" s="340">
        <f>IFERROR(VLOOKUP(O160,NCM!$A$3:$D$99,COLUMN(head_porNCM_IPI)-COLUMN(head_porNCM_NCM)+1,FALSE),"")</f>
        <v>0.15</v>
      </c>
      <c r="Q160" s="43" t="s">
        <v>2014</v>
      </c>
      <c r="R160" s="78" t="s">
        <v>210</v>
      </c>
      <c r="S160" s="341"/>
      <c r="T160" s="28" t="s">
        <v>52</v>
      </c>
      <c r="U160" s="28" t="s">
        <v>2277</v>
      </c>
      <c r="V160" s="548">
        <v>44671</v>
      </c>
      <c r="W160" s="43"/>
      <c r="X160" s="342">
        <f t="shared" si="65"/>
        <v>2083.0991460674154</v>
      </c>
      <c r="Y160" s="342">
        <f t="shared" si="66"/>
        <v>1301.9369662921345</v>
      </c>
      <c r="Z160" s="46">
        <f t="shared" si="67"/>
        <v>190.95075505617979</v>
      </c>
      <c r="AA160" s="46">
        <f t="shared" si="68"/>
        <v>879.53075056179773</v>
      </c>
      <c r="AB160" s="43"/>
      <c r="AC160" s="44">
        <v>12874.71</v>
      </c>
      <c r="AD160" s="31">
        <v>0.18</v>
      </c>
      <c r="AE160" s="31">
        <v>0.1125</v>
      </c>
      <c r="AF160" s="31">
        <v>0</v>
      </c>
      <c r="AG160" s="28" t="s">
        <v>53</v>
      </c>
      <c r="AH160" s="46">
        <f t="shared" si="69"/>
        <v>14323.114874999999</v>
      </c>
      <c r="AI160" s="43"/>
      <c r="AJ160" s="28" t="s">
        <v>263</v>
      </c>
      <c r="AK160" s="337">
        <v>4.62</v>
      </c>
      <c r="AL160" s="43"/>
      <c r="AM160" s="44">
        <f t="shared" si="70"/>
        <v>0</v>
      </c>
      <c r="AN160" s="43"/>
      <c r="AO160" s="28">
        <f t="shared" si="71"/>
        <v>0</v>
      </c>
      <c r="AP160" s="43"/>
      <c r="AQ160" s="323">
        <f t="shared" si="72"/>
        <v>0</v>
      </c>
      <c r="AR160" s="43"/>
      <c r="AS160" s="44">
        <f t="shared" si="73"/>
        <v>14323.114874999999</v>
      </c>
    </row>
    <row r="161" spans="1:45" x14ac:dyDescent="0.25">
      <c r="A161" s="28"/>
      <c r="B161" s="43"/>
      <c r="C161" s="43"/>
      <c r="D161" s="43" t="s">
        <v>2021</v>
      </c>
      <c r="E161" s="43"/>
      <c r="F161" s="43"/>
      <c r="G161" s="46">
        <f t="shared" si="60"/>
        <v>0</v>
      </c>
      <c r="H161" s="46">
        <f t="shared" si="61"/>
        <v>0</v>
      </c>
      <c r="I161" s="28"/>
      <c r="J161" s="337"/>
      <c r="K161" s="46" t="str">
        <f t="shared" si="62"/>
        <v/>
      </c>
      <c r="L161" s="46" t="str">
        <f t="shared" si="63"/>
        <v/>
      </c>
      <c r="M161" s="338">
        <f t="shared" si="64"/>
        <v>0</v>
      </c>
      <c r="N161" s="43"/>
      <c r="O161" s="339"/>
      <c r="P161" s="340" t="str">
        <f>IFERROR(VLOOKUP(O161,NCM!$A$3:$D$99,COLUMN(head_porNCM_IPI)-COLUMN(head_porNCM_NCM)+1,FALSE),"")</f>
        <v/>
      </c>
      <c r="Q161" s="43"/>
      <c r="R161" s="78"/>
      <c r="S161" s="341"/>
      <c r="T161" s="28"/>
      <c r="U161" s="28"/>
      <c r="V161" s="28"/>
      <c r="W161" s="43"/>
      <c r="X161" s="342">
        <f t="shared" si="65"/>
        <v>0</v>
      </c>
      <c r="Y161" s="342">
        <f t="shared" si="66"/>
        <v>0</v>
      </c>
      <c r="Z161" s="46">
        <f t="shared" si="67"/>
        <v>0</v>
      </c>
      <c r="AA161" s="46">
        <f t="shared" si="68"/>
        <v>0</v>
      </c>
      <c r="AB161" s="43"/>
      <c r="AC161" s="44">
        <v>0</v>
      </c>
      <c r="AD161" s="31"/>
      <c r="AE161" s="31"/>
      <c r="AF161" s="31"/>
      <c r="AG161" s="28"/>
      <c r="AH161" s="46">
        <f t="shared" si="69"/>
        <v>0</v>
      </c>
      <c r="AI161" s="43"/>
      <c r="AJ161" s="28"/>
      <c r="AK161" s="337"/>
      <c r="AL161" s="43"/>
      <c r="AM161" s="44">
        <f t="shared" si="70"/>
        <v>0</v>
      </c>
      <c r="AN161" s="43"/>
      <c r="AO161" s="28">
        <f t="shared" si="71"/>
        <v>0</v>
      </c>
      <c r="AP161" s="43"/>
      <c r="AQ161" s="323">
        <f t="shared" si="72"/>
        <v>0</v>
      </c>
      <c r="AR161" s="43"/>
      <c r="AS161" s="44">
        <f t="shared" si="73"/>
        <v>0</v>
      </c>
    </row>
    <row r="162" spans="1:45" x14ac:dyDescent="0.25">
      <c r="A162" s="28"/>
      <c r="B162" s="43"/>
      <c r="C162" s="43"/>
      <c r="D162" s="43"/>
      <c r="E162" s="43" t="s">
        <v>736</v>
      </c>
      <c r="F162" s="43" t="s">
        <v>737</v>
      </c>
      <c r="G162" s="46">
        <f t="shared" si="60"/>
        <v>972.19200000000023</v>
      </c>
      <c r="H162" s="46">
        <f t="shared" si="61"/>
        <v>862.52400000000023</v>
      </c>
      <c r="I162" s="28" t="s">
        <v>262</v>
      </c>
      <c r="J162" s="337">
        <v>1</v>
      </c>
      <c r="K162" s="46">
        <f t="shared" si="62"/>
        <v>972.19200000000023</v>
      </c>
      <c r="L162" s="46">
        <f t="shared" si="63"/>
        <v>862.52400000000023</v>
      </c>
      <c r="M162" s="338">
        <f t="shared" si="64"/>
        <v>0</v>
      </c>
      <c r="N162" s="43" t="s">
        <v>668</v>
      </c>
      <c r="O162" s="339">
        <v>85285220</v>
      </c>
      <c r="P162" s="340">
        <f>IFERROR(VLOOKUP(O162,NCM!$A$3:$D$99,COLUMN(head_porNCM_IPI)-COLUMN(head_porNCM_NCM)+1,FALSE),"")</f>
        <v>0.15</v>
      </c>
      <c r="Q162" s="43" t="s">
        <v>734</v>
      </c>
      <c r="R162" s="78" t="s">
        <v>209</v>
      </c>
      <c r="S162" s="341"/>
      <c r="T162" s="28" t="s">
        <v>52</v>
      </c>
      <c r="U162" s="28" t="s">
        <v>2351</v>
      </c>
      <c r="V162" s="548">
        <v>44966</v>
      </c>
      <c r="W162" s="43"/>
      <c r="X162" s="342">
        <f t="shared" si="65"/>
        <v>213.40800000000002</v>
      </c>
      <c r="Y162" s="342">
        <f t="shared" si="66"/>
        <v>0</v>
      </c>
      <c r="Z162" s="46">
        <f t="shared" si="67"/>
        <v>19.562400000000004</v>
      </c>
      <c r="AA162" s="46">
        <f t="shared" si="68"/>
        <v>90.10560000000001</v>
      </c>
      <c r="AB162" s="43"/>
      <c r="AC162" s="44">
        <v>1185.6000000000001</v>
      </c>
      <c r="AD162" s="31">
        <v>0.18</v>
      </c>
      <c r="AE162" s="31">
        <v>0</v>
      </c>
      <c r="AF162" s="31">
        <v>0</v>
      </c>
      <c r="AG162" s="28" t="s">
        <v>53</v>
      </c>
      <c r="AH162" s="46">
        <f t="shared" si="69"/>
        <v>1185.6000000000001</v>
      </c>
      <c r="AI162" s="43"/>
      <c r="AJ162" s="28" t="s">
        <v>263</v>
      </c>
      <c r="AK162" s="337">
        <v>5.2</v>
      </c>
      <c r="AL162" s="43"/>
      <c r="AM162" s="44">
        <f t="shared" si="70"/>
        <v>0</v>
      </c>
      <c r="AN162" s="43"/>
      <c r="AO162" s="28">
        <f t="shared" si="71"/>
        <v>0</v>
      </c>
      <c r="AP162" s="43"/>
      <c r="AQ162" s="323">
        <f t="shared" si="72"/>
        <v>0</v>
      </c>
      <c r="AR162" s="43"/>
      <c r="AS162" s="44">
        <f t="shared" si="73"/>
        <v>1185.6000000000001</v>
      </c>
    </row>
    <row r="163" spans="1:45" x14ac:dyDescent="0.25">
      <c r="A163" s="28"/>
      <c r="B163" s="43"/>
      <c r="C163" s="43"/>
      <c r="D163" s="43"/>
      <c r="E163" s="43" t="s">
        <v>738</v>
      </c>
      <c r="F163" s="43" t="s">
        <v>2325</v>
      </c>
      <c r="G163" s="46">
        <f t="shared" si="60"/>
        <v>7696.52</v>
      </c>
      <c r="H163" s="46">
        <f t="shared" si="61"/>
        <v>6828.3150000000014</v>
      </c>
      <c r="I163" s="28" t="s">
        <v>262</v>
      </c>
      <c r="J163" s="337">
        <v>1</v>
      </c>
      <c r="K163" s="46">
        <f t="shared" si="62"/>
        <v>7696.52</v>
      </c>
      <c r="L163" s="46">
        <f t="shared" si="63"/>
        <v>6828.3150000000014</v>
      </c>
      <c r="M163" s="338">
        <f t="shared" si="64"/>
        <v>0</v>
      </c>
      <c r="N163" s="43" t="s">
        <v>668</v>
      </c>
      <c r="O163" s="339">
        <v>85285220</v>
      </c>
      <c r="P163" s="340">
        <f>IFERROR(VLOOKUP(O163,NCM!$A$3:$D$99,COLUMN(head_porNCM_IPI)-COLUMN(head_porNCM_NCM)+1,FALSE),"")</f>
        <v>0.15</v>
      </c>
      <c r="Q163" s="43" t="s">
        <v>734</v>
      </c>
      <c r="R163" s="78" t="s">
        <v>210</v>
      </c>
      <c r="S163" s="341"/>
      <c r="T163" s="28" t="s">
        <v>52</v>
      </c>
      <c r="U163" s="28" t="s">
        <v>2351</v>
      </c>
      <c r="V163" s="548">
        <v>44966</v>
      </c>
      <c r="W163" s="43"/>
      <c r="X163" s="342">
        <f t="shared" si="65"/>
        <v>1518.6337078651682</v>
      </c>
      <c r="Y163" s="342">
        <f t="shared" si="66"/>
        <v>949.14606741573152</v>
      </c>
      <c r="Z163" s="46">
        <f t="shared" si="67"/>
        <v>139.20808988764043</v>
      </c>
      <c r="AA163" s="46">
        <f t="shared" si="68"/>
        <v>641.20089887640438</v>
      </c>
      <c r="AB163" s="43"/>
      <c r="AC163" s="44">
        <v>9386</v>
      </c>
      <c r="AD163" s="31">
        <v>0.18</v>
      </c>
      <c r="AE163" s="31">
        <v>0.1125</v>
      </c>
      <c r="AF163" s="31">
        <v>0</v>
      </c>
      <c r="AG163" s="28" t="s">
        <v>53</v>
      </c>
      <c r="AH163" s="46">
        <f t="shared" si="69"/>
        <v>10441.925000000001</v>
      </c>
      <c r="AI163" s="43"/>
      <c r="AJ163" s="28" t="s">
        <v>263</v>
      </c>
      <c r="AK163" s="337">
        <v>5.2</v>
      </c>
      <c r="AL163" s="43"/>
      <c r="AM163" s="44">
        <f t="shared" si="70"/>
        <v>0</v>
      </c>
      <c r="AN163" s="43"/>
      <c r="AO163" s="28">
        <f t="shared" si="71"/>
        <v>0</v>
      </c>
      <c r="AP163" s="43"/>
      <c r="AQ163" s="323">
        <f t="shared" si="72"/>
        <v>0</v>
      </c>
      <c r="AR163" s="43"/>
      <c r="AS163" s="44">
        <f t="shared" si="73"/>
        <v>10441.925000000001</v>
      </c>
    </row>
    <row r="164" spans="1:45" x14ac:dyDescent="0.25">
      <c r="A164" s="28"/>
      <c r="B164" s="43"/>
      <c r="C164" s="43"/>
      <c r="D164" s="43"/>
      <c r="E164" s="43" t="s">
        <v>1144</v>
      </c>
      <c r="F164" s="43" t="s">
        <v>2022</v>
      </c>
      <c r="G164" s="46">
        <f t="shared" si="60"/>
        <v>410.00000000000006</v>
      </c>
      <c r="H164" s="46">
        <f t="shared" si="61"/>
        <v>363.75000000000006</v>
      </c>
      <c r="I164" s="28" t="s">
        <v>262</v>
      </c>
      <c r="J164" s="337">
        <v>1</v>
      </c>
      <c r="K164" s="46">
        <f t="shared" si="62"/>
        <v>410.00000000000006</v>
      </c>
      <c r="L164" s="46">
        <f t="shared" si="63"/>
        <v>363.75000000000006</v>
      </c>
      <c r="M164" s="338">
        <f t="shared" si="64"/>
        <v>2</v>
      </c>
      <c r="N164" s="43" t="s">
        <v>668</v>
      </c>
      <c r="O164" s="339"/>
      <c r="P164" s="340" t="str">
        <f>IFERROR(VLOOKUP(O164,NCM!$A$3:$D$99,COLUMN(head_porNCM_IPI)-COLUMN(head_porNCM_NCM)+1,FALSE),"")</f>
        <v/>
      </c>
      <c r="Q164" s="43"/>
      <c r="R164" s="78"/>
      <c r="S164" s="341"/>
      <c r="T164" s="28" t="s">
        <v>53</v>
      </c>
      <c r="U164" s="28"/>
      <c r="V164" s="28"/>
      <c r="W164" s="43"/>
      <c r="X164" s="342">
        <f t="shared" si="65"/>
        <v>78.260869565217391</v>
      </c>
      <c r="Y164" s="342">
        <f t="shared" si="66"/>
        <v>65.217391304347814</v>
      </c>
      <c r="Z164" s="46">
        <f t="shared" si="67"/>
        <v>7.1739130434782616</v>
      </c>
      <c r="AA164" s="46">
        <f t="shared" si="68"/>
        <v>33.043478260869563</v>
      </c>
      <c r="AB164" s="43"/>
      <c r="AC164" s="44">
        <v>500</v>
      </c>
      <c r="AD164" s="31">
        <v>0.18</v>
      </c>
      <c r="AE164" s="31">
        <v>0.15</v>
      </c>
      <c r="AF164" s="31">
        <v>0</v>
      </c>
      <c r="AG164" s="28" t="s">
        <v>53</v>
      </c>
      <c r="AH164" s="46">
        <f t="shared" si="69"/>
        <v>575</v>
      </c>
      <c r="AI164" s="43"/>
      <c r="AJ164" s="28"/>
      <c r="AK164" s="337"/>
      <c r="AL164" s="43"/>
      <c r="AM164" s="44">
        <f t="shared" si="70"/>
        <v>0</v>
      </c>
      <c r="AN164" s="43"/>
      <c r="AO164" s="28">
        <f t="shared" si="71"/>
        <v>0</v>
      </c>
      <c r="AP164" s="43"/>
      <c r="AQ164" s="323">
        <f t="shared" si="72"/>
        <v>727.50000000000011</v>
      </c>
      <c r="AR164" s="43"/>
      <c r="AS164" s="44">
        <f t="shared" si="73"/>
        <v>575</v>
      </c>
    </row>
    <row r="165" spans="1:45" x14ac:dyDescent="0.25">
      <c r="A165" s="28"/>
      <c r="B165" s="43"/>
      <c r="C165" s="43"/>
      <c r="D165" s="43"/>
      <c r="E165" s="43" t="s">
        <v>2023</v>
      </c>
      <c r="F165" s="43" t="s">
        <v>2024</v>
      </c>
      <c r="G165" s="46">
        <f t="shared" si="60"/>
        <v>1230</v>
      </c>
      <c r="H165" s="46">
        <f t="shared" si="61"/>
        <v>1091.2500000000002</v>
      </c>
      <c r="I165" s="28" t="s">
        <v>262</v>
      </c>
      <c r="J165" s="337">
        <v>1</v>
      </c>
      <c r="K165" s="46">
        <f t="shared" si="62"/>
        <v>1230</v>
      </c>
      <c r="L165" s="46">
        <f t="shared" si="63"/>
        <v>1091.2500000000002</v>
      </c>
      <c r="M165" s="338">
        <f t="shared" si="64"/>
        <v>0</v>
      </c>
      <c r="N165" s="43" t="s">
        <v>668</v>
      </c>
      <c r="O165" s="339"/>
      <c r="P165" s="340" t="str">
        <f>IFERROR(VLOOKUP(O165,NCM!$A$3:$D$99,COLUMN(head_porNCM_IPI)-COLUMN(head_porNCM_NCM)+1,FALSE),"")</f>
        <v/>
      </c>
      <c r="Q165" s="43"/>
      <c r="R165" s="78"/>
      <c r="S165" s="341"/>
      <c r="T165" s="28" t="s">
        <v>53</v>
      </c>
      <c r="U165" s="28"/>
      <c r="V165" s="28"/>
      <c r="W165" s="43"/>
      <c r="X165" s="342">
        <f t="shared" si="65"/>
        <v>234.78260869565221</v>
      </c>
      <c r="Y165" s="342">
        <f t="shared" si="66"/>
        <v>195.65217391304327</v>
      </c>
      <c r="Z165" s="46">
        <f t="shared" si="67"/>
        <v>21.521739130434788</v>
      </c>
      <c r="AA165" s="46">
        <f t="shared" si="68"/>
        <v>99.130434782608702</v>
      </c>
      <c r="AB165" s="43"/>
      <c r="AC165" s="44">
        <v>1500</v>
      </c>
      <c r="AD165" s="31">
        <v>0.18</v>
      </c>
      <c r="AE165" s="31">
        <v>0.15</v>
      </c>
      <c r="AF165" s="31">
        <v>0</v>
      </c>
      <c r="AG165" s="28" t="s">
        <v>53</v>
      </c>
      <c r="AH165" s="46">
        <f t="shared" si="69"/>
        <v>1724.9999999999998</v>
      </c>
      <c r="AI165" s="43"/>
      <c r="AJ165" s="28"/>
      <c r="AK165" s="337"/>
      <c r="AL165" s="43"/>
      <c r="AM165" s="44">
        <f t="shared" si="70"/>
        <v>0</v>
      </c>
      <c r="AN165" s="43"/>
      <c r="AO165" s="28">
        <f t="shared" si="71"/>
        <v>0</v>
      </c>
      <c r="AP165" s="43"/>
      <c r="AQ165" s="323">
        <f t="shared" si="72"/>
        <v>0</v>
      </c>
      <c r="AR165" s="43"/>
      <c r="AS165" s="44">
        <f t="shared" si="73"/>
        <v>1724.9999999999998</v>
      </c>
    </row>
    <row r="166" spans="1:45" x14ac:dyDescent="0.25">
      <c r="A166" s="28"/>
      <c r="B166" s="43"/>
      <c r="C166" s="43"/>
      <c r="D166" s="43" t="s">
        <v>1069</v>
      </c>
      <c r="E166" s="43"/>
      <c r="F166" s="43"/>
      <c r="G166" s="46">
        <f t="shared" si="60"/>
        <v>0</v>
      </c>
      <c r="H166" s="46">
        <f t="shared" si="61"/>
        <v>0</v>
      </c>
      <c r="I166" s="28"/>
      <c r="J166" s="337"/>
      <c r="K166" s="46" t="str">
        <f t="shared" si="62"/>
        <v/>
      </c>
      <c r="L166" s="46" t="str">
        <f t="shared" si="63"/>
        <v/>
      </c>
      <c r="M166" s="338">
        <f t="shared" si="64"/>
        <v>0</v>
      </c>
      <c r="N166" s="43"/>
      <c r="O166" s="339"/>
      <c r="P166" s="340" t="str">
        <f>IFERROR(VLOOKUP(O166,NCM!$A$3:$D$99,COLUMN(head_porNCM_IPI)-COLUMN(head_porNCM_NCM)+1,FALSE),"")</f>
        <v/>
      </c>
      <c r="Q166" s="43"/>
      <c r="R166" s="78"/>
      <c r="S166" s="341"/>
      <c r="T166" s="28"/>
      <c r="U166" s="28"/>
      <c r="V166" s="28"/>
      <c r="W166" s="43"/>
      <c r="X166" s="342">
        <f t="shared" si="65"/>
        <v>0</v>
      </c>
      <c r="Y166" s="342">
        <f t="shared" si="66"/>
        <v>0</v>
      </c>
      <c r="Z166" s="46">
        <f t="shared" si="67"/>
        <v>0</v>
      </c>
      <c r="AA166" s="46">
        <f t="shared" si="68"/>
        <v>0</v>
      </c>
      <c r="AB166" s="43"/>
      <c r="AC166" s="44">
        <v>0</v>
      </c>
      <c r="AD166" s="31"/>
      <c r="AE166" s="31"/>
      <c r="AF166" s="31"/>
      <c r="AG166" s="28"/>
      <c r="AH166" s="46">
        <f t="shared" si="69"/>
        <v>0</v>
      </c>
      <c r="AI166" s="43"/>
      <c r="AJ166" s="28"/>
      <c r="AK166" s="337"/>
      <c r="AL166" s="43"/>
      <c r="AM166" s="44">
        <f t="shared" si="70"/>
        <v>0</v>
      </c>
      <c r="AN166" s="43"/>
      <c r="AO166" s="28">
        <f t="shared" si="71"/>
        <v>0</v>
      </c>
      <c r="AP166" s="43"/>
      <c r="AQ166" s="323">
        <f t="shared" si="72"/>
        <v>0</v>
      </c>
      <c r="AR166" s="43"/>
      <c r="AS166" s="44">
        <f t="shared" si="73"/>
        <v>0</v>
      </c>
    </row>
    <row r="167" spans="1:45" x14ac:dyDescent="0.25">
      <c r="A167" s="28"/>
      <c r="B167" s="43"/>
      <c r="C167" s="43"/>
      <c r="D167" s="43"/>
      <c r="E167" s="43" t="s">
        <v>2426</v>
      </c>
      <c r="F167" s="43" t="s">
        <v>2025</v>
      </c>
      <c r="G167" s="46">
        <f t="shared" si="60"/>
        <v>27782.277600000001</v>
      </c>
      <c r="H167" s="46">
        <f t="shared" si="61"/>
        <v>24861.981375000003</v>
      </c>
      <c r="I167" s="28" t="s">
        <v>262</v>
      </c>
      <c r="J167" s="337">
        <v>1</v>
      </c>
      <c r="K167" s="46">
        <f t="shared" si="62"/>
        <v>27782.277600000001</v>
      </c>
      <c r="L167" s="46">
        <f t="shared" si="63"/>
        <v>24861.981375000003</v>
      </c>
      <c r="M167" s="338">
        <f t="shared" si="64"/>
        <v>0</v>
      </c>
      <c r="N167" s="43" t="s">
        <v>668</v>
      </c>
      <c r="O167" s="339">
        <v>94031000</v>
      </c>
      <c r="P167" s="340">
        <f>IFERROR(VLOOKUP(O167,NCM!$A$3:$D$99,COLUMN(head_porNCM_IPI)-COLUMN(head_porNCM_NCM)+1,FALSE),"")</f>
        <v>3.2500000000000001E-2</v>
      </c>
      <c r="Q167" s="43" t="s">
        <v>2278</v>
      </c>
      <c r="R167" s="78" t="s">
        <v>209</v>
      </c>
      <c r="S167" s="341"/>
      <c r="T167" s="28" t="s">
        <v>52</v>
      </c>
      <c r="U167" s="28" t="s">
        <v>2279</v>
      </c>
      <c r="V167" s="548">
        <v>44847</v>
      </c>
      <c r="W167" s="43"/>
      <c r="X167" s="342">
        <f t="shared" si="65"/>
        <v>3669.2420338983052</v>
      </c>
      <c r="Y167" s="342">
        <f t="shared" si="66"/>
        <v>993.7530508474556</v>
      </c>
      <c r="Z167" s="46">
        <f t="shared" si="67"/>
        <v>504.520779661017</v>
      </c>
      <c r="AA167" s="46">
        <f t="shared" si="68"/>
        <v>2323.8532881355932</v>
      </c>
      <c r="AB167" s="43"/>
      <c r="AC167" s="44">
        <v>31570.77</v>
      </c>
      <c r="AD167" s="31">
        <v>0.12</v>
      </c>
      <c r="AE167" s="31">
        <v>3.2500000000000001E-2</v>
      </c>
      <c r="AF167" s="31">
        <v>0</v>
      </c>
      <c r="AG167" s="28" t="s">
        <v>53</v>
      </c>
      <c r="AH167" s="46">
        <f t="shared" si="69"/>
        <v>32596.820025000001</v>
      </c>
      <c r="AI167" s="43"/>
      <c r="AJ167" s="28"/>
      <c r="AK167" s="337"/>
      <c r="AL167" s="43"/>
      <c r="AM167" s="44">
        <f t="shared" si="70"/>
        <v>0</v>
      </c>
      <c r="AN167" s="43"/>
      <c r="AO167" s="28">
        <f t="shared" si="71"/>
        <v>0</v>
      </c>
      <c r="AP167" s="43"/>
      <c r="AQ167" s="323">
        <f t="shared" si="72"/>
        <v>0</v>
      </c>
      <c r="AR167" s="43"/>
      <c r="AS167" s="44">
        <f t="shared" si="73"/>
        <v>32596.820025000001</v>
      </c>
    </row>
    <row r="168" spans="1:45" x14ac:dyDescent="0.25">
      <c r="A168" s="28"/>
      <c r="B168" s="43"/>
      <c r="C168" s="43"/>
      <c r="D168" s="43"/>
      <c r="E168" s="43" t="s">
        <v>2427</v>
      </c>
      <c r="F168" s="43" t="s">
        <v>2026</v>
      </c>
      <c r="G168" s="46">
        <f t="shared" si="60"/>
        <v>7049.4</v>
      </c>
      <c r="H168" s="46">
        <f t="shared" si="61"/>
        <v>6397.3305</v>
      </c>
      <c r="I168" s="28" t="s">
        <v>262</v>
      </c>
      <c r="J168" s="337">
        <v>1</v>
      </c>
      <c r="K168" s="46">
        <f t="shared" si="62"/>
        <v>7049.4</v>
      </c>
      <c r="L168" s="46">
        <f t="shared" si="63"/>
        <v>6397.3305</v>
      </c>
      <c r="M168" s="338">
        <f t="shared" si="64"/>
        <v>1</v>
      </c>
      <c r="N168" s="43" t="s">
        <v>668</v>
      </c>
      <c r="O168" s="339">
        <v>94031000</v>
      </c>
      <c r="P168" s="340">
        <f>IFERROR(VLOOKUP(O168,NCM!$A$3:$D$99,COLUMN(head_porNCM_IPI)-COLUMN(head_porNCM_NCM)+1,FALSE),"")</f>
        <v>3.2500000000000001E-2</v>
      </c>
      <c r="Q168" s="43" t="s">
        <v>2280</v>
      </c>
      <c r="R168" s="78" t="s">
        <v>209</v>
      </c>
      <c r="S168" s="341"/>
      <c r="T168" s="28" t="s">
        <v>52</v>
      </c>
      <c r="U168" s="28" t="s">
        <v>2281</v>
      </c>
      <c r="V168" s="548">
        <v>44851</v>
      </c>
      <c r="W168" s="43"/>
      <c r="X168" s="342">
        <f t="shared" si="65"/>
        <v>0</v>
      </c>
      <c r="Y168" s="342">
        <f t="shared" si="66"/>
        <v>0</v>
      </c>
      <c r="Z168" s="46">
        <f t="shared" si="67"/>
        <v>116.3151</v>
      </c>
      <c r="AA168" s="46">
        <f t="shared" si="68"/>
        <v>535.75439999999992</v>
      </c>
      <c r="AB168" s="43"/>
      <c r="AC168" s="44">
        <v>7049.4</v>
      </c>
      <c r="AD168" s="31">
        <v>0</v>
      </c>
      <c r="AE168" s="31">
        <v>0</v>
      </c>
      <c r="AF168" s="31">
        <v>0</v>
      </c>
      <c r="AG168" s="28" t="s">
        <v>53</v>
      </c>
      <c r="AH168" s="46">
        <f t="shared" si="69"/>
        <v>7049.4</v>
      </c>
      <c r="AI168" s="43"/>
      <c r="AJ168" s="28"/>
      <c r="AK168" s="337"/>
      <c r="AL168" s="43"/>
      <c r="AM168" s="44">
        <f t="shared" si="70"/>
        <v>0</v>
      </c>
      <c r="AN168" s="43"/>
      <c r="AO168" s="28">
        <f t="shared" si="71"/>
        <v>1</v>
      </c>
      <c r="AP168" s="43"/>
      <c r="AQ168" s="323">
        <f t="shared" si="72"/>
        <v>12794.661</v>
      </c>
      <c r="AR168" s="43"/>
      <c r="AS168" s="44">
        <f t="shared" si="73"/>
        <v>7049.4</v>
      </c>
    </row>
    <row r="169" spans="1:45" x14ac:dyDescent="0.25">
      <c r="A169" s="28"/>
      <c r="B169" s="43"/>
      <c r="C169" s="43"/>
      <c r="D169" s="43" t="s">
        <v>692</v>
      </c>
      <c r="E169" s="43"/>
      <c r="F169" s="43"/>
      <c r="G169" s="46">
        <f t="shared" si="60"/>
        <v>0</v>
      </c>
      <c r="H169" s="46">
        <f t="shared" si="61"/>
        <v>0</v>
      </c>
      <c r="I169" s="28"/>
      <c r="J169" s="337"/>
      <c r="K169" s="46" t="str">
        <f t="shared" si="62"/>
        <v/>
      </c>
      <c r="L169" s="46" t="str">
        <f t="shared" si="63"/>
        <v/>
      </c>
      <c r="M169" s="338">
        <f t="shared" si="64"/>
        <v>0</v>
      </c>
      <c r="N169" s="43"/>
      <c r="O169" s="339"/>
      <c r="P169" s="340" t="str">
        <f>IFERROR(VLOOKUP(O169,NCM!$A$3:$D$99,COLUMN(head_porNCM_IPI)-COLUMN(head_porNCM_NCM)+1,FALSE),"")</f>
        <v/>
      </c>
      <c r="Q169" s="43"/>
      <c r="R169" s="78"/>
      <c r="S169" s="341"/>
      <c r="T169" s="28"/>
      <c r="U169" s="28"/>
      <c r="V169" s="28"/>
      <c r="W169" s="43"/>
      <c r="X169" s="342">
        <f t="shared" si="65"/>
        <v>0</v>
      </c>
      <c r="Y169" s="342">
        <f t="shared" si="66"/>
        <v>0</v>
      </c>
      <c r="Z169" s="46">
        <f t="shared" si="67"/>
        <v>0</v>
      </c>
      <c r="AA169" s="46">
        <f t="shared" si="68"/>
        <v>0</v>
      </c>
      <c r="AB169" s="43"/>
      <c r="AC169" s="44">
        <v>0</v>
      </c>
      <c r="AD169" s="31"/>
      <c r="AE169" s="31"/>
      <c r="AF169" s="31"/>
      <c r="AG169" s="28"/>
      <c r="AH169" s="46">
        <f t="shared" si="69"/>
        <v>0</v>
      </c>
      <c r="AI169" s="43"/>
      <c r="AJ169" s="28"/>
      <c r="AK169" s="337"/>
      <c r="AL169" s="43"/>
      <c r="AM169" s="44">
        <f t="shared" si="70"/>
        <v>0</v>
      </c>
      <c r="AN169" s="43"/>
      <c r="AO169" s="28">
        <f t="shared" si="71"/>
        <v>0</v>
      </c>
      <c r="AP169" s="43"/>
      <c r="AQ169" s="323">
        <f t="shared" si="72"/>
        <v>0</v>
      </c>
      <c r="AR169" s="43"/>
      <c r="AS169" s="44">
        <f t="shared" si="73"/>
        <v>0</v>
      </c>
    </row>
    <row r="170" spans="1:45" x14ac:dyDescent="0.25">
      <c r="A170" s="28"/>
      <c r="B170" s="43"/>
      <c r="C170" s="43"/>
      <c r="D170" s="43"/>
      <c r="E170" s="43" t="s">
        <v>740</v>
      </c>
      <c r="F170" s="43" t="s">
        <v>741</v>
      </c>
      <c r="G170" s="46">
        <f t="shared" si="60"/>
        <v>1201.2</v>
      </c>
      <c r="H170" s="46">
        <f t="shared" si="61"/>
        <v>1090.0890000000002</v>
      </c>
      <c r="I170" s="28" t="s">
        <v>262</v>
      </c>
      <c r="J170" s="337">
        <v>1</v>
      </c>
      <c r="K170" s="46">
        <f t="shared" si="62"/>
        <v>1201.2</v>
      </c>
      <c r="L170" s="46">
        <f t="shared" si="63"/>
        <v>1090.0890000000002</v>
      </c>
      <c r="M170" s="338">
        <f t="shared" si="64"/>
        <v>0</v>
      </c>
      <c r="N170" s="43" t="s">
        <v>669</v>
      </c>
      <c r="O170" s="339" t="s">
        <v>167</v>
      </c>
      <c r="P170" s="340" t="str">
        <f>IFERROR(VLOOKUP(O170,NCM!$A$3:$D$99,COLUMN(head_porNCM_IPI)-COLUMN(head_porNCM_NCM)+1,FALSE),"")</f>
        <v/>
      </c>
      <c r="Q170" s="43" t="s">
        <v>734</v>
      </c>
      <c r="R170" s="78" t="s">
        <v>209</v>
      </c>
      <c r="S170" s="341"/>
      <c r="T170" s="28" t="s">
        <v>53</v>
      </c>
      <c r="U170" s="28" t="s">
        <v>2351</v>
      </c>
      <c r="V170" s="548">
        <v>44966</v>
      </c>
      <c r="W170" s="43"/>
      <c r="X170" s="342">
        <f t="shared" si="65"/>
        <v>0</v>
      </c>
      <c r="Y170" s="342">
        <f t="shared" si="66"/>
        <v>0</v>
      </c>
      <c r="Z170" s="46">
        <f t="shared" si="67"/>
        <v>19.819800000000001</v>
      </c>
      <c r="AA170" s="46">
        <f t="shared" si="68"/>
        <v>91.291200000000003</v>
      </c>
      <c r="AB170" s="43"/>
      <c r="AC170" s="44">
        <v>1201.2</v>
      </c>
      <c r="AD170" s="31">
        <v>0</v>
      </c>
      <c r="AE170" s="31">
        <v>0</v>
      </c>
      <c r="AF170" s="31">
        <v>0</v>
      </c>
      <c r="AG170" s="28" t="s">
        <v>53</v>
      </c>
      <c r="AH170" s="46">
        <f t="shared" si="69"/>
        <v>1201.2</v>
      </c>
      <c r="AI170" s="43"/>
      <c r="AJ170" s="28" t="s">
        <v>263</v>
      </c>
      <c r="AK170" s="337">
        <v>5.2</v>
      </c>
      <c r="AL170" s="43"/>
      <c r="AM170" s="44">
        <f t="shared" si="70"/>
        <v>0</v>
      </c>
      <c r="AN170" s="43"/>
      <c r="AO170" s="28">
        <f t="shared" si="71"/>
        <v>0</v>
      </c>
      <c r="AP170" s="43"/>
      <c r="AQ170" s="323">
        <f t="shared" si="72"/>
        <v>0</v>
      </c>
      <c r="AR170" s="43"/>
      <c r="AS170" s="44">
        <f t="shared" si="73"/>
        <v>1201.2</v>
      </c>
    </row>
    <row r="171" spans="1:45" x14ac:dyDescent="0.25">
      <c r="A171" s="28"/>
      <c r="B171" s="43"/>
      <c r="C171" s="43"/>
      <c r="D171" s="43" t="s">
        <v>742</v>
      </c>
      <c r="E171" s="43"/>
      <c r="F171" s="43"/>
      <c r="G171" s="46">
        <f t="shared" si="60"/>
        <v>0</v>
      </c>
      <c r="H171" s="46">
        <f t="shared" si="61"/>
        <v>0</v>
      </c>
      <c r="I171" s="28"/>
      <c r="J171" s="337"/>
      <c r="K171" s="46" t="str">
        <f t="shared" si="62"/>
        <v/>
      </c>
      <c r="L171" s="46" t="str">
        <f t="shared" si="63"/>
        <v/>
      </c>
      <c r="M171" s="338">
        <f t="shared" si="64"/>
        <v>0</v>
      </c>
      <c r="N171" s="43"/>
      <c r="O171" s="339"/>
      <c r="P171" s="340" t="str">
        <f>IFERROR(VLOOKUP(O171,NCM!$A$3:$D$99,COLUMN(head_porNCM_IPI)-COLUMN(head_porNCM_NCM)+1,FALSE),"")</f>
        <v/>
      </c>
      <c r="Q171" s="43"/>
      <c r="R171" s="78"/>
      <c r="S171" s="341"/>
      <c r="T171" s="28"/>
      <c r="U171" s="28"/>
      <c r="V171" s="28"/>
      <c r="W171" s="43"/>
      <c r="X171" s="342">
        <f t="shared" si="65"/>
        <v>0</v>
      </c>
      <c r="Y171" s="342">
        <f t="shared" si="66"/>
        <v>0</v>
      </c>
      <c r="Z171" s="46">
        <f t="shared" si="67"/>
        <v>0</v>
      </c>
      <c r="AA171" s="46">
        <f t="shared" si="68"/>
        <v>0</v>
      </c>
      <c r="AB171" s="43"/>
      <c r="AC171" s="44">
        <v>0</v>
      </c>
      <c r="AD171" s="31"/>
      <c r="AE171" s="31"/>
      <c r="AF171" s="31"/>
      <c r="AG171" s="28"/>
      <c r="AH171" s="46">
        <f t="shared" si="69"/>
        <v>0</v>
      </c>
      <c r="AI171" s="43"/>
      <c r="AJ171" s="28"/>
      <c r="AK171" s="337"/>
      <c r="AL171" s="43"/>
      <c r="AM171" s="44">
        <f t="shared" si="70"/>
        <v>0</v>
      </c>
      <c r="AN171" s="43"/>
      <c r="AO171" s="28">
        <f t="shared" si="71"/>
        <v>0</v>
      </c>
      <c r="AP171" s="43"/>
      <c r="AQ171" s="323">
        <f t="shared" si="72"/>
        <v>0</v>
      </c>
      <c r="AR171" s="43"/>
      <c r="AS171" s="44">
        <f t="shared" si="73"/>
        <v>0</v>
      </c>
    </row>
    <row r="172" spans="1:45" x14ac:dyDescent="0.25">
      <c r="A172" s="28"/>
      <c r="B172" s="43"/>
      <c r="C172" s="43"/>
      <c r="D172" s="43"/>
      <c r="E172" s="43" t="s">
        <v>2428</v>
      </c>
      <c r="F172" s="43" t="s">
        <v>2429</v>
      </c>
      <c r="G172" s="46">
        <f t="shared" si="60"/>
        <v>22989</v>
      </c>
      <c r="H172" s="46">
        <f t="shared" si="61"/>
        <v>20862.517500000002</v>
      </c>
      <c r="I172" s="28" t="s">
        <v>262</v>
      </c>
      <c r="J172" s="337">
        <v>1</v>
      </c>
      <c r="K172" s="46">
        <f t="shared" si="62"/>
        <v>22989</v>
      </c>
      <c r="L172" s="46">
        <f t="shared" si="63"/>
        <v>20862.517500000002</v>
      </c>
      <c r="M172" s="338">
        <f t="shared" si="64"/>
        <v>0</v>
      </c>
      <c r="N172" s="43" t="s">
        <v>668</v>
      </c>
      <c r="O172" s="339">
        <v>85176239</v>
      </c>
      <c r="P172" s="340">
        <f>IFERROR(VLOOKUP(O172,NCM!$A$3:$D$99,COLUMN(head_porNCM_IPI)-COLUMN(head_porNCM_NCM)+1,FALSE),"")</f>
        <v>9.7500000000000003E-2</v>
      </c>
      <c r="Q172" s="43" t="s">
        <v>2748</v>
      </c>
      <c r="R172" s="78" t="s">
        <v>210</v>
      </c>
      <c r="S172" s="341"/>
      <c r="T172" s="28" t="s">
        <v>52</v>
      </c>
      <c r="U172" s="28" t="s">
        <v>2749</v>
      </c>
      <c r="V172" s="548">
        <v>45167</v>
      </c>
      <c r="W172" s="43"/>
      <c r="X172" s="342">
        <f t="shared" si="65"/>
        <v>0</v>
      </c>
      <c r="Y172" s="342">
        <f t="shared" si="66"/>
        <v>0</v>
      </c>
      <c r="Z172" s="46">
        <f t="shared" si="67"/>
        <v>379.31850000000003</v>
      </c>
      <c r="AA172" s="46">
        <f t="shared" si="68"/>
        <v>1747.164</v>
      </c>
      <c r="AB172" s="43"/>
      <c r="AC172" s="44">
        <v>22989</v>
      </c>
      <c r="AD172" s="31">
        <v>0</v>
      </c>
      <c r="AE172" s="31">
        <v>0</v>
      </c>
      <c r="AF172" s="31">
        <v>0</v>
      </c>
      <c r="AG172" s="28" t="s">
        <v>53</v>
      </c>
      <c r="AH172" s="46">
        <f t="shared" si="69"/>
        <v>22989</v>
      </c>
      <c r="AI172" s="43"/>
      <c r="AJ172" s="28" t="s">
        <v>263</v>
      </c>
      <c r="AK172" s="337">
        <v>4.87</v>
      </c>
      <c r="AL172" s="43"/>
      <c r="AM172" s="44">
        <f t="shared" si="70"/>
        <v>0</v>
      </c>
      <c r="AN172" s="43"/>
      <c r="AO172" s="28">
        <f t="shared" si="71"/>
        <v>0</v>
      </c>
      <c r="AP172" s="43"/>
      <c r="AQ172" s="323">
        <f t="shared" si="72"/>
        <v>0</v>
      </c>
      <c r="AR172" s="43"/>
      <c r="AS172" s="44">
        <f t="shared" si="73"/>
        <v>22989</v>
      </c>
    </row>
    <row r="173" spans="1:45" x14ac:dyDescent="0.25">
      <c r="A173" s="28"/>
      <c r="B173" s="43"/>
      <c r="C173" s="43"/>
      <c r="D173" s="43"/>
      <c r="E173" s="43" t="s">
        <v>2430</v>
      </c>
      <c r="F173" s="43" t="s">
        <v>2431</v>
      </c>
      <c r="G173" s="46">
        <f t="shared" si="60"/>
        <v>12323.84</v>
      </c>
      <c r="H173" s="46">
        <f t="shared" si="61"/>
        <v>11183.884800000002</v>
      </c>
      <c r="I173" s="28" t="s">
        <v>262</v>
      </c>
      <c r="J173" s="337">
        <v>1</v>
      </c>
      <c r="K173" s="46">
        <f t="shared" si="62"/>
        <v>12323.84</v>
      </c>
      <c r="L173" s="46">
        <f t="shared" si="63"/>
        <v>11183.884800000002</v>
      </c>
      <c r="M173" s="338">
        <f t="shared" si="64"/>
        <v>0</v>
      </c>
      <c r="N173" s="43" t="s">
        <v>668</v>
      </c>
      <c r="O173" s="339">
        <v>85176239</v>
      </c>
      <c r="P173" s="340">
        <f>IFERROR(VLOOKUP(O173,NCM!$A$3:$D$99,COLUMN(head_porNCM_IPI)-COLUMN(head_porNCM_NCM)+1,FALSE),"")</f>
        <v>9.7500000000000003E-2</v>
      </c>
      <c r="Q173" s="43" t="s">
        <v>2748</v>
      </c>
      <c r="R173" s="78" t="s">
        <v>210</v>
      </c>
      <c r="S173" s="341"/>
      <c r="T173" s="28" t="s">
        <v>52</v>
      </c>
      <c r="U173" s="28" t="s">
        <v>2749</v>
      </c>
      <c r="V173" s="548">
        <v>45167</v>
      </c>
      <c r="W173" s="43"/>
      <c r="X173" s="342">
        <f t="shared" si="65"/>
        <v>0</v>
      </c>
      <c r="Y173" s="342">
        <f t="shared" si="66"/>
        <v>0</v>
      </c>
      <c r="Z173" s="46">
        <f t="shared" si="67"/>
        <v>203.34336000000002</v>
      </c>
      <c r="AA173" s="46">
        <f t="shared" si="68"/>
        <v>936.61184000000003</v>
      </c>
      <c r="AB173" s="43"/>
      <c r="AC173" s="44">
        <v>12323.84</v>
      </c>
      <c r="AD173" s="31">
        <v>0</v>
      </c>
      <c r="AE173" s="31">
        <v>0</v>
      </c>
      <c r="AF173" s="31">
        <v>0</v>
      </c>
      <c r="AG173" s="28" t="s">
        <v>53</v>
      </c>
      <c r="AH173" s="46">
        <f t="shared" si="69"/>
        <v>12323.84</v>
      </c>
      <c r="AI173" s="43"/>
      <c r="AJ173" s="28" t="s">
        <v>263</v>
      </c>
      <c r="AK173" s="337">
        <v>4.87</v>
      </c>
      <c r="AL173" s="43"/>
      <c r="AM173" s="44">
        <f t="shared" si="70"/>
        <v>0</v>
      </c>
      <c r="AN173" s="43"/>
      <c r="AO173" s="28">
        <f t="shared" si="71"/>
        <v>0</v>
      </c>
      <c r="AP173" s="43"/>
      <c r="AQ173" s="323">
        <f t="shared" si="72"/>
        <v>0</v>
      </c>
      <c r="AR173" s="43"/>
      <c r="AS173" s="44">
        <f t="shared" si="73"/>
        <v>12323.84</v>
      </c>
    </row>
    <row r="174" spans="1:45" x14ac:dyDescent="0.25">
      <c r="A174" s="28"/>
      <c r="B174" s="43"/>
      <c r="C174" s="43"/>
      <c r="D174" s="43"/>
      <c r="E174" s="43" t="s">
        <v>2432</v>
      </c>
      <c r="F174" s="43" t="s">
        <v>2433</v>
      </c>
      <c r="G174" s="46">
        <f t="shared" si="60"/>
        <v>150.54</v>
      </c>
      <c r="H174" s="46">
        <f t="shared" si="61"/>
        <v>136.61505</v>
      </c>
      <c r="I174" s="28" t="s">
        <v>262</v>
      </c>
      <c r="J174" s="337">
        <v>1</v>
      </c>
      <c r="K174" s="46">
        <f t="shared" si="62"/>
        <v>150.54</v>
      </c>
      <c r="L174" s="46">
        <f t="shared" si="63"/>
        <v>136.61505</v>
      </c>
      <c r="M174" s="338">
        <f t="shared" si="64"/>
        <v>0</v>
      </c>
      <c r="N174" s="43" t="s">
        <v>668</v>
      </c>
      <c r="O174" s="339">
        <v>85176239</v>
      </c>
      <c r="P174" s="340">
        <f>IFERROR(VLOOKUP(O174,NCM!$A$3:$D$99,COLUMN(head_porNCM_IPI)-COLUMN(head_porNCM_NCM)+1,FALSE),"")</f>
        <v>9.7500000000000003E-2</v>
      </c>
      <c r="Q174" s="43" t="s">
        <v>2748</v>
      </c>
      <c r="R174" s="78" t="s">
        <v>210</v>
      </c>
      <c r="S174" s="341"/>
      <c r="T174" s="28" t="s">
        <v>52</v>
      </c>
      <c r="U174" s="28" t="s">
        <v>2749</v>
      </c>
      <c r="V174" s="548">
        <v>45167</v>
      </c>
      <c r="W174" s="43"/>
      <c r="X174" s="342">
        <f t="shared" si="65"/>
        <v>0</v>
      </c>
      <c r="Y174" s="342">
        <f t="shared" si="66"/>
        <v>0</v>
      </c>
      <c r="Z174" s="46">
        <f t="shared" si="67"/>
        <v>2.4839099999999998</v>
      </c>
      <c r="AA174" s="46">
        <f t="shared" si="68"/>
        <v>11.441039999999999</v>
      </c>
      <c r="AB174" s="43"/>
      <c r="AC174" s="44">
        <v>150.54</v>
      </c>
      <c r="AD174" s="31">
        <v>0</v>
      </c>
      <c r="AE174" s="31">
        <v>0</v>
      </c>
      <c r="AF174" s="31">
        <v>0</v>
      </c>
      <c r="AG174" s="28" t="s">
        <v>53</v>
      </c>
      <c r="AH174" s="46">
        <f t="shared" si="69"/>
        <v>150.54</v>
      </c>
      <c r="AI174" s="43"/>
      <c r="AJ174" s="28" t="s">
        <v>263</v>
      </c>
      <c r="AK174" s="337">
        <v>4.87</v>
      </c>
      <c r="AL174" s="43"/>
      <c r="AM174" s="44">
        <f t="shared" si="70"/>
        <v>0</v>
      </c>
      <c r="AN174" s="43"/>
      <c r="AO174" s="28">
        <f t="shared" si="71"/>
        <v>0</v>
      </c>
      <c r="AP174" s="43"/>
      <c r="AQ174" s="323">
        <f t="shared" si="72"/>
        <v>0</v>
      </c>
      <c r="AR174" s="43"/>
      <c r="AS174" s="44">
        <f t="shared" si="73"/>
        <v>150.54</v>
      </c>
    </row>
    <row r="175" spans="1:45" x14ac:dyDescent="0.25">
      <c r="A175" s="28"/>
      <c r="B175" s="43"/>
      <c r="C175" s="43"/>
      <c r="D175" s="43"/>
      <c r="E175" s="43" t="s">
        <v>1924</v>
      </c>
      <c r="F175" s="43" t="s">
        <v>1925</v>
      </c>
      <c r="G175" s="46">
        <f t="shared" si="60"/>
        <v>4480.119200000001</v>
      </c>
      <c r="H175" s="46">
        <f t="shared" si="61"/>
        <v>3974.7399000000009</v>
      </c>
      <c r="I175" s="28" t="s">
        <v>262</v>
      </c>
      <c r="J175" s="337">
        <v>1</v>
      </c>
      <c r="K175" s="46">
        <f t="shared" si="62"/>
        <v>4480.119200000001</v>
      </c>
      <c r="L175" s="46">
        <f t="shared" si="63"/>
        <v>3974.7399000000009</v>
      </c>
      <c r="M175" s="338">
        <f t="shared" si="64"/>
        <v>0</v>
      </c>
      <c r="N175" s="43" t="s">
        <v>668</v>
      </c>
      <c r="O175" s="339">
        <v>85176239</v>
      </c>
      <c r="P175" s="340">
        <f>IFERROR(VLOOKUP(O175,NCM!$A$3:$D$99,COLUMN(head_porNCM_IPI)-COLUMN(head_porNCM_NCM)+1,FALSE),"")</f>
        <v>9.7500000000000003E-2</v>
      </c>
      <c r="Q175" s="43" t="s">
        <v>1965</v>
      </c>
      <c r="R175" s="78" t="s">
        <v>210</v>
      </c>
      <c r="S175" s="341"/>
      <c r="T175" s="28" t="s">
        <v>52</v>
      </c>
      <c r="U175" s="28" t="s">
        <v>2750</v>
      </c>
      <c r="V175" s="548">
        <v>45237</v>
      </c>
      <c r="W175" s="43"/>
      <c r="X175" s="342">
        <f t="shared" si="65"/>
        <v>855.16591304347833</v>
      </c>
      <c r="Y175" s="342">
        <f t="shared" si="66"/>
        <v>712.63826086956487</v>
      </c>
      <c r="Z175" s="46">
        <f t="shared" si="67"/>
        <v>78.390208695652191</v>
      </c>
      <c r="AA175" s="46">
        <f t="shared" si="68"/>
        <v>361.0700521739131</v>
      </c>
      <c r="AB175" s="43"/>
      <c r="AC175" s="44">
        <v>5463.56</v>
      </c>
      <c r="AD175" s="31">
        <v>0.18</v>
      </c>
      <c r="AE175" s="31">
        <v>0.15</v>
      </c>
      <c r="AF175" s="31">
        <v>0</v>
      </c>
      <c r="AG175" s="28" t="s">
        <v>53</v>
      </c>
      <c r="AH175" s="46">
        <f t="shared" si="69"/>
        <v>6283.0940000000001</v>
      </c>
      <c r="AI175" s="43"/>
      <c r="AJ175" s="28" t="s">
        <v>263</v>
      </c>
      <c r="AK175" s="337">
        <v>5.2</v>
      </c>
      <c r="AL175" s="43"/>
      <c r="AM175" s="44">
        <f t="shared" si="70"/>
        <v>0</v>
      </c>
      <c r="AN175" s="43"/>
      <c r="AO175" s="28">
        <f t="shared" si="71"/>
        <v>0</v>
      </c>
      <c r="AP175" s="43"/>
      <c r="AQ175" s="323">
        <f t="shared" si="72"/>
        <v>0</v>
      </c>
      <c r="AR175" s="43"/>
      <c r="AS175" s="44">
        <f t="shared" si="73"/>
        <v>6283.0940000000001</v>
      </c>
    </row>
    <row r="176" spans="1:45" x14ac:dyDescent="0.25">
      <c r="A176" s="28"/>
      <c r="B176" s="43"/>
      <c r="C176" s="43"/>
      <c r="D176" s="43"/>
      <c r="E176" s="43" t="s">
        <v>2434</v>
      </c>
      <c r="F176" s="43" t="s">
        <v>2435</v>
      </c>
      <c r="G176" s="46">
        <f t="shared" si="60"/>
        <v>8170.1274000000003</v>
      </c>
      <c r="H176" s="46">
        <f t="shared" si="61"/>
        <v>7248.4971750000013</v>
      </c>
      <c r="I176" s="28" t="s">
        <v>262</v>
      </c>
      <c r="J176" s="337">
        <v>1</v>
      </c>
      <c r="K176" s="46">
        <f t="shared" si="62"/>
        <v>8170.1274000000003</v>
      </c>
      <c r="L176" s="46">
        <f t="shared" si="63"/>
        <v>7248.4971750000013</v>
      </c>
      <c r="M176" s="338">
        <f t="shared" si="64"/>
        <v>2</v>
      </c>
      <c r="N176" s="43" t="s">
        <v>668</v>
      </c>
      <c r="O176" s="339">
        <v>85176239</v>
      </c>
      <c r="P176" s="340">
        <f>IFERROR(VLOOKUP(O176,NCM!$A$3:$D$99,COLUMN(head_porNCM_IPI)-COLUMN(head_porNCM_NCM)+1,FALSE),"")</f>
        <v>9.7500000000000003E-2</v>
      </c>
      <c r="Q176" s="43" t="s">
        <v>1965</v>
      </c>
      <c r="R176" s="78" t="s">
        <v>210</v>
      </c>
      <c r="S176" s="341"/>
      <c r="T176" s="28" t="s">
        <v>52</v>
      </c>
      <c r="U176" s="28" t="s">
        <v>2751</v>
      </c>
      <c r="V176" s="548">
        <v>45216</v>
      </c>
      <c r="W176" s="43"/>
      <c r="X176" s="342">
        <f t="shared" si="65"/>
        <v>1683.983661971831</v>
      </c>
      <c r="Y176" s="342">
        <f t="shared" si="66"/>
        <v>608.10521126760432</v>
      </c>
      <c r="Z176" s="46">
        <f t="shared" si="67"/>
        <v>154.36516901408453</v>
      </c>
      <c r="AA176" s="46">
        <f t="shared" si="68"/>
        <v>711.015323943662</v>
      </c>
      <c r="AB176" s="43"/>
      <c r="AC176" s="44">
        <v>9963.57</v>
      </c>
      <c r="AD176" s="31">
        <v>0.18</v>
      </c>
      <c r="AE176" s="31">
        <v>6.5000000000000002E-2</v>
      </c>
      <c r="AF176" s="31">
        <v>0</v>
      </c>
      <c r="AG176" s="28" t="s">
        <v>53</v>
      </c>
      <c r="AH176" s="46">
        <f t="shared" si="69"/>
        <v>10611.20205</v>
      </c>
      <c r="AI176" s="43"/>
      <c r="AJ176" s="28" t="s">
        <v>263</v>
      </c>
      <c r="AK176" s="337">
        <v>4.88</v>
      </c>
      <c r="AL176" s="43"/>
      <c r="AM176" s="44">
        <f t="shared" si="70"/>
        <v>1633.8825599385239</v>
      </c>
      <c r="AN176" s="43"/>
      <c r="AO176" s="28">
        <f t="shared" si="71"/>
        <v>1</v>
      </c>
      <c r="AP176" s="43"/>
      <c r="AQ176" s="323">
        <f t="shared" si="72"/>
        <v>14496.994350000003</v>
      </c>
      <c r="AR176" s="43"/>
      <c r="AS176" s="44">
        <f t="shared" si="73"/>
        <v>10611.20205</v>
      </c>
    </row>
    <row r="177" spans="1:45" x14ac:dyDescent="0.25">
      <c r="A177" s="28"/>
      <c r="B177" s="43"/>
      <c r="C177" s="43"/>
      <c r="D177" s="43"/>
      <c r="E177" s="43" t="s">
        <v>2436</v>
      </c>
      <c r="F177" s="43" t="s">
        <v>2437</v>
      </c>
      <c r="G177" s="46">
        <f t="shared" si="60"/>
        <v>81.048000000000002</v>
      </c>
      <c r="H177" s="46">
        <f t="shared" si="61"/>
        <v>72.528750000000002</v>
      </c>
      <c r="I177" s="28" t="s">
        <v>262</v>
      </c>
      <c r="J177" s="337">
        <v>1</v>
      </c>
      <c r="K177" s="46">
        <f t="shared" si="62"/>
        <v>81.048000000000002</v>
      </c>
      <c r="L177" s="46">
        <f t="shared" si="63"/>
        <v>72.528750000000002</v>
      </c>
      <c r="M177" s="338">
        <f t="shared" si="64"/>
        <v>4</v>
      </c>
      <c r="N177" s="43" t="s">
        <v>668</v>
      </c>
      <c r="O177" s="339">
        <v>85176239</v>
      </c>
      <c r="P177" s="340">
        <f>IFERROR(VLOOKUP(O177,NCM!$A$3:$D$99,COLUMN(head_porNCM_IPI)-COLUMN(head_porNCM_NCM)+1,FALSE),"")</f>
        <v>9.7500000000000003E-2</v>
      </c>
      <c r="Q177" s="43" t="s">
        <v>1965</v>
      </c>
      <c r="R177" s="78" t="s">
        <v>210</v>
      </c>
      <c r="S177" s="341"/>
      <c r="T177" s="28" t="s">
        <v>52</v>
      </c>
      <c r="U177" s="28" t="s">
        <v>2751</v>
      </c>
      <c r="V177" s="548">
        <v>45216</v>
      </c>
      <c r="W177" s="43"/>
      <c r="X177" s="342">
        <f t="shared" si="65"/>
        <v>10.525714285714285</v>
      </c>
      <c r="Y177" s="342">
        <f t="shared" si="66"/>
        <v>4.3857142857142861</v>
      </c>
      <c r="Z177" s="46">
        <f t="shared" si="67"/>
        <v>1.4472857142857143</v>
      </c>
      <c r="AA177" s="46">
        <f t="shared" si="68"/>
        <v>6.6662857142857135</v>
      </c>
      <c r="AB177" s="43"/>
      <c r="AC177" s="44">
        <v>92.1</v>
      </c>
      <c r="AD177" s="31">
        <v>0.12</v>
      </c>
      <c r="AE177" s="31">
        <v>0.05</v>
      </c>
      <c r="AF177" s="31">
        <v>0</v>
      </c>
      <c r="AG177" s="28" t="s">
        <v>53</v>
      </c>
      <c r="AH177" s="46">
        <f t="shared" si="69"/>
        <v>96.704999999999998</v>
      </c>
      <c r="AI177" s="43"/>
      <c r="AJ177" s="28" t="s">
        <v>263</v>
      </c>
      <c r="AK177" s="337">
        <v>4.88</v>
      </c>
      <c r="AL177" s="43"/>
      <c r="AM177" s="44">
        <f t="shared" si="70"/>
        <v>32.697387295081946</v>
      </c>
      <c r="AN177" s="43"/>
      <c r="AO177" s="28">
        <f t="shared" si="71"/>
        <v>1</v>
      </c>
      <c r="AP177" s="43"/>
      <c r="AQ177" s="323">
        <f t="shared" si="72"/>
        <v>290.11500000000001</v>
      </c>
      <c r="AR177" s="43"/>
      <c r="AS177" s="44">
        <f t="shared" si="73"/>
        <v>96.704999999999998</v>
      </c>
    </row>
    <row r="178" spans="1:45" x14ac:dyDescent="0.25">
      <c r="A178" s="28"/>
      <c r="B178" s="43"/>
      <c r="C178" s="43"/>
      <c r="D178" s="43"/>
      <c r="E178" s="43" t="s">
        <v>743</v>
      </c>
      <c r="F178" s="43" t="s">
        <v>744</v>
      </c>
      <c r="G178" s="46">
        <f t="shared" si="60"/>
        <v>1174.7320000000002</v>
      </c>
      <c r="H178" s="46">
        <f t="shared" si="61"/>
        <v>1042.2165000000002</v>
      </c>
      <c r="I178" s="28" t="s">
        <v>262</v>
      </c>
      <c r="J178" s="337">
        <v>1</v>
      </c>
      <c r="K178" s="46">
        <f t="shared" si="62"/>
        <v>1174.7320000000002</v>
      </c>
      <c r="L178" s="46">
        <f t="shared" si="63"/>
        <v>1042.2165000000002</v>
      </c>
      <c r="M178" s="338">
        <f t="shared" si="64"/>
        <v>0</v>
      </c>
      <c r="N178" s="43" t="s">
        <v>668</v>
      </c>
      <c r="O178" s="339">
        <v>85176239</v>
      </c>
      <c r="P178" s="340">
        <f>IFERROR(VLOOKUP(O178,NCM!$A$3:$D$99,COLUMN(head_porNCM_IPI)-COLUMN(head_porNCM_NCM)+1,FALSE),"")</f>
        <v>9.7500000000000003E-2</v>
      </c>
      <c r="Q178" s="43" t="s">
        <v>734</v>
      </c>
      <c r="R178" s="78" t="s">
        <v>210</v>
      </c>
      <c r="S178" s="341"/>
      <c r="T178" s="28" t="s">
        <v>52</v>
      </c>
      <c r="U178" s="28" t="s">
        <v>2351</v>
      </c>
      <c r="V178" s="548">
        <v>44966</v>
      </c>
      <c r="W178" s="43"/>
      <c r="X178" s="342">
        <f t="shared" si="65"/>
        <v>231.79146067415729</v>
      </c>
      <c r="Y178" s="342">
        <f t="shared" si="66"/>
        <v>144.86966292134844</v>
      </c>
      <c r="Z178" s="46">
        <f t="shared" si="67"/>
        <v>21.247550561797755</v>
      </c>
      <c r="AA178" s="46">
        <f t="shared" si="68"/>
        <v>97.867505617977528</v>
      </c>
      <c r="AB178" s="43"/>
      <c r="AC178" s="44">
        <v>1432.6000000000001</v>
      </c>
      <c r="AD178" s="31">
        <v>0.18</v>
      </c>
      <c r="AE178" s="31">
        <v>0.1125</v>
      </c>
      <c r="AF178" s="31">
        <v>0</v>
      </c>
      <c r="AG178" s="28" t="s">
        <v>53</v>
      </c>
      <c r="AH178" s="46">
        <f t="shared" si="69"/>
        <v>1593.7675000000002</v>
      </c>
      <c r="AI178" s="43"/>
      <c r="AJ178" s="28" t="s">
        <v>263</v>
      </c>
      <c r="AK178" s="337">
        <v>5.2</v>
      </c>
      <c r="AL178" s="43"/>
      <c r="AM178" s="44">
        <f t="shared" si="70"/>
        <v>0</v>
      </c>
      <c r="AN178" s="43"/>
      <c r="AO178" s="28">
        <f t="shared" si="71"/>
        <v>0</v>
      </c>
      <c r="AP178" s="43"/>
      <c r="AQ178" s="323">
        <f t="shared" si="72"/>
        <v>0</v>
      </c>
      <c r="AR178" s="43"/>
      <c r="AS178" s="44">
        <f t="shared" si="73"/>
        <v>1593.7675000000002</v>
      </c>
    </row>
    <row r="179" spans="1:45" x14ac:dyDescent="0.25">
      <c r="A179" s="28"/>
      <c r="B179" s="43"/>
      <c r="C179" s="43"/>
      <c r="D179" s="43"/>
      <c r="E179" s="43" t="s">
        <v>1218</v>
      </c>
      <c r="F179" s="43" t="s">
        <v>1219</v>
      </c>
      <c r="G179" s="46">
        <f t="shared" si="60"/>
        <v>911.43000000000006</v>
      </c>
      <c r="H179" s="46">
        <f t="shared" si="61"/>
        <v>808.61625000000015</v>
      </c>
      <c r="I179" s="28" t="s">
        <v>262</v>
      </c>
      <c r="J179" s="337">
        <v>1</v>
      </c>
      <c r="K179" s="46">
        <f t="shared" si="62"/>
        <v>911.43000000000006</v>
      </c>
      <c r="L179" s="46">
        <f t="shared" si="63"/>
        <v>808.61625000000015</v>
      </c>
      <c r="M179" s="338">
        <f t="shared" si="64"/>
        <v>0</v>
      </c>
      <c r="N179" s="43" t="s">
        <v>34</v>
      </c>
      <c r="O179" s="339">
        <v>85176249</v>
      </c>
      <c r="P179" s="340">
        <f>IFERROR(VLOOKUP(O179,NCM!$A$3:$D$99,COLUMN(head_porNCM_IPI)-COLUMN(head_porNCM_NCM)+1,FALSE),"")</f>
        <v>9.7500000000000003E-2</v>
      </c>
      <c r="Q179" s="43" t="s">
        <v>734</v>
      </c>
      <c r="R179" s="78" t="s">
        <v>210</v>
      </c>
      <c r="S179" s="341"/>
      <c r="T179" s="28" t="s">
        <v>52</v>
      </c>
      <c r="U179" s="28" t="s">
        <v>2351</v>
      </c>
      <c r="V179" s="548">
        <v>44966</v>
      </c>
      <c r="W179" s="43"/>
      <c r="X179" s="342">
        <f t="shared" si="65"/>
        <v>179.83820224719099</v>
      </c>
      <c r="Y179" s="342">
        <f t="shared" si="66"/>
        <v>112.39887640449444</v>
      </c>
      <c r="Z179" s="46">
        <f t="shared" si="67"/>
        <v>16.485168539325841</v>
      </c>
      <c r="AA179" s="46">
        <f t="shared" si="68"/>
        <v>75.931685393258419</v>
      </c>
      <c r="AB179" s="43"/>
      <c r="AC179" s="44">
        <v>1111.5</v>
      </c>
      <c r="AD179" s="31">
        <v>0.18</v>
      </c>
      <c r="AE179" s="31">
        <v>0.1125</v>
      </c>
      <c r="AF179" s="31">
        <v>0</v>
      </c>
      <c r="AG179" s="28" t="s">
        <v>53</v>
      </c>
      <c r="AH179" s="46">
        <f t="shared" si="69"/>
        <v>1236.54375</v>
      </c>
      <c r="AI179" s="43"/>
      <c r="AJ179" s="28" t="s">
        <v>263</v>
      </c>
      <c r="AK179" s="337">
        <v>5.2</v>
      </c>
      <c r="AL179" s="43"/>
      <c r="AM179" s="44">
        <f t="shared" si="70"/>
        <v>0</v>
      </c>
      <c r="AN179" s="43"/>
      <c r="AO179" s="28">
        <f t="shared" si="71"/>
        <v>0</v>
      </c>
      <c r="AP179" s="43"/>
      <c r="AQ179" s="323">
        <f t="shared" si="72"/>
        <v>0</v>
      </c>
      <c r="AR179" s="43"/>
      <c r="AS179" s="44">
        <f t="shared" si="73"/>
        <v>1236.54375</v>
      </c>
    </row>
    <row r="180" spans="1:45" x14ac:dyDescent="0.25">
      <c r="A180" s="28"/>
      <c r="B180" s="43"/>
      <c r="C180" s="43"/>
      <c r="D180" s="43"/>
      <c r="E180" s="43" t="s">
        <v>2326</v>
      </c>
      <c r="F180" s="43" t="s">
        <v>2327</v>
      </c>
      <c r="G180" s="46">
        <f t="shared" si="60"/>
        <v>1372.8</v>
      </c>
      <c r="H180" s="46">
        <f t="shared" si="61"/>
        <v>1228.5000000000002</v>
      </c>
      <c r="I180" s="28" t="s">
        <v>262</v>
      </c>
      <c r="J180" s="337">
        <v>1</v>
      </c>
      <c r="K180" s="46">
        <f t="shared" si="62"/>
        <v>1372.8</v>
      </c>
      <c r="L180" s="46">
        <f t="shared" si="63"/>
        <v>1228.5000000000002</v>
      </c>
      <c r="M180" s="338">
        <f t="shared" si="64"/>
        <v>0</v>
      </c>
      <c r="N180" s="43" t="s">
        <v>34</v>
      </c>
      <c r="O180" s="339">
        <v>85176254</v>
      </c>
      <c r="P180" s="340">
        <f>IFERROR(VLOOKUP(O180,NCM!$A$3:$D$99,COLUMN(head_porNCM_IPI)-COLUMN(head_porNCM_NCM)+1,FALSE),"")</f>
        <v>9.7500000000000003E-2</v>
      </c>
      <c r="Q180" s="43" t="s">
        <v>734</v>
      </c>
      <c r="R180" s="78" t="s">
        <v>210</v>
      </c>
      <c r="S180" s="341"/>
      <c r="T180" s="28" t="s">
        <v>52</v>
      </c>
      <c r="U180" s="28" t="s">
        <v>2351</v>
      </c>
      <c r="V180" s="548">
        <v>44966</v>
      </c>
      <c r="W180" s="43"/>
      <c r="X180" s="342">
        <f t="shared" si="65"/>
        <v>162.78260869565219</v>
      </c>
      <c r="Y180" s="342">
        <f t="shared" si="66"/>
        <v>203.47826086956502</v>
      </c>
      <c r="Z180" s="46">
        <f t="shared" si="67"/>
        <v>22.382608695652177</v>
      </c>
      <c r="AA180" s="46">
        <f t="shared" si="68"/>
        <v>103.09565217391305</v>
      </c>
      <c r="AB180" s="43"/>
      <c r="AC180" s="44">
        <v>1560</v>
      </c>
      <c r="AD180" s="31">
        <v>0.12</v>
      </c>
      <c r="AE180" s="31">
        <v>0.15</v>
      </c>
      <c r="AF180" s="31">
        <v>0</v>
      </c>
      <c r="AG180" s="28" t="s">
        <v>53</v>
      </c>
      <c r="AH180" s="46">
        <f t="shared" si="69"/>
        <v>1793.9999999999998</v>
      </c>
      <c r="AI180" s="43"/>
      <c r="AJ180" s="28" t="s">
        <v>263</v>
      </c>
      <c r="AK180" s="337">
        <v>5.2</v>
      </c>
      <c r="AL180" s="43"/>
      <c r="AM180" s="44">
        <f t="shared" si="70"/>
        <v>0</v>
      </c>
      <c r="AN180" s="43"/>
      <c r="AO180" s="28">
        <f t="shared" si="71"/>
        <v>0</v>
      </c>
      <c r="AP180" s="43"/>
      <c r="AQ180" s="323">
        <f t="shared" si="72"/>
        <v>0</v>
      </c>
      <c r="AR180" s="43"/>
      <c r="AS180" s="44">
        <f t="shared" si="73"/>
        <v>1793.9999999999998</v>
      </c>
    </row>
    <row r="181" spans="1:45" x14ac:dyDescent="0.25">
      <c r="A181" s="28"/>
      <c r="B181" s="43"/>
      <c r="C181" s="43"/>
      <c r="D181" s="43"/>
      <c r="E181" s="43" t="s">
        <v>1968</v>
      </c>
      <c r="F181" s="43" t="s">
        <v>1969</v>
      </c>
      <c r="G181" s="46">
        <f t="shared" si="60"/>
        <v>256.69280000000003</v>
      </c>
      <c r="H181" s="46">
        <f t="shared" si="61"/>
        <v>227.73660000000007</v>
      </c>
      <c r="I181" s="28" t="s">
        <v>262</v>
      </c>
      <c r="J181" s="337">
        <v>1</v>
      </c>
      <c r="K181" s="46">
        <f t="shared" si="62"/>
        <v>256.69280000000003</v>
      </c>
      <c r="L181" s="46">
        <f t="shared" si="63"/>
        <v>227.73660000000007</v>
      </c>
      <c r="M181" s="338">
        <f t="shared" si="64"/>
        <v>0</v>
      </c>
      <c r="N181" s="43" t="s">
        <v>34</v>
      </c>
      <c r="O181" s="339">
        <v>84715010</v>
      </c>
      <c r="P181" s="340">
        <f>IFERROR(VLOOKUP(O181,NCM!$A$3:$D$99,COLUMN(head_porNCM_IPI)-COLUMN(head_porNCM_NCM)+1,FALSE),"")</f>
        <v>0.15</v>
      </c>
      <c r="Q181" s="43" t="s">
        <v>1130</v>
      </c>
      <c r="R181" s="78" t="s">
        <v>210</v>
      </c>
      <c r="S181" s="341"/>
      <c r="T181" s="28" t="s">
        <v>52</v>
      </c>
      <c r="U181" s="28" t="s">
        <v>1973</v>
      </c>
      <c r="V181" s="548">
        <v>44423</v>
      </c>
      <c r="W181" s="43"/>
      <c r="X181" s="342">
        <f t="shared" si="65"/>
        <v>48.997565217391312</v>
      </c>
      <c r="Y181" s="342">
        <f t="shared" si="66"/>
        <v>40.831304347826062</v>
      </c>
      <c r="Z181" s="46">
        <f t="shared" si="67"/>
        <v>4.4914434782608703</v>
      </c>
      <c r="AA181" s="46">
        <f t="shared" si="68"/>
        <v>20.68786086956522</v>
      </c>
      <c r="AB181" s="43"/>
      <c r="AC181" s="44">
        <v>313.04000000000002</v>
      </c>
      <c r="AD181" s="31">
        <v>0.18</v>
      </c>
      <c r="AE181" s="31">
        <v>0.15</v>
      </c>
      <c r="AF181" s="31">
        <v>0</v>
      </c>
      <c r="AG181" s="28" t="s">
        <v>53</v>
      </c>
      <c r="AH181" s="46">
        <f t="shared" si="69"/>
        <v>359.99599999999998</v>
      </c>
      <c r="AI181" s="43"/>
      <c r="AJ181" s="28" t="s">
        <v>263</v>
      </c>
      <c r="AK181" s="337">
        <v>5.24</v>
      </c>
      <c r="AL181" s="43"/>
      <c r="AM181" s="44">
        <f t="shared" si="70"/>
        <v>0</v>
      </c>
      <c r="AN181" s="43"/>
      <c r="AO181" s="28">
        <f t="shared" si="71"/>
        <v>0</v>
      </c>
      <c r="AP181" s="43"/>
      <c r="AQ181" s="323">
        <f t="shared" si="72"/>
        <v>0</v>
      </c>
      <c r="AR181" s="43"/>
      <c r="AS181" s="44">
        <f t="shared" si="73"/>
        <v>359.99599999999998</v>
      </c>
    </row>
    <row r="182" spans="1:45" x14ac:dyDescent="0.25">
      <c r="A182" s="28"/>
      <c r="B182" s="43"/>
      <c r="C182" s="43"/>
      <c r="D182" s="43"/>
      <c r="E182" s="43" t="s">
        <v>1220</v>
      </c>
      <c r="F182" s="43" t="s">
        <v>1221</v>
      </c>
      <c r="G182" s="46">
        <f t="shared" si="60"/>
        <v>10496.2706</v>
      </c>
      <c r="H182" s="46">
        <f t="shared" si="61"/>
        <v>9312.2400750000015</v>
      </c>
      <c r="I182" s="28" t="s">
        <v>262</v>
      </c>
      <c r="J182" s="337">
        <v>1</v>
      </c>
      <c r="K182" s="46">
        <f t="shared" si="62"/>
        <v>10496.2706</v>
      </c>
      <c r="L182" s="46">
        <f t="shared" si="63"/>
        <v>9312.2400750000015</v>
      </c>
      <c r="M182" s="338">
        <f t="shared" si="64"/>
        <v>0</v>
      </c>
      <c r="N182" s="43" t="s">
        <v>667</v>
      </c>
      <c r="O182" s="339" t="s">
        <v>1875</v>
      </c>
      <c r="P182" s="340" t="str">
        <f>IFERROR(VLOOKUP(O182,NCM!$A$3:$D$99,COLUMN(head_porNCM_IPI)-COLUMN(head_porNCM_NCM)+1,FALSE),"")</f>
        <v/>
      </c>
      <c r="Q182" s="43" t="s">
        <v>1878</v>
      </c>
      <c r="R182" s="78" t="s">
        <v>210</v>
      </c>
      <c r="S182" s="341"/>
      <c r="T182" s="28" t="s">
        <v>52</v>
      </c>
      <c r="U182" s="28" t="s">
        <v>747</v>
      </c>
      <c r="V182" s="548">
        <v>43192</v>
      </c>
      <c r="W182" s="43"/>
      <c r="X182" s="342">
        <f t="shared" si="65"/>
        <v>2304.0594000000001</v>
      </c>
      <c r="Y182" s="342">
        <f t="shared" si="66"/>
        <v>0</v>
      </c>
      <c r="Z182" s="46">
        <f t="shared" si="67"/>
        <v>211.205445</v>
      </c>
      <c r="AA182" s="46">
        <f t="shared" si="68"/>
        <v>972.82507999999996</v>
      </c>
      <c r="AB182" s="43"/>
      <c r="AC182" s="44">
        <v>12800.33</v>
      </c>
      <c r="AD182" s="31">
        <v>0.18</v>
      </c>
      <c r="AE182" s="31">
        <v>0</v>
      </c>
      <c r="AF182" s="31">
        <v>0</v>
      </c>
      <c r="AG182" s="28" t="s">
        <v>53</v>
      </c>
      <c r="AH182" s="46">
        <f t="shared" si="69"/>
        <v>12800.33</v>
      </c>
      <c r="AI182" s="43"/>
      <c r="AJ182" s="28" t="s">
        <v>263</v>
      </c>
      <c r="AK182" s="337">
        <v>3.3</v>
      </c>
      <c r="AL182" s="43"/>
      <c r="AM182" s="44">
        <f t="shared" si="70"/>
        <v>0</v>
      </c>
      <c r="AN182" s="43"/>
      <c r="AO182" s="28">
        <f t="shared" si="71"/>
        <v>0</v>
      </c>
      <c r="AP182" s="43"/>
      <c r="AQ182" s="323">
        <f t="shared" si="72"/>
        <v>0</v>
      </c>
      <c r="AR182" s="43"/>
      <c r="AS182" s="44">
        <f t="shared" si="73"/>
        <v>12800.33</v>
      </c>
    </row>
    <row r="183" spans="1:45" x14ac:dyDescent="0.25">
      <c r="A183" s="28"/>
      <c r="B183" s="43"/>
      <c r="C183" s="43"/>
      <c r="D183" s="43"/>
      <c r="E183" s="43" t="s">
        <v>1222</v>
      </c>
      <c r="F183" s="43" t="s">
        <v>1223</v>
      </c>
      <c r="G183" s="46">
        <f t="shared" si="60"/>
        <v>31299.375400000004</v>
      </c>
      <c r="H183" s="46">
        <f t="shared" si="61"/>
        <v>27768.653175000007</v>
      </c>
      <c r="I183" s="28" t="s">
        <v>262</v>
      </c>
      <c r="J183" s="337">
        <v>1</v>
      </c>
      <c r="K183" s="46">
        <f t="shared" si="62"/>
        <v>31299.375400000004</v>
      </c>
      <c r="L183" s="46">
        <f t="shared" si="63"/>
        <v>27768.653175000007</v>
      </c>
      <c r="M183" s="338">
        <f t="shared" si="64"/>
        <v>0</v>
      </c>
      <c r="N183" s="43" t="s">
        <v>669</v>
      </c>
      <c r="O183" s="339" t="s">
        <v>1875</v>
      </c>
      <c r="P183" s="340" t="str">
        <f>IFERROR(VLOOKUP(O183,NCM!$A$3:$D$99,COLUMN(head_porNCM_IPI)-COLUMN(head_porNCM_NCM)+1,FALSE),"")</f>
        <v/>
      </c>
      <c r="Q183" s="43" t="s">
        <v>1878</v>
      </c>
      <c r="R183" s="78" t="s">
        <v>210</v>
      </c>
      <c r="S183" s="341"/>
      <c r="T183" s="28" t="s">
        <v>52</v>
      </c>
      <c r="U183" s="28" t="s">
        <v>747</v>
      </c>
      <c r="V183" s="548">
        <v>43192</v>
      </c>
      <c r="W183" s="43"/>
      <c r="X183" s="342">
        <f t="shared" si="65"/>
        <v>6870.5946000000004</v>
      </c>
      <c r="Y183" s="342">
        <f t="shared" si="66"/>
        <v>0</v>
      </c>
      <c r="Z183" s="46">
        <f t="shared" si="67"/>
        <v>629.80450500000006</v>
      </c>
      <c r="AA183" s="46">
        <f t="shared" si="68"/>
        <v>2900.9177199999999</v>
      </c>
      <c r="AB183" s="43"/>
      <c r="AC183" s="44">
        <v>38169.97</v>
      </c>
      <c r="AD183" s="31">
        <v>0.18</v>
      </c>
      <c r="AE183" s="31">
        <v>0</v>
      </c>
      <c r="AF183" s="31">
        <v>0.02</v>
      </c>
      <c r="AG183" s="28" t="s">
        <v>53</v>
      </c>
      <c r="AH183" s="46">
        <f t="shared" si="69"/>
        <v>38169.97</v>
      </c>
      <c r="AI183" s="43"/>
      <c r="AJ183" s="28" t="s">
        <v>263</v>
      </c>
      <c r="AK183" s="337">
        <v>3.3</v>
      </c>
      <c r="AL183" s="43"/>
      <c r="AM183" s="44">
        <f t="shared" si="70"/>
        <v>0</v>
      </c>
      <c r="AN183" s="43"/>
      <c r="AO183" s="28">
        <f t="shared" si="71"/>
        <v>0</v>
      </c>
      <c r="AP183" s="43"/>
      <c r="AQ183" s="323">
        <f t="shared" si="72"/>
        <v>0</v>
      </c>
      <c r="AR183" s="43"/>
      <c r="AS183" s="44">
        <f t="shared" si="73"/>
        <v>38169.97</v>
      </c>
    </row>
    <row r="184" spans="1:45" x14ac:dyDescent="0.25">
      <c r="A184" s="28"/>
      <c r="B184" s="43"/>
      <c r="C184" s="43"/>
      <c r="D184" s="43" t="s">
        <v>786</v>
      </c>
      <c r="E184" s="43"/>
      <c r="F184" s="43"/>
      <c r="G184" s="46">
        <f t="shared" ref="G184:G247" si="74">AC184*(1-AD184)</f>
        <v>0</v>
      </c>
      <c r="H184" s="46">
        <f t="shared" ref="H184:H247" si="75">AC184*(1-AD184-pis_naocum-cofins_naocum)</f>
        <v>0</v>
      </c>
      <c r="I184" s="28"/>
      <c r="J184" s="337"/>
      <c r="K184" s="46" t="str">
        <f t="shared" ref="K184:K247" si="76">IFERROR(G184*J184*VLOOKUP(I184,tbl_cambio,2,FALSE),"")</f>
        <v/>
      </c>
      <c r="L184" s="46" t="str">
        <f t="shared" ref="L184:L247" si="77">IFERROR(H184*J184*VLOOKUP(I184,tbl_cambio,2,FALSE),"")</f>
        <v/>
      </c>
      <c r="M184" s="338">
        <f t="shared" ref="M184:M247" si="78">SUMIF(col_item,"="&amp;E184,col_qtd)</f>
        <v>0</v>
      </c>
      <c r="N184" s="43"/>
      <c r="O184" s="339"/>
      <c r="P184" s="340" t="str">
        <f>IFERROR(VLOOKUP(O184,NCM!$A$3:$D$99,COLUMN(head_porNCM_IPI)-COLUMN(head_porNCM_NCM)+1,FALSE),"")</f>
        <v/>
      </c>
      <c r="Q184" s="43"/>
      <c r="R184" s="78"/>
      <c r="S184" s="341"/>
      <c r="T184" s="28"/>
      <c r="U184" s="28"/>
      <c r="V184" s="28"/>
      <c r="W184" s="43"/>
      <c r="X184" s="342">
        <f t="shared" ref="X184:X247" si="79">(AC184-Y184)*AD184</f>
        <v>0</v>
      </c>
      <c r="Y184" s="342">
        <f t="shared" ref="Y184:Y247" si="80">AC184-AC184/(1+AE184)</f>
        <v>0</v>
      </c>
      <c r="Z184" s="46">
        <f t="shared" ref="Z184:Z247" si="81">(AC184-Y184)*pis_naocum</f>
        <v>0</v>
      </c>
      <c r="AA184" s="46">
        <f t="shared" ref="AA184:AA247" si="82">(AC184-Y184)*cofins_naocum</f>
        <v>0</v>
      </c>
      <c r="AB184" s="43"/>
      <c r="AC184" s="44">
        <v>0</v>
      </c>
      <c r="AD184" s="31"/>
      <c r="AE184" s="31"/>
      <c r="AF184" s="31"/>
      <c r="AG184" s="28"/>
      <c r="AH184" s="46">
        <f t="shared" ref="AH184:AH247" si="83">AC184*(1+AE184)</f>
        <v>0</v>
      </c>
      <c r="AI184" s="43"/>
      <c r="AJ184" s="28"/>
      <c r="AK184" s="337"/>
      <c r="AL184" s="43"/>
      <c r="AM184" s="44">
        <f t="shared" ref="AM184:AM247" si="84">IF(AND(AJ184&lt;&gt;"",AK184&gt;0),AQ184*(VLOOKUP(AJ184,tbl_cambio,2,FALSE)/AK184-1),0)</f>
        <v>0</v>
      </c>
      <c r="AN184" s="43"/>
      <c r="AO184" s="28">
        <f t="shared" ref="AO184:AO247" si="85">IF(T184="Sim",ROUNDUP(M184*sobress_pc,0),0)</f>
        <v>0</v>
      </c>
      <c r="AP184" s="43"/>
      <c r="AQ184" s="323">
        <f t="shared" ref="AQ184:AQ247" si="86">SUMIFS(col_custoTotal,col_fatdir,"Não",col_item,E184)</f>
        <v>0</v>
      </c>
      <c r="AR184" s="43"/>
      <c r="AS184" s="44">
        <f t="shared" ref="AS184:AS247" si="87">IFERROR(AH184*VLOOKUP(I184,tbl_cambio,2,FALSE),0)</f>
        <v>0</v>
      </c>
    </row>
    <row r="185" spans="1:45" x14ac:dyDescent="0.25">
      <c r="A185" s="28"/>
      <c r="B185" s="43"/>
      <c r="C185" s="43"/>
      <c r="D185" s="43"/>
      <c r="E185" s="43" t="s">
        <v>787</v>
      </c>
      <c r="F185" s="43" t="s">
        <v>788</v>
      </c>
      <c r="G185" s="46">
        <f t="shared" si="74"/>
        <v>27.1128</v>
      </c>
      <c r="H185" s="46">
        <f t="shared" si="75"/>
        <v>24.262875000000001</v>
      </c>
      <c r="I185" s="28" t="s">
        <v>262</v>
      </c>
      <c r="J185" s="337">
        <v>1</v>
      </c>
      <c r="K185" s="46">
        <f t="shared" si="76"/>
        <v>27.1128</v>
      </c>
      <c r="L185" s="46">
        <f t="shared" si="77"/>
        <v>24.262875000000001</v>
      </c>
      <c r="M185" s="338">
        <f t="shared" si="78"/>
        <v>0</v>
      </c>
      <c r="N185" s="43" t="s">
        <v>34</v>
      </c>
      <c r="O185" s="339">
        <v>85447010</v>
      </c>
      <c r="P185" s="340">
        <f>IFERROR(VLOOKUP(O185,NCM!$A$3:$D$99,COLUMN(head_porNCM_IPI)-COLUMN(head_porNCM_NCM)+1,FALSE),"")</f>
        <v>0.03</v>
      </c>
      <c r="Q185" s="43" t="s">
        <v>835</v>
      </c>
      <c r="R185" s="78" t="s">
        <v>209</v>
      </c>
      <c r="S185" s="341"/>
      <c r="T185" s="28" t="s">
        <v>53</v>
      </c>
      <c r="U185" s="28" t="s">
        <v>2752</v>
      </c>
      <c r="V185" s="548">
        <v>45141</v>
      </c>
      <c r="W185" s="43"/>
      <c r="X185" s="342">
        <f t="shared" si="79"/>
        <v>3.3233258426966286</v>
      </c>
      <c r="Y185" s="342">
        <f t="shared" si="80"/>
        <v>3.1156179775280926</v>
      </c>
      <c r="Z185" s="46">
        <f t="shared" si="81"/>
        <v>0.45695730337078649</v>
      </c>
      <c r="AA185" s="46">
        <f t="shared" si="82"/>
        <v>2.1047730337078647</v>
      </c>
      <c r="AB185" s="43"/>
      <c r="AC185" s="44">
        <v>30.81</v>
      </c>
      <c r="AD185" s="31">
        <v>0.12</v>
      </c>
      <c r="AE185" s="31">
        <v>0.1125</v>
      </c>
      <c r="AF185" s="31">
        <v>0</v>
      </c>
      <c r="AG185" s="28" t="s">
        <v>53</v>
      </c>
      <c r="AH185" s="46">
        <f t="shared" si="83"/>
        <v>34.276125</v>
      </c>
      <c r="AI185" s="43"/>
      <c r="AJ185" s="28"/>
      <c r="AK185" s="337"/>
      <c r="AL185" s="43"/>
      <c r="AM185" s="44">
        <f t="shared" si="84"/>
        <v>0</v>
      </c>
      <c r="AN185" s="43"/>
      <c r="AO185" s="28">
        <f t="shared" si="85"/>
        <v>0</v>
      </c>
      <c r="AP185" s="43"/>
      <c r="AQ185" s="323">
        <f t="shared" si="86"/>
        <v>0</v>
      </c>
      <c r="AR185" s="43"/>
      <c r="AS185" s="44">
        <f t="shared" si="87"/>
        <v>34.276125</v>
      </c>
    </row>
    <row r="186" spans="1:45" x14ac:dyDescent="0.25">
      <c r="A186" s="28"/>
      <c r="B186" s="43"/>
      <c r="C186" s="43"/>
      <c r="D186" s="43"/>
      <c r="E186" s="43" t="s">
        <v>789</v>
      </c>
      <c r="F186" s="43" t="s">
        <v>790</v>
      </c>
      <c r="G186" s="46">
        <f t="shared" si="74"/>
        <v>34.038400000000003</v>
      </c>
      <c r="H186" s="46">
        <f t="shared" si="75"/>
        <v>30.460500000000003</v>
      </c>
      <c r="I186" s="28" t="s">
        <v>262</v>
      </c>
      <c r="J186" s="337">
        <v>1</v>
      </c>
      <c r="K186" s="46">
        <f t="shared" si="76"/>
        <v>34.038400000000003</v>
      </c>
      <c r="L186" s="46">
        <f t="shared" si="77"/>
        <v>30.460500000000003</v>
      </c>
      <c r="M186" s="338">
        <f t="shared" si="78"/>
        <v>0</v>
      </c>
      <c r="N186" s="43" t="s">
        <v>34</v>
      </c>
      <c r="O186" s="339">
        <v>85447010</v>
      </c>
      <c r="P186" s="340">
        <f>IFERROR(VLOOKUP(O186,NCM!$A$3:$D$99,COLUMN(head_porNCM_IPI)-COLUMN(head_porNCM_NCM)+1,FALSE),"")</f>
        <v>0.03</v>
      </c>
      <c r="Q186" s="43" t="s">
        <v>835</v>
      </c>
      <c r="R186" s="78" t="s">
        <v>209</v>
      </c>
      <c r="S186" s="341"/>
      <c r="T186" s="28" t="s">
        <v>53</v>
      </c>
      <c r="U186" s="28" t="s">
        <v>2752</v>
      </c>
      <c r="V186" s="548">
        <v>45141</v>
      </c>
      <c r="W186" s="43"/>
      <c r="X186" s="342">
        <f t="shared" si="79"/>
        <v>4.1722247191011235</v>
      </c>
      <c r="Y186" s="342">
        <f t="shared" si="80"/>
        <v>3.9114606741573041</v>
      </c>
      <c r="Z186" s="46">
        <f t="shared" si="81"/>
        <v>0.5736808988764045</v>
      </c>
      <c r="AA186" s="46">
        <f t="shared" si="82"/>
        <v>2.642408988764045</v>
      </c>
      <c r="AB186" s="43"/>
      <c r="AC186" s="44">
        <v>38.68</v>
      </c>
      <c r="AD186" s="31">
        <v>0.12</v>
      </c>
      <c r="AE186" s="31">
        <v>0.1125</v>
      </c>
      <c r="AF186" s="31">
        <v>0</v>
      </c>
      <c r="AG186" s="28" t="s">
        <v>53</v>
      </c>
      <c r="AH186" s="46">
        <f t="shared" si="83"/>
        <v>43.031500000000001</v>
      </c>
      <c r="AI186" s="43"/>
      <c r="AJ186" s="28"/>
      <c r="AK186" s="337"/>
      <c r="AL186" s="43"/>
      <c r="AM186" s="44">
        <f t="shared" si="84"/>
        <v>0</v>
      </c>
      <c r="AN186" s="43"/>
      <c r="AO186" s="28">
        <f t="shared" si="85"/>
        <v>0</v>
      </c>
      <c r="AP186" s="43"/>
      <c r="AQ186" s="323">
        <f t="shared" si="86"/>
        <v>0</v>
      </c>
      <c r="AR186" s="43"/>
      <c r="AS186" s="44">
        <f t="shared" si="87"/>
        <v>43.031500000000001</v>
      </c>
    </row>
    <row r="187" spans="1:45" x14ac:dyDescent="0.25">
      <c r="A187" s="28"/>
      <c r="B187" s="43"/>
      <c r="C187" s="43"/>
      <c r="D187" s="43"/>
      <c r="E187" s="43" t="s">
        <v>791</v>
      </c>
      <c r="F187" s="43" t="s">
        <v>792</v>
      </c>
      <c r="G187" s="46">
        <f t="shared" si="74"/>
        <v>47.907199999999996</v>
      </c>
      <c r="H187" s="46">
        <f t="shared" si="75"/>
        <v>42.871500000000005</v>
      </c>
      <c r="I187" s="28" t="s">
        <v>262</v>
      </c>
      <c r="J187" s="337">
        <v>1</v>
      </c>
      <c r="K187" s="46">
        <f t="shared" si="76"/>
        <v>47.907199999999996</v>
      </c>
      <c r="L187" s="46">
        <f t="shared" si="77"/>
        <v>42.871500000000005</v>
      </c>
      <c r="M187" s="338">
        <f t="shared" si="78"/>
        <v>0</v>
      </c>
      <c r="N187" s="43" t="s">
        <v>34</v>
      </c>
      <c r="O187" s="339">
        <v>85447010</v>
      </c>
      <c r="P187" s="340">
        <f>IFERROR(VLOOKUP(O187,NCM!$A$3:$D$99,COLUMN(head_porNCM_IPI)-COLUMN(head_porNCM_NCM)+1,FALSE),"")</f>
        <v>0.03</v>
      </c>
      <c r="Q187" s="43" t="s">
        <v>835</v>
      </c>
      <c r="R187" s="78" t="s">
        <v>209</v>
      </c>
      <c r="S187" s="341"/>
      <c r="T187" s="28" t="s">
        <v>53</v>
      </c>
      <c r="U187" s="28" t="s">
        <v>2752</v>
      </c>
      <c r="V187" s="548">
        <v>45141</v>
      </c>
      <c r="W187" s="43"/>
      <c r="X187" s="342">
        <f t="shared" si="79"/>
        <v>5.8721797752808982</v>
      </c>
      <c r="Y187" s="342">
        <f t="shared" si="80"/>
        <v>5.5051685393258438</v>
      </c>
      <c r="Z187" s="46">
        <f t="shared" si="81"/>
        <v>0.80742471910112357</v>
      </c>
      <c r="AA187" s="46">
        <f t="shared" si="82"/>
        <v>3.7190471910112355</v>
      </c>
      <c r="AB187" s="43"/>
      <c r="AC187" s="44">
        <v>54.44</v>
      </c>
      <c r="AD187" s="31">
        <v>0.12</v>
      </c>
      <c r="AE187" s="31">
        <v>0.1125</v>
      </c>
      <c r="AF187" s="31">
        <v>0</v>
      </c>
      <c r="AG187" s="28" t="s">
        <v>53</v>
      </c>
      <c r="AH187" s="46">
        <f t="shared" si="83"/>
        <v>60.564500000000002</v>
      </c>
      <c r="AI187" s="43"/>
      <c r="AJ187" s="28"/>
      <c r="AK187" s="337"/>
      <c r="AL187" s="43"/>
      <c r="AM187" s="44">
        <f t="shared" si="84"/>
        <v>0</v>
      </c>
      <c r="AN187" s="43"/>
      <c r="AO187" s="28">
        <f t="shared" si="85"/>
        <v>0</v>
      </c>
      <c r="AP187" s="43"/>
      <c r="AQ187" s="323">
        <f t="shared" si="86"/>
        <v>0</v>
      </c>
      <c r="AR187" s="43"/>
      <c r="AS187" s="44">
        <f t="shared" si="87"/>
        <v>60.564500000000002</v>
      </c>
    </row>
    <row r="188" spans="1:45" x14ac:dyDescent="0.25">
      <c r="A188" s="28"/>
      <c r="B188" s="43"/>
      <c r="C188" s="43"/>
      <c r="D188" s="43"/>
      <c r="E188" s="43" t="s">
        <v>793</v>
      </c>
      <c r="F188" s="43" t="s">
        <v>794</v>
      </c>
      <c r="G188" s="46">
        <f t="shared" si="74"/>
        <v>89.504799999999989</v>
      </c>
      <c r="H188" s="46">
        <f t="shared" si="75"/>
        <v>80.096625000000003</v>
      </c>
      <c r="I188" s="28" t="s">
        <v>262</v>
      </c>
      <c r="J188" s="337">
        <v>1</v>
      </c>
      <c r="K188" s="46">
        <f t="shared" si="76"/>
        <v>89.504799999999989</v>
      </c>
      <c r="L188" s="46">
        <f t="shared" si="77"/>
        <v>80.096625000000003</v>
      </c>
      <c r="M188" s="338">
        <f t="shared" si="78"/>
        <v>78</v>
      </c>
      <c r="N188" s="43" t="s">
        <v>34</v>
      </c>
      <c r="O188" s="339">
        <v>85447010</v>
      </c>
      <c r="P188" s="340">
        <f>IFERROR(VLOOKUP(O188,NCM!$A$3:$D$99,COLUMN(head_porNCM_IPI)-COLUMN(head_porNCM_NCM)+1,FALSE),"")</f>
        <v>0.03</v>
      </c>
      <c r="Q188" s="43" t="s">
        <v>835</v>
      </c>
      <c r="R188" s="78" t="s">
        <v>209</v>
      </c>
      <c r="S188" s="341"/>
      <c r="T188" s="28" t="s">
        <v>53</v>
      </c>
      <c r="U188" s="28" t="s">
        <v>2752</v>
      </c>
      <c r="V188" s="548">
        <v>45141</v>
      </c>
      <c r="W188" s="43"/>
      <c r="X188" s="342">
        <f t="shared" si="79"/>
        <v>10.970966292134829</v>
      </c>
      <c r="Y188" s="342">
        <f t="shared" si="80"/>
        <v>10.285280898876408</v>
      </c>
      <c r="Z188" s="46">
        <f t="shared" si="81"/>
        <v>1.5085078651685393</v>
      </c>
      <c r="AA188" s="46">
        <f t="shared" si="82"/>
        <v>6.948278651685392</v>
      </c>
      <c r="AB188" s="43"/>
      <c r="AC188" s="44">
        <v>101.71</v>
      </c>
      <c r="AD188" s="31">
        <v>0.12</v>
      </c>
      <c r="AE188" s="31">
        <v>0.1125</v>
      </c>
      <c r="AF188" s="31">
        <v>0</v>
      </c>
      <c r="AG188" s="28" t="s">
        <v>53</v>
      </c>
      <c r="AH188" s="46">
        <f t="shared" si="83"/>
        <v>113.15237499999999</v>
      </c>
      <c r="AI188" s="43"/>
      <c r="AJ188" s="28"/>
      <c r="AK188" s="337"/>
      <c r="AL188" s="43"/>
      <c r="AM188" s="44">
        <f t="shared" si="84"/>
        <v>0</v>
      </c>
      <c r="AN188" s="43"/>
      <c r="AO188" s="28">
        <f t="shared" si="85"/>
        <v>0</v>
      </c>
      <c r="AP188" s="43"/>
      <c r="AQ188" s="323">
        <f t="shared" si="86"/>
        <v>6247.5367500000002</v>
      </c>
      <c r="AR188" s="43"/>
      <c r="AS188" s="44">
        <f t="shared" si="87"/>
        <v>113.15237499999999</v>
      </c>
    </row>
    <row r="189" spans="1:45" x14ac:dyDescent="0.25">
      <c r="A189" s="28"/>
      <c r="B189" s="43"/>
      <c r="C189" s="43"/>
      <c r="D189" s="43"/>
      <c r="E189" s="43" t="s">
        <v>2027</v>
      </c>
      <c r="F189" s="43" t="s">
        <v>2028</v>
      </c>
      <c r="G189" s="46">
        <f t="shared" si="74"/>
        <v>312.69040000000001</v>
      </c>
      <c r="H189" s="46">
        <f t="shared" si="75"/>
        <v>279.82237500000002</v>
      </c>
      <c r="I189" s="28" t="s">
        <v>262</v>
      </c>
      <c r="J189" s="337">
        <v>1</v>
      </c>
      <c r="K189" s="46">
        <f t="shared" si="76"/>
        <v>312.69040000000001</v>
      </c>
      <c r="L189" s="46">
        <f t="shared" si="77"/>
        <v>279.82237500000002</v>
      </c>
      <c r="M189" s="338">
        <f t="shared" si="78"/>
        <v>0</v>
      </c>
      <c r="N189" s="43" t="s">
        <v>34</v>
      </c>
      <c r="O189" s="339">
        <v>85177091</v>
      </c>
      <c r="P189" s="340">
        <f>IFERROR(VLOOKUP(O189,NCM!$A$3:$D$99,COLUMN(head_porNCM_IPI)-COLUMN(head_porNCM_NCM)+1,FALSE),"")</f>
        <v>0.02</v>
      </c>
      <c r="Q189" s="43" t="s">
        <v>835</v>
      </c>
      <c r="R189" s="78" t="s">
        <v>209</v>
      </c>
      <c r="S189" s="341"/>
      <c r="T189" s="28" t="s">
        <v>53</v>
      </c>
      <c r="U189" s="28" t="s">
        <v>2752</v>
      </c>
      <c r="V189" s="548">
        <v>45141</v>
      </c>
      <c r="W189" s="43"/>
      <c r="X189" s="342">
        <f t="shared" si="79"/>
        <v>39.664744186046512</v>
      </c>
      <c r="Y189" s="342">
        <f t="shared" si="80"/>
        <v>24.790465116279051</v>
      </c>
      <c r="Z189" s="46">
        <f t="shared" si="81"/>
        <v>5.4539023255813959</v>
      </c>
      <c r="AA189" s="46">
        <f t="shared" si="82"/>
        <v>25.121004651162789</v>
      </c>
      <c r="AB189" s="43"/>
      <c r="AC189" s="44">
        <v>355.33</v>
      </c>
      <c r="AD189" s="31">
        <v>0.12</v>
      </c>
      <c r="AE189" s="31">
        <v>7.4999999999999997E-2</v>
      </c>
      <c r="AF189" s="31">
        <v>0</v>
      </c>
      <c r="AG189" s="28" t="s">
        <v>53</v>
      </c>
      <c r="AH189" s="46">
        <f t="shared" si="83"/>
        <v>381.97974999999997</v>
      </c>
      <c r="AI189" s="43"/>
      <c r="AJ189" s="28"/>
      <c r="AK189" s="337"/>
      <c r="AL189" s="43"/>
      <c r="AM189" s="44">
        <f t="shared" si="84"/>
        <v>0</v>
      </c>
      <c r="AN189" s="43"/>
      <c r="AO189" s="28">
        <f t="shared" si="85"/>
        <v>0</v>
      </c>
      <c r="AP189" s="43"/>
      <c r="AQ189" s="323">
        <f t="shared" si="86"/>
        <v>0</v>
      </c>
      <c r="AR189" s="43"/>
      <c r="AS189" s="44">
        <f t="shared" si="87"/>
        <v>381.97974999999997</v>
      </c>
    </row>
    <row r="190" spans="1:45" x14ac:dyDescent="0.25">
      <c r="A190" s="28"/>
      <c r="B190" s="43"/>
      <c r="C190" s="43"/>
      <c r="D190" s="43"/>
      <c r="E190" s="43" t="s">
        <v>2029</v>
      </c>
      <c r="F190" s="43" t="s">
        <v>2030</v>
      </c>
      <c r="G190" s="46">
        <f t="shared" si="74"/>
        <v>550.23760000000004</v>
      </c>
      <c r="H190" s="46">
        <f t="shared" si="75"/>
        <v>492.40012500000006</v>
      </c>
      <c r="I190" s="28" t="s">
        <v>262</v>
      </c>
      <c r="J190" s="337">
        <v>1</v>
      </c>
      <c r="K190" s="46">
        <f t="shared" si="76"/>
        <v>550.23760000000004</v>
      </c>
      <c r="L190" s="46">
        <f t="shared" si="77"/>
        <v>492.40012500000006</v>
      </c>
      <c r="M190" s="338">
        <f t="shared" si="78"/>
        <v>0</v>
      </c>
      <c r="N190" s="43" t="s">
        <v>34</v>
      </c>
      <c r="O190" s="339">
        <v>85177091</v>
      </c>
      <c r="P190" s="340">
        <f>IFERROR(VLOOKUP(O190,NCM!$A$3:$D$99,COLUMN(head_porNCM_IPI)-COLUMN(head_porNCM_NCM)+1,FALSE),"")</f>
        <v>0.02</v>
      </c>
      <c r="Q190" s="43" t="s">
        <v>835</v>
      </c>
      <c r="R190" s="78" t="s">
        <v>209</v>
      </c>
      <c r="S190" s="341"/>
      <c r="T190" s="28" t="s">
        <v>53</v>
      </c>
      <c r="U190" s="28" t="s">
        <v>2752</v>
      </c>
      <c r="V190" s="548">
        <v>45141</v>
      </c>
      <c r="W190" s="43"/>
      <c r="X190" s="342">
        <f t="shared" si="79"/>
        <v>69.797581395348843</v>
      </c>
      <c r="Y190" s="342">
        <f t="shared" si="80"/>
        <v>43.623488372092993</v>
      </c>
      <c r="Z190" s="46">
        <f t="shared" si="81"/>
        <v>9.5971674418604653</v>
      </c>
      <c r="AA190" s="46">
        <f t="shared" si="82"/>
        <v>44.20513488372093</v>
      </c>
      <c r="AB190" s="43"/>
      <c r="AC190" s="44">
        <v>625.27</v>
      </c>
      <c r="AD190" s="31">
        <v>0.12</v>
      </c>
      <c r="AE190" s="31">
        <v>7.4999999999999997E-2</v>
      </c>
      <c r="AF190" s="31">
        <v>0</v>
      </c>
      <c r="AG190" s="28" t="s">
        <v>53</v>
      </c>
      <c r="AH190" s="46">
        <f t="shared" si="83"/>
        <v>672.1652499999999</v>
      </c>
      <c r="AI190" s="43"/>
      <c r="AJ190" s="28"/>
      <c r="AK190" s="337"/>
      <c r="AL190" s="43"/>
      <c r="AM190" s="44">
        <f t="shared" si="84"/>
        <v>0</v>
      </c>
      <c r="AN190" s="43"/>
      <c r="AO190" s="28">
        <f t="shared" si="85"/>
        <v>0</v>
      </c>
      <c r="AP190" s="43"/>
      <c r="AQ190" s="323">
        <f t="shared" si="86"/>
        <v>0</v>
      </c>
      <c r="AR190" s="43"/>
      <c r="AS190" s="44">
        <f t="shared" si="87"/>
        <v>672.1652499999999</v>
      </c>
    </row>
    <row r="191" spans="1:45" x14ac:dyDescent="0.25">
      <c r="A191" s="28"/>
      <c r="B191" s="43"/>
      <c r="C191" s="43"/>
      <c r="D191" s="43"/>
      <c r="E191" s="43" t="s">
        <v>2031</v>
      </c>
      <c r="F191" s="43" t="s">
        <v>2032</v>
      </c>
      <c r="G191" s="46">
        <f t="shared" si="74"/>
        <v>348.18960000000004</v>
      </c>
      <c r="H191" s="46">
        <f t="shared" si="75"/>
        <v>311.59012500000006</v>
      </c>
      <c r="I191" s="28" t="s">
        <v>262</v>
      </c>
      <c r="J191" s="337">
        <v>1</v>
      </c>
      <c r="K191" s="46">
        <f t="shared" si="76"/>
        <v>348.18960000000004</v>
      </c>
      <c r="L191" s="46">
        <f t="shared" si="77"/>
        <v>311.59012500000006</v>
      </c>
      <c r="M191" s="338">
        <f t="shared" si="78"/>
        <v>0</v>
      </c>
      <c r="N191" s="43" t="s">
        <v>34</v>
      </c>
      <c r="O191" s="339">
        <v>85177091</v>
      </c>
      <c r="P191" s="340">
        <f>IFERROR(VLOOKUP(O191,NCM!$A$3:$D$99,COLUMN(head_porNCM_IPI)-COLUMN(head_porNCM_NCM)+1,FALSE),"")</f>
        <v>0.02</v>
      </c>
      <c r="Q191" s="43" t="s">
        <v>835</v>
      </c>
      <c r="R191" s="78" t="s">
        <v>209</v>
      </c>
      <c r="S191" s="341"/>
      <c r="T191" s="28" t="s">
        <v>53</v>
      </c>
      <c r="U191" s="28" t="s">
        <v>2752</v>
      </c>
      <c r="V191" s="548">
        <v>45141</v>
      </c>
      <c r="W191" s="43"/>
      <c r="X191" s="342">
        <f t="shared" si="79"/>
        <v>44.167813953488377</v>
      </c>
      <c r="Y191" s="342">
        <f t="shared" si="80"/>
        <v>27.604883720930218</v>
      </c>
      <c r="Z191" s="46">
        <f t="shared" si="81"/>
        <v>6.0730744186046524</v>
      </c>
      <c r="AA191" s="46">
        <f t="shared" si="82"/>
        <v>27.972948837209305</v>
      </c>
      <c r="AB191" s="43"/>
      <c r="AC191" s="44">
        <v>395.67</v>
      </c>
      <c r="AD191" s="31">
        <v>0.12</v>
      </c>
      <c r="AE191" s="31">
        <v>7.4999999999999997E-2</v>
      </c>
      <c r="AF191" s="31">
        <v>0</v>
      </c>
      <c r="AG191" s="28" t="s">
        <v>53</v>
      </c>
      <c r="AH191" s="46">
        <f t="shared" si="83"/>
        <v>425.34525000000002</v>
      </c>
      <c r="AI191" s="43"/>
      <c r="AJ191" s="28"/>
      <c r="AK191" s="337"/>
      <c r="AL191" s="43"/>
      <c r="AM191" s="44">
        <f t="shared" si="84"/>
        <v>0</v>
      </c>
      <c r="AN191" s="43"/>
      <c r="AO191" s="28">
        <f t="shared" si="85"/>
        <v>0</v>
      </c>
      <c r="AP191" s="43"/>
      <c r="AQ191" s="323">
        <f t="shared" si="86"/>
        <v>0</v>
      </c>
      <c r="AR191" s="43"/>
      <c r="AS191" s="44">
        <f t="shared" si="87"/>
        <v>425.34525000000002</v>
      </c>
    </row>
    <row r="192" spans="1:45" x14ac:dyDescent="0.25">
      <c r="A192" s="28"/>
      <c r="B192" s="43"/>
      <c r="C192" s="43"/>
      <c r="D192" s="43"/>
      <c r="E192" s="43" t="s">
        <v>2033</v>
      </c>
      <c r="F192" s="43" t="s">
        <v>2034</v>
      </c>
      <c r="G192" s="46">
        <f t="shared" si="74"/>
        <v>520.14160000000004</v>
      </c>
      <c r="H192" s="46">
        <f t="shared" si="75"/>
        <v>465.46762500000011</v>
      </c>
      <c r="I192" s="28" t="s">
        <v>262</v>
      </c>
      <c r="J192" s="337">
        <v>1</v>
      </c>
      <c r="K192" s="46">
        <f t="shared" si="76"/>
        <v>520.14160000000004</v>
      </c>
      <c r="L192" s="46">
        <f t="shared" si="77"/>
        <v>465.46762500000011</v>
      </c>
      <c r="M192" s="338">
        <f t="shared" si="78"/>
        <v>0</v>
      </c>
      <c r="N192" s="43" t="s">
        <v>34</v>
      </c>
      <c r="O192" s="339">
        <v>85177091</v>
      </c>
      <c r="P192" s="340">
        <f>IFERROR(VLOOKUP(O192,NCM!$A$3:$D$99,COLUMN(head_porNCM_IPI)-COLUMN(head_porNCM_NCM)+1,FALSE),"")</f>
        <v>0.02</v>
      </c>
      <c r="Q192" s="43" t="s">
        <v>835</v>
      </c>
      <c r="R192" s="78" t="s">
        <v>209</v>
      </c>
      <c r="S192" s="341"/>
      <c r="T192" s="28" t="s">
        <v>53</v>
      </c>
      <c r="U192" s="28" t="s">
        <v>2752</v>
      </c>
      <c r="V192" s="548">
        <v>45141</v>
      </c>
      <c r="W192" s="43"/>
      <c r="X192" s="342">
        <f t="shared" si="79"/>
        <v>65.979906976744189</v>
      </c>
      <c r="Y192" s="342">
        <f t="shared" si="80"/>
        <v>41.237441860465083</v>
      </c>
      <c r="Z192" s="46">
        <f t="shared" si="81"/>
        <v>9.0722372093023278</v>
      </c>
      <c r="AA192" s="46">
        <f t="shared" si="82"/>
        <v>41.787274418604653</v>
      </c>
      <c r="AB192" s="43"/>
      <c r="AC192" s="44">
        <v>591.07000000000005</v>
      </c>
      <c r="AD192" s="31">
        <v>0.12</v>
      </c>
      <c r="AE192" s="31">
        <v>7.4999999999999997E-2</v>
      </c>
      <c r="AF192" s="31">
        <v>0</v>
      </c>
      <c r="AG192" s="28" t="s">
        <v>53</v>
      </c>
      <c r="AH192" s="46">
        <f t="shared" si="83"/>
        <v>635.40025000000003</v>
      </c>
      <c r="AI192" s="43"/>
      <c r="AJ192" s="28"/>
      <c r="AK192" s="337"/>
      <c r="AL192" s="43"/>
      <c r="AM192" s="44">
        <f t="shared" si="84"/>
        <v>0</v>
      </c>
      <c r="AN192" s="43"/>
      <c r="AO192" s="28">
        <f t="shared" si="85"/>
        <v>0</v>
      </c>
      <c r="AP192" s="43"/>
      <c r="AQ192" s="323">
        <f t="shared" si="86"/>
        <v>0</v>
      </c>
      <c r="AR192" s="43"/>
      <c r="AS192" s="44">
        <f t="shared" si="87"/>
        <v>635.40025000000003</v>
      </c>
    </row>
    <row r="193" spans="1:45" x14ac:dyDescent="0.25">
      <c r="A193" s="28"/>
      <c r="B193" s="43"/>
      <c r="C193" s="43"/>
      <c r="D193" s="43"/>
      <c r="E193" s="43" t="s">
        <v>2035</v>
      </c>
      <c r="F193" s="43" t="s">
        <v>2036</v>
      </c>
      <c r="G193" s="46">
        <f t="shared" si="74"/>
        <v>6.6528</v>
      </c>
      <c r="H193" s="46">
        <f t="shared" si="75"/>
        <v>5.9535</v>
      </c>
      <c r="I193" s="28" t="s">
        <v>262</v>
      </c>
      <c r="J193" s="337">
        <v>1</v>
      </c>
      <c r="K193" s="46">
        <f t="shared" si="76"/>
        <v>6.6528</v>
      </c>
      <c r="L193" s="46">
        <f t="shared" si="77"/>
        <v>5.9535</v>
      </c>
      <c r="M193" s="338">
        <f t="shared" si="78"/>
        <v>0</v>
      </c>
      <c r="N193" s="43" t="s">
        <v>34</v>
      </c>
      <c r="O193" s="339">
        <v>85447010</v>
      </c>
      <c r="P193" s="340">
        <f>IFERROR(VLOOKUP(O193,NCM!$A$3:$D$99,COLUMN(head_porNCM_IPI)-COLUMN(head_porNCM_NCM)+1,FALSE),"")</f>
        <v>0.03</v>
      </c>
      <c r="Q193" s="43" t="s">
        <v>835</v>
      </c>
      <c r="R193" s="78" t="s">
        <v>209</v>
      </c>
      <c r="S193" s="341"/>
      <c r="T193" s="28" t="s">
        <v>53</v>
      </c>
      <c r="U193" s="28" t="s">
        <v>2752</v>
      </c>
      <c r="V193" s="548">
        <v>45141</v>
      </c>
      <c r="W193" s="43"/>
      <c r="X193" s="342">
        <f t="shared" si="79"/>
        <v>0.78886956521739127</v>
      </c>
      <c r="Y193" s="342">
        <f t="shared" si="80"/>
        <v>0.9860869565217385</v>
      </c>
      <c r="Z193" s="46">
        <f t="shared" si="81"/>
        <v>0.10846956521739132</v>
      </c>
      <c r="AA193" s="46">
        <f t="shared" si="82"/>
        <v>0.49961739130434785</v>
      </c>
      <c r="AB193" s="43"/>
      <c r="AC193" s="44">
        <v>7.56</v>
      </c>
      <c r="AD193" s="31">
        <v>0.12</v>
      </c>
      <c r="AE193" s="31">
        <v>0.15</v>
      </c>
      <c r="AF193" s="31">
        <v>0</v>
      </c>
      <c r="AG193" s="28" t="s">
        <v>53</v>
      </c>
      <c r="AH193" s="46">
        <f t="shared" si="83"/>
        <v>8.6939999999999991</v>
      </c>
      <c r="AI193" s="43"/>
      <c r="AJ193" s="28"/>
      <c r="AK193" s="337"/>
      <c r="AL193" s="43"/>
      <c r="AM193" s="44">
        <f t="shared" si="84"/>
        <v>0</v>
      </c>
      <c r="AN193" s="43"/>
      <c r="AO193" s="28">
        <f t="shared" si="85"/>
        <v>0</v>
      </c>
      <c r="AP193" s="43"/>
      <c r="AQ193" s="323">
        <f t="shared" si="86"/>
        <v>0</v>
      </c>
      <c r="AR193" s="43"/>
      <c r="AS193" s="44">
        <f t="shared" si="87"/>
        <v>8.6939999999999991</v>
      </c>
    </row>
    <row r="194" spans="1:45" x14ac:dyDescent="0.25">
      <c r="A194" s="28"/>
      <c r="B194" s="43"/>
      <c r="C194" s="43"/>
      <c r="D194" s="43"/>
      <c r="E194" s="43" t="s">
        <v>2037</v>
      </c>
      <c r="F194" s="43" t="s">
        <v>2038</v>
      </c>
      <c r="G194" s="46">
        <f t="shared" si="74"/>
        <v>8.5007999999999999</v>
      </c>
      <c r="H194" s="46">
        <f t="shared" si="75"/>
        <v>7.6072500000000014</v>
      </c>
      <c r="I194" s="28" t="s">
        <v>262</v>
      </c>
      <c r="J194" s="337">
        <v>1</v>
      </c>
      <c r="K194" s="46">
        <f t="shared" si="76"/>
        <v>8.5007999999999999</v>
      </c>
      <c r="L194" s="46">
        <f t="shared" si="77"/>
        <v>7.6072500000000014</v>
      </c>
      <c r="M194" s="338">
        <f t="shared" si="78"/>
        <v>0</v>
      </c>
      <c r="N194" s="43" t="s">
        <v>34</v>
      </c>
      <c r="O194" s="339">
        <v>85447010</v>
      </c>
      <c r="P194" s="340">
        <f>IFERROR(VLOOKUP(O194,NCM!$A$3:$D$99,COLUMN(head_porNCM_IPI)-COLUMN(head_porNCM_NCM)+1,FALSE),"")</f>
        <v>0.03</v>
      </c>
      <c r="Q194" s="43" t="s">
        <v>835</v>
      </c>
      <c r="R194" s="78" t="s">
        <v>209</v>
      </c>
      <c r="S194" s="341"/>
      <c r="T194" s="28" t="s">
        <v>53</v>
      </c>
      <c r="U194" s="28" t="s">
        <v>2752</v>
      </c>
      <c r="V194" s="548">
        <v>45141</v>
      </c>
      <c r="W194" s="43"/>
      <c r="X194" s="342">
        <f t="shared" si="79"/>
        <v>1.008</v>
      </c>
      <c r="Y194" s="342">
        <f t="shared" si="80"/>
        <v>1.2599999999999998</v>
      </c>
      <c r="Z194" s="46">
        <f t="shared" si="81"/>
        <v>0.1386</v>
      </c>
      <c r="AA194" s="46">
        <f t="shared" si="82"/>
        <v>0.63839999999999997</v>
      </c>
      <c r="AB194" s="43"/>
      <c r="AC194" s="44">
        <v>9.66</v>
      </c>
      <c r="AD194" s="31">
        <v>0.12</v>
      </c>
      <c r="AE194" s="31">
        <v>0.15</v>
      </c>
      <c r="AF194" s="31">
        <v>0</v>
      </c>
      <c r="AG194" s="28" t="s">
        <v>53</v>
      </c>
      <c r="AH194" s="46">
        <f t="shared" si="83"/>
        <v>11.109</v>
      </c>
      <c r="AI194" s="43"/>
      <c r="AJ194" s="28"/>
      <c r="AK194" s="337"/>
      <c r="AL194" s="43"/>
      <c r="AM194" s="44">
        <f t="shared" si="84"/>
        <v>0</v>
      </c>
      <c r="AN194" s="43"/>
      <c r="AO194" s="28">
        <f t="shared" si="85"/>
        <v>0</v>
      </c>
      <c r="AP194" s="43"/>
      <c r="AQ194" s="323">
        <f t="shared" si="86"/>
        <v>0</v>
      </c>
      <c r="AR194" s="43"/>
      <c r="AS194" s="44">
        <f t="shared" si="87"/>
        <v>11.109</v>
      </c>
    </row>
    <row r="195" spans="1:45" x14ac:dyDescent="0.25">
      <c r="A195" s="28"/>
      <c r="B195" s="43"/>
      <c r="C195" s="43"/>
      <c r="D195" s="43"/>
      <c r="E195" s="43" t="s">
        <v>2438</v>
      </c>
      <c r="F195" s="43" t="s">
        <v>2439</v>
      </c>
      <c r="G195" s="46">
        <f t="shared" si="74"/>
        <v>9.6712000000000007</v>
      </c>
      <c r="H195" s="46">
        <f t="shared" si="75"/>
        <v>8.6546250000000011</v>
      </c>
      <c r="I195" s="28" t="s">
        <v>262</v>
      </c>
      <c r="J195" s="337">
        <v>1</v>
      </c>
      <c r="K195" s="46">
        <f t="shared" si="76"/>
        <v>9.6712000000000007</v>
      </c>
      <c r="L195" s="46">
        <f t="shared" si="77"/>
        <v>8.6546250000000011</v>
      </c>
      <c r="M195" s="338">
        <f t="shared" si="78"/>
        <v>0</v>
      </c>
      <c r="N195" s="43" t="s">
        <v>34</v>
      </c>
      <c r="O195" s="339">
        <v>85447010</v>
      </c>
      <c r="P195" s="340">
        <f>IFERROR(VLOOKUP(O195,NCM!$A$3:$D$99,COLUMN(head_porNCM_IPI)-COLUMN(head_porNCM_NCM)+1,FALSE),"")</f>
        <v>0.03</v>
      </c>
      <c r="Q195" s="43" t="s">
        <v>835</v>
      </c>
      <c r="R195" s="78" t="s">
        <v>209</v>
      </c>
      <c r="S195" s="341"/>
      <c r="T195" s="28" t="s">
        <v>53</v>
      </c>
      <c r="U195" s="28" t="s">
        <v>2752</v>
      </c>
      <c r="V195" s="548">
        <v>45141</v>
      </c>
      <c r="W195" s="43"/>
      <c r="X195" s="342">
        <f t="shared" si="79"/>
        <v>1.1467826086956521</v>
      </c>
      <c r="Y195" s="342">
        <f t="shared" si="80"/>
        <v>1.4334782608695651</v>
      </c>
      <c r="Z195" s="46">
        <f t="shared" si="81"/>
        <v>0.15768260869565218</v>
      </c>
      <c r="AA195" s="46">
        <f t="shared" si="82"/>
        <v>0.72629565217391301</v>
      </c>
      <c r="AB195" s="43"/>
      <c r="AC195" s="44">
        <v>10.99</v>
      </c>
      <c r="AD195" s="31">
        <v>0.12</v>
      </c>
      <c r="AE195" s="31">
        <v>0.15</v>
      </c>
      <c r="AF195" s="31">
        <v>0</v>
      </c>
      <c r="AG195" s="28" t="s">
        <v>53</v>
      </c>
      <c r="AH195" s="46">
        <f t="shared" si="83"/>
        <v>12.638499999999999</v>
      </c>
      <c r="AI195" s="43"/>
      <c r="AJ195" s="28"/>
      <c r="AK195" s="337"/>
      <c r="AL195" s="43"/>
      <c r="AM195" s="44">
        <f t="shared" si="84"/>
        <v>0</v>
      </c>
      <c r="AN195" s="43"/>
      <c r="AO195" s="28">
        <f t="shared" si="85"/>
        <v>0</v>
      </c>
      <c r="AP195" s="43"/>
      <c r="AQ195" s="323">
        <f t="shared" si="86"/>
        <v>0</v>
      </c>
      <c r="AR195" s="43"/>
      <c r="AS195" s="44">
        <f t="shared" si="87"/>
        <v>12.638499999999999</v>
      </c>
    </row>
    <row r="196" spans="1:45" x14ac:dyDescent="0.25">
      <c r="A196" s="28"/>
      <c r="B196" s="43"/>
      <c r="C196" s="43"/>
      <c r="D196" s="43"/>
      <c r="E196" s="43" t="s">
        <v>2440</v>
      </c>
      <c r="F196" s="43" t="s">
        <v>2441</v>
      </c>
      <c r="G196" s="46">
        <f t="shared" si="74"/>
        <v>14.5024</v>
      </c>
      <c r="H196" s="46">
        <f t="shared" si="75"/>
        <v>12.978000000000002</v>
      </c>
      <c r="I196" s="28" t="s">
        <v>262</v>
      </c>
      <c r="J196" s="337">
        <v>1</v>
      </c>
      <c r="K196" s="46">
        <f t="shared" si="76"/>
        <v>14.5024</v>
      </c>
      <c r="L196" s="46">
        <f t="shared" si="77"/>
        <v>12.978000000000002</v>
      </c>
      <c r="M196" s="338">
        <f t="shared" si="78"/>
        <v>0</v>
      </c>
      <c r="N196" s="43" t="s">
        <v>34</v>
      </c>
      <c r="O196" s="339">
        <v>85447010</v>
      </c>
      <c r="P196" s="340">
        <f>IFERROR(VLOOKUP(O196,NCM!$A$3:$D$99,COLUMN(head_porNCM_IPI)-COLUMN(head_porNCM_NCM)+1,FALSE),"")</f>
        <v>0.03</v>
      </c>
      <c r="Q196" s="43" t="s">
        <v>835</v>
      </c>
      <c r="R196" s="78" t="s">
        <v>209</v>
      </c>
      <c r="S196" s="341"/>
      <c r="T196" s="28" t="s">
        <v>53</v>
      </c>
      <c r="U196" s="28" t="s">
        <v>2752</v>
      </c>
      <c r="V196" s="548">
        <v>45141</v>
      </c>
      <c r="W196" s="43"/>
      <c r="X196" s="342">
        <f t="shared" si="79"/>
        <v>1.7196521739130435</v>
      </c>
      <c r="Y196" s="342">
        <f t="shared" si="80"/>
        <v>2.149565217391304</v>
      </c>
      <c r="Z196" s="46">
        <f t="shared" si="81"/>
        <v>0.23645217391304349</v>
      </c>
      <c r="AA196" s="46">
        <f t="shared" si="82"/>
        <v>1.089113043478261</v>
      </c>
      <c r="AB196" s="43"/>
      <c r="AC196" s="44">
        <v>16.48</v>
      </c>
      <c r="AD196" s="31">
        <v>0.12</v>
      </c>
      <c r="AE196" s="31">
        <v>0.15</v>
      </c>
      <c r="AF196" s="31">
        <v>0</v>
      </c>
      <c r="AG196" s="28" t="s">
        <v>53</v>
      </c>
      <c r="AH196" s="46">
        <f t="shared" si="83"/>
        <v>18.951999999999998</v>
      </c>
      <c r="AI196" s="43"/>
      <c r="AJ196" s="28"/>
      <c r="AK196" s="337"/>
      <c r="AL196" s="43"/>
      <c r="AM196" s="44">
        <f t="shared" si="84"/>
        <v>0</v>
      </c>
      <c r="AN196" s="43"/>
      <c r="AO196" s="28">
        <f t="shared" si="85"/>
        <v>0</v>
      </c>
      <c r="AP196" s="43"/>
      <c r="AQ196" s="323">
        <f t="shared" si="86"/>
        <v>0</v>
      </c>
      <c r="AR196" s="43"/>
      <c r="AS196" s="44">
        <f t="shared" si="87"/>
        <v>18.951999999999998</v>
      </c>
    </row>
    <row r="197" spans="1:45" x14ac:dyDescent="0.25">
      <c r="A197" s="28"/>
      <c r="B197" s="43"/>
      <c r="C197" s="43"/>
      <c r="D197" s="43"/>
      <c r="E197" s="43" t="s">
        <v>2039</v>
      </c>
      <c r="F197" s="43" t="s">
        <v>2040</v>
      </c>
      <c r="G197" s="46">
        <f t="shared" si="74"/>
        <v>26.232799999999997</v>
      </c>
      <c r="H197" s="46">
        <f t="shared" si="75"/>
        <v>23.475375000000003</v>
      </c>
      <c r="I197" s="28" t="s">
        <v>262</v>
      </c>
      <c r="J197" s="337">
        <v>1</v>
      </c>
      <c r="K197" s="46">
        <f t="shared" si="76"/>
        <v>26.232799999999997</v>
      </c>
      <c r="L197" s="46">
        <f t="shared" si="77"/>
        <v>23.475375000000003</v>
      </c>
      <c r="M197" s="338">
        <f t="shared" si="78"/>
        <v>0</v>
      </c>
      <c r="N197" s="43" t="s">
        <v>34</v>
      </c>
      <c r="O197" s="339">
        <v>85447010</v>
      </c>
      <c r="P197" s="340">
        <f>IFERROR(VLOOKUP(O197,NCM!$A$3:$D$99,COLUMN(head_porNCM_IPI)-COLUMN(head_porNCM_NCM)+1,FALSE),"")</f>
        <v>0.03</v>
      </c>
      <c r="Q197" s="43" t="s">
        <v>835</v>
      </c>
      <c r="R197" s="78" t="s">
        <v>209</v>
      </c>
      <c r="S197" s="341"/>
      <c r="T197" s="28" t="s">
        <v>53</v>
      </c>
      <c r="U197" s="28" t="s">
        <v>2752</v>
      </c>
      <c r="V197" s="548">
        <v>45141</v>
      </c>
      <c r="W197" s="43"/>
      <c r="X197" s="342">
        <f t="shared" si="79"/>
        <v>3.1106086956521741</v>
      </c>
      <c r="Y197" s="342">
        <f t="shared" si="80"/>
        <v>3.8882608695652152</v>
      </c>
      <c r="Z197" s="46">
        <f t="shared" si="81"/>
        <v>0.42770869565217395</v>
      </c>
      <c r="AA197" s="46">
        <f t="shared" si="82"/>
        <v>1.9700521739130434</v>
      </c>
      <c r="AB197" s="43"/>
      <c r="AC197" s="44">
        <v>29.81</v>
      </c>
      <c r="AD197" s="31">
        <v>0.12</v>
      </c>
      <c r="AE197" s="31">
        <v>0.15</v>
      </c>
      <c r="AF197" s="31">
        <v>0</v>
      </c>
      <c r="AG197" s="28" t="s">
        <v>53</v>
      </c>
      <c r="AH197" s="46">
        <f t="shared" si="83"/>
        <v>34.281499999999994</v>
      </c>
      <c r="AI197" s="43"/>
      <c r="AJ197" s="28"/>
      <c r="AK197" s="337"/>
      <c r="AL197" s="43"/>
      <c r="AM197" s="44">
        <f t="shared" si="84"/>
        <v>0</v>
      </c>
      <c r="AN197" s="43"/>
      <c r="AO197" s="28">
        <f t="shared" si="85"/>
        <v>0</v>
      </c>
      <c r="AP197" s="43"/>
      <c r="AQ197" s="323">
        <f t="shared" si="86"/>
        <v>0</v>
      </c>
      <c r="AR197" s="43"/>
      <c r="AS197" s="44">
        <f t="shared" si="87"/>
        <v>34.281499999999994</v>
      </c>
    </row>
    <row r="198" spans="1:45" x14ac:dyDescent="0.25">
      <c r="A198" s="28"/>
      <c r="B198" s="43"/>
      <c r="C198" s="43"/>
      <c r="D198" s="43"/>
      <c r="E198" s="43" t="s">
        <v>2041</v>
      </c>
      <c r="F198" s="43" t="s">
        <v>2042</v>
      </c>
      <c r="G198" s="46">
        <f t="shared" si="74"/>
        <v>43.577600000000004</v>
      </c>
      <c r="H198" s="46">
        <f t="shared" si="75"/>
        <v>38.997000000000007</v>
      </c>
      <c r="I198" s="28" t="s">
        <v>262</v>
      </c>
      <c r="J198" s="337">
        <v>1</v>
      </c>
      <c r="K198" s="46">
        <f t="shared" si="76"/>
        <v>43.577600000000004</v>
      </c>
      <c r="L198" s="46">
        <f t="shared" si="77"/>
        <v>38.997000000000007</v>
      </c>
      <c r="M198" s="338">
        <f t="shared" si="78"/>
        <v>0</v>
      </c>
      <c r="N198" s="43" t="s">
        <v>34</v>
      </c>
      <c r="O198" s="339">
        <v>85447010</v>
      </c>
      <c r="P198" s="340">
        <f>IFERROR(VLOOKUP(O198,NCM!$A$3:$D$99,COLUMN(head_porNCM_IPI)-COLUMN(head_porNCM_NCM)+1,FALSE),"")</f>
        <v>0.03</v>
      </c>
      <c r="Q198" s="43" t="s">
        <v>835</v>
      </c>
      <c r="R198" s="78" t="s">
        <v>209</v>
      </c>
      <c r="S198" s="341"/>
      <c r="T198" s="28" t="s">
        <v>53</v>
      </c>
      <c r="U198" s="28" t="s">
        <v>2752</v>
      </c>
      <c r="V198" s="548">
        <v>45141</v>
      </c>
      <c r="W198" s="43"/>
      <c r="X198" s="342">
        <f t="shared" si="79"/>
        <v>5.1673043478260876</v>
      </c>
      <c r="Y198" s="342">
        <f t="shared" si="80"/>
        <v>6.4591304347826082</v>
      </c>
      <c r="Z198" s="46">
        <f t="shared" si="81"/>
        <v>0.71050434782608707</v>
      </c>
      <c r="AA198" s="46">
        <f t="shared" si="82"/>
        <v>3.2726260869565218</v>
      </c>
      <c r="AB198" s="43"/>
      <c r="AC198" s="44">
        <v>49.52</v>
      </c>
      <c r="AD198" s="31">
        <v>0.12</v>
      </c>
      <c r="AE198" s="31">
        <v>0.15</v>
      </c>
      <c r="AF198" s="31">
        <v>0</v>
      </c>
      <c r="AG198" s="28" t="s">
        <v>53</v>
      </c>
      <c r="AH198" s="46">
        <f t="shared" si="83"/>
        <v>56.948</v>
      </c>
      <c r="AI198" s="43"/>
      <c r="AJ198" s="28"/>
      <c r="AK198" s="337"/>
      <c r="AL198" s="43"/>
      <c r="AM198" s="44">
        <f t="shared" si="84"/>
        <v>0</v>
      </c>
      <c r="AN198" s="43"/>
      <c r="AO198" s="28">
        <f t="shared" si="85"/>
        <v>0</v>
      </c>
      <c r="AP198" s="43"/>
      <c r="AQ198" s="323">
        <f t="shared" si="86"/>
        <v>0</v>
      </c>
      <c r="AR198" s="43"/>
      <c r="AS198" s="44">
        <f t="shared" si="87"/>
        <v>56.948</v>
      </c>
    </row>
    <row r="199" spans="1:45" x14ac:dyDescent="0.25">
      <c r="A199" s="28"/>
      <c r="B199" s="43"/>
      <c r="C199" s="43"/>
      <c r="D199" s="43"/>
      <c r="E199" s="43" t="s">
        <v>2442</v>
      </c>
      <c r="F199" s="43" t="s">
        <v>2443</v>
      </c>
      <c r="G199" s="46">
        <f t="shared" si="74"/>
        <v>53.416000000000004</v>
      </c>
      <c r="H199" s="46">
        <f t="shared" si="75"/>
        <v>47.80125000000001</v>
      </c>
      <c r="I199" s="28" t="s">
        <v>262</v>
      </c>
      <c r="J199" s="337">
        <v>1</v>
      </c>
      <c r="K199" s="46">
        <f t="shared" si="76"/>
        <v>53.416000000000004</v>
      </c>
      <c r="L199" s="46">
        <f t="shared" si="77"/>
        <v>47.80125000000001</v>
      </c>
      <c r="M199" s="338">
        <f t="shared" si="78"/>
        <v>0</v>
      </c>
      <c r="N199" s="43" t="s">
        <v>34</v>
      </c>
      <c r="O199" s="339">
        <v>85447010</v>
      </c>
      <c r="P199" s="340">
        <f>IFERROR(VLOOKUP(O199,NCM!$A$3:$D$99,COLUMN(head_porNCM_IPI)-COLUMN(head_porNCM_NCM)+1,FALSE),"")</f>
        <v>0.03</v>
      </c>
      <c r="Q199" s="43" t="s">
        <v>835</v>
      </c>
      <c r="R199" s="78" t="s">
        <v>209</v>
      </c>
      <c r="S199" s="341"/>
      <c r="T199" s="28" t="s">
        <v>53</v>
      </c>
      <c r="U199" s="28" t="s">
        <v>2752</v>
      </c>
      <c r="V199" s="548">
        <v>45141</v>
      </c>
      <c r="W199" s="43"/>
      <c r="X199" s="342">
        <f t="shared" si="79"/>
        <v>6.3339130434782609</v>
      </c>
      <c r="Y199" s="342">
        <f t="shared" si="80"/>
        <v>7.9173913043478237</v>
      </c>
      <c r="Z199" s="46">
        <f t="shared" si="81"/>
        <v>0.87091304347826104</v>
      </c>
      <c r="AA199" s="46">
        <f t="shared" si="82"/>
        <v>4.0114782608695654</v>
      </c>
      <c r="AB199" s="43"/>
      <c r="AC199" s="44">
        <v>60.7</v>
      </c>
      <c r="AD199" s="31">
        <v>0.12</v>
      </c>
      <c r="AE199" s="31">
        <v>0.15</v>
      </c>
      <c r="AF199" s="31">
        <v>0</v>
      </c>
      <c r="AG199" s="28" t="s">
        <v>53</v>
      </c>
      <c r="AH199" s="46">
        <f t="shared" si="83"/>
        <v>69.804999999999993</v>
      </c>
      <c r="AI199" s="43"/>
      <c r="AJ199" s="28"/>
      <c r="AK199" s="337"/>
      <c r="AL199" s="43"/>
      <c r="AM199" s="44">
        <f t="shared" si="84"/>
        <v>0</v>
      </c>
      <c r="AN199" s="43"/>
      <c r="AO199" s="28">
        <f t="shared" si="85"/>
        <v>0</v>
      </c>
      <c r="AP199" s="43"/>
      <c r="AQ199" s="323">
        <f t="shared" si="86"/>
        <v>0</v>
      </c>
      <c r="AR199" s="43"/>
      <c r="AS199" s="44">
        <f t="shared" si="87"/>
        <v>69.804999999999993</v>
      </c>
    </row>
    <row r="200" spans="1:45" x14ac:dyDescent="0.25">
      <c r="A200" s="28"/>
      <c r="B200" s="43"/>
      <c r="C200" s="43"/>
      <c r="D200" s="43"/>
      <c r="E200" s="43" t="s">
        <v>2444</v>
      </c>
      <c r="F200" s="43" t="s">
        <v>2445</v>
      </c>
      <c r="G200" s="46">
        <f t="shared" si="74"/>
        <v>114.0128</v>
      </c>
      <c r="H200" s="46">
        <f t="shared" si="75"/>
        <v>102.02850000000001</v>
      </c>
      <c r="I200" s="28" t="s">
        <v>262</v>
      </c>
      <c r="J200" s="337">
        <v>1</v>
      </c>
      <c r="K200" s="46">
        <f t="shared" si="76"/>
        <v>114.0128</v>
      </c>
      <c r="L200" s="46">
        <f t="shared" si="77"/>
        <v>102.02850000000001</v>
      </c>
      <c r="M200" s="338">
        <f t="shared" si="78"/>
        <v>0</v>
      </c>
      <c r="N200" s="43" t="s">
        <v>34</v>
      </c>
      <c r="O200" s="339">
        <v>85447010</v>
      </c>
      <c r="P200" s="340">
        <f>IFERROR(VLOOKUP(O200,NCM!$A$3:$D$99,COLUMN(head_porNCM_IPI)-COLUMN(head_porNCM_NCM)+1,FALSE),"")</f>
        <v>0.03</v>
      </c>
      <c r="Q200" s="43" t="s">
        <v>835</v>
      </c>
      <c r="R200" s="78" t="s">
        <v>209</v>
      </c>
      <c r="S200" s="341"/>
      <c r="T200" s="28" t="s">
        <v>53</v>
      </c>
      <c r="U200" s="28" t="s">
        <v>2752</v>
      </c>
      <c r="V200" s="548">
        <v>45141</v>
      </c>
      <c r="W200" s="43"/>
      <c r="X200" s="342">
        <f t="shared" si="79"/>
        <v>13.519304347826088</v>
      </c>
      <c r="Y200" s="342">
        <f t="shared" si="80"/>
        <v>16.899130434782606</v>
      </c>
      <c r="Z200" s="46">
        <f t="shared" si="81"/>
        <v>1.8589043478260872</v>
      </c>
      <c r="AA200" s="46">
        <f t="shared" si="82"/>
        <v>8.5622260869565228</v>
      </c>
      <c r="AB200" s="43"/>
      <c r="AC200" s="44">
        <v>129.56</v>
      </c>
      <c r="AD200" s="31">
        <v>0.12</v>
      </c>
      <c r="AE200" s="31">
        <v>0.15</v>
      </c>
      <c r="AF200" s="31">
        <v>0</v>
      </c>
      <c r="AG200" s="28" t="s">
        <v>53</v>
      </c>
      <c r="AH200" s="46">
        <f t="shared" si="83"/>
        <v>148.994</v>
      </c>
      <c r="AI200" s="43"/>
      <c r="AJ200" s="28"/>
      <c r="AK200" s="337"/>
      <c r="AL200" s="43"/>
      <c r="AM200" s="44">
        <f t="shared" si="84"/>
        <v>0</v>
      </c>
      <c r="AN200" s="43"/>
      <c r="AO200" s="28">
        <f t="shared" si="85"/>
        <v>0</v>
      </c>
      <c r="AP200" s="43"/>
      <c r="AQ200" s="323">
        <f t="shared" si="86"/>
        <v>0</v>
      </c>
      <c r="AR200" s="43"/>
      <c r="AS200" s="44">
        <f t="shared" si="87"/>
        <v>148.994</v>
      </c>
    </row>
    <row r="201" spans="1:45" x14ac:dyDescent="0.25">
      <c r="A201" s="28"/>
      <c r="B201" s="43"/>
      <c r="C201" s="43"/>
      <c r="D201" s="43"/>
      <c r="E201" s="43" t="s">
        <v>795</v>
      </c>
      <c r="F201" s="43" t="s">
        <v>796</v>
      </c>
      <c r="G201" s="46">
        <f t="shared" si="74"/>
        <v>2.6240000000000006</v>
      </c>
      <c r="H201" s="46">
        <f t="shared" si="75"/>
        <v>2.3280000000000007</v>
      </c>
      <c r="I201" s="28" t="s">
        <v>262</v>
      </c>
      <c r="J201" s="337">
        <v>1</v>
      </c>
      <c r="K201" s="46">
        <f t="shared" si="76"/>
        <v>2.6240000000000006</v>
      </c>
      <c r="L201" s="46">
        <f t="shared" si="77"/>
        <v>2.3280000000000007</v>
      </c>
      <c r="M201" s="338">
        <f t="shared" si="78"/>
        <v>100</v>
      </c>
      <c r="N201" s="43" t="s">
        <v>34</v>
      </c>
      <c r="O201" s="339">
        <v>83079000</v>
      </c>
      <c r="P201" s="340">
        <f>IFERROR(VLOOKUP(O201,NCM!$A$3:$D$99,COLUMN(head_porNCM_IPI)-COLUMN(head_porNCM_NCM)+1,FALSE),"")</f>
        <v>0</v>
      </c>
      <c r="Q201" s="43"/>
      <c r="R201" s="78" t="s">
        <v>209</v>
      </c>
      <c r="S201" s="341"/>
      <c r="T201" s="28" t="s">
        <v>53</v>
      </c>
      <c r="U201" s="28" t="s">
        <v>2282</v>
      </c>
      <c r="V201" s="28"/>
      <c r="W201" s="43"/>
      <c r="X201" s="342">
        <f t="shared" si="79"/>
        <v>0.50086956521739134</v>
      </c>
      <c r="Y201" s="342">
        <f t="shared" si="80"/>
        <v>0.4173913043478259</v>
      </c>
      <c r="Z201" s="46">
        <f t="shared" si="81"/>
        <v>4.5913043478260876E-2</v>
      </c>
      <c r="AA201" s="46">
        <f t="shared" si="82"/>
        <v>0.21147826086956523</v>
      </c>
      <c r="AB201" s="43"/>
      <c r="AC201" s="44">
        <v>3.2</v>
      </c>
      <c r="AD201" s="31">
        <v>0.18</v>
      </c>
      <c r="AE201" s="31">
        <v>0.15</v>
      </c>
      <c r="AF201" s="31">
        <v>0</v>
      </c>
      <c r="AG201" s="28" t="s">
        <v>53</v>
      </c>
      <c r="AH201" s="46">
        <f t="shared" si="83"/>
        <v>3.6799999999999997</v>
      </c>
      <c r="AI201" s="43"/>
      <c r="AJ201" s="28"/>
      <c r="AK201" s="337"/>
      <c r="AL201" s="43"/>
      <c r="AM201" s="44">
        <f t="shared" si="84"/>
        <v>0</v>
      </c>
      <c r="AN201" s="43"/>
      <c r="AO201" s="28">
        <f t="shared" si="85"/>
        <v>0</v>
      </c>
      <c r="AP201" s="43"/>
      <c r="AQ201" s="323">
        <f t="shared" si="86"/>
        <v>232.80000000000007</v>
      </c>
      <c r="AR201" s="43"/>
      <c r="AS201" s="44">
        <f t="shared" si="87"/>
        <v>3.6799999999999997</v>
      </c>
    </row>
    <row r="202" spans="1:45" x14ac:dyDescent="0.25">
      <c r="A202" s="28"/>
      <c r="B202" s="43"/>
      <c r="C202" s="43"/>
      <c r="D202" s="43" t="s">
        <v>693</v>
      </c>
      <c r="E202" s="43"/>
      <c r="F202" s="43"/>
      <c r="G202" s="46">
        <f t="shared" si="74"/>
        <v>0</v>
      </c>
      <c r="H202" s="46">
        <f t="shared" si="75"/>
        <v>0</v>
      </c>
      <c r="I202" s="28"/>
      <c r="J202" s="337"/>
      <c r="K202" s="46" t="str">
        <f t="shared" si="76"/>
        <v/>
      </c>
      <c r="L202" s="46" t="str">
        <f t="shared" si="77"/>
        <v/>
      </c>
      <c r="M202" s="338">
        <f t="shared" si="78"/>
        <v>0</v>
      </c>
      <c r="N202" s="43"/>
      <c r="O202" s="339"/>
      <c r="P202" s="340" t="str">
        <f>IFERROR(VLOOKUP(O202,NCM!$A$3:$D$99,COLUMN(head_porNCM_IPI)-COLUMN(head_porNCM_NCM)+1,FALSE),"")</f>
        <v/>
      </c>
      <c r="Q202" s="43"/>
      <c r="R202" s="78"/>
      <c r="S202" s="341"/>
      <c r="T202" s="28"/>
      <c r="U202" s="28"/>
      <c r="V202" s="28"/>
      <c r="W202" s="43"/>
      <c r="X202" s="342">
        <f t="shared" si="79"/>
        <v>0</v>
      </c>
      <c r="Y202" s="342">
        <f t="shared" si="80"/>
        <v>0</v>
      </c>
      <c r="Z202" s="46">
        <f t="shared" si="81"/>
        <v>0</v>
      </c>
      <c r="AA202" s="46">
        <f t="shared" si="82"/>
        <v>0</v>
      </c>
      <c r="AB202" s="43"/>
      <c r="AC202" s="44">
        <v>0</v>
      </c>
      <c r="AD202" s="31"/>
      <c r="AE202" s="31"/>
      <c r="AF202" s="31"/>
      <c r="AG202" s="28"/>
      <c r="AH202" s="46">
        <f t="shared" si="83"/>
        <v>0</v>
      </c>
      <c r="AI202" s="43"/>
      <c r="AJ202" s="28"/>
      <c r="AK202" s="337"/>
      <c r="AL202" s="43"/>
      <c r="AM202" s="44">
        <f t="shared" si="84"/>
        <v>0</v>
      </c>
      <c r="AN202" s="43"/>
      <c r="AO202" s="28">
        <f t="shared" si="85"/>
        <v>0</v>
      </c>
      <c r="AP202" s="43"/>
      <c r="AQ202" s="323">
        <f t="shared" si="86"/>
        <v>0</v>
      </c>
      <c r="AR202" s="43"/>
      <c r="AS202" s="44">
        <f t="shared" si="87"/>
        <v>0</v>
      </c>
    </row>
    <row r="203" spans="1:45" x14ac:dyDescent="0.25">
      <c r="A203" s="28"/>
      <c r="B203" s="43"/>
      <c r="C203" s="43"/>
      <c r="D203" s="43" t="s">
        <v>1224</v>
      </c>
      <c r="E203" s="43"/>
      <c r="F203" s="43"/>
      <c r="G203" s="46">
        <f t="shared" si="74"/>
        <v>0</v>
      </c>
      <c r="H203" s="46">
        <f t="shared" si="75"/>
        <v>0</v>
      </c>
      <c r="I203" s="28"/>
      <c r="J203" s="337"/>
      <c r="K203" s="46" t="str">
        <f t="shared" si="76"/>
        <v/>
      </c>
      <c r="L203" s="46" t="str">
        <f t="shared" si="77"/>
        <v/>
      </c>
      <c r="M203" s="338">
        <f t="shared" si="78"/>
        <v>0</v>
      </c>
      <c r="N203" s="43"/>
      <c r="O203" s="339"/>
      <c r="P203" s="340" t="str">
        <f>IFERROR(VLOOKUP(O203,NCM!$A$3:$D$99,COLUMN(head_porNCM_IPI)-COLUMN(head_porNCM_NCM)+1,FALSE),"")</f>
        <v/>
      </c>
      <c r="Q203" s="43"/>
      <c r="R203" s="78"/>
      <c r="S203" s="341"/>
      <c r="T203" s="28"/>
      <c r="U203" s="28"/>
      <c r="V203" s="28"/>
      <c r="W203" s="43"/>
      <c r="X203" s="342">
        <f t="shared" si="79"/>
        <v>0</v>
      </c>
      <c r="Y203" s="342">
        <f t="shared" si="80"/>
        <v>0</v>
      </c>
      <c r="Z203" s="46">
        <f t="shared" si="81"/>
        <v>0</v>
      </c>
      <c r="AA203" s="46">
        <f t="shared" si="82"/>
        <v>0</v>
      </c>
      <c r="AB203" s="43"/>
      <c r="AC203" s="44">
        <v>0</v>
      </c>
      <c r="AD203" s="31"/>
      <c r="AE203" s="31"/>
      <c r="AF203" s="31"/>
      <c r="AG203" s="28"/>
      <c r="AH203" s="46">
        <f t="shared" si="83"/>
        <v>0</v>
      </c>
      <c r="AI203" s="43"/>
      <c r="AJ203" s="28"/>
      <c r="AK203" s="337"/>
      <c r="AL203" s="43"/>
      <c r="AM203" s="44">
        <f t="shared" si="84"/>
        <v>0</v>
      </c>
      <c r="AN203" s="43"/>
      <c r="AO203" s="28">
        <f t="shared" si="85"/>
        <v>0</v>
      </c>
      <c r="AP203" s="43"/>
      <c r="AQ203" s="323">
        <f t="shared" si="86"/>
        <v>0</v>
      </c>
      <c r="AR203" s="43"/>
      <c r="AS203" s="44">
        <f t="shared" si="87"/>
        <v>0</v>
      </c>
    </row>
    <row r="204" spans="1:45" x14ac:dyDescent="0.25">
      <c r="A204" s="28"/>
      <c r="B204" s="43"/>
      <c r="C204" s="43"/>
      <c r="D204" s="43"/>
      <c r="E204" s="43" t="s">
        <v>1229</v>
      </c>
      <c r="F204" s="43" t="s">
        <v>1230</v>
      </c>
      <c r="G204" s="46">
        <f t="shared" si="74"/>
        <v>16302</v>
      </c>
      <c r="H204" s="46">
        <f t="shared" si="75"/>
        <v>14794.065000000001</v>
      </c>
      <c r="I204" s="28" t="s">
        <v>262</v>
      </c>
      <c r="J204" s="337">
        <v>1</v>
      </c>
      <c r="K204" s="46">
        <f t="shared" si="76"/>
        <v>16302</v>
      </c>
      <c r="L204" s="46">
        <f t="shared" si="77"/>
        <v>14794.065000000001</v>
      </c>
      <c r="M204" s="338">
        <f t="shared" si="78"/>
        <v>0</v>
      </c>
      <c r="N204" s="43" t="s">
        <v>669</v>
      </c>
      <c r="O204" s="339" t="s">
        <v>167</v>
      </c>
      <c r="P204" s="340" t="str">
        <f>IFERROR(VLOOKUP(O204,NCM!$A$3:$D$99,COLUMN(head_porNCM_IPI)-COLUMN(head_porNCM_NCM)+1,FALSE),"")</f>
        <v/>
      </c>
      <c r="Q204" s="43" t="s">
        <v>1879</v>
      </c>
      <c r="R204" s="78" t="s">
        <v>209</v>
      </c>
      <c r="S204" s="341"/>
      <c r="T204" s="28" t="s">
        <v>53</v>
      </c>
      <c r="U204" s="28" t="s">
        <v>1880</v>
      </c>
      <c r="V204" s="548">
        <v>43578</v>
      </c>
      <c r="W204" s="43"/>
      <c r="X204" s="342">
        <f t="shared" si="79"/>
        <v>0</v>
      </c>
      <c r="Y204" s="342">
        <f t="shared" si="80"/>
        <v>0</v>
      </c>
      <c r="Z204" s="46">
        <f t="shared" si="81"/>
        <v>268.983</v>
      </c>
      <c r="AA204" s="46">
        <f t="shared" si="82"/>
        <v>1238.952</v>
      </c>
      <c r="AB204" s="43"/>
      <c r="AC204" s="44">
        <v>16302</v>
      </c>
      <c r="AD204" s="31">
        <v>0</v>
      </c>
      <c r="AE204" s="31">
        <v>0</v>
      </c>
      <c r="AF204" s="31">
        <v>0</v>
      </c>
      <c r="AG204" s="28" t="s">
        <v>53</v>
      </c>
      <c r="AH204" s="46">
        <f t="shared" si="83"/>
        <v>16302</v>
      </c>
      <c r="AI204" s="43"/>
      <c r="AJ204" s="28"/>
      <c r="AK204" s="337"/>
      <c r="AL204" s="43"/>
      <c r="AM204" s="44">
        <f t="shared" si="84"/>
        <v>0</v>
      </c>
      <c r="AN204" s="43"/>
      <c r="AO204" s="28">
        <f t="shared" si="85"/>
        <v>0</v>
      </c>
      <c r="AP204" s="43"/>
      <c r="AQ204" s="323">
        <f t="shared" si="86"/>
        <v>0</v>
      </c>
      <c r="AR204" s="43"/>
      <c r="AS204" s="44">
        <f t="shared" si="87"/>
        <v>16302</v>
      </c>
    </row>
    <row r="205" spans="1:45" x14ac:dyDescent="0.25">
      <c r="A205" s="28"/>
      <c r="B205" s="43"/>
      <c r="C205" s="43"/>
      <c r="D205" s="43"/>
      <c r="E205" s="43" t="s">
        <v>1231</v>
      </c>
      <c r="F205" s="43" t="s">
        <v>1232</v>
      </c>
      <c r="G205" s="46">
        <f t="shared" si="74"/>
        <v>17320</v>
      </c>
      <c r="H205" s="46">
        <f t="shared" si="75"/>
        <v>15717.900000000001</v>
      </c>
      <c r="I205" s="28" t="s">
        <v>262</v>
      </c>
      <c r="J205" s="337">
        <v>1</v>
      </c>
      <c r="K205" s="46">
        <f t="shared" si="76"/>
        <v>17320</v>
      </c>
      <c r="L205" s="46">
        <f t="shared" si="77"/>
        <v>15717.900000000001</v>
      </c>
      <c r="M205" s="338">
        <f t="shared" si="78"/>
        <v>0</v>
      </c>
      <c r="N205" s="43" t="s">
        <v>669</v>
      </c>
      <c r="O205" s="339" t="s">
        <v>167</v>
      </c>
      <c r="P205" s="340" t="str">
        <f>IFERROR(VLOOKUP(O205,NCM!$A$3:$D$99,COLUMN(head_porNCM_IPI)-COLUMN(head_porNCM_NCM)+1,FALSE),"")</f>
        <v/>
      </c>
      <c r="Q205" s="43" t="s">
        <v>1879</v>
      </c>
      <c r="R205" s="78" t="s">
        <v>209</v>
      </c>
      <c r="S205" s="341"/>
      <c r="T205" s="28" t="s">
        <v>53</v>
      </c>
      <c r="U205" s="28" t="s">
        <v>2753</v>
      </c>
      <c r="V205" s="548">
        <v>45425</v>
      </c>
      <c r="W205" s="43"/>
      <c r="X205" s="342">
        <f t="shared" si="79"/>
        <v>0</v>
      </c>
      <c r="Y205" s="342">
        <f t="shared" si="80"/>
        <v>0</v>
      </c>
      <c r="Z205" s="46">
        <f t="shared" si="81"/>
        <v>285.78000000000003</v>
      </c>
      <c r="AA205" s="46">
        <f t="shared" si="82"/>
        <v>1316.32</v>
      </c>
      <c r="AB205" s="43"/>
      <c r="AC205" s="44">
        <v>17320</v>
      </c>
      <c r="AD205" s="31">
        <v>0</v>
      </c>
      <c r="AE205" s="31">
        <v>0</v>
      </c>
      <c r="AF205" s="31">
        <v>0</v>
      </c>
      <c r="AG205" s="28" t="s">
        <v>53</v>
      </c>
      <c r="AH205" s="46">
        <f t="shared" si="83"/>
        <v>17320</v>
      </c>
      <c r="AI205" s="43"/>
      <c r="AJ205" s="28"/>
      <c r="AK205" s="337"/>
      <c r="AL205" s="43"/>
      <c r="AM205" s="44">
        <f t="shared" si="84"/>
        <v>0</v>
      </c>
      <c r="AN205" s="43"/>
      <c r="AO205" s="28">
        <f t="shared" si="85"/>
        <v>0</v>
      </c>
      <c r="AP205" s="43"/>
      <c r="AQ205" s="323">
        <f t="shared" si="86"/>
        <v>0</v>
      </c>
      <c r="AR205" s="43"/>
      <c r="AS205" s="44">
        <f t="shared" si="87"/>
        <v>17320</v>
      </c>
    </row>
    <row r="206" spans="1:45" x14ac:dyDescent="0.25">
      <c r="A206" s="28"/>
      <c r="B206" s="43"/>
      <c r="C206" s="43"/>
      <c r="D206" s="43"/>
      <c r="E206" s="43" t="s">
        <v>1233</v>
      </c>
      <c r="F206" s="43" t="s">
        <v>1234</v>
      </c>
      <c r="G206" s="46">
        <f t="shared" si="74"/>
        <v>22050</v>
      </c>
      <c r="H206" s="46">
        <f t="shared" si="75"/>
        <v>20010.375000000004</v>
      </c>
      <c r="I206" s="28" t="s">
        <v>262</v>
      </c>
      <c r="J206" s="337">
        <v>1</v>
      </c>
      <c r="K206" s="46">
        <f t="shared" si="76"/>
        <v>22050</v>
      </c>
      <c r="L206" s="46">
        <f t="shared" si="77"/>
        <v>20010.375000000004</v>
      </c>
      <c r="M206" s="338">
        <f t="shared" si="78"/>
        <v>0</v>
      </c>
      <c r="N206" s="43" t="s">
        <v>669</v>
      </c>
      <c r="O206" s="339" t="s">
        <v>167</v>
      </c>
      <c r="P206" s="340" t="str">
        <f>IFERROR(VLOOKUP(O206,NCM!$A$3:$D$99,COLUMN(head_porNCM_IPI)-COLUMN(head_porNCM_NCM)+1,FALSE),"")</f>
        <v/>
      </c>
      <c r="Q206" s="43" t="s">
        <v>1879</v>
      </c>
      <c r="R206" s="78" t="s">
        <v>209</v>
      </c>
      <c r="S206" s="341"/>
      <c r="T206" s="28" t="s">
        <v>53</v>
      </c>
      <c r="U206" s="28" t="s">
        <v>2753</v>
      </c>
      <c r="V206" s="548">
        <v>45425</v>
      </c>
      <c r="W206" s="43"/>
      <c r="X206" s="342">
        <f t="shared" si="79"/>
        <v>0</v>
      </c>
      <c r="Y206" s="342">
        <f t="shared" si="80"/>
        <v>0</v>
      </c>
      <c r="Z206" s="46">
        <f t="shared" si="81"/>
        <v>363.82500000000005</v>
      </c>
      <c r="AA206" s="46">
        <f t="shared" si="82"/>
        <v>1675.8</v>
      </c>
      <c r="AB206" s="43"/>
      <c r="AC206" s="44">
        <v>22050</v>
      </c>
      <c r="AD206" s="31">
        <v>0</v>
      </c>
      <c r="AE206" s="31">
        <v>0</v>
      </c>
      <c r="AF206" s="31">
        <v>0</v>
      </c>
      <c r="AG206" s="28" t="s">
        <v>53</v>
      </c>
      <c r="AH206" s="46">
        <f t="shared" si="83"/>
        <v>22050</v>
      </c>
      <c r="AI206" s="43"/>
      <c r="AJ206" s="28"/>
      <c r="AK206" s="337"/>
      <c r="AL206" s="43"/>
      <c r="AM206" s="44">
        <f t="shared" si="84"/>
        <v>0</v>
      </c>
      <c r="AN206" s="43"/>
      <c r="AO206" s="28">
        <f t="shared" si="85"/>
        <v>0</v>
      </c>
      <c r="AP206" s="43"/>
      <c r="AQ206" s="323">
        <f t="shared" si="86"/>
        <v>0</v>
      </c>
      <c r="AR206" s="43"/>
      <c r="AS206" s="44">
        <f t="shared" si="87"/>
        <v>22050</v>
      </c>
    </row>
    <row r="207" spans="1:45" x14ac:dyDescent="0.25">
      <c r="A207" s="28"/>
      <c r="B207" s="43"/>
      <c r="C207" s="43"/>
      <c r="D207" s="43"/>
      <c r="E207" s="43" t="s">
        <v>1235</v>
      </c>
      <c r="F207" s="43" t="s">
        <v>1236</v>
      </c>
      <c r="G207" s="46">
        <f t="shared" si="74"/>
        <v>25600</v>
      </c>
      <c r="H207" s="46">
        <f t="shared" si="75"/>
        <v>23232.000000000004</v>
      </c>
      <c r="I207" s="28" t="s">
        <v>262</v>
      </c>
      <c r="J207" s="337">
        <v>1</v>
      </c>
      <c r="K207" s="46">
        <f t="shared" si="76"/>
        <v>25600</v>
      </c>
      <c r="L207" s="46">
        <f t="shared" si="77"/>
        <v>23232.000000000004</v>
      </c>
      <c r="M207" s="338">
        <f t="shared" si="78"/>
        <v>0</v>
      </c>
      <c r="N207" s="43" t="s">
        <v>669</v>
      </c>
      <c r="O207" s="339" t="s">
        <v>167</v>
      </c>
      <c r="P207" s="340" t="str">
        <f>IFERROR(VLOOKUP(O207,NCM!$A$3:$D$99,COLUMN(head_porNCM_IPI)-COLUMN(head_porNCM_NCM)+1,FALSE),"")</f>
        <v/>
      </c>
      <c r="Q207" s="43" t="s">
        <v>1879</v>
      </c>
      <c r="R207" s="78" t="s">
        <v>209</v>
      </c>
      <c r="S207" s="341"/>
      <c r="T207" s="28" t="s">
        <v>53</v>
      </c>
      <c r="U207" s="28" t="s">
        <v>2753</v>
      </c>
      <c r="V207" s="548">
        <v>45425</v>
      </c>
      <c r="W207" s="43"/>
      <c r="X207" s="342">
        <f t="shared" si="79"/>
        <v>0</v>
      </c>
      <c r="Y207" s="342">
        <f t="shared" si="80"/>
        <v>0</v>
      </c>
      <c r="Z207" s="46">
        <f t="shared" si="81"/>
        <v>422.40000000000003</v>
      </c>
      <c r="AA207" s="46">
        <f t="shared" si="82"/>
        <v>1945.6</v>
      </c>
      <c r="AB207" s="43"/>
      <c r="AC207" s="44">
        <v>25600</v>
      </c>
      <c r="AD207" s="31">
        <v>0</v>
      </c>
      <c r="AE207" s="31">
        <v>0</v>
      </c>
      <c r="AF207" s="31">
        <v>0</v>
      </c>
      <c r="AG207" s="28" t="s">
        <v>53</v>
      </c>
      <c r="AH207" s="46">
        <f t="shared" si="83"/>
        <v>25600</v>
      </c>
      <c r="AI207" s="43"/>
      <c r="AJ207" s="28"/>
      <c r="AK207" s="337"/>
      <c r="AL207" s="43"/>
      <c r="AM207" s="44">
        <f t="shared" si="84"/>
        <v>0</v>
      </c>
      <c r="AN207" s="43"/>
      <c r="AO207" s="28">
        <f t="shared" si="85"/>
        <v>0</v>
      </c>
      <c r="AP207" s="43"/>
      <c r="AQ207" s="323">
        <f t="shared" si="86"/>
        <v>0</v>
      </c>
      <c r="AR207" s="43"/>
      <c r="AS207" s="44">
        <f t="shared" si="87"/>
        <v>25600</v>
      </c>
    </row>
    <row r="208" spans="1:45" x14ac:dyDescent="0.25">
      <c r="A208" s="28"/>
      <c r="B208" s="43"/>
      <c r="C208" s="43"/>
      <c r="D208" s="43"/>
      <c r="E208" s="43" t="s">
        <v>1237</v>
      </c>
      <c r="F208" s="43" t="s">
        <v>1238</v>
      </c>
      <c r="G208" s="46">
        <f t="shared" si="74"/>
        <v>30390</v>
      </c>
      <c r="H208" s="46">
        <f t="shared" si="75"/>
        <v>27578.925000000003</v>
      </c>
      <c r="I208" s="28" t="s">
        <v>262</v>
      </c>
      <c r="J208" s="337">
        <v>1</v>
      </c>
      <c r="K208" s="46">
        <f t="shared" si="76"/>
        <v>30390</v>
      </c>
      <c r="L208" s="46">
        <f t="shared" si="77"/>
        <v>27578.925000000003</v>
      </c>
      <c r="M208" s="338">
        <f t="shared" si="78"/>
        <v>0</v>
      </c>
      <c r="N208" s="43" t="s">
        <v>669</v>
      </c>
      <c r="O208" s="339" t="s">
        <v>167</v>
      </c>
      <c r="P208" s="340" t="str">
        <f>IFERROR(VLOOKUP(O208,NCM!$A$3:$D$99,COLUMN(head_porNCM_IPI)-COLUMN(head_porNCM_NCM)+1,FALSE),"")</f>
        <v/>
      </c>
      <c r="Q208" s="43" t="s">
        <v>1879</v>
      </c>
      <c r="R208" s="78" t="s">
        <v>209</v>
      </c>
      <c r="S208" s="341"/>
      <c r="T208" s="28" t="s">
        <v>53</v>
      </c>
      <c r="U208" s="28" t="s">
        <v>2753</v>
      </c>
      <c r="V208" s="548">
        <v>45425</v>
      </c>
      <c r="W208" s="43"/>
      <c r="X208" s="342">
        <f t="shared" si="79"/>
        <v>0</v>
      </c>
      <c r="Y208" s="342">
        <f t="shared" si="80"/>
        <v>0</v>
      </c>
      <c r="Z208" s="46">
        <f t="shared" si="81"/>
        <v>501.435</v>
      </c>
      <c r="AA208" s="46">
        <f t="shared" si="82"/>
        <v>2309.64</v>
      </c>
      <c r="AB208" s="43"/>
      <c r="AC208" s="44">
        <v>30390</v>
      </c>
      <c r="AD208" s="31">
        <v>0</v>
      </c>
      <c r="AE208" s="31">
        <v>0</v>
      </c>
      <c r="AF208" s="31">
        <v>0</v>
      </c>
      <c r="AG208" s="28" t="s">
        <v>53</v>
      </c>
      <c r="AH208" s="46">
        <f t="shared" si="83"/>
        <v>30390</v>
      </c>
      <c r="AI208" s="43"/>
      <c r="AJ208" s="28"/>
      <c r="AK208" s="337"/>
      <c r="AL208" s="43"/>
      <c r="AM208" s="44">
        <f t="shared" si="84"/>
        <v>0</v>
      </c>
      <c r="AN208" s="43"/>
      <c r="AO208" s="28">
        <f t="shared" si="85"/>
        <v>0</v>
      </c>
      <c r="AP208" s="43"/>
      <c r="AQ208" s="323">
        <f t="shared" si="86"/>
        <v>0</v>
      </c>
      <c r="AR208" s="43"/>
      <c r="AS208" s="44">
        <f t="shared" si="87"/>
        <v>30390</v>
      </c>
    </row>
    <row r="209" spans="1:45" x14ac:dyDescent="0.25">
      <c r="A209" s="28"/>
      <c r="B209" s="43"/>
      <c r="C209" s="43"/>
      <c r="D209" s="43"/>
      <c r="E209" s="43" t="s">
        <v>1239</v>
      </c>
      <c r="F209" s="43" t="s">
        <v>1240</v>
      </c>
      <c r="G209" s="46">
        <f t="shared" si="74"/>
        <v>37920</v>
      </c>
      <c r="H209" s="46">
        <f t="shared" si="75"/>
        <v>34412.400000000001</v>
      </c>
      <c r="I209" s="28" t="s">
        <v>262</v>
      </c>
      <c r="J209" s="337">
        <v>1</v>
      </c>
      <c r="K209" s="46">
        <f t="shared" si="76"/>
        <v>37920</v>
      </c>
      <c r="L209" s="46">
        <f t="shared" si="77"/>
        <v>34412.400000000001</v>
      </c>
      <c r="M209" s="338">
        <f t="shared" si="78"/>
        <v>0</v>
      </c>
      <c r="N209" s="43" t="s">
        <v>669</v>
      </c>
      <c r="O209" s="339" t="s">
        <v>167</v>
      </c>
      <c r="P209" s="340" t="str">
        <f>IFERROR(VLOOKUP(O209,NCM!$A$3:$D$99,COLUMN(head_porNCM_IPI)-COLUMN(head_porNCM_NCM)+1,FALSE),"")</f>
        <v/>
      </c>
      <c r="Q209" s="43" t="s">
        <v>1879</v>
      </c>
      <c r="R209" s="78" t="s">
        <v>209</v>
      </c>
      <c r="S209" s="341"/>
      <c r="T209" s="28" t="s">
        <v>53</v>
      </c>
      <c r="U209" s="28" t="s">
        <v>2753</v>
      </c>
      <c r="V209" s="548">
        <v>45425</v>
      </c>
      <c r="W209" s="43"/>
      <c r="X209" s="342">
        <f t="shared" si="79"/>
        <v>0</v>
      </c>
      <c r="Y209" s="342">
        <f t="shared" si="80"/>
        <v>0</v>
      </c>
      <c r="Z209" s="46">
        <f t="shared" si="81"/>
        <v>625.68000000000006</v>
      </c>
      <c r="AA209" s="46">
        <f t="shared" si="82"/>
        <v>2881.92</v>
      </c>
      <c r="AB209" s="43"/>
      <c r="AC209" s="44">
        <v>37920</v>
      </c>
      <c r="AD209" s="31">
        <v>0</v>
      </c>
      <c r="AE209" s="31">
        <v>0</v>
      </c>
      <c r="AF209" s="31">
        <v>0</v>
      </c>
      <c r="AG209" s="28" t="s">
        <v>53</v>
      </c>
      <c r="AH209" s="46">
        <f t="shared" si="83"/>
        <v>37920</v>
      </c>
      <c r="AI209" s="43"/>
      <c r="AJ209" s="28"/>
      <c r="AK209" s="337"/>
      <c r="AL209" s="43"/>
      <c r="AM209" s="44">
        <f t="shared" si="84"/>
        <v>0</v>
      </c>
      <c r="AN209" s="43"/>
      <c r="AO209" s="28">
        <f t="shared" si="85"/>
        <v>0</v>
      </c>
      <c r="AP209" s="43"/>
      <c r="AQ209" s="323">
        <f t="shared" si="86"/>
        <v>0</v>
      </c>
      <c r="AR209" s="43"/>
      <c r="AS209" s="44">
        <f t="shared" si="87"/>
        <v>37920</v>
      </c>
    </row>
    <row r="210" spans="1:45" x14ac:dyDescent="0.25">
      <c r="A210" s="28"/>
      <c r="B210" s="43"/>
      <c r="C210" s="43"/>
      <c r="D210" s="43"/>
      <c r="E210" s="43" t="s">
        <v>797</v>
      </c>
      <c r="F210" s="43" t="s">
        <v>1241</v>
      </c>
      <c r="G210" s="46">
        <f t="shared" si="74"/>
        <v>49760</v>
      </c>
      <c r="H210" s="46">
        <f t="shared" si="75"/>
        <v>45157.200000000004</v>
      </c>
      <c r="I210" s="28" t="s">
        <v>262</v>
      </c>
      <c r="J210" s="337">
        <v>1</v>
      </c>
      <c r="K210" s="46">
        <f t="shared" si="76"/>
        <v>49760</v>
      </c>
      <c r="L210" s="46">
        <f t="shared" si="77"/>
        <v>45157.200000000004</v>
      </c>
      <c r="M210" s="338">
        <f t="shared" si="78"/>
        <v>0</v>
      </c>
      <c r="N210" s="43" t="s">
        <v>669</v>
      </c>
      <c r="O210" s="339" t="s">
        <v>167</v>
      </c>
      <c r="P210" s="340" t="str">
        <f>IFERROR(VLOOKUP(O210,NCM!$A$3:$D$99,COLUMN(head_porNCM_IPI)-COLUMN(head_porNCM_NCM)+1,FALSE),"")</f>
        <v/>
      </c>
      <c r="Q210" s="43" t="s">
        <v>1879</v>
      </c>
      <c r="R210" s="78" t="s">
        <v>209</v>
      </c>
      <c r="S210" s="341"/>
      <c r="T210" s="28" t="s">
        <v>53</v>
      </c>
      <c r="U210" s="28" t="s">
        <v>2753</v>
      </c>
      <c r="V210" s="548">
        <v>45425</v>
      </c>
      <c r="W210" s="43"/>
      <c r="X210" s="342">
        <f t="shared" si="79"/>
        <v>0</v>
      </c>
      <c r="Y210" s="342">
        <f t="shared" si="80"/>
        <v>0</v>
      </c>
      <c r="Z210" s="46">
        <f t="shared" si="81"/>
        <v>821.04000000000008</v>
      </c>
      <c r="AA210" s="46">
        <f t="shared" si="82"/>
        <v>3781.7599999999998</v>
      </c>
      <c r="AB210" s="43"/>
      <c r="AC210" s="44">
        <v>49760</v>
      </c>
      <c r="AD210" s="31">
        <v>0</v>
      </c>
      <c r="AE210" s="31">
        <v>0</v>
      </c>
      <c r="AF210" s="31">
        <v>0</v>
      </c>
      <c r="AG210" s="28" t="s">
        <v>53</v>
      </c>
      <c r="AH210" s="46">
        <f t="shared" si="83"/>
        <v>49760</v>
      </c>
      <c r="AI210" s="43"/>
      <c r="AJ210" s="28"/>
      <c r="AK210" s="337"/>
      <c r="AL210" s="43"/>
      <c r="AM210" s="44">
        <f t="shared" si="84"/>
        <v>0</v>
      </c>
      <c r="AN210" s="43"/>
      <c r="AO210" s="28">
        <f t="shared" si="85"/>
        <v>0</v>
      </c>
      <c r="AP210" s="43"/>
      <c r="AQ210" s="323">
        <f t="shared" si="86"/>
        <v>0</v>
      </c>
      <c r="AR210" s="43"/>
      <c r="AS210" s="44">
        <f t="shared" si="87"/>
        <v>49760</v>
      </c>
    </row>
    <row r="211" spans="1:45" x14ac:dyDescent="0.25">
      <c r="A211" s="28"/>
      <c r="B211" s="43"/>
      <c r="C211" s="43"/>
      <c r="D211" s="43"/>
      <c r="E211" s="43" t="s">
        <v>1242</v>
      </c>
      <c r="F211" s="43" t="s">
        <v>1243</v>
      </c>
      <c r="G211" s="46">
        <f t="shared" si="74"/>
        <v>70410</v>
      </c>
      <c r="H211" s="46">
        <f t="shared" si="75"/>
        <v>63897.075000000004</v>
      </c>
      <c r="I211" s="28" t="s">
        <v>262</v>
      </c>
      <c r="J211" s="337">
        <v>1</v>
      </c>
      <c r="K211" s="46">
        <f t="shared" si="76"/>
        <v>70410</v>
      </c>
      <c r="L211" s="46">
        <f t="shared" si="77"/>
        <v>63897.075000000004</v>
      </c>
      <c r="M211" s="338">
        <f t="shared" si="78"/>
        <v>0</v>
      </c>
      <c r="N211" s="43" t="s">
        <v>669</v>
      </c>
      <c r="O211" s="339" t="s">
        <v>167</v>
      </c>
      <c r="P211" s="340" t="str">
        <f>IFERROR(VLOOKUP(O211,NCM!$A$3:$D$99,COLUMN(head_porNCM_IPI)-COLUMN(head_porNCM_NCM)+1,FALSE),"")</f>
        <v/>
      </c>
      <c r="Q211" s="43" t="s">
        <v>1879</v>
      </c>
      <c r="R211" s="78" t="s">
        <v>209</v>
      </c>
      <c r="S211" s="341"/>
      <c r="T211" s="28" t="s">
        <v>53</v>
      </c>
      <c r="U211" s="28" t="s">
        <v>2753</v>
      </c>
      <c r="V211" s="548">
        <v>45425</v>
      </c>
      <c r="W211" s="43"/>
      <c r="X211" s="342">
        <f t="shared" si="79"/>
        <v>0</v>
      </c>
      <c r="Y211" s="342">
        <f t="shared" si="80"/>
        <v>0</v>
      </c>
      <c r="Z211" s="46">
        <f t="shared" si="81"/>
        <v>1161.7650000000001</v>
      </c>
      <c r="AA211" s="46">
        <f t="shared" si="82"/>
        <v>5351.16</v>
      </c>
      <c r="AB211" s="43"/>
      <c r="AC211" s="44">
        <v>70410</v>
      </c>
      <c r="AD211" s="31">
        <v>0</v>
      </c>
      <c r="AE211" s="31">
        <v>0</v>
      </c>
      <c r="AF211" s="31">
        <v>0</v>
      </c>
      <c r="AG211" s="28" t="s">
        <v>53</v>
      </c>
      <c r="AH211" s="46">
        <f t="shared" si="83"/>
        <v>70410</v>
      </c>
      <c r="AI211" s="43"/>
      <c r="AJ211" s="28"/>
      <c r="AK211" s="337"/>
      <c r="AL211" s="43"/>
      <c r="AM211" s="44">
        <f t="shared" si="84"/>
        <v>0</v>
      </c>
      <c r="AN211" s="43"/>
      <c r="AO211" s="28">
        <f t="shared" si="85"/>
        <v>0</v>
      </c>
      <c r="AP211" s="43"/>
      <c r="AQ211" s="323">
        <f t="shared" si="86"/>
        <v>0</v>
      </c>
      <c r="AR211" s="43"/>
      <c r="AS211" s="44">
        <f t="shared" si="87"/>
        <v>70410</v>
      </c>
    </row>
    <row r="212" spans="1:45" x14ac:dyDescent="0.25">
      <c r="A212" s="28"/>
      <c r="B212" s="43"/>
      <c r="C212" s="43"/>
      <c r="D212" s="43"/>
      <c r="E212" s="43" t="s">
        <v>2043</v>
      </c>
      <c r="F212" s="43" t="s">
        <v>2446</v>
      </c>
      <c r="G212" s="46">
        <f t="shared" si="74"/>
        <v>85050</v>
      </c>
      <c r="H212" s="46">
        <f t="shared" si="75"/>
        <v>77182.875</v>
      </c>
      <c r="I212" s="28" t="s">
        <v>262</v>
      </c>
      <c r="J212" s="337">
        <v>1</v>
      </c>
      <c r="K212" s="46">
        <f t="shared" si="76"/>
        <v>85050</v>
      </c>
      <c r="L212" s="46">
        <f t="shared" si="77"/>
        <v>77182.875</v>
      </c>
      <c r="M212" s="338">
        <f t="shared" si="78"/>
        <v>0</v>
      </c>
      <c r="N212" s="43" t="s">
        <v>669</v>
      </c>
      <c r="O212" s="339" t="s">
        <v>167</v>
      </c>
      <c r="P212" s="340" t="str">
        <f>IFERROR(VLOOKUP(O212,NCM!$A$3:$D$99,COLUMN(head_porNCM_IPI)-COLUMN(head_porNCM_NCM)+1,FALSE),"")</f>
        <v/>
      </c>
      <c r="Q212" s="43" t="s">
        <v>1879</v>
      </c>
      <c r="R212" s="78" t="s">
        <v>209</v>
      </c>
      <c r="S212" s="341"/>
      <c r="T212" s="28" t="s">
        <v>53</v>
      </c>
      <c r="U212" s="28" t="s">
        <v>2753</v>
      </c>
      <c r="V212" s="548">
        <v>45425</v>
      </c>
      <c r="W212" s="43"/>
      <c r="X212" s="342">
        <f t="shared" si="79"/>
        <v>0</v>
      </c>
      <c r="Y212" s="342">
        <f t="shared" si="80"/>
        <v>0</v>
      </c>
      <c r="Z212" s="46">
        <f t="shared" si="81"/>
        <v>1403.325</v>
      </c>
      <c r="AA212" s="46">
        <f t="shared" si="82"/>
        <v>6463.8</v>
      </c>
      <c r="AB212" s="43"/>
      <c r="AC212" s="44">
        <v>85050</v>
      </c>
      <c r="AD212" s="31">
        <v>0</v>
      </c>
      <c r="AE212" s="31">
        <v>0</v>
      </c>
      <c r="AF212" s="31">
        <v>0</v>
      </c>
      <c r="AG212" s="28" t="s">
        <v>53</v>
      </c>
      <c r="AH212" s="46">
        <f t="shared" si="83"/>
        <v>85050</v>
      </c>
      <c r="AI212" s="43"/>
      <c r="AJ212" s="28"/>
      <c r="AK212" s="337"/>
      <c r="AL212" s="43"/>
      <c r="AM212" s="44">
        <f t="shared" si="84"/>
        <v>0</v>
      </c>
      <c r="AN212" s="43"/>
      <c r="AO212" s="28">
        <f t="shared" si="85"/>
        <v>0</v>
      </c>
      <c r="AP212" s="43"/>
      <c r="AQ212" s="323">
        <f t="shared" si="86"/>
        <v>0</v>
      </c>
      <c r="AR212" s="43"/>
      <c r="AS212" s="44">
        <f t="shared" si="87"/>
        <v>85050</v>
      </c>
    </row>
    <row r="213" spans="1:45" x14ac:dyDescent="0.25">
      <c r="A213" s="28"/>
      <c r="B213" s="43"/>
      <c r="C213" s="43"/>
      <c r="D213" s="43"/>
      <c r="E213" s="43" t="s">
        <v>2447</v>
      </c>
      <c r="F213" s="43" t="s">
        <v>2448</v>
      </c>
      <c r="G213" s="46">
        <f t="shared" si="74"/>
        <v>110610</v>
      </c>
      <c r="H213" s="46">
        <f t="shared" si="75"/>
        <v>100378.57500000001</v>
      </c>
      <c r="I213" s="28" t="s">
        <v>262</v>
      </c>
      <c r="J213" s="337">
        <v>1</v>
      </c>
      <c r="K213" s="46">
        <f t="shared" si="76"/>
        <v>110610</v>
      </c>
      <c r="L213" s="46">
        <f t="shared" si="77"/>
        <v>100378.57500000001</v>
      </c>
      <c r="M213" s="338">
        <f t="shared" si="78"/>
        <v>0</v>
      </c>
      <c r="N213" s="43" t="s">
        <v>669</v>
      </c>
      <c r="O213" s="339" t="s">
        <v>167</v>
      </c>
      <c r="P213" s="340" t="str">
        <f>IFERROR(VLOOKUP(O213,NCM!$A$3:$D$99,COLUMN(head_porNCM_IPI)-COLUMN(head_porNCM_NCM)+1,FALSE),"")</f>
        <v/>
      </c>
      <c r="Q213" s="43" t="s">
        <v>1879</v>
      </c>
      <c r="R213" s="78" t="s">
        <v>209</v>
      </c>
      <c r="S213" s="341"/>
      <c r="T213" s="28" t="s">
        <v>53</v>
      </c>
      <c r="U213" s="28" t="s">
        <v>2753</v>
      </c>
      <c r="V213" s="548">
        <v>45425</v>
      </c>
      <c r="W213" s="43"/>
      <c r="X213" s="342">
        <f t="shared" si="79"/>
        <v>0</v>
      </c>
      <c r="Y213" s="342">
        <f t="shared" si="80"/>
        <v>0</v>
      </c>
      <c r="Z213" s="46">
        <f t="shared" si="81"/>
        <v>1825.0650000000001</v>
      </c>
      <c r="AA213" s="46">
        <f t="shared" si="82"/>
        <v>8406.36</v>
      </c>
      <c r="AB213" s="43"/>
      <c r="AC213" s="44">
        <v>110610</v>
      </c>
      <c r="AD213" s="31">
        <v>0</v>
      </c>
      <c r="AE213" s="31">
        <v>0</v>
      </c>
      <c r="AF213" s="31">
        <v>0</v>
      </c>
      <c r="AG213" s="28" t="s">
        <v>53</v>
      </c>
      <c r="AH213" s="46">
        <f t="shared" si="83"/>
        <v>110610</v>
      </c>
      <c r="AI213" s="43"/>
      <c r="AJ213" s="28"/>
      <c r="AK213" s="337"/>
      <c r="AL213" s="43"/>
      <c r="AM213" s="44">
        <f t="shared" si="84"/>
        <v>0</v>
      </c>
      <c r="AN213" s="43"/>
      <c r="AO213" s="28">
        <f t="shared" si="85"/>
        <v>0</v>
      </c>
      <c r="AP213" s="43"/>
      <c r="AQ213" s="323">
        <f t="shared" si="86"/>
        <v>0</v>
      </c>
      <c r="AR213" s="43"/>
      <c r="AS213" s="44">
        <f t="shared" si="87"/>
        <v>110610</v>
      </c>
    </row>
    <row r="214" spans="1:45" x14ac:dyDescent="0.25">
      <c r="A214" s="28"/>
      <c r="B214" s="43"/>
      <c r="C214" s="43"/>
      <c r="D214" s="43"/>
      <c r="E214" s="43" t="s">
        <v>2449</v>
      </c>
      <c r="F214" s="43" t="s">
        <v>2450</v>
      </c>
      <c r="G214" s="46">
        <f t="shared" si="74"/>
        <v>17320</v>
      </c>
      <c r="H214" s="46">
        <f t="shared" si="75"/>
        <v>15717.900000000001</v>
      </c>
      <c r="I214" s="28" t="s">
        <v>262</v>
      </c>
      <c r="J214" s="337">
        <v>1</v>
      </c>
      <c r="K214" s="46">
        <f t="shared" si="76"/>
        <v>17320</v>
      </c>
      <c r="L214" s="46">
        <f t="shared" si="77"/>
        <v>15717.900000000001</v>
      </c>
      <c r="M214" s="338">
        <f t="shared" si="78"/>
        <v>0</v>
      </c>
      <c r="N214" s="43" t="s">
        <v>669</v>
      </c>
      <c r="O214" s="339" t="s">
        <v>167</v>
      </c>
      <c r="P214" s="340" t="str">
        <f>IFERROR(VLOOKUP(O214,NCM!$A$3:$D$99,COLUMN(head_porNCM_IPI)-COLUMN(head_porNCM_NCM)+1,FALSE),"")</f>
        <v/>
      </c>
      <c r="Q214" s="43" t="s">
        <v>1879</v>
      </c>
      <c r="R214" s="78" t="s">
        <v>209</v>
      </c>
      <c r="S214" s="341"/>
      <c r="T214" s="28" t="s">
        <v>53</v>
      </c>
      <c r="U214" s="28" t="s">
        <v>2753</v>
      </c>
      <c r="V214" s="548">
        <v>45425</v>
      </c>
      <c r="W214" s="43"/>
      <c r="X214" s="342">
        <f t="shared" si="79"/>
        <v>0</v>
      </c>
      <c r="Y214" s="342">
        <f t="shared" si="80"/>
        <v>0</v>
      </c>
      <c r="Z214" s="46">
        <f t="shared" si="81"/>
        <v>285.78000000000003</v>
      </c>
      <c r="AA214" s="46">
        <f t="shared" si="82"/>
        <v>1316.32</v>
      </c>
      <c r="AB214" s="43"/>
      <c r="AC214" s="44">
        <v>17320</v>
      </c>
      <c r="AD214" s="31">
        <v>0</v>
      </c>
      <c r="AE214" s="31">
        <v>0</v>
      </c>
      <c r="AF214" s="31">
        <v>0</v>
      </c>
      <c r="AG214" s="28" t="s">
        <v>53</v>
      </c>
      <c r="AH214" s="46">
        <f t="shared" si="83"/>
        <v>17320</v>
      </c>
      <c r="AI214" s="43"/>
      <c r="AJ214" s="28"/>
      <c r="AK214" s="337"/>
      <c r="AL214" s="43"/>
      <c r="AM214" s="44">
        <f t="shared" si="84"/>
        <v>0</v>
      </c>
      <c r="AN214" s="43"/>
      <c r="AO214" s="28">
        <f t="shared" si="85"/>
        <v>0</v>
      </c>
      <c r="AP214" s="43"/>
      <c r="AQ214" s="323">
        <f t="shared" si="86"/>
        <v>0</v>
      </c>
      <c r="AR214" s="43"/>
      <c r="AS214" s="44">
        <f t="shared" si="87"/>
        <v>17320</v>
      </c>
    </row>
    <row r="215" spans="1:45" x14ac:dyDescent="0.25">
      <c r="A215" s="28"/>
      <c r="B215" s="43"/>
      <c r="C215" s="43"/>
      <c r="D215" s="43"/>
      <c r="E215" s="43" t="s">
        <v>2451</v>
      </c>
      <c r="F215" s="43" t="s">
        <v>2452</v>
      </c>
      <c r="G215" s="46">
        <f t="shared" si="74"/>
        <v>22050</v>
      </c>
      <c r="H215" s="46">
        <f t="shared" si="75"/>
        <v>20010.375000000004</v>
      </c>
      <c r="I215" s="28" t="s">
        <v>262</v>
      </c>
      <c r="J215" s="337">
        <v>1</v>
      </c>
      <c r="K215" s="46">
        <f t="shared" si="76"/>
        <v>22050</v>
      </c>
      <c r="L215" s="46">
        <f t="shared" si="77"/>
        <v>20010.375000000004</v>
      </c>
      <c r="M215" s="338">
        <f t="shared" si="78"/>
        <v>0</v>
      </c>
      <c r="N215" s="43" t="s">
        <v>669</v>
      </c>
      <c r="O215" s="339" t="s">
        <v>167</v>
      </c>
      <c r="P215" s="340" t="str">
        <f>IFERROR(VLOOKUP(O215,NCM!$A$3:$D$99,COLUMN(head_porNCM_IPI)-COLUMN(head_porNCM_NCM)+1,FALSE),"")</f>
        <v/>
      </c>
      <c r="Q215" s="43" t="s">
        <v>1879</v>
      </c>
      <c r="R215" s="78" t="s">
        <v>209</v>
      </c>
      <c r="S215" s="341"/>
      <c r="T215" s="28" t="s">
        <v>53</v>
      </c>
      <c r="U215" s="28" t="s">
        <v>2753</v>
      </c>
      <c r="V215" s="548">
        <v>45425</v>
      </c>
      <c r="W215" s="43"/>
      <c r="X215" s="342">
        <f t="shared" si="79"/>
        <v>0</v>
      </c>
      <c r="Y215" s="342">
        <f t="shared" si="80"/>
        <v>0</v>
      </c>
      <c r="Z215" s="46">
        <f t="shared" si="81"/>
        <v>363.82500000000005</v>
      </c>
      <c r="AA215" s="46">
        <f t="shared" si="82"/>
        <v>1675.8</v>
      </c>
      <c r="AB215" s="43"/>
      <c r="AC215" s="44">
        <v>22050</v>
      </c>
      <c r="AD215" s="31">
        <v>0</v>
      </c>
      <c r="AE215" s="31">
        <v>0</v>
      </c>
      <c r="AF215" s="31">
        <v>0</v>
      </c>
      <c r="AG215" s="28" t="s">
        <v>53</v>
      </c>
      <c r="AH215" s="46">
        <f t="shared" si="83"/>
        <v>22050</v>
      </c>
      <c r="AI215" s="43"/>
      <c r="AJ215" s="28"/>
      <c r="AK215" s="337"/>
      <c r="AL215" s="43"/>
      <c r="AM215" s="44">
        <f t="shared" si="84"/>
        <v>0</v>
      </c>
      <c r="AN215" s="43"/>
      <c r="AO215" s="28">
        <f t="shared" si="85"/>
        <v>0</v>
      </c>
      <c r="AP215" s="43"/>
      <c r="AQ215" s="323">
        <f t="shared" si="86"/>
        <v>0</v>
      </c>
      <c r="AR215" s="43"/>
      <c r="AS215" s="44">
        <f t="shared" si="87"/>
        <v>22050</v>
      </c>
    </row>
    <row r="216" spans="1:45" x14ac:dyDescent="0.25">
      <c r="A216" s="28"/>
      <c r="B216" s="43"/>
      <c r="C216" s="43"/>
      <c r="D216" s="43"/>
      <c r="E216" s="43" t="s">
        <v>2453</v>
      </c>
      <c r="F216" s="43" t="s">
        <v>2454</v>
      </c>
      <c r="G216" s="46">
        <f t="shared" si="74"/>
        <v>25600</v>
      </c>
      <c r="H216" s="46">
        <f t="shared" si="75"/>
        <v>23232.000000000004</v>
      </c>
      <c r="I216" s="28" t="s">
        <v>262</v>
      </c>
      <c r="J216" s="337">
        <v>1</v>
      </c>
      <c r="K216" s="46">
        <f t="shared" si="76"/>
        <v>25600</v>
      </c>
      <c r="L216" s="46">
        <f t="shared" si="77"/>
        <v>23232.000000000004</v>
      </c>
      <c r="M216" s="338">
        <f t="shared" si="78"/>
        <v>0</v>
      </c>
      <c r="N216" s="43" t="s">
        <v>669</v>
      </c>
      <c r="O216" s="339" t="s">
        <v>167</v>
      </c>
      <c r="P216" s="340" t="str">
        <f>IFERROR(VLOOKUP(O216,NCM!$A$3:$D$99,COLUMN(head_porNCM_IPI)-COLUMN(head_porNCM_NCM)+1,FALSE),"")</f>
        <v/>
      </c>
      <c r="Q216" s="43" t="s">
        <v>1879</v>
      </c>
      <c r="R216" s="78" t="s">
        <v>209</v>
      </c>
      <c r="S216" s="341"/>
      <c r="T216" s="28" t="s">
        <v>53</v>
      </c>
      <c r="U216" s="28" t="s">
        <v>2753</v>
      </c>
      <c r="V216" s="548">
        <v>45425</v>
      </c>
      <c r="W216" s="43"/>
      <c r="X216" s="342">
        <f t="shared" si="79"/>
        <v>0</v>
      </c>
      <c r="Y216" s="342">
        <f t="shared" si="80"/>
        <v>0</v>
      </c>
      <c r="Z216" s="46">
        <f t="shared" si="81"/>
        <v>422.40000000000003</v>
      </c>
      <c r="AA216" s="46">
        <f t="shared" si="82"/>
        <v>1945.6</v>
      </c>
      <c r="AB216" s="43"/>
      <c r="AC216" s="44">
        <v>25600</v>
      </c>
      <c r="AD216" s="31">
        <v>0</v>
      </c>
      <c r="AE216" s="31">
        <v>0</v>
      </c>
      <c r="AF216" s="31">
        <v>0</v>
      </c>
      <c r="AG216" s="28" t="s">
        <v>53</v>
      </c>
      <c r="AH216" s="46">
        <f t="shared" si="83"/>
        <v>25600</v>
      </c>
      <c r="AI216" s="43"/>
      <c r="AJ216" s="28"/>
      <c r="AK216" s="337"/>
      <c r="AL216" s="43"/>
      <c r="AM216" s="44">
        <f t="shared" si="84"/>
        <v>0</v>
      </c>
      <c r="AN216" s="43"/>
      <c r="AO216" s="28">
        <f t="shared" si="85"/>
        <v>0</v>
      </c>
      <c r="AP216" s="43"/>
      <c r="AQ216" s="323">
        <f t="shared" si="86"/>
        <v>0</v>
      </c>
      <c r="AR216" s="43"/>
      <c r="AS216" s="44">
        <f t="shared" si="87"/>
        <v>25600</v>
      </c>
    </row>
    <row r="217" spans="1:45" x14ac:dyDescent="0.25">
      <c r="A217" s="28"/>
      <c r="B217" s="43"/>
      <c r="C217" s="43"/>
      <c r="D217" s="43"/>
      <c r="E217" s="43" t="s">
        <v>1244</v>
      </c>
      <c r="F217" s="43" t="s">
        <v>1245</v>
      </c>
      <c r="G217" s="46">
        <f t="shared" si="74"/>
        <v>30390</v>
      </c>
      <c r="H217" s="46">
        <f t="shared" si="75"/>
        <v>27578.925000000003</v>
      </c>
      <c r="I217" s="28" t="s">
        <v>262</v>
      </c>
      <c r="J217" s="337">
        <v>1</v>
      </c>
      <c r="K217" s="46">
        <f t="shared" si="76"/>
        <v>30390</v>
      </c>
      <c r="L217" s="46">
        <f t="shared" si="77"/>
        <v>27578.925000000003</v>
      </c>
      <c r="M217" s="338">
        <f t="shared" si="78"/>
        <v>0</v>
      </c>
      <c r="N217" s="43" t="s">
        <v>669</v>
      </c>
      <c r="O217" s="339" t="s">
        <v>167</v>
      </c>
      <c r="P217" s="340" t="str">
        <f>IFERROR(VLOOKUP(O217,NCM!$A$3:$D$99,COLUMN(head_porNCM_IPI)-COLUMN(head_porNCM_NCM)+1,FALSE),"")</f>
        <v/>
      </c>
      <c r="Q217" s="43" t="s">
        <v>1879</v>
      </c>
      <c r="R217" s="78" t="s">
        <v>209</v>
      </c>
      <c r="S217" s="341"/>
      <c r="T217" s="28" t="s">
        <v>53</v>
      </c>
      <c r="U217" s="28" t="s">
        <v>2753</v>
      </c>
      <c r="V217" s="548">
        <v>45425</v>
      </c>
      <c r="W217" s="43"/>
      <c r="X217" s="342">
        <f t="shared" si="79"/>
        <v>0</v>
      </c>
      <c r="Y217" s="342">
        <f t="shared" si="80"/>
        <v>0</v>
      </c>
      <c r="Z217" s="46">
        <f t="shared" si="81"/>
        <v>501.435</v>
      </c>
      <c r="AA217" s="46">
        <f t="shared" si="82"/>
        <v>2309.64</v>
      </c>
      <c r="AB217" s="43"/>
      <c r="AC217" s="44">
        <v>30390</v>
      </c>
      <c r="AD217" s="31">
        <v>0</v>
      </c>
      <c r="AE217" s="31">
        <v>0</v>
      </c>
      <c r="AF217" s="31">
        <v>0</v>
      </c>
      <c r="AG217" s="28" t="s">
        <v>53</v>
      </c>
      <c r="AH217" s="46">
        <f t="shared" si="83"/>
        <v>30390</v>
      </c>
      <c r="AI217" s="43"/>
      <c r="AJ217" s="28"/>
      <c r="AK217" s="337"/>
      <c r="AL217" s="43"/>
      <c r="AM217" s="44">
        <f t="shared" si="84"/>
        <v>0</v>
      </c>
      <c r="AN217" s="43"/>
      <c r="AO217" s="28">
        <f t="shared" si="85"/>
        <v>0</v>
      </c>
      <c r="AP217" s="43"/>
      <c r="AQ217" s="323">
        <f t="shared" si="86"/>
        <v>0</v>
      </c>
      <c r="AR217" s="43"/>
      <c r="AS217" s="44">
        <f t="shared" si="87"/>
        <v>30390</v>
      </c>
    </row>
    <row r="218" spans="1:45" x14ac:dyDescent="0.25">
      <c r="A218" s="28"/>
      <c r="B218" s="43"/>
      <c r="C218" s="43"/>
      <c r="D218" s="43"/>
      <c r="E218" s="43" t="s">
        <v>1246</v>
      </c>
      <c r="F218" s="43" t="s">
        <v>1247</v>
      </c>
      <c r="G218" s="46">
        <f t="shared" si="74"/>
        <v>37920</v>
      </c>
      <c r="H218" s="46">
        <f t="shared" si="75"/>
        <v>34412.400000000001</v>
      </c>
      <c r="I218" s="28" t="s">
        <v>262</v>
      </c>
      <c r="J218" s="337">
        <v>1</v>
      </c>
      <c r="K218" s="46">
        <f t="shared" si="76"/>
        <v>37920</v>
      </c>
      <c r="L218" s="46">
        <f t="shared" si="77"/>
        <v>34412.400000000001</v>
      </c>
      <c r="M218" s="338">
        <f t="shared" si="78"/>
        <v>0</v>
      </c>
      <c r="N218" s="43" t="s">
        <v>669</v>
      </c>
      <c r="O218" s="339" t="s">
        <v>167</v>
      </c>
      <c r="P218" s="340" t="str">
        <f>IFERROR(VLOOKUP(O218,NCM!$A$3:$D$99,COLUMN(head_porNCM_IPI)-COLUMN(head_porNCM_NCM)+1,FALSE),"")</f>
        <v/>
      </c>
      <c r="Q218" s="43" t="s">
        <v>1879</v>
      </c>
      <c r="R218" s="78" t="s">
        <v>209</v>
      </c>
      <c r="S218" s="341"/>
      <c r="T218" s="28" t="s">
        <v>53</v>
      </c>
      <c r="U218" s="28" t="s">
        <v>2753</v>
      </c>
      <c r="V218" s="548">
        <v>45425</v>
      </c>
      <c r="W218" s="43"/>
      <c r="X218" s="342">
        <f t="shared" si="79"/>
        <v>0</v>
      </c>
      <c r="Y218" s="342">
        <f t="shared" si="80"/>
        <v>0</v>
      </c>
      <c r="Z218" s="46">
        <f t="shared" si="81"/>
        <v>625.68000000000006</v>
      </c>
      <c r="AA218" s="46">
        <f t="shared" si="82"/>
        <v>2881.92</v>
      </c>
      <c r="AB218" s="43"/>
      <c r="AC218" s="44">
        <v>37920</v>
      </c>
      <c r="AD218" s="31">
        <v>0</v>
      </c>
      <c r="AE218" s="31">
        <v>0</v>
      </c>
      <c r="AF218" s="31">
        <v>0</v>
      </c>
      <c r="AG218" s="28" t="s">
        <v>53</v>
      </c>
      <c r="AH218" s="46">
        <f t="shared" si="83"/>
        <v>37920</v>
      </c>
      <c r="AI218" s="43"/>
      <c r="AJ218" s="28"/>
      <c r="AK218" s="337"/>
      <c r="AL218" s="43"/>
      <c r="AM218" s="44">
        <f t="shared" si="84"/>
        <v>0</v>
      </c>
      <c r="AN218" s="43"/>
      <c r="AO218" s="28">
        <f t="shared" si="85"/>
        <v>0</v>
      </c>
      <c r="AP218" s="43"/>
      <c r="AQ218" s="323">
        <f t="shared" si="86"/>
        <v>0</v>
      </c>
      <c r="AR218" s="43"/>
      <c r="AS218" s="44">
        <f t="shared" si="87"/>
        <v>37920</v>
      </c>
    </row>
    <row r="219" spans="1:45" x14ac:dyDescent="0.25">
      <c r="A219" s="28"/>
      <c r="B219" s="43"/>
      <c r="C219" s="43"/>
      <c r="D219" s="43"/>
      <c r="E219" s="43" t="s">
        <v>1248</v>
      </c>
      <c r="F219" s="43" t="s">
        <v>1249</v>
      </c>
      <c r="G219" s="46">
        <f t="shared" si="74"/>
        <v>49760</v>
      </c>
      <c r="H219" s="46">
        <f t="shared" si="75"/>
        <v>45157.200000000004</v>
      </c>
      <c r="I219" s="28" t="s">
        <v>262</v>
      </c>
      <c r="J219" s="337">
        <v>1</v>
      </c>
      <c r="K219" s="46">
        <f t="shared" si="76"/>
        <v>49760</v>
      </c>
      <c r="L219" s="46">
        <f t="shared" si="77"/>
        <v>45157.200000000004</v>
      </c>
      <c r="M219" s="338">
        <f t="shared" si="78"/>
        <v>0</v>
      </c>
      <c r="N219" s="43" t="s">
        <v>669</v>
      </c>
      <c r="O219" s="339" t="s">
        <v>167</v>
      </c>
      <c r="P219" s="340" t="str">
        <f>IFERROR(VLOOKUP(O219,NCM!$A$3:$D$99,COLUMN(head_porNCM_IPI)-COLUMN(head_porNCM_NCM)+1,FALSE),"")</f>
        <v/>
      </c>
      <c r="Q219" s="43" t="s">
        <v>1879</v>
      </c>
      <c r="R219" s="78" t="s">
        <v>209</v>
      </c>
      <c r="S219" s="341"/>
      <c r="T219" s="28" t="s">
        <v>53</v>
      </c>
      <c r="U219" s="28" t="s">
        <v>2753</v>
      </c>
      <c r="V219" s="548">
        <v>45425</v>
      </c>
      <c r="W219" s="43"/>
      <c r="X219" s="342">
        <f t="shared" si="79"/>
        <v>0</v>
      </c>
      <c r="Y219" s="342">
        <f t="shared" si="80"/>
        <v>0</v>
      </c>
      <c r="Z219" s="46">
        <f t="shared" si="81"/>
        <v>821.04000000000008</v>
      </c>
      <c r="AA219" s="46">
        <f t="shared" si="82"/>
        <v>3781.7599999999998</v>
      </c>
      <c r="AB219" s="43"/>
      <c r="AC219" s="44">
        <v>49760</v>
      </c>
      <c r="AD219" s="31">
        <v>0</v>
      </c>
      <c r="AE219" s="31">
        <v>0</v>
      </c>
      <c r="AF219" s="31">
        <v>0</v>
      </c>
      <c r="AG219" s="28" t="s">
        <v>53</v>
      </c>
      <c r="AH219" s="46">
        <f t="shared" si="83"/>
        <v>49760</v>
      </c>
      <c r="AI219" s="43"/>
      <c r="AJ219" s="28"/>
      <c r="AK219" s="337"/>
      <c r="AL219" s="43"/>
      <c r="AM219" s="44">
        <f t="shared" si="84"/>
        <v>0</v>
      </c>
      <c r="AN219" s="43"/>
      <c r="AO219" s="28">
        <f t="shared" si="85"/>
        <v>0</v>
      </c>
      <c r="AP219" s="43"/>
      <c r="AQ219" s="323">
        <f t="shared" si="86"/>
        <v>0</v>
      </c>
      <c r="AR219" s="43"/>
      <c r="AS219" s="44">
        <f t="shared" si="87"/>
        <v>49760</v>
      </c>
    </row>
    <row r="220" spans="1:45" x14ac:dyDescent="0.25">
      <c r="A220" s="28"/>
      <c r="B220" s="43"/>
      <c r="C220" s="43"/>
      <c r="D220" s="43"/>
      <c r="E220" s="43" t="s">
        <v>2455</v>
      </c>
      <c r="F220" s="43" t="s">
        <v>2456</v>
      </c>
      <c r="G220" s="46">
        <f t="shared" si="74"/>
        <v>70410</v>
      </c>
      <c r="H220" s="46">
        <f t="shared" si="75"/>
        <v>63897.075000000004</v>
      </c>
      <c r="I220" s="28" t="s">
        <v>262</v>
      </c>
      <c r="J220" s="337">
        <v>1</v>
      </c>
      <c r="K220" s="46">
        <f t="shared" si="76"/>
        <v>70410</v>
      </c>
      <c r="L220" s="46">
        <f t="shared" si="77"/>
        <v>63897.075000000004</v>
      </c>
      <c r="M220" s="338">
        <f t="shared" si="78"/>
        <v>0</v>
      </c>
      <c r="N220" s="43" t="s">
        <v>669</v>
      </c>
      <c r="O220" s="339" t="s">
        <v>167</v>
      </c>
      <c r="P220" s="340" t="str">
        <f>IFERROR(VLOOKUP(O220,NCM!$A$3:$D$99,COLUMN(head_porNCM_IPI)-COLUMN(head_porNCM_NCM)+1,FALSE),"")</f>
        <v/>
      </c>
      <c r="Q220" s="43" t="s">
        <v>1879</v>
      </c>
      <c r="R220" s="78" t="s">
        <v>209</v>
      </c>
      <c r="S220" s="341"/>
      <c r="T220" s="28" t="s">
        <v>53</v>
      </c>
      <c r="U220" s="28" t="s">
        <v>2753</v>
      </c>
      <c r="V220" s="548">
        <v>45425</v>
      </c>
      <c r="W220" s="43"/>
      <c r="X220" s="342">
        <f t="shared" si="79"/>
        <v>0</v>
      </c>
      <c r="Y220" s="342">
        <f t="shared" si="80"/>
        <v>0</v>
      </c>
      <c r="Z220" s="46">
        <f t="shared" si="81"/>
        <v>1161.7650000000001</v>
      </c>
      <c r="AA220" s="46">
        <f t="shared" si="82"/>
        <v>5351.16</v>
      </c>
      <c r="AB220" s="43"/>
      <c r="AC220" s="44">
        <v>70410</v>
      </c>
      <c r="AD220" s="31">
        <v>0</v>
      </c>
      <c r="AE220" s="31">
        <v>0</v>
      </c>
      <c r="AF220" s="31">
        <v>0</v>
      </c>
      <c r="AG220" s="28" t="s">
        <v>53</v>
      </c>
      <c r="AH220" s="46">
        <f t="shared" si="83"/>
        <v>70410</v>
      </c>
      <c r="AI220" s="43"/>
      <c r="AJ220" s="28"/>
      <c r="AK220" s="337"/>
      <c r="AL220" s="43"/>
      <c r="AM220" s="44">
        <f t="shared" si="84"/>
        <v>0</v>
      </c>
      <c r="AN220" s="43"/>
      <c r="AO220" s="28">
        <f t="shared" si="85"/>
        <v>0</v>
      </c>
      <c r="AP220" s="43"/>
      <c r="AQ220" s="323">
        <f t="shared" si="86"/>
        <v>0</v>
      </c>
      <c r="AR220" s="43"/>
      <c r="AS220" s="44">
        <f t="shared" si="87"/>
        <v>70410</v>
      </c>
    </row>
    <row r="221" spans="1:45" x14ac:dyDescent="0.25">
      <c r="A221" s="28"/>
      <c r="B221" s="43"/>
      <c r="C221" s="43"/>
      <c r="D221" s="43"/>
      <c r="E221" s="43" t="s">
        <v>2457</v>
      </c>
      <c r="F221" s="43" t="s">
        <v>2458</v>
      </c>
      <c r="G221" s="46">
        <f t="shared" si="74"/>
        <v>85050</v>
      </c>
      <c r="H221" s="46">
        <f t="shared" si="75"/>
        <v>77182.875</v>
      </c>
      <c r="I221" s="28" t="s">
        <v>262</v>
      </c>
      <c r="J221" s="337">
        <v>1</v>
      </c>
      <c r="K221" s="46">
        <f t="shared" si="76"/>
        <v>85050</v>
      </c>
      <c r="L221" s="46">
        <f t="shared" si="77"/>
        <v>77182.875</v>
      </c>
      <c r="M221" s="338">
        <f t="shared" si="78"/>
        <v>0</v>
      </c>
      <c r="N221" s="43" t="s">
        <v>669</v>
      </c>
      <c r="O221" s="339" t="s">
        <v>167</v>
      </c>
      <c r="P221" s="340" t="str">
        <f>IFERROR(VLOOKUP(O221,NCM!$A$3:$D$99,COLUMN(head_porNCM_IPI)-COLUMN(head_porNCM_NCM)+1,FALSE),"")</f>
        <v/>
      </c>
      <c r="Q221" s="43" t="s">
        <v>1879</v>
      </c>
      <c r="R221" s="78" t="s">
        <v>209</v>
      </c>
      <c r="S221" s="341"/>
      <c r="T221" s="28" t="s">
        <v>53</v>
      </c>
      <c r="U221" s="28" t="s">
        <v>2753</v>
      </c>
      <c r="V221" s="548">
        <v>45425</v>
      </c>
      <c r="W221" s="43"/>
      <c r="X221" s="342">
        <f t="shared" si="79"/>
        <v>0</v>
      </c>
      <c r="Y221" s="342">
        <f t="shared" si="80"/>
        <v>0</v>
      </c>
      <c r="Z221" s="46">
        <f t="shared" si="81"/>
        <v>1403.325</v>
      </c>
      <c r="AA221" s="46">
        <f t="shared" si="82"/>
        <v>6463.8</v>
      </c>
      <c r="AB221" s="43"/>
      <c r="AC221" s="44">
        <v>85050</v>
      </c>
      <c r="AD221" s="31">
        <v>0</v>
      </c>
      <c r="AE221" s="31">
        <v>0</v>
      </c>
      <c r="AF221" s="31">
        <v>0</v>
      </c>
      <c r="AG221" s="28" t="s">
        <v>53</v>
      </c>
      <c r="AH221" s="46">
        <f t="shared" si="83"/>
        <v>85050</v>
      </c>
      <c r="AI221" s="43"/>
      <c r="AJ221" s="28"/>
      <c r="AK221" s="337"/>
      <c r="AL221" s="43"/>
      <c r="AM221" s="44">
        <f t="shared" si="84"/>
        <v>0</v>
      </c>
      <c r="AN221" s="43"/>
      <c r="AO221" s="28">
        <f t="shared" si="85"/>
        <v>0</v>
      </c>
      <c r="AP221" s="43"/>
      <c r="AQ221" s="323">
        <f t="shared" si="86"/>
        <v>0</v>
      </c>
      <c r="AR221" s="43"/>
      <c r="AS221" s="44">
        <f t="shared" si="87"/>
        <v>85050</v>
      </c>
    </row>
    <row r="222" spans="1:45" x14ac:dyDescent="0.25">
      <c r="A222" s="28"/>
      <c r="B222" s="43"/>
      <c r="C222" s="43"/>
      <c r="D222" s="43"/>
      <c r="E222" s="43" t="s">
        <v>2459</v>
      </c>
      <c r="F222" s="43" t="s">
        <v>2460</v>
      </c>
      <c r="G222" s="46">
        <f t="shared" si="74"/>
        <v>110610</v>
      </c>
      <c r="H222" s="46">
        <f t="shared" si="75"/>
        <v>100378.57500000001</v>
      </c>
      <c r="I222" s="28" t="s">
        <v>262</v>
      </c>
      <c r="J222" s="337">
        <v>1</v>
      </c>
      <c r="K222" s="46">
        <f t="shared" si="76"/>
        <v>110610</v>
      </c>
      <c r="L222" s="46">
        <f t="shared" si="77"/>
        <v>100378.57500000001</v>
      </c>
      <c r="M222" s="338">
        <f t="shared" si="78"/>
        <v>0</v>
      </c>
      <c r="N222" s="43" t="s">
        <v>669</v>
      </c>
      <c r="O222" s="339" t="s">
        <v>167</v>
      </c>
      <c r="P222" s="340" t="str">
        <f>IFERROR(VLOOKUP(O222,NCM!$A$3:$D$99,COLUMN(head_porNCM_IPI)-COLUMN(head_porNCM_NCM)+1,FALSE),"")</f>
        <v/>
      </c>
      <c r="Q222" s="43" t="s">
        <v>1879</v>
      </c>
      <c r="R222" s="78" t="s">
        <v>209</v>
      </c>
      <c r="S222" s="341"/>
      <c r="T222" s="28" t="s">
        <v>53</v>
      </c>
      <c r="U222" s="28" t="s">
        <v>2753</v>
      </c>
      <c r="V222" s="548">
        <v>45425</v>
      </c>
      <c r="W222" s="43"/>
      <c r="X222" s="342">
        <f t="shared" si="79"/>
        <v>0</v>
      </c>
      <c r="Y222" s="342">
        <f t="shared" si="80"/>
        <v>0</v>
      </c>
      <c r="Z222" s="46">
        <f t="shared" si="81"/>
        <v>1825.0650000000001</v>
      </c>
      <c r="AA222" s="46">
        <f t="shared" si="82"/>
        <v>8406.36</v>
      </c>
      <c r="AB222" s="43"/>
      <c r="AC222" s="44">
        <v>110610</v>
      </c>
      <c r="AD222" s="31">
        <v>0</v>
      </c>
      <c r="AE222" s="31">
        <v>0</v>
      </c>
      <c r="AF222" s="31">
        <v>0</v>
      </c>
      <c r="AG222" s="28" t="s">
        <v>53</v>
      </c>
      <c r="AH222" s="46">
        <f t="shared" si="83"/>
        <v>110610</v>
      </c>
      <c r="AI222" s="43"/>
      <c r="AJ222" s="28"/>
      <c r="AK222" s="337"/>
      <c r="AL222" s="43"/>
      <c r="AM222" s="44">
        <f t="shared" si="84"/>
        <v>0</v>
      </c>
      <c r="AN222" s="43"/>
      <c r="AO222" s="28">
        <f t="shared" si="85"/>
        <v>0</v>
      </c>
      <c r="AP222" s="43"/>
      <c r="AQ222" s="323">
        <f t="shared" si="86"/>
        <v>0</v>
      </c>
      <c r="AR222" s="43"/>
      <c r="AS222" s="44">
        <f t="shared" si="87"/>
        <v>110610</v>
      </c>
    </row>
    <row r="223" spans="1:45" x14ac:dyDescent="0.25">
      <c r="A223" s="28"/>
      <c r="B223" s="43"/>
      <c r="C223" s="43"/>
      <c r="D223" s="43"/>
      <c r="E223" s="43" t="s">
        <v>2461</v>
      </c>
      <c r="F223" s="43" t="s">
        <v>2462</v>
      </c>
      <c r="G223" s="46">
        <f t="shared" si="74"/>
        <v>43150</v>
      </c>
      <c r="H223" s="46">
        <f t="shared" si="75"/>
        <v>39158.625000000007</v>
      </c>
      <c r="I223" s="28" t="s">
        <v>262</v>
      </c>
      <c r="J223" s="337">
        <v>1</v>
      </c>
      <c r="K223" s="46">
        <f t="shared" si="76"/>
        <v>43150</v>
      </c>
      <c r="L223" s="46">
        <f t="shared" si="77"/>
        <v>39158.625000000007</v>
      </c>
      <c r="M223" s="338">
        <f t="shared" si="78"/>
        <v>0</v>
      </c>
      <c r="N223" s="43" t="s">
        <v>669</v>
      </c>
      <c r="O223" s="339" t="s">
        <v>167</v>
      </c>
      <c r="P223" s="340" t="str">
        <f>IFERROR(VLOOKUP(O223,NCM!$A$3:$D$99,COLUMN(head_porNCM_IPI)-COLUMN(head_porNCM_NCM)+1,FALSE),"")</f>
        <v/>
      </c>
      <c r="Q223" s="43" t="s">
        <v>1879</v>
      </c>
      <c r="R223" s="78" t="s">
        <v>209</v>
      </c>
      <c r="S223" s="341"/>
      <c r="T223" s="28" t="s">
        <v>53</v>
      </c>
      <c r="U223" s="28" t="s">
        <v>2753</v>
      </c>
      <c r="V223" s="548">
        <v>45425</v>
      </c>
      <c r="W223" s="43"/>
      <c r="X223" s="342">
        <f t="shared" si="79"/>
        <v>0</v>
      </c>
      <c r="Y223" s="342">
        <f t="shared" si="80"/>
        <v>0</v>
      </c>
      <c r="Z223" s="46">
        <f t="shared" si="81"/>
        <v>711.97500000000002</v>
      </c>
      <c r="AA223" s="46">
        <f t="shared" si="82"/>
        <v>3279.4</v>
      </c>
      <c r="AB223" s="43"/>
      <c r="AC223" s="44">
        <v>43150</v>
      </c>
      <c r="AD223" s="31">
        <v>0</v>
      </c>
      <c r="AE223" s="31">
        <v>0</v>
      </c>
      <c r="AF223" s="31">
        <v>0</v>
      </c>
      <c r="AG223" s="28" t="s">
        <v>53</v>
      </c>
      <c r="AH223" s="46">
        <f t="shared" si="83"/>
        <v>43150</v>
      </c>
      <c r="AI223" s="43"/>
      <c r="AJ223" s="28"/>
      <c r="AK223" s="337"/>
      <c r="AL223" s="43"/>
      <c r="AM223" s="44">
        <f t="shared" si="84"/>
        <v>0</v>
      </c>
      <c r="AN223" s="43"/>
      <c r="AO223" s="28">
        <f t="shared" si="85"/>
        <v>0</v>
      </c>
      <c r="AP223" s="43"/>
      <c r="AQ223" s="323">
        <f t="shared" si="86"/>
        <v>0</v>
      </c>
      <c r="AR223" s="43"/>
      <c r="AS223" s="44">
        <f t="shared" si="87"/>
        <v>43150</v>
      </c>
    </row>
    <row r="224" spans="1:45" x14ac:dyDescent="0.25">
      <c r="A224" s="28"/>
      <c r="B224" s="43"/>
      <c r="C224" s="43"/>
      <c r="D224" s="43"/>
      <c r="E224" s="43" t="s">
        <v>2463</v>
      </c>
      <c r="F224" s="43" t="s">
        <v>2464</v>
      </c>
      <c r="G224" s="46">
        <f t="shared" si="74"/>
        <v>53320</v>
      </c>
      <c r="H224" s="46">
        <f t="shared" si="75"/>
        <v>48387.9</v>
      </c>
      <c r="I224" s="28" t="s">
        <v>262</v>
      </c>
      <c r="J224" s="337">
        <v>1</v>
      </c>
      <c r="K224" s="46">
        <f t="shared" si="76"/>
        <v>53320</v>
      </c>
      <c r="L224" s="46">
        <f t="shared" si="77"/>
        <v>48387.9</v>
      </c>
      <c r="M224" s="338">
        <f t="shared" si="78"/>
        <v>0</v>
      </c>
      <c r="N224" s="43" t="s">
        <v>669</v>
      </c>
      <c r="O224" s="339" t="s">
        <v>167</v>
      </c>
      <c r="P224" s="340" t="str">
        <f>IFERROR(VLOOKUP(O224,NCM!$A$3:$D$99,COLUMN(head_porNCM_IPI)-COLUMN(head_porNCM_NCM)+1,FALSE),"")</f>
        <v/>
      </c>
      <c r="Q224" s="43" t="s">
        <v>1879</v>
      </c>
      <c r="R224" s="78" t="s">
        <v>209</v>
      </c>
      <c r="S224" s="341"/>
      <c r="T224" s="28" t="s">
        <v>53</v>
      </c>
      <c r="U224" s="28" t="s">
        <v>2753</v>
      </c>
      <c r="V224" s="548">
        <v>45425</v>
      </c>
      <c r="W224" s="43"/>
      <c r="X224" s="342">
        <f t="shared" si="79"/>
        <v>0</v>
      </c>
      <c r="Y224" s="342">
        <f t="shared" si="80"/>
        <v>0</v>
      </c>
      <c r="Z224" s="46">
        <f t="shared" si="81"/>
        <v>879.78000000000009</v>
      </c>
      <c r="AA224" s="46">
        <f t="shared" si="82"/>
        <v>4052.3199999999997</v>
      </c>
      <c r="AB224" s="43"/>
      <c r="AC224" s="44">
        <v>53320</v>
      </c>
      <c r="AD224" s="31">
        <v>0</v>
      </c>
      <c r="AE224" s="31">
        <v>0</v>
      </c>
      <c r="AF224" s="31">
        <v>0</v>
      </c>
      <c r="AG224" s="28" t="s">
        <v>53</v>
      </c>
      <c r="AH224" s="46">
        <f t="shared" si="83"/>
        <v>53320</v>
      </c>
      <c r="AI224" s="43"/>
      <c r="AJ224" s="28"/>
      <c r="AK224" s="337"/>
      <c r="AL224" s="43"/>
      <c r="AM224" s="44">
        <f t="shared" si="84"/>
        <v>0</v>
      </c>
      <c r="AN224" s="43"/>
      <c r="AO224" s="28">
        <f t="shared" si="85"/>
        <v>0</v>
      </c>
      <c r="AP224" s="43"/>
      <c r="AQ224" s="323">
        <f t="shared" si="86"/>
        <v>0</v>
      </c>
      <c r="AR224" s="43"/>
      <c r="AS224" s="44">
        <f t="shared" si="87"/>
        <v>53320</v>
      </c>
    </row>
    <row r="225" spans="1:45" x14ac:dyDescent="0.25">
      <c r="A225" s="28"/>
      <c r="B225" s="43"/>
      <c r="C225" s="43"/>
      <c r="D225" s="43"/>
      <c r="E225" s="43" t="s">
        <v>2465</v>
      </c>
      <c r="F225" s="43" t="s">
        <v>2466</v>
      </c>
      <c r="G225" s="46">
        <f t="shared" si="74"/>
        <v>68590</v>
      </c>
      <c r="H225" s="46">
        <f t="shared" si="75"/>
        <v>62245.425000000003</v>
      </c>
      <c r="I225" s="28" t="s">
        <v>262</v>
      </c>
      <c r="J225" s="337">
        <v>1</v>
      </c>
      <c r="K225" s="46">
        <f t="shared" si="76"/>
        <v>68590</v>
      </c>
      <c r="L225" s="46">
        <f t="shared" si="77"/>
        <v>62245.425000000003</v>
      </c>
      <c r="M225" s="338">
        <f t="shared" si="78"/>
        <v>0</v>
      </c>
      <c r="N225" s="43" t="s">
        <v>669</v>
      </c>
      <c r="O225" s="339" t="s">
        <v>167</v>
      </c>
      <c r="P225" s="340" t="str">
        <f>IFERROR(VLOOKUP(O225,NCM!$A$3:$D$99,COLUMN(head_porNCM_IPI)-COLUMN(head_porNCM_NCM)+1,FALSE),"")</f>
        <v/>
      </c>
      <c r="Q225" s="43" t="s">
        <v>1879</v>
      </c>
      <c r="R225" s="78" t="s">
        <v>209</v>
      </c>
      <c r="S225" s="341"/>
      <c r="T225" s="28" t="s">
        <v>53</v>
      </c>
      <c r="U225" s="28" t="s">
        <v>2753</v>
      </c>
      <c r="V225" s="548">
        <v>45425</v>
      </c>
      <c r="W225" s="43"/>
      <c r="X225" s="342">
        <f t="shared" si="79"/>
        <v>0</v>
      </c>
      <c r="Y225" s="342">
        <f t="shared" si="80"/>
        <v>0</v>
      </c>
      <c r="Z225" s="46">
        <f t="shared" si="81"/>
        <v>1131.7350000000001</v>
      </c>
      <c r="AA225" s="46">
        <f t="shared" si="82"/>
        <v>5212.84</v>
      </c>
      <c r="AB225" s="43"/>
      <c r="AC225" s="44">
        <v>68590</v>
      </c>
      <c r="AD225" s="31">
        <v>0</v>
      </c>
      <c r="AE225" s="31">
        <v>0</v>
      </c>
      <c r="AF225" s="31">
        <v>0</v>
      </c>
      <c r="AG225" s="28" t="s">
        <v>53</v>
      </c>
      <c r="AH225" s="46">
        <f t="shared" si="83"/>
        <v>68590</v>
      </c>
      <c r="AI225" s="43"/>
      <c r="AJ225" s="28"/>
      <c r="AK225" s="337"/>
      <c r="AL225" s="43"/>
      <c r="AM225" s="44">
        <f t="shared" si="84"/>
        <v>0</v>
      </c>
      <c r="AN225" s="43"/>
      <c r="AO225" s="28">
        <f t="shared" si="85"/>
        <v>0</v>
      </c>
      <c r="AP225" s="43"/>
      <c r="AQ225" s="323">
        <f t="shared" si="86"/>
        <v>0</v>
      </c>
      <c r="AR225" s="43"/>
      <c r="AS225" s="44">
        <f t="shared" si="87"/>
        <v>68590</v>
      </c>
    </row>
    <row r="226" spans="1:45" x14ac:dyDescent="0.25">
      <c r="A226" s="28"/>
      <c r="B226" s="43"/>
      <c r="C226" s="43"/>
      <c r="D226" s="43"/>
      <c r="E226" s="43" t="s">
        <v>2467</v>
      </c>
      <c r="F226" s="43" t="s">
        <v>2468</v>
      </c>
      <c r="G226" s="46">
        <f t="shared" si="74"/>
        <v>86650</v>
      </c>
      <c r="H226" s="46">
        <f t="shared" si="75"/>
        <v>78634.875000000015</v>
      </c>
      <c r="I226" s="28" t="s">
        <v>262</v>
      </c>
      <c r="J226" s="337">
        <v>1</v>
      </c>
      <c r="K226" s="46">
        <f t="shared" si="76"/>
        <v>86650</v>
      </c>
      <c r="L226" s="46">
        <f t="shared" si="77"/>
        <v>78634.875000000015</v>
      </c>
      <c r="M226" s="338">
        <f t="shared" si="78"/>
        <v>0</v>
      </c>
      <c r="N226" s="43" t="s">
        <v>669</v>
      </c>
      <c r="O226" s="339" t="s">
        <v>167</v>
      </c>
      <c r="P226" s="340" t="str">
        <f>IFERROR(VLOOKUP(O226,NCM!$A$3:$D$99,COLUMN(head_porNCM_IPI)-COLUMN(head_porNCM_NCM)+1,FALSE),"")</f>
        <v/>
      </c>
      <c r="Q226" s="43" t="s">
        <v>1879</v>
      </c>
      <c r="R226" s="78" t="s">
        <v>209</v>
      </c>
      <c r="S226" s="341"/>
      <c r="T226" s="28" t="s">
        <v>53</v>
      </c>
      <c r="U226" s="28" t="s">
        <v>2753</v>
      </c>
      <c r="V226" s="548">
        <v>45425</v>
      </c>
      <c r="W226" s="43"/>
      <c r="X226" s="342">
        <f t="shared" si="79"/>
        <v>0</v>
      </c>
      <c r="Y226" s="342">
        <f t="shared" si="80"/>
        <v>0</v>
      </c>
      <c r="Z226" s="46">
        <f t="shared" si="81"/>
        <v>1429.7250000000001</v>
      </c>
      <c r="AA226" s="46">
        <f t="shared" si="82"/>
        <v>6585.4</v>
      </c>
      <c r="AB226" s="43"/>
      <c r="AC226" s="44">
        <v>86650</v>
      </c>
      <c r="AD226" s="31">
        <v>0</v>
      </c>
      <c r="AE226" s="31">
        <v>0</v>
      </c>
      <c r="AF226" s="31">
        <v>0</v>
      </c>
      <c r="AG226" s="28" t="s">
        <v>53</v>
      </c>
      <c r="AH226" s="46">
        <f t="shared" si="83"/>
        <v>86650</v>
      </c>
      <c r="AI226" s="43"/>
      <c r="AJ226" s="28"/>
      <c r="AK226" s="337"/>
      <c r="AL226" s="43"/>
      <c r="AM226" s="44">
        <f t="shared" si="84"/>
        <v>0</v>
      </c>
      <c r="AN226" s="43"/>
      <c r="AO226" s="28">
        <f t="shared" si="85"/>
        <v>0</v>
      </c>
      <c r="AP226" s="43"/>
      <c r="AQ226" s="323">
        <f t="shared" si="86"/>
        <v>0</v>
      </c>
      <c r="AR226" s="43"/>
      <c r="AS226" s="44">
        <f t="shared" si="87"/>
        <v>86650</v>
      </c>
    </row>
    <row r="227" spans="1:45" x14ac:dyDescent="0.25">
      <c r="A227" s="28"/>
      <c r="B227" s="43"/>
      <c r="C227" s="43"/>
      <c r="D227" s="43"/>
      <c r="E227" s="43" t="s">
        <v>1225</v>
      </c>
      <c r="F227" s="43" t="s">
        <v>1226</v>
      </c>
      <c r="G227" s="46">
        <f t="shared" si="74"/>
        <v>103270</v>
      </c>
      <c r="H227" s="46">
        <f t="shared" si="75"/>
        <v>93717.525000000009</v>
      </c>
      <c r="I227" s="28" t="s">
        <v>262</v>
      </c>
      <c r="J227" s="337">
        <v>1</v>
      </c>
      <c r="K227" s="46">
        <f t="shared" si="76"/>
        <v>103270</v>
      </c>
      <c r="L227" s="46">
        <f t="shared" si="77"/>
        <v>93717.525000000009</v>
      </c>
      <c r="M227" s="338">
        <f t="shared" si="78"/>
        <v>0</v>
      </c>
      <c r="N227" s="43" t="s">
        <v>669</v>
      </c>
      <c r="O227" s="339" t="s">
        <v>167</v>
      </c>
      <c r="P227" s="340" t="str">
        <f>IFERROR(VLOOKUP(O227,NCM!$A$3:$D$99,COLUMN(head_porNCM_IPI)-COLUMN(head_porNCM_NCM)+1,FALSE),"")</f>
        <v/>
      </c>
      <c r="Q227" s="43" t="s">
        <v>1879</v>
      </c>
      <c r="R227" s="78" t="s">
        <v>209</v>
      </c>
      <c r="S227" s="341"/>
      <c r="T227" s="28" t="s">
        <v>53</v>
      </c>
      <c r="U227" s="28" t="s">
        <v>2753</v>
      </c>
      <c r="V227" s="548">
        <v>45425</v>
      </c>
      <c r="W227" s="43"/>
      <c r="X227" s="342">
        <f t="shared" si="79"/>
        <v>0</v>
      </c>
      <c r="Y227" s="342">
        <f t="shared" si="80"/>
        <v>0</v>
      </c>
      <c r="Z227" s="46">
        <f t="shared" si="81"/>
        <v>1703.9550000000002</v>
      </c>
      <c r="AA227" s="46">
        <f t="shared" si="82"/>
        <v>7848.5199999999995</v>
      </c>
      <c r="AB227" s="43"/>
      <c r="AC227" s="44">
        <v>103270</v>
      </c>
      <c r="AD227" s="31">
        <v>0</v>
      </c>
      <c r="AE227" s="31">
        <v>0</v>
      </c>
      <c r="AF227" s="31">
        <v>0</v>
      </c>
      <c r="AG227" s="28" t="s">
        <v>53</v>
      </c>
      <c r="AH227" s="46">
        <f t="shared" si="83"/>
        <v>103270</v>
      </c>
      <c r="AI227" s="43"/>
      <c r="AJ227" s="28"/>
      <c r="AK227" s="337"/>
      <c r="AL227" s="43"/>
      <c r="AM227" s="44">
        <f t="shared" si="84"/>
        <v>0</v>
      </c>
      <c r="AN227" s="43"/>
      <c r="AO227" s="28">
        <f t="shared" si="85"/>
        <v>0</v>
      </c>
      <c r="AP227" s="43"/>
      <c r="AQ227" s="323">
        <f t="shared" si="86"/>
        <v>0</v>
      </c>
      <c r="AR227" s="43"/>
      <c r="AS227" s="44">
        <f t="shared" si="87"/>
        <v>103270</v>
      </c>
    </row>
    <row r="228" spans="1:45" x14ac:dyDescent="0.25">
      <c r="A228" s="28"/>
      <c r="B228" s="43"/>
      <c r="C228" s="43"/>
      <c r="D228" s="43"/>
      <c r="E228" s="43" t="s">
        <v>2469</v>
      </c>
      <c r="F228" s="43" t="s">
        <v>2470</v>
      </c>
      <c r="G228" s="46">
        <f t="shared" si="74"/>
        <v>134370</v>
      </c>
      <c r="H228" s="46">
        <f t="shared" si="75"/>
        <v>121940.77500000001</v>
      </c>
      <c r="I228" s="28" t="s">
        <v>262</v>
      </c>
      <c r="J228" s="337">
        <v>1</v>
      </c>
      <c r="K228" s="46">
        <f t="shared" si="76"/>
        <v>134370</v>
      </c>
      <c r="L228" s="46">
        <f t="shared" si="77"/>
        <v>121940.77500000001</v>
      </c>
      <c r="M228" s="338">
        <f t="shared" si="78"/>
        <v>0</v>
      </c>
      <c r="N228" s="43" t="s">
        <v>669</v>
      </c>
      <c r="O228" s="339" t="s">
        <v>167</v>
      </c>
      <c r="P228" s="340" t="str">
        <f>IFERROR(VLOOKUP(O228,NCM!$A$3:$D$99,COLUMN(head_porNCM_IPI)-COLUMN(head_porNCM_NCM)+1,FALSE),"")</f>
        <v/>
      </c>
      <c r="Q228" s="43" t="s">
        <v>1879</v>
      </c>
      <c r="R228" s="78" t="s">
        <v>209</v>
      </c>
      <c r="S228" s="341"/>
      <c r="T228" s="28" t="s">
        <v>53</v>
      </c>
      <c r="U228" s="28" t="s">
        <v>2753</v>
      </c>
      <c r="V228" s="548">
        <v>45425</v>
      </c>
      <c r="W228" s="43"/>
      <c r="X228" s="342">
        <f t="shared" si="79"/>
        <v>0</v>
      </c>
      <c r="Y228" s="342">
        <f t="shared" si="80"/>
        <v>0</v>
      </c>
      <c r="Z228" s="46">
        <f t="shared" si="81"/>
        <v>2217.105</v>
      </c>
      <c r="AA228" s="46">
        <f t="shared" si="82"/>
        <v>10212.119999999999</v>
      </c>
      <c r="AB228" s="43"/>
      <c r="AC228" s="44">
        <v>134370</v>
      </c>
      <c r="AD228" s="31">
        <v>0</v>
      </c>
      <c r="AE228" s="31">
        <v>0</v>
      </c>
      <c r="AF228" s="31">
        <v>0</v>
      </c>
      <c r="AG228" s="28" t="s">
        <v>53</v>
      </c>
      <c r="AH228" s="46">
        <f t="shared" si="83"/>
        <v>134370</v>
      </c>
      <c r="AI228" s="43"/>
      <c r="AJ228" s="28"/>
      <c r="AK228" s="337"/>
      <c r="AL228" s="43"/>
      <c r="AM228" s="44">
        <f t="shared" si="84"/>
        <v>0</v>
      </c>
      <c r="AN228" s="43"/>
      <c r="AO228" s="28">
        <f t="shared" si="85"/>
        <v>0</v>
      </c>
      <c r="AP228" s="43"/>
      <c r="AQ228" s="323">
        <f t="shared" si="86"/>
        <v>0</v>
      </c>
      <c r="AR228" s="43"/>
      <c r="AS228" s="44">
        <f t="shared" si="87"/>
        <v>134370</v>
      </c>
    </row>
    <row r="229" spans="1:45" x14ac:dyDescent="0.25">
      <c r="A229" s="28"/>
      <c r="B229" s="43"/>
      <c r="C229" s="43"/>
      <c r="D229" s="43"/>
      <c r="E229" s="43" t="s">
        <v>2471</v>
      </c>
      <c r="F229" s="43" t="s">
        <v>2472</v>
      </c>
      <c r="G229" s="46">
        <f t="shared" si="74"/>
        <v>158070</v>
      </c>
      <c r="H229" s="46">
        <f t="shared" si="75"/>
        <v>143448.52500000002</v>
      </c>
      <c r="I229" s="28" t="s">
        <v>262</v>
      </c>
      <c r="J229" s="337">
        <v>1</v>
      </c>
      <c r="K229" s="46">
        <f t="shared" si="76"/>
        <v>158070</v>
      </c>
      <c r="L229" s="46">
        <f t="shared" si="77"/>
        <v>143448.52500000002</v>
      </c>
      <c r="M229" s="338">
        <f t="shared" si="78"/>
        <v>0</v>
      </c>
      <c r="N229" s="43" t="s">
        <v>669</v>
      </c>
      <c r="O229" s="339" t="s">
        <v>167</v>
      </c>
      <c r="P229" s="340" t="str">
        <f>IFERROR(VLOOKUP(O229,NCM!$A$3:$D$99,COLUMN(head_porNCM_IPI)-COLUMN(head_porNCM_NCM)+1,FALSE),"")</f>
        <v/>
      </c>
      <c r="Q229" s="43" t="s">
        <v>1879</v>
      </c>
      <c r="R229" s="78" t="s">
        <v>209</v>
      </c>
      <c r="S229" s="341"/>
      <c r="T229" s="28" t="s">
        <v>53</v>
      </c>
      <c r="U229" s="28" t="s">
        <v>2753</v>
      </c>
      <c r="V229" s="548">
        <v>45425</v>
      </c>
      <c r="W229" s="43"/>
      <c r="X229" s="342">
        <f t="shared" si="79"/>
        <v>0</v>
      </c>
      <c r="Y229" s="342">
        <f t="shared" si="80"/>
        <v>0</v>
      </c>
      <c r="Z229" s="46">
        <f t="shared" si="81"/>
        <v>2608.1550000000002</v>
      </c>
      <c r="AA229" s="46">
        <f t="shared" si="82"/>
        <v>12013.32</v>
      </c>
      <c r="AB229" s="43"/>
      <c r="AC229" s="44">
        <v>158070</v>
      </c>
      <c r="AD229" s="31">
        <v>0</v>
      </c>
      <c r="AE229" s="31">
        <v>0</v>
      </c>
      <c r="AF229" s="31">
        <v>0</v>
      </c>
      <c r="AG229" s="28" t="s">
        <v>53</v>
      </c>
      <c r="AH229" s="46">
        <f t="shared" si="83"/>
        <v>158070</v>
      </c>
      <c r="AI229" s="43"/>
      <c r="AJ229" s="28"/>
      <c r="AK229" s="337"/>
      <c r="AL229" s="43"/>
      <c r="AM229" s="44">
        <f t="shared" si="84"/>
        <v>0</v>
      </c>
      <c r="AN229" s="43"/>
      <c r="AO229" s="28">
        <f t="shared" si="85"/>
        <v>0</v>
      </c>
      <c r="AP229" s="43"/>
      <c r="AQ229" s="323">
        <f t="shared" si="86"/>
        <v>0</v>
      </c>
      <c r="AR229" s="43"/>
      <c r="AS229" s="44">
        <f t="shared" si="87"/>
        <v>158070</v>
      </c>
    </row>
    <row r="230" spans="1:45" x14ac:dyDescent="0.25">
      <c r="A230" s="28"/>
      <c r="B230" s="43"/>
      <c r="C230" s="43"/>
      <c r="D230" s="43"/>
      <c r="E230" s="43" t="s">
        <v>2473</v>
      </c>
      <c r="F230" s="43" t="s">
        <v>2474</v>
      </c>
      <c r="G230" s="46">
        <f t="shared" si="74"/>
        <v>209540</v>
      </c>
      <c r="H230" s="46">
        <f t="shared" si="75"/>
        <v>190157.55000000002</v>
      </c>
      <c r="I230" s="28" t="s">
        <v>262</v>
      </c>
      <c r="J230" s="337">
        <v>1</v>
      </c>
      <c r="K230" s="46">
        <f t="shared" si="76"/>
        <v>209540</v>
      </c>
      <c r="L230" s="46">
        <f t="shared" si="77"/>
        <v>190157.55000000002</v>
      </c>
      <c r="M230" s="338">
        <f t="shared" si="78"/>
        <v>0</v>
      </c>
      <c r="N230" s="43" t="s">
        <v>669</v>
      </c>
      <c r="O230" s="339" t="s">
        <v>167</v>
      </c>
      <c r="P230" s="340" t="str">
        <f>IFERROR(VLOOKUP(O230,NCM!$A$3:$D$99,COLUMN(head_porNCM_IPI)-COLUMN(head_porNCM_NCM)+1,FALSE),"")</f>
        <v/>
      </c>
      <c r="Q230" s="43" t="s">
        <v>1879</v>
      </c>
      <c r="R230" s="78" t="s">
        <v>209</v>
      </c>
      <c r="S230" s="341"/>
      <c r="T230" s="28" t="s">
        <v>53</v>
      </c>
      <c r="U230" s="28" t="s">
        <v>2753</v>
      </c>
      <c r="V230" s="548">
        <v>45425</v>
      </c>
      <c r="W230" s="43"/>
      <c r="X230" s="342">
        <f t="shared" si="79"/>
        <v>0</v>
      </c>
      <c r="Y230" s="342">
        <f t="shared" si="80"/>
        <v>0</v>
      </c>
      <c r="Z230" s="46">
        <f t="shared" si="81"/>
        <v>3457.4100000000003</v>
      </c>
      <c r="AA230" s="46">
        <f t="shared" si="82"/>
        <v>15925.039999999999</v>
      </c>
      <c r="AB230" s="43"/>
      <c r="AC230" s="44">
        <v>209540</v>
      </c>
      <c r="AD230" s="31">
        <v>0</v>
      </c>
      <c r="AE230" s="31">
        <v>0</v>
      </c>
      <c r="AF230" s="31">
        <v>0</v>
      </c>
      <c r="AG230" s="28" t="s">
        <v>53</v>
      </c>
      <c r="AH230" s="46">
        <f t="shared" si="83"/>
        <v>209540</v>
      </c>
      <c r="AI230" s="43"/>
      <c r="AJ230" s="28"/>
      <c r="AK230" s="337"/>
      <c r="AL230" s="43"/>
      <c r="AM230" s="44">
        <f t="shared" si="84"/>
        <v>0</v>
      </c>
      <c r="AN230" s="43"/>
      <c r="AO230" s="28">
        <f t="shared" si="85"/>
        <v>0</v>
      </c>
      <c r="AP230" s="43"/>
      <c r="AQ230" s="323">
        <f t="shared" si="86"/>
        <v>0</v>
      </c>
      <c r="AR230" s="43"/>
      <c r="AS230" s="44">
        <f t="shared" si="87"/>
        <v>209540</v>
      </c>
    </row>
    <row r="231" spans="1:45" x14ac:dyDescent="0.25">
      <c r="A231" s="28"/>
      <c r="B231" s="43"/>
      <c r="C231" s="43"/>
      <c r="D231" s="43"/>
      <c r="E231" s="43" t="s">
        <v>2475</v>
      </c>
      <c r="F231" s="43" t="s">
        <v>2476</v>
      </c>
      <c r="G231" s="46">
        <f t="shared" si="74"/>
        <v>253640</v>
      </c>
      <c r="H231" s="46">
        <f t="shared" si="75"/>
        <v>230178.30000000002</v>
      </c>
      <c r="I231" s="28" t="s">
        <v>262</v>
      </c>
      <c r="J231" s="337">
        <v>1</v>
      </c>
      <c r="K231" s="46">
        <f t="shared" si="76"/>
        <v>253640</v>
      </c>
      <c r="L231" s="46">
        <f t="shared" si="77"/>
        <v>230178.30000000002</v>
      </c>
      <c r="M231" s="338">
        <f t="shared" si="78"/>
        <v>0</v>
      </c>
      <c r="N231" s="43" t="s">
        <v>669</v>
      </c>
      <c r="O231" s="339" t="s">
        <v>167</v>
      </c>
      <c r="P231" s="340" t="str">
        <f>IFERROR(VLOOKUP(O231,NCM!$A$3:$D$99,COLUMN(head_porNCM_IPI)-COLUMN(head_porNCM_NCM)+1,FALSE),"")</f>
        <v/>
      </c>
      <c r="Q231" s="43" t="s">
        <v>1879</v>
      </c>
      <c r="R231" s="78" t="s">
        <v>209</v>
      </c>
      <c r="S231" s="341"/>
      <c r="T231" s="28" t="s">
        <v>53</v>
      </c>
      <c r="U231" s="28" t="s">
        <v>2753</v>
      </c>
      <c r="V231" s="548">
        <v>45425</v>
      </c>
      <c r="W231" s="43"/>
      <c r="X231" s="342">
        <f t="shared" si="79"/>
        <v>0</v>
      </c>
      <c r="Y231" s="342">
        <f t="shared" si="80"/>
        <v>0</v>
      </c>
      <c r="Z231" s="46">
        <f t="shared" si="81"/>
        <v>4185.0600000000004</v>
      </c>
      <c r="AA231" s="46">
        <f t="shared" si="82"/>
        <v>19276.64</v>
      </c>
      <c r="AB231" s="43"/>
      <c r="AC231" s="44">
        <v>253640</v>
      </c>
      <c r="AD231" s="31">
        <v>0</v>
      </c>
      <c r="AE231" s="31">
        <v>0</v>
      </c>
      <c r="AF231" s="31">
        <v>0</v>
      </c>
      <c r="AG231" s="28" t="s">
        <v>53</v>
      </c>
      <c r="AH231" s="46">
        <f t="shared" si="83"/>
        <v>253640</v>
      </c>
      <c r="AI231" s="43"/>
      <c r="AJ231" s="28"/>
      <c r="AK231" s="337"/>
      <c r="AL231" s="43"/>
      <c r="AM231" s="44">
        <f t="shared" si="84"/>
        <v>0</v>
      </c>
      <c r="AN231" s="43"/>
      <c r="AO231" s="28">
        <f t="shared" si="85"/>
        <v>0</v>
      </c>
      <c r="AP231" s="43"/>
      <c r="AQ231" s="323">
        <f t="shared" si="86"/>
        <v>0</v>
      </c>
      <c r="AR231" s="43"/>
      <c r="AS231" s="44">
        <f t="shared" si="87"/>
        <v>253640</v>
      </c>
    </row>
    <row r="232" spans="1:45" x14ac:dyDescent="0.25">
      <c r="A232" s="28"/>
      <c r="B232" s="43"/>
      <c r="C232" s="43"/>
      <c r="D232" s="43"/>
      <c r="E232" s="43" t="s">
        <v>2477</v>
      </c>
      <c r="F232" s="43" t="s">
        <v>2478</v>
      </c>
      <c r="G232" s="46">
        <f t="shared" si="74"/>
        <v>302090</v>
      </c>
      <c r="H232" s="46">
        <f t="shared" si="75"/>
        <v>274146.67500000005</v>
      </c>
      <c r="I232" s="28" t="s">
        <v>262</v>
      </c>
      <c r="J232" s="337">
        <v>1</v>
      </c>
      <c r="K232" s="46">
        <f t="shared" si="76"/>
        <v>302090</v>
      </c>
      <c r="L232" s="46">
        <f t="shared" si="77"/>
        <v>274146.67500000005</v>
      </c>
      <c r="M232" s="338">
        <f t="shared" si="78"/>
        <v>0</v>
      </c>
      <c r="N232" s="43" t="s">
        <v>669</v>
      </c>
      <c r="O232" s="339" t="s">
        <v>167</v>
      </c>
      <c r="P232" s="340" t="str">
        <f>IFERROR(VLOOKUP(O232,NCM!$A$3:$D$99,COLUMN(head_porNCM_IPI)-COLUMN(head_porNCM_NCM)+1,FALSE),"")</f>
        <v/>
      </c>
      <c r="Q232" s="43" t="s">
        <v>1879</v>
      </c>
      <c r="R232" s="78" t="s">
        <v>209</v>
      </c>
      <c r="S232" s="341"/>
      <c r="T232" s="28" t="s">
        <v>53</v>
      </c>
      <c r="U232" s="28" t="s">
        <v>2753</v>
      </c>
      <c r="V232" s="548">
        <v>45425</v>
      </c>
      <c r="W232" s="43"/>
      <c r="X232" s="342">
        <f t="shared" si="79"/>
        <v>0</v>
      </c>
      <c r="Y232" s="342">
        <f t="shared" si="80"/>
        <v>0</v>
      </c>
      <c r="Z232" s="46">
        <f t="shared" si="81"/>
        <v>4984.4850000000006</v>
      </c>
      <c r="AA232" s="46">
        <f t="shared" si="82"/>
        <v>22958.84</v>
      </c>
      <c r="AB232" s="43"/>
      <c r="AC232" s="44">
        <v>302090</v>
      </c>
      <c r="AD232" s="31">
        <v>0</v>
      </c>
      <c r="AE232" s="31">
        <v>0</v>
      </c>
      <c r="AF232" s="31">
        <v>0</v>
      </c>
      <c r="AG232" s="28" t="s">
        <v>53</v>
      </c>
      <c r="AH232" s="46">
        <f t="shared" si="83"/>
        <v>302090</v>
      </c>
      <c r="AI232" s="43"/>
      <c r="AJ232" s="28"/>
      <c r="AK232" s="337"/>
      <c r="AL232" s="43"/>
      <c r="AM232" s="44">
        <f t="shared" si="84"/>
        <v>0</v>
      </c>
      <c r="AN232" s="43"/>
      <c r="AO232" s="28">
        <f t="shared" si="85"/>
        <v>0</v>
      </c>
      <c r="AP232" s="43"/>
      <c r="AQ232" s="323">
        <f t="shared" si="86"/>
        <v>0</v>
      </c>
      <c r="AR232" s="43"/>
      <c r="AS232" s="44">
        <f t="shared" si="87"/>
        <v>302090</v>
      </c>
    </row>
    <row r="233" spans="1:45" x14ac:dyDescent="0.25">
      <c r="A233" s="28"/>
      <c r="B233" s="43"/>
      <c r="C233" s="43"/>
      <c r="D233" s="43"/>
      <c r="E233" s="43" t="s">
        <v>2479</v>
      </c>
      <c r="F233" s="43" t="s">
        <v>2480</v>
      </c>
      <c r="G233" s="46">
        <f t="shared" si="74"/>
        <v>43150</v>
      </c>
      <c r="H233" s="46">
        <f t="shared" si="75"/>
        <v>39158.625000000007</v>
      </c>
      <c r="I233" s="28" t="s">
        <v>262</v>
      </c>
      <c r="J233" s="337">
        <v>1</v>
      </c>
      <c r="K233" s="46">
        <f t="shared" si="76"/>
        <v>43150</v>
      </c>
      <c r="L233" s="46">
        <f t="shared" si="77"/>
        <v>39158.625000000007</v>
      </c>
      <c r="M233" s="338">
        <f t="shared" si="78"/>
        <v>0</v>
      </c>
      <c r="N233" s="43" t="s">
        <v>669</v>
      </c>
      <c r="O233" s="339" t="s">
        <v>167</v>
      </c>
      <c r="P233" s="340" t="str">
        <f>IFERROR(VLOOKUP(O233,NCM!$A$3:$D$99,COLUMN(head_porNCM_IPI)-COLUMN(head_porNCM_NCM)+1,FALSE),"")</f>
        <v/>
      </c>
      <c r="Q233" s="43" t="s">
        <v>1879</v>
      </c>
      <c r="R233" s="78" t="s">
        <v>209</v>
      </c>
      <c r="S233" s="341"/>
      <c r="T233" s="28" t="s">
        <v>53</v>
      </c>
      <c r="U233" s="28" t="s">
        <v>2753</v>
      </c>
      <c r="V233" s="548">
        <v>45425</v>
      </c>
      <c r="W233" s="43"/>
      <c r="X233" s="342">
        <f t="shared" si="79"/>
        <v>0</v>
      </c>
      <c r="Y233" s="342">
        <f t="shared" si="80"/>
        <v>0</v>
      </c>
      <c r="Z233" s="46">
        <f t="shared" si="81"/>
        <v>711.97500000000002</v>
      </c>
      <c r="AA233" s="46">
        <f t="shared" si="82"/>
        <v>3279.4</v>
      </c>
      <c r="AB233" s="43"/>
      <c r="AC233" s="44">
        <v>43150</v>
      </c>
      <c r="AD233" s="31">
        <v>0</v>
      </c>
      <c r="AE233" s="31">
        <v>0</v>
      </c>
      <c r="AF233" s="31">
        <v>0</v>
      </c>
      <c r="AG233" s="28" t="s">
        <v>53</v>
      </c>
      <c r="AH233" s="46">
        <f t="shared" si="83"/>
        <v>43150</v>
      </c>
      <c r="AI233" s="43"/>
      <c r="AJ233" s="28"/>
      <c r="AK233" s="337"/>
      <c r="AL233" s="43"/>
      <c r="AM233" s="44">
        <f t="shared" si="84"/>
        <v>0</v>
      </c>
      <c r="AN233" s="43"/>
      <c r="AO233" s="28">
        <f t="shared" si="85"/>
        <v>0</v>
      </c>
      <c r="AP233" s="43"/>
      <c r="AQ233" s="323">
        <f t="shared" si="86"/>
        <v>0</v>
      </c>
      <c r="AR233" s="43"/>
      <c r="AS233" s="44">
        <f t="shared" si="87"/>
        <v>43150</v>
      </c>
    </row>
    <row r="234" spans="1:45" x14ac:dyDescent="0.25">
      <c r="A234" s="28"/>
      <c r="B234" s="43"/>
      <c r="C234" s="43"/>
      <c r="D234" s="43"/>
      <c r="E234" s="43" t="s">
        <v>2481</v>
      </c>
      <c r="F234" s="43" t="s">
        <v>2482</v>
      </c>
      <c r="G234" s="46">
        <f t="shared" si="74"/>
        <v>53320</v>
      </c>
      <c r="H234" s="46">
        <f t="shared" si="75"/>
        <v>48387.9</v>
      </c>
      <c r="I234" s="28" t="s">
        <v>262</v>
      </c>
      <c r="J234" s="337">
        <v>1</v>
      </c>
      <c r="K234" s="46">
        <f t="shared" si="76"/>
        <v>53320</v>
      </c>
      <c r="L234" s="46">
        <f t="shared" si="77"/>
        <v>48387.9</v>
      </c>
      <c r="M234" s="338">
        <f t="shared" si="78"/>
        <v>0</v>
      </c>
      <c r="N234" s="43" t="s">
        <v>669</v>
      </c>
      <c r="O234" s="339" t="s">
        <v>167</v>
      </c>
      <c r="P234" s="340" t="str">
        <f>IFERROR(VLOOKUP(O234,NCM!$A$3:$D$99,COLUMN(head_porNCM_IPI)-COLUMN(head_porNCM_NCM)+1,FALSE),"")</f>
        <v/>
      </c>
      <c r="Q234" s="43" t="s">
        <v>1879</v>
      </c>
      <c r="R234" s="78" t="s">
        <v>209</v>
      </c>
      <c r="S234" s="341"/>
      <c r="T234" s="28" t="s">
        <v>53</v>
      </c>
      <c r="U234" s="28" t="s">
        <v>2753</v>
      </c>
      <c r="V234" s="548">
        <v>45425</v>
      </c>
      <c r="W234" s="43"/>
      <c r="X234" s="342">
        <f t="shared" si="79"/>
        <v>0</v>
      </c>
      <c r="Y234" s="342">
        <f t="shared" si="80"/>
        <v>0</v>
      </c>
      <c r="Z234" s="46">
        <f t="shared" si="81"/>
        <v>879.78000000000009</v>
      </c>
      <c r="AA234" s="46">
        <f t="shared" si="82"/>
        <v>4052.3199999999997</v>
      </c>
      <c r="AB234" s="43"/>
      <c r="AC234" s="44">
        <v>53320</v>
      </c>
      <c r="AD234" s="31">
        <v>0</v>
      </c>
      <c r="AE234" s="31">
        <v>0</v>
      </c>
      <c r="AF234" s="31">
        <v>0</v>
      </c>
      <c r="AG234" s="28" t="s">
        <v>53</v>
      </c>
      <c r="AH234" s="46">
        <f t="shared" si="83"/>
        <v>53320</v>
      </c>
      <c r="AI234" s="43"/>
      <c r="AJ234" s="28"/>
      <c r="AK234" s="337"/>
      <c r="AL234" s="43"/>
      <c r="AM234" s="44">
        <f t="shared" si="84"/>
        <v>0</v>
      </c>
      <c r="AN234" s="43"/>
      <c r="AO234" s="28">
        <f t="shared" si="85"/>
        <v>0</v>
      </c>
      <c r="AP234" s="43"/>
      <c r="AQ234" s="323">
        <f t="shared" si="86"/>
        <v>0</v>
      </c>
      <c r="AR234" s="43"/>
      <c r="AS234" s="44">
        <f t="shared" si="87"/>
        <v>53320</v>
      </c>
    </row>
    <row r="235" spans="1:45" x14ac:dyDescent="0.25">
      <c r="A235" s="28"/>
      <c r="B235" s="43"/>
      <c r="C235" s="43"/>
      <c r="D235" s="43"/>
      <c r="E235" s="43" t="s">
        <v>2483</v>
      </c>
      <c r="F235" s="43" t="s">
        <v>2484</v>
      </c>
      <c r="G235" s="46">
        <f t="shared" si="74"/>
        <v>68590</v>
      </c>
      <c r="H235" s="46">
        <f t="shared" si="75"/>
        <v>62245.425000000003</v>
      </c>
      <c r="I235" s="28" t="s">
        <v>262</v>
      </c>
      <c r="J235" s="337">
        <v>1</v>
      </c>
      <c r="K235" s="46">
        <f t="shared" si="76"/>
        <v>68590</v>
      </c>
      <c r="L235" s="46">
        <f t="shared" si="77"/>
        <v>62245.425000000003</v>
      </c>
      <c r="M235" s="338">
        <f t="shared" si="78"/>
        <v>0</v>
      </c>
      <c r="N235" s="43" t="s">
        <v>669</v>
      </c>
      <c r="O235" s="339" t="s">
        <v>167</v>
      </c>
      <c r="P235" s="340" t="str">
        <f>IFERROR(VLOOKUP(O235,NCM!$A$3:$D$99,COLUMN(head_porNCM_IPI)-COLUMN(head_porNCM_NCM)+1,FALSE),"")</f>
        <v/>
      </c>
      <c r="Q235" s="43" t="s">
        <v>1879</v>
      </c>
      <c r="R235" s="78" t="s">
        <v>209</v>
      </c>
      <c r="S235" s="341"/>
      <c r="T235" s="28" t="s">
        <v>53</v>
      </c>
      <c r="U235" s="28" t="s">
        <v>2753</v>
      </c>
      <c r="V235" s="548">
        <v>45425</v>
      </c>
      <c r="W235" s="43"/>
      <c r="X235" s="342">
        <f t="shared" si="79"/>
        <v>0</v>
      </c>
      <c r="Y235" s="342">
        <f t="shared" si="80"/>
        <v>0</v>
      </c>
      <c r="Z235" s="46">
        <f t="shared" si="81"/>
        <v>1131.7350000000001</v>
      </c>
      <c r="AA235" s="46">
        <f t="shared" si="82"/>
        <v>5212.84</v>
      </c>
      <c r="AB235" s="43"/>
      <c r="AC235" s="44">
        <v>68590</v>
      </c>
      <c r="AD235" s="31">
        <v>0</v>
      </c>
      <c r="AE235" s="31">
        <v>0</v>
      </c>
      <c r="AF235" s="31">
        <v>0</v>
      </c>
      <c r="AG235" s="28" t="s">
        <v>53</v>
      </c>
      <c r="AH235" s="46">
        <f t="shared" si="83"/>
        <v>68590</v>
      </c>
      <c r="AI235" s="43"/>
      <c r="AJ235" s="28"/>
      <c r="AK235" s="337"/>
      <c r="AL235" s="43"/>
      <c r="AM235" s="44">
        <f t="shared" si="84"/>
        <v>0</v>
      </c>
      <c r="AN235" s="43"/>
      <c r="AO235" s="28">
        <f t="shared" si="85"/>
        <v>0</v>
      </c>
      <c r="AP235" s="43"/>
      <c r="AQ235" s="323">
        <f t="shared" si="86"/>
        <v>0</v>
      </c>
      <c r="AR235" s="43"/>
      <c r="AS235" s="44">
        <f t="shared" si="87"/>
        <v>68590</v>
      </c>
    </row>
    <row r="236" spans="1:45" x14ac:dyDescent="0.25">
      <c r="A236" s="28"/>
      <c r="B236" s="43"/>
      <c r="C236" s="43"/>
      <c r="D236" s="43"/>
      <c r="E236" s="43" t="s">
        <v>2485</v>
      </c>
      <c r="F236" s="43" t="s">
        <v>2486</v>
      </c>
      <c r="G236" s="46">
        <f t="shared" si="74"/>
        <v>86650</v>
      </c>
      <c r="H236" s="46">
        <f t="shared" si="75"/>
        <v>78634.875000000015</v>
      </c>
      <c r="I236" s="28" t="s">
        <v>262</v>
      </c>
      <c r="J236" s="337">
        <v>1</v>
      </c>
      <c r="K236" s="46">
        <f t="shared" si="76"/>
        <v>86650</v>
      </c>
      <c r="L236" s="46">
        <f t="shared" si="77"/>
        <v>78634.875000000015</v>
      </c>
      <c r="M236" s="338">
        <f t="shared" si="78"/>
        <v>0</v>
      </c>
      <c r="N236" s="43" t="s">
        <v>669</v>
      </c>
      <c r="O236" s="339" t="s">
        <v>167</v>
      </c>
      <c r="P236" s="340" t="str">
        <f>IFERROR(VLOOKUP(O236,NCM!$A$3:$D$99,COLUMN(head_porNCM_IPI)-COLUMN(head_porNCM_NCM)+1,FALSE),"")</f>
        <v/>
      </c>
      <c r="Q236" s="43" t="s">
        <v>1879</v>
      </c>
      <c r="R236" s="78" t="s">
        <v>209</v>
      </c>
      <c r="S236" s="341"/>
      <c r="T236" s="28" t="s">
        <v>53</v>
      </c>
      <c r="U236" s="28" t="s">
        <v>2753</v>
      </c>
      <c r="V236" s="548">
        <v>45425</v>
      </c>
      <c r="W236" s="43"/>
      <c r="X236" s="342">
        <f t="shared" si="79"/>
        <v>0</v>
      </c>
      <c r="Y236" s="342">
        <f t="shared" si="80"/>
        <v>0</v>
      </c>
      <c r="Z236" s="46">
        <f t="shared" si="81"/>
        <v>1429.7250000000001</v>
      </c>
      <c r="AA236" s="46">
        <f t="shared" si="82"/>
        <v>6585.4</v>
      </c>
      <c r="AB236" s="43"/>
      <c r="AC236" s="44">
        <v>86650</v>
      </c>
      <c r="AD236" s="31">
        <v>0</v>
      </c>
      <c r="AE236" s="31">
        <v>0</v>
      </c>
      <c r="AF236" s="31">
        <v>0</v>
      </c>
      <c r="AG236" s="28" t="s">
        <v>53</v>
      </c>
      <c r="AH236" s="46">
        <f t="shared" si="83"/>
        <v>86650</v>
      </c>
      <c r="AI236" s="43"/>
      <c r="AJ236" s="28"/>
      <c r="AK236" s="337"/>
      <c r="AL236" s="43"/>
      <c r="AM236" s="44">
        <f t="shared" si="84"/>
        <v>0</v>
      </c>
      <c r="AN236" s="43"/>
      <c r="AO236" s="28">
        <f t="shared" si="85"/>
        <v>0</v>
      </c>
      <c r="AP236" s="43"/>
      <c r="AQ236" s="323">
        <f t="shared" si="86"/>
        <v>0</v>
      </c>
      <c r="AR236" s="43"/>
      <c r="AS236" s="44">
        <f t="shared" si="87"/>
        <v>86650</v>
      </c>
    </row>
    <row r="237" spans="1:45" x14ac:dyDescent="0.25">
      <c r="A237" s="28"/>
      <c r="B237" s="43"/>
      <c r="C237" s="43"/>
      <c r="D237" s="43"/>
      <c r="E237" s="43" t="s">
        <v>1227</v>
      </c>
      <c r="F237" s="43" t="s">
        <v>1228</v>
      </c>
      <c r="G237" s="46">
        <f t="shared" si="74"/>
        <v>103270</v>
      </c>
      <c r="H237" s="46">
        <f t="shared" si="75"/>
        <v>93717.525000000009</v>
      </c>
      <c r="I237" s="28" t="s">
        <v>262</v>
      </c>
      <c r="J237" s="337">
        <v>1</v>
      </c>
      <c r="K237" s="46">
        <f t="shared" si="76"/>
        <v>103270</v>
      </c>
      <c r="L237" s="46">
        <f t="shared" si="77"/>
        <v>93717.525000000009</v>
      </c>
      <c r="M237" s="338">
        <f t="shared" si="78"/>
        <v>0</v>
      </c>
      <c r="N237" s="43" t="s">
        <v>669</v>
      </c>
      <c r="O237" s="339" t="s">
        <v>167</v>
      </c>
      <c r="P237" s="340" t="str">
        <f>IFERROR(VLOOKUP(O237,NCM!$A$3:$D$99,COLUMN(head_porNCM_IPI)-COLUMN(head_porNCM_NCM)+1,FALSE),"")</f>
        <v/>
      </c>
      <c r="Q237" s="43" t="s">
        <v>1879</v>
      </c>
      <c r="R237" s="78" t="s">
        <v>209</v>
      </c>
      <c r="S237" s="341"/>
      <c r="T237" s="28" t="s">
        <v>53</v>
      </c>
      <c r="U237" s="28" t="s">
        <v>2753</v>
      </c>
      <c r="V237" s="548">
        <v>45425</v>
      </c>
      <c r="W237" s="43"/>
      <c r="X237" s="342">
        <f t="shared" si="79"/>
        <v>0</v>
      </c>
      <c r="Y237" s="342">
        <f t="shared" si="80"/>
        <v>0</v>
      </c>
      <c r="Z237" s="46">
        <f t="shared" si="81"/>
        <v>1703.9550000000002</v>
      </c>
      <c r="AA237" s="46">
        <f t="shared" si="82"/>
        <v>7848.5199999999995</v>
      </c>
      <c r="AB237" s="43"/>
      <c r="AC237" s="44">
        <v>103270</v>
      </c>
      <c r="AD237" s="31">
        <v>0</v>
      </c>
      <c r="AE237" s="31">
        <v>0</v>
      </c>
      <c r="AF237" s="31">
        <v>0</v>
      </c>
      <c r="AG237" s="28" t="s">
        <v>53</v>
      </c>
      <c r="AH237" s="46">
        <f t="shared" si="83"/>
        <v>103270</v>
      </c>
      <c r="AI237" s="43"/>
      <c r="AJ237" s="28"/>
      <c r="AK237" s="337"/>
      <c r="AL237" s="43"/>
      <c r="AM237" s="44">
        <f t="shared" si="84"/>
        <v>0</v>
      </c>
      <c r="AN237" s="43"/>
      <c r="AO237" s="28">
        <f t="shared" si="85"/>
        <v>0</v>
      </c>
      <c r="AP237" s="43"/>
      <c r="AQ237" s="323">
        <f t="shared" si="86"/>
        <v>0</v>
      </c>
      <c r="AR237" s="43"/>
      <c r="AS237" s="44">
        <f t="shared" si="87"/>
        <v>103270</v>
      </c>
    </row>
    <row r="238" spans="1:45" x14ac:dyDescent="0.25">
      <c r="A238" s="28"/>
      <c r="B238" s="43"/>
      <c r="C238" s="43"/>
      <c r="D238" s="43"/>
      <c r="E238" s="43" t="s">
        <v>2487</v>
      </c>
      <c r="F238" s="43" t="s">
        <v>2488</v>
      </c>
      <c r="G238" s="46">
        <f t="shared" si="74"/>
        <v>134370</v>
      </c>
      <c r="H238" s="46">
        <f t="shared" si="75"/>
        <v>121940.77500000001</v>
      </c>
      <c r="I238" s="28" t="s">
        <v>262</v>
      </c>
      <c r="J238" s="337">
        <v>1</v>
      </c>
      <c r="K238" s="46">
        <f t="shared" si="76"/>
        <v>134370</v>
      </c>
      <c r="L238" s="46">
        <f t="shared" si="77"/>
        <v>121940.77500000001</v>
      </c>
      <c r="M238" s="338">
        <f t="shared" si="78"/>
        <v>0</v>
      </c>
      <c r="N238" s="43" t="s">
        <v>669</v>
      </c>
      <c r="O238" s="339" t="s">
        <v>167</v>
      </c>
      <c r="P238" s="340" t="str">
        <f>IFERROR(VLOOKUP(O238,NCM!$A$3:$D$99,COLUMN(head_porNCM_IPI)-COLUMN(head_porNCM_NCM)+1,FALSE),"")</f>
        <v/>
      </c>
      <c r="Q238" s="43" t="s">
        <v>1879</v>
      </c>
      <c r="R238" s="78" t="s">
        <v>209</v>
      </c>
      <c r="S238" s="341"/>
      <c r="T238" s="28" t="s">
        <v>53</v>
      </c>
      <c r="U238" s="28" t="s">
        <v>2753</v>
      </c>
      <c r="V238" s="548">
        <v>45425</v>
      </c>
      <c r="W238" s="43"/>
      <c r="X238" s="342">
        <f t="shared" si="79"/>
        <v>0</v>
      </c>
      <c r="Y238" s="342">
        <f t="shared" si="80"/>
        <v>0</v>
      </c>
      <c r="Z238" s="46">
        <f t="shared" si="81"/>
        <v>2217.105</v>
      </c>
      <c r="AA238" s="46">
        <f t="shared" si="82"/>
        <v>10212.119999999999</v>
      </c>
      <c r="AB238" s="43"/>
      <c r="AC238" s="44">
        <v>134370</v>
      </c>
      <c r="AD238" s="31">
        <v>0</v>
      </c>
      <c r="AE238" s="31">
        <v>0</v>
      </c>
      <c r="AF238" s="31">
        <v>0</v>
      </c>
      <c r="AG238" s="28" t="s">
        <v>53</v>
      </c>
      <c r="AH238" s="46">
        <f t="shared" si="83"/>
        <v>134370</v>
      </c>
      <c r="AI238" s="43"/>
      <c r="AJ238" s="28"/>
      <c r="AK238" s="337"/>
      <c r="AL238" s="43"/>
      <c r="AM238" s="44">
        <f t="shared" si="84"/>
        <v>0</v>
      </c>
      <c r="AN238" s="43"/>
      <c r="AO238" s="28">
        <f t="shared" si="85"/>
        <v>0</v>
      </c>
      <c r="AP238" s="43"/>
      <c r="AQ238" s="323">
        <f t="shared" si="86"/>
        <v>0</v>
      </c>
      <c r="AR238" s="43"/>
      <c r="AS238" s="44">
        <f t="shared" si="87"/>
        <v>134370</v>
      </c>
    </row>
    <row r="239" spans="1:45" x14ac:dyDescent="0.25">
      <c r="A239" s="28"/>
      <c r="B239" s="43"/>
      <c r="C239" s="43"/>
      <c r="D239" s="43"/>
      <c r="E239" s="43" t="s">
        <v>2489</v>
      </c>
      <c r="F239" s="43" t="s">
        <v>2490</v>
      </c>
      <c r="G239" s="46">
        <f t="shared" si="74"/>
        <v>158070</v>
      </c>
      <c r="H239" s="46">
        <f t="shared" si="75"/>
        <v>143448.52500000002</v>
      </c>
      <c r="I239" s="28" t="s">
        <v>262</v>
      </c>
      <c r="J239" s="337">
        <v>1</v>
      </c>
      <c r="K239" s="46">
        <f t="shared" si="76"/>
        <v>158070</v>
      </c>
      <c r="L239" s="46">
        <f t="shared" si="77"/>
        <v>143448.52500000002</v>
      </c>
      <c r="M239" s="338">
        <f t="shared" si="78"/>
        <v>0</v>
      </c>
      <c r="N239" s="43" t="s">
        <v>669</v>
      </c>
      <c r="O239" s="339" t="s">
        <v>167</v>
      </c>
      <c r="P239" s="340" t="str">
        <f>IFERROR(VLOOKUP(O239,NCM!$A$3:$D$99,COLUMN(head_porNCM_IPI)-COLUMN(head_porNCM_NCM)+1,FALSE),"")</f>
        <v/>
      </c>
      <c r="Q239" s="43" t="s">
        <v>1879</v>
      </c>
      <c r="R239" s="78" t="s">
        <v>209</v>
      </c>
      <c r="S239" s="341"/>
      <c r="T239" s="28" t="s">
        <v>53</v>
      </c>
      <c r="U239" s="28" t="s">
        <v>2753</v>
      </c>
      <c r="V239" s="548">
        <v>45425</v>
      </c>
      <c r="W239" s="43"/>
      <c r="X239" s="342">
        <f t="shared" si="79"/>
        <v>0</v>
      </c>
      <c r="Y239" s="342">
        <f t="shared" si="80"/>
        <v>0</v>
      </c>
      <c r="Z239" s="46">
        <f t="shared" si="81"/>
        <v>2608.1550000000002</v>
      </c>
      <c r="AA239" s="46">
        <f t="shared" si="82"/>
        <v>12013.32</v>
      </c>
      <c r="AB239" s="43"/>
      <c r="AC239" s="44">
        <v>158070</v>
      </c>
      <c r="AD239" s="31">
        <v>0</v>
      </c>
      <c r="AE239" s="31">
        <v>0</v>
      </c>
      <c r="AF239" s="31">
        <v>0</v>
      </c>
      <c r="AG239" s="28" t="s">
        <v>53</v>
      </c>
      <c r="AH239" s="46">
        <f t="shared" si="83"/>
        <v>158070</v>
      </c>
      <c r="AI239" s="43"/>
      <c r="AJ239" s="28"/>
      <c r="AK239" s="337"/>
      <c r="AL239" s="43"/>
      <c r="AM239" s="44">
        <f t="shared" si="84"/>
        <v>0</v>
      </c>
      <c r="AN239" s="43"/>
      <c r="AO239" s="28">
        <f t="shared" si="85"/>
        <v>0</v>
      </c>
      <c r="AP239" s="43"/>
      <c r="AQ239" s="323">
        <f t="shared" si="86"/>
        <v>0</v>
      </c>
      <c r="AR239" s="43"/>
      <c r="AS239" s="44">
        <f t="shared" si="87"/>
        <v>158070</v>
      </c>
    </row>
    <row r="240" spans="1:45" x14ac:dyDescent="0.25">
      <c r="A240" s="28"/>
      <c r="B240" s="43"/>
      <c r="C240" s="43"/>
      <c r="D240" s="43"/>
      <c r="E240" s="43" t="s">
        <v>2491</v>
      </c>
      <c r="F240" s="43" t="s">
        <v>2492</v>
      </c>
      <c r="G240" s="46">
        <f t="shared" si="74"/>
        <v>209540</v>
      </c>
      <c r="H240" s="46">
        <f t="shared" si="75"/>
        <v>190157.55000000002</v>
      </c>
      <c r="I240" s="28" t="s">
        <v>262</v>
      </c>
      <c r="J240" s="337">
        <v>1</v>
      </c>
      <c r="K240" s="46">
        <f t="shared" si="76"/>
        <v>209540</v>
      </c>
      <c r="L240" s="46">
        <f t="shared" si="77"/>
        <v>190157.55000000002</v>
      </c>
      <c r="M240" s="338">
        <f t="shared" si="78"/>
        <v>0</v>
      </c>
      <c r="N240" s="43" t="s">
        <v>669</v>
      </c>
      <c r="O240" s="339" t="s">
        <v>167</v>
      </c>
      <c r="P240" s="340" t="str">
        <f>IFERROR(VLOOKUP(O240,NCM!$A$3:$D$99,COLUMN(head_porNCM_IPI)-COLUMN(head_porNCM_NCM)+1,FALSE),"")</f>
        <v/>
      </c>
      <c r="Q240" s="43" t="s">
        <v>1879</v>
      </c>
      <c r="R240" s="78" t="s">
        <v>209</v>
      </c>
      <c r="S240" s="341"/>
      <c r="T240" s="28" t="s">
        <v>53</v>
      </c>
      <c r="U240" s="28" t="s">
        <v>2753</v>
      </c>
      <c r="V240" s="548">
        <v>45425</v>
      </c>
      <c r="W240" s="43"/>
      <c r="X240" s="342">
        <f t="shared" si="79"/>
        <v>0</v>
      </c>
      <c r="Y240" s="342">
        <f t="shared" si="80"/>
        <v>0</v>
      </c>
      <c r="Z240" s="46">
        <f t="shared" si="81"/>
        <v>3457.4100000000003</v>
      </c>
      <c r="AA240" s="46">
        <f t="shared" si="82"/>
        <v>15925.039999999999</v>
      </c>
      <c r="AB240" s="43"/>
      <c r="AC240" s="44">
        <v>209540</v>
      </c>
      <c r="AD240" s="31">
        <v>0</v>
      </c>
      <c r="AE240" s="31">
        <v>0</v>
      </c>
      <c r="AF240" s="31">
        <v>0</v>
      </c>
      <c r="AG240" s="28" t="s">
        <v>53</v>
      </c>
      <c r="AH240" s="46">
        <f t="shared" si="83"/>
        <v>209540</v>
      </c>
      <c r="AI240" s="43"/>
      <c r="AJ240" s="28"/>
      <c r="AK240" s="337"/>
      <c r="AL240" s="43"/>
      <c r="AM240" s="44">
        <f t="shared" si="84"/>
        <v>0</v>
      </c>
      <c r="AN240" s="43"/>
      <c r="AO240" s="28">
        <f t="shared" si="85"/>
        <v>0</v>
      </c>
      <c r="AP240" s="43"/>
      <c r="AQ240" s="323">
        <f t="shared" si="86"/>
        <v>0</v>
      </c>
      <c r="AR240" s="43"/>
      <c r="AS240" s="44">
        <f t="shared" si="87"/>
        <v>209540</v>
      </c>
    </row>
    <row r="241" spans="1:45" x14ac:dyDescent="0.25">
      <c r="A241" s="28"/>
      <c r="B241" s="43"/>
      <c r="C241" s="43"/>
      <c r="D241" s="43"/>
      <c r="E241" s="43" t="s">
        <v>2493</v>
      </c>
      <c r="F241" s="43" t="s">
        <v>2494</v>
      </c>
      <c r="G241" s="46">
        <f t="shared" si="74"/>
        <v>253640</v>
      </c>
      <c r="H241" s="46">
        <f t="shared" si="75"/>
        <v>230178.30000000002</v>
      </c>
      <c r="I241" s="28" t="s">
        <v>262</v>
      </c>
      <c r="J241" s="337">
        <v>1</v>
      </c>
      <c r="K241" s="46">
        <f t="shared" si="76"/>
        <v>253640</v>
      </c>
      <c r="L241" s="46">
        <f t="shared" si="77"/>
        <v>230178.30000000002</v>
      </c>
      <c r="M241" s="338">
        <f t="shared" si="78"/>
        <v>0</v>
      </c>
      <c r="N241" s="43" t="s">
        <v>669</v>
      </c>
      <c r="O241" s="339" t="s">
        <v>167</v>
      </c>
      <c r="P241" s="340" t="str">
        <f>IFERROR(VLOOKUP(O241,NCM!$A$3:$D$99,COLUMN(head_porNCM_IPI)-COLUMN(head_porNCM_NCM)+1,FALSE),"")</f>
        <v/>
      </c>
      <c r="Q241" s="43" t="s">
        <v>1879</v>
      </c>
      <c r="R241" s="78" t="s">
        <v>209</v>
      </c>
      <c r="S241" s="341"/>
      <c r="T241" s="28" t="s">
        <v>53</v>
      </c>
      <c r="U241" s="28" t="s">
        <v>2753</v>
      </c>
      <c r="V241" s="548">
        <v>45425</v>
      </c>
      <c r="W241" s="43"/>
      <c r="X241" s="342">
        <f t="shared" si="79"/>
        <v>0</v>
      </c>
      <c r="Y241" s="342">
        <f t="shared" si="80"/>
        <v>0</v>
      </c>
      <c r="Z241" s="46">
        <f t="shared" si="81"/>
        <v>4185.0600000000004</v>
      </c>
      <c r="AA241" s="46">
        <f t="shared" si="82"/>
        <v>19276.64</v>
      </c>
      <c r="AB241" s="43"/>
      <c r="AC241" s="44">
        <v>253640</v>
      </c>
      <c r="AD241" s="31">
        <v>0</v>
      </c>
      <c r="AE241" s="31">
        <v>0</v>
      </c>
      <c r="AF241" s="31">
        <v>0</v>
      </c>
      <c r="AG241" s="28" t="s">
        <v>53</v>
      </c>
      <c r="AH241" s="46">
        <f t="shared" si="83"/>
        <v>253640</v>
      </c>
      <c r="AI241" s="43"/>
      <c r="AJ241" s="28"/>
      <c r="AK241" s="337"/>
      <c r="AL241" s="43"/>
      <c r="AM241" s="44">
        <f t="shared" si="84"/>
        <v>0</v>
      </c>
      <c r="AN241" s="43"/>
      <c r="AO241" s="28">
        <f t="shared" si="85"/>
        <v>0</v>
      </c>
      <c r="AP241" s="43"/>
      <c r="AQ241" s="323">
        <f t="shared" si="86"/>
        <v>0</v>
      </c>
      <c r="AR241" s="43"/>
      <c r="AS241" s="44">
        <f t="shared" si="87"/>
        <v>253640</v>
      </c>
    </row>
    <row r="242" spans="1:45" x14ac:dyDescent="0.25">
      <c r="A242" s="28"/>
      <c r="B242" s="43"/>
      <c r="C242" s="43"/>
      <c r="D242" s="43"/>
      <c r="E242" s="43" t="s">
        <v>2495</v>
      </c>
      <c r="F242" s="43" t="s">
        <v>2496</v>
      </c>
      <c r="G242" s="46">
        <f t="shared" si="74"/>
        <v>302090</v>
      </c>
      <c r="H242" s="46">
        <f t="shared" si="75"/>
        <v>274146.67500000005</v>
      </c>
      <c r="I242" s="28" t="s">
        <v>262</v>
      </c>
      <c r="J242" s="337">
        <v>1</v>
      </c>
      <c r="K242" s="46">
        <f t="shared" si="76"/>
        <v>302090</v>
      </c>
      <c r="L242" s="46">
        <f t="shared" si="77"/>
        <v>274146.67500000005</v>
      </c>
      <c r="M242" s="338">
        <f t="shared" si="78"/>
        <v>0</v>
      </c>
      <c r="N242" s="43" t="s">
        <v>669</v>
      </c>
      <c r="O242" s="339" t="s">
        <v>167</v>
      </c>
      <c r="P242" s="340" t="str">
        <f>IFERROR(VLOOKUP(O242,NCM!$A$3:$D$99,COLUMN(head_porNCM_IPI)-COLUMN(head_porNCM_NCM)+1,FALSE),"")</f>
        <v/>
      </c>
      <c r="Q242" s="43" t="s">
        <v>1879</v>
      </c>
      <c r="R242" s="78" t="s">
        <v>209</v>
      </c>
      <c r="S242" s="341"/>
      <c r="T242" s="28" t="s">
        <v>53</v>
      </c>
      <c r="U242" s="28" t="s">
        <v>2753</v>
      </c>
      <c r="V242" s="548">
        <v>45425</v>
      </c>
      <c r="W242" s="43"/>
      <c r="X242" s="342">
        <f t="shared" si="79"/>
        <v>0</v>
      </c>
      <c r="Y242" s="342">
        <f t="shared" si="80"/>
        <v>0</v>
      </c>
      <c r="Z242" s="46">
        <f t="shared" si="81"/>
        <v>4984.4850000000006</v>
      </c>
      <c r="AA242" s="46">
        <f t="shared" si="82"/>
        <v>22958.84</v>
      </c>
      <c r="AB242" s="43"/>
      <c r="AC242" s="44">
        <v>302090</v>
      </c>
      <c r="AD242" s="31">
        <v>0</v>
      </c>
      <c r="AE242" s="31">
        <v>0</v>
      </c>
      <c r="AF242" s="31">
        <v>0</v>
      </c>
      <c r="AG242" s="28" t="s">
        <v>53</v>
      </c>
      <c r="AH242" s="46">
        <f t="shared" si="83"/>
        <v>302090</v>
      </c>
      <c r="AI242" s="43"/>
      <c r="AJ242" s="28"/>
      <c r="AK242" s="337"/>
      <c r="AL242" s="43"/>
      <c r="AM242" s="44">
        <f t="shared" si="84"/>
        <v>0</v>
      </c>
      <c r="AN242" s="43"/>
      <c r="AO242" s="28">
        <f t="shared" si="85"/>
        <v>0</v>
      </c>
      <c r="AP242" s="43"/>
      <c r="AQ242" s="323">
        <f t="shared" si="86"/>
        <v>0</v>
      </c>
      <c r="AR242" s="43"/>
      <c r="AS242" s="44">
        <f t="shared" si="87"/>
        <v>302090</v>
      </c>
    </row>
    <row r="243" spans="1:45" x14ac:dyDescent="0.25">
      <c r="A243" s="28"/>
      <c r="B243" s="43"/>
      <c r="C243" s="43"/>
      <c r="D243" s="43"/>
      <c r="E243" s="43" t="s">
        <v>2497</v>
      </c>
      <c r="F243" s="43" t="s">
        <v>2498</v>
      </c>
      <c r="G243" s="46">
        <f t="shared" si="74"/>
        <v>43150</v>
      </c>
      <c r="H243" s="46">
        <f t="shared" si="75"/>
        <v>39158.625000000007</v>
      </c>
      <c r="I243" s="28" t="s">
        <v>262</v>
      </c>
      <c r="J243" s="337">
        <v>1</v>
      </c>
      <c r="K243" s="46">
        <f t="shared" si="76"/>
        <v>43150</v>
      </c>
      <c r="L243" s="46">
        <f t="shared" si="77"/>
        <v>39158.625000000007</v>
      </c>
      <c r="M243" s="338">
        <f t="shared" si="78"/>
        <v>0</v>
      </c>
      <c r="N243" s="43" t="s">
        <v>669</v>
      </c>
      <c r="O243" s="339" t="s">
        <v>167</v>
      </c>
      <c r="P243" s="340" t="str">
        <f>IFERROR(VLOOKUP(O243,NCM!$A$3:$D$99,COLUMN(head_porNCM_IPI)-COLUMN(head_porNCM_NCM)+1,FALSE),"")</f>
        <v/>
      </c>
      <c r="Q243" s="43" t="s">
        <v>1879</v>
      </c>
      <c r="R243" s="78" t="s">
        <v>209</v>
      </c>
      <c r="S243" s="341"/>
      <c r="T243" s="28" t="s">
        <v>53</v>
      </c>
      <c r="U243" s="28" t="s">
        <v>2753</v>
      </c>
      <c r="V243" s="548">
        <v>45425</v>
      </c>
      <c r="W243" s="43"/>
      <c r="X243" s="342">
        <f t="shared" si="79"/>
        <v>0</v>
      </c>
      <c r="Y243" s="342">
        <f t="shared" si="80"/>
        <v>0</v>
      </c>
      <c r="Z243" s="46">
        <f t="shared" si="81"/>
        <v>711.97500000000002</v>
      </c>
      <c r="AA243" s="46">
        <f t="shared" si="82"/>
        <v>3279.4</v>
      </c>
      <c r="AB243" s="43"/>
      <c r="AC243" s="44">
        <v>43150</v>
      </c>
      <c r="AD243" s="31">
        <v>0</v>
      </c>
      <c r="AE243" s="31">
        <v>0</v>
      </c>
      <c r="AF243" s="31">
        <v>0</v>
      </c>
      <c r="AG243" s="28" t="s">
        <v>53</v>
      </c>
      <c r="AH243" s="46">
        <f t="shared" si="83"/>
        <v>43150</v>
      </c>
      <c r="AI243" s="43"/>
      <c r="AJ243" s="28"/>
      <c r="AK243" s="337"/>
      <c r="AL243" s="43"/>
      <c r="AM243" s="44">
        <f t="shared" si="84"/>
        <v>0</v>
      </c>
      <c r="AN243" s="43"/>
      <c r="AO243" s="28">
        <f t="shared" si="85"/>
        <v>0</v>
      </c>
      <c r="AP243" s="43"/>
      <c r="AQ243" s="323">
        <f t="shared" si="86"/>
        <v>0</v>
      </c>
      <c r="AR243" s="43"/>
      <c r="AS243" s="44">
        <f t="shared" si="87"/>
        <v>43150</v>
      </c>
    </row>
    <row r="244" spans="1:45" x14ac:dyDescent="0.25">
      <c r="A244" s="28"/>
      <c r="B244" s="43"/>
      <c r="C244" s="43"/>
      <c r="D244" s="43"/>
      <c r="E244" s="43" t="s">
        <v>2499</v>
      </c>
      <c r="F244" s="43" t="s">
        <v>2500</v>
      </c>
      <c r="G244" s="46">
        <f t="shared" si="74"/>
        <v>53320</v>
      </c>
      <c r="H244" s="46">
        <f t="shared" si="75"/>
        <v>48387.9</v>
      </c>
      <c r="I244" s="28" t="s">
        <v>262</v>
      </c>
      <c r="J244" s="337">
        <v>1</v>
      </c>
      <c r="K244" s="46">
        <f t="shared" si="76"/>
        <v>53320</v>
      </c>
      <c r="L244" s="46">
        <f t="shared" si="77"/>
        <v>48387.9</v>
      </c>
      <c r="M244" s="338">
        <f t="shared" si="78"/>
        <v>0</v>
      </c>
      <c r="N244" s="43" t="s">
        <v>669</v>
      </c>
      <c r="O244" s="339" t="s">
        <v>167</v>
      </c>
      <c r="P244" s="340" t="str">
        <f>IFERROR(VLOOKUP(O244,NCM!$A$3:$D$99,COLUMN(head_porNCM_IPI)-COLUMN(head_porNCM_NCM)+1,FALSE),"")</f>
        <v/>
      </c>
      <c r="Q244" s="43" t="s">
        <v>1879</v>
      </c>
      <c r="R244" s="78" t="s">
        <v>209</v>
      </c>
      <c r="S244" s="341"/>
      <c r="T244" s="28" t="s">
        <v>53</v>
      </c>
      <c r="U244" s="28" t="s">
        <v>2753</v>
      </c>
      <c r="V244" s="548">
        <v>45425</v>
      </c>
      <c r="W244" s="43"/>
      <c r="X244" s="342">
        <f t="shared" si="79"/>
        <v>0</v>
      </c>
      <c r="Y244" s="342">
        <f t="shared" si="80"/>
        <v>0</v>
      </c>
      <c r="Z244" s="46">
        <f t="shared" si="81"/>
        <v>879.78000000000009</v>
      </c>
      <c r="AA244" s="46">
        <f t="shared" si="82"/>
        <v>4052.3199999999997</v>
      </c>
      <c r="AB244" s="43"/>
      <c r="AC244" s="44">
        <v>53320</v>
      </c>
      <c r="AD244" s="31">
        <v>0</v>
      </c>
      <c r="AE244" s="31">
        <v>0</v>
      </c>
      <c r="AF244" s="31">
        <v>0</v>
      </c>
      <c r="AG244" s="28" t="s">
        <v>53</v>
      </c>
      <c r="AH244" s="46">
        <f t="shared" si="83"/>
        <v>53320</v>
      </c>
      <c r="AI244" s="43"/>
      <c r="AJ244" s="28"/>
      <c r="AK244" s="337"/>
      <c r="AL244" s="43"/>
      <c r="AM244" s="44">
        <f t="shared" si="84"/>
        <v>0</v>
      </c>
      <c r="AN244" s="43"/>
      <c r="AO244" s="28">
        <f t="shared" si="85"/>
        <v>0</v>
      </c>
      <c r="AP244" s="43"/>
      <c r="AQ244" s="323">
        <f t="shared" si="86"/>
        <v>0</v>
      </c>
      <c r="AR244" s="43"/>
      <c r="AS244" s="44">
        <f t="shared" si="87"/>
        <v>53320</v>
      </c>
    </row>
    <row r="245" spans="1:45" x14ac:dyDescent="0.25">
      <c r="A245" s="28"/>
      <c r="B245" s="43"/>
      <c r="C245" s="43"/>
      <c r="D245" s="43"/>
      <c r="E245" s="43" t="s">
        <v>2501</v>
      </c>
      <c r="F245" s="43" t="s">
        <v>2502</v>
      </c>
      <c r="G245" s="46">
        <f t="shared" si="74"/>
        <v>68590</v>
      </c>
      <c r="H245" s="46">
        <f t="shared" si="75"/>
        <v>62245.425000000003</v>
      </c>
      <c r="I245" s="28" t="s">
        <v>262</v>
      </c>
      <c r="J245" s="337">
        <v>1</v>
      </c>
      <c r="K245" s="46">
        <f t="shared" si="76"/>
        <v>68590</v>
      </c>
      <c r="L245" s="46">
        <f t="shared" si="77"/>
        <v>62245.425000000003</v>
      </c>
      <c r="M245" s="338">
        <f t="shared" si="78"/>
        <v>0</v>
      </c>
      <c r="N245" s="43" t="s">
        <v>669</v>
      </c>
      <c r="O245" s="339" t="s">
        <v>167</v>
      </c>
      <c r="P245" s="340" t="str">
        <f>IFERROR(VLOOKUP(O245,NCM!$A$3:$D$99,COLUMN(head_porNCM_IPI)-COLUMN(head_porNCM_NCM)+1,FALSE),"")</f>
        <v/>
      </c>
      <c r="Q245" s="43" t="s">
        <v>1879</v>
      </c>
      <c r="R245" s="78" t="s">
        <v>209</v>
      </c>
      <c r="S245" s="341"/>
      <c r="T245" s="28" t="s">
        <v>53</v>
      </c>
      <c r="U245" s="28" t="s">
        <v>2753</v>
      </c>
      <c r="V245" s="548">
        <v>45425</v>
      </c>
      <c r="W245" s="43"/>
      <c r="X245" s="342">
        <f t="shared" si="79"/>
        <v>0</v>
      </c>
      <c r="Y245" s="342">
        <f t="shared" si="80"/>
        <v>0</v>
      </c>
      <c r="Z245" s="46">
        <f t="shared" si="81"/>
        <v>1131.7350000000001</v>
      </c>
      <c r="AA245" s="46">
        <f t="shared" si="82"/>
        <v>5212.84</v>
      </c>
      <c r="AB245" s="43"/>
      <c r="AC245" s="44">
        <v>68590</v>
      </c>
      <c r="AD245" s="31">
        <v>0</v>
      </c>
      <c r="AE245" s="31">
        <v>0</v>
      </c>
      <c r="AF245" s="31">
        <v>0</v>
      </c>
      <c r="AG245" s="28" t="s">
        <v>53</v>
      </c>
      <c r="AH245" s="46">
        <f t="shared" si="83"/>
        <v>68590</v>
      </c>
      <c r="AI245" s="43"/>
      <c r="AJ245" s="28"/>
      <c r="AK245" s="337"/>
      <c r="AL245" s="43"/>
      <c r="AM245" s="44">
        <f t="shared" si="84"/>
        <v>0</v>
      </c>
      <c r="AN245" s="43"/>
      <c r="AO245" s="28">
        <f t="shared" si="85"/>
        <v>0</v>
      </c>
      <c r="AP245" s="43"/>
      <c r="AQ245" s="323">
        <f t="shared" si="86"/>
        <v>0</v>
      </c>
      <c r="AR245" s="43"/>
      <c r="AS245" s="44">
        <f t="shared" si="87"/>
        <v>68590</v>
      </c>
    </row>
    <row r="246" spans="1:45" x14ac:dyDescent="0.25">
      <c r="A246" s="28"/>
      <c r="B246" s="43"/>
      <c r="C246" s="43"/>
      <c r="D246" s="43"/>
      <c r="E246" s="43" t="s">
        <v>2503</v>
      </c>
      <c r="F246" s="43" t="s">
        <v>2504</v>
      </c>
      <c r="G246" s="46">
        <f t="shared" si="74"/>
        <v>86650</v>
      </c>
      <c r="H246" s="46">
        <f t="shared" si="75"/>
        <v>78634.875000000015</v>
      </c>
      <c r="I246" s="28" t="s">
        <v>262</v>
      </c>
      <c r="J246" s="337">
        <v>1</v>
      </c>
      <c r="K246" s="46">
        <f t="shared" si="76"/>
        <v>86650</v>
      </c>
      <c r="L246" s="46">
        <f t="shared" si="77"/>
        <v>78634.875000000015</v>
      </c>
      <c r="M246" s="338">
        <f t="shared" si="78"/>
        <v>0</v>
      </c>
      <c r="N246" s="43" t="s">
        <v>669</v>
      </c>
      <c r="O246" s="339" t="s">
        <v>167</v>
      </c>
      <c r="P246" s="340" t="str">
        <f>IFERROR(VLOOKUP(O246,NCM!$A$3:$D$99,COLUMN(head_porNCM_IPI)-COLUMN(head_porNCM_NCM)+1,FALSE),"")</f>
        <v/>
      </c>
      <c r="Q246" s="43" t="s">
        <v>1879</v>
      </c>
      <c r="R246" s="78" t="s">
        <v>209</v>
      </c>
      <c r="S246" s="341"/>
      <c r="T246" s="28" t="s">
        <v>53</v>
      </c>
      <c r="U246" s="28" t="s">
        <v>2753</v>
      </c>
      <c r="V246" s="548">
        <v>45425</v>
      </c>
      <c r="W246" s="43"/>
      <c r="X246" s="342">
        <f t="shared" si="79"/>
        <v>0</v>
      </c>
      <c r="Y246" s="342">
        <f t="shared" si="80"/>
        <v>0</v>
      </c>
      <c r="Z246" s="46">
        <f t="shared" si="81"/>
        <v>1429.7250000000001</v>
      </c>
      <c r="AA246" s="46">
        <f t="shared" si="82"/>
        <v>6585.4</v>
      </c>
      <c r="AB246" s="43"/>
      <c r="AC246" s="44">
        <v>86650</v>
      </c>
      <c r="AD246" s="31">
        <v>0</v>
      </c>
      <c r="AE246" s="31">
        <v>0</v>
      </c>
      <c r="AF246" s="31">
        <v>0</v>
      </c>
      <c r="AG246" s="28" t="s">
        <v>53</v>
      </c>
      <c r="AH246" s="46">
        <f t="shared" si="83"/>
        <v>86650</v>
      </c>
      <c r="AI246" s="43"/>
      <c r="AJ246" s="28"/>
      <c r="AK246" s="337"/>
      <c r="AL246" s="43"/>
      <c r="AM246" s="44">
        <f t="shared" si="84"/>
        <v>0</v>
      </c>
      <c r="AN246" s="43"/>
      <c r="AO246" s="28">
        <f t="shared" si="85"/>
        <v>0</v>
      </c>
      <c r="AP246" s="43"/>
      <c r="AQ246" s="323">
        <f t="shared" si="86"/>
        <v>0</v>
      </c>
      <c r="AR246" s="43"/>
      <c r="AS246" s="44">
        <f t="shared" si="87"/>
        <v>86650</v>
      </c>
    </row>
    <row r="247" spans="1:45" x14ac:dyDescent="0.25">
      <c r="A247" s="28"/>
      <c r="B247" s="43"/>
      <c r="C247" s="43"/>
      <c r="D247" s="43"/>
      <c r="E247" s="43" t="s">
        <v>2505</v>
      </c>
      <c r="F247" s="43" t="s">
        <v>2506</v>
      </c>
      <c r="G247" s="46">
        <f t="shared" si="74"/>
        <v>103270</v>
      </c>
      <c r="H247" s="46">
        <f t="shared" si="75"/>
        <v>93717.525000000009</v>
      </c>
      <c r="I247" s="28" t="s">
        <v>262</v>
      </c>
      <c r="J247" s="337">
        <v>1</v>
      </c>
      <c r="K247" s="46">
        <f t="shared" si="76"/>
        <v>103270</v>
      </c>
      <c r="L247" s="46">
        <f t="shared" si="77"/>
        <v>93717.525000000009</v>
      </c>
      <c r="M247" s="338">
        <f t="shared" si="78"/>
        <v>0</v>
      </c>
      <c r="N247" s="43" t="s">
        <v>669</v>
      </c>
      <c r="O247" s="339" t="s">
        <v>167</v>
      </c>
      <c r="P247" s="340" t="str">
        <f>IFERROR(VLOOKUP(O247,NCM!$A$3:$D$99,COLUMN(head_porNCM_IPI)-COLUMN(head_porNCM_NCM)+1,FALSE),"")</f>
        <v/>
      </c>
      <c r="Q247" s="43" t="s">
        <v>1879</v>
      </c>
      <c r="R247" s="78" t="s">
        <v>209</v>
      </c>
      <c r="S247" s="341"/>
      <c r="T247" s="28" t="s">
        <v>53</v>
      </c>
      <c r="U247" s="28" t="s">
        <v>2753</v>
      </c>
      <c r="V247" s="548">
        <v>45425</v>
      </c>
      <c r="W247" s="43"/>
      <c r="X247" s="342">
        <f t="shared" si="79"/>
        <v>0</v>
      </c>
      <c r="Y247" s="342">
        <f t="shared" si="80"/>
        <v>0</v>
      </c>
      <c r="Z247" s="46">
        <f t="shared" si="81"/>
        <v>1703.9550000000002</v>
      </c>
      <c r="AA247" s="46">
        <f t="shared" si="82"/>
        <v>7848.5199999999995</v>
      </c>
      <c r="AB247" s="43"/>
      <c r="AC247" s="44">
        <v>103270</v>
      </c>
      <c r="AD247" s="31">
        <v>0</v>
      </c>
      <c r="AE247" s="31">
        <v>0</v>
      </c>
      <c r="AF247" s="31">
        <v>0</v>
      </c>
      <c r="AG247" s="28" t="s">
        <v>53</v>
      </c>
      <c r="AH247" s="46">
        <f t="shared" si="83"/>
        <v>103270</v>
      </c>
      <c r="AI247" s="43"/>
      <c r="AJ247" s="28"/>
      <c r="AK247" s="337"/>
      <c r="AL247" s="43"/>
      <c r="AM247" s="44">
        <f t="shared" si="84"/>
        <v>0</v>
      </c>
      <c r="AN247" s="43"/>
      <c r="AO247" s="28">
        <f t="shared" si="85"/>
        <v>0</v>
      </c>
      <c r="AP247" s="43"/>
      <c r="AQ247" s="323">
        <f t="shared" si="86"/>
        <v>0</v>
      </c>
      <c r="AR247" s="43"/>
      <c r="AS247" s="44">
        <f t="shared" si="87"/>
        <v>103270</v>
      </c>
    </row>
    <row r="248" spans="1:45" x14ac:dyDescent="0.25">
      <c r="A248" s="28"/>
      <c r="B248" s="43"/>
      <c r="C248" s="43"/>
      <c r="D248" s="43"/>
      <c r="E248" s="43" t="s">
        <v>2507</v>
      </c>
      <c r="F248" s="43" t="s">
        <v>2508</v>
      </c>
      <c r="G248" s="46">
        <f t="shared" ref="G248:G311" si="88">AC248*(1-AD248)</f>
        <v>134370</v>
      </c>
      <c r="H248" s="46">
        <f t="shared" ref="H248:H311" si="89">AC248*(1-AD248-pis_naocum-cofins_naocum)</f>
        <v>121940.77500000001</v>
      </c>
      <c r="I248" s="28" t="s">
        <v>262</v>
      </c>
      <c r="J248" s="337">
        <v>1</v>
      </c>
      <c r="K248" s="46">
        <f t="shared" ref="K248:K311" si="90">IFERROR(G248*J248*VLOOKUP(I248,tbl_cambio,2,FALSE),"")</f>
        <v>134370</v>
      </c>
      <c r="L248" s="46">
        <f t="shared" ref="L248:L311" si="91">IFERROR(H248*J248*VLOOKUP(I248,tbl_cambio,2,FALSE),"")</f>
        <v>121940.77500000001</v>
      </c>
      <c r="M248" s="338">
        <f t="shared" ref="M248:M311" si="92">SUMIF(col_item,"="&amp;E248,col_qtd)</f>
        <v>0</v>
      </c>
      <c r="N248" s="43" t="s">
        <v>669</v>
      </c>
      <c r="O248" s="339" t="s">
        <v>167</v>
      </c>
      <c r="P248" s="340" t="str">
        <f>IFERROR(VLOOKUP(O248,NCM!$A$3:$D$99,COLUMN(head_porNCM_IPI)-COLUMN(head_porNCM_NCM)+1,FALSE),"")</f>
        <v/>
      </c>
      <c r="Q248" s="43" t="s">
        <v>1879</v>
      </c>
      <c r="R248" s="78" t="s">
        <v>209</v>
      </c>
      <c r="S248" s="341"/>
      <c r="T248" s="28" t="s">
        <v>53</v>
      </c>
      <c r="U248" s="28" t="s">
        <v>2753</v>
      </c>
      <c r="V248" s="548">
        <v>45425</v>
      </c>
      <c r="W248" s="43"/>
      <c r="X248" s="342">
        <f t="shared" ref="X248:X311" si="93">(AC248-Y248)*AD248</f>
        <v>0</v>
      </c>
      <c r="Y248" s="342">
        <f t="shared" ref="Y248:Y311" si="94">AC248-AC248/(1+AE248)</f>
        <v>0</v>
      </c>
      <c r="Z248" s="46">
        <f t="shared" ref="Z248:Z311" si="95">(AC248-Y248)*pis_naocum</f>
        <v>2217.105</v>
      </c>
      <c r="AA248" s="46">
        <f t="shared" ref="AA248:AA311" si="96">(AC248-Y248)*cofins_naocum</f>
        <v>10212.119999999999</v>
      </c>
      <c r="AB248" s="43"/>
      <c r="AC248" s="44">
        <v>134370</v>
      </c>
      <c r="AD248" s="31">
        <v>0</v>
      </c>
      <c r="AE248" s="31">
        <v>0</v>
      </c>
      <c r="AF248" s="31">
        <v>0</v>
      </c>
      <c r="AG248" s="28" t="s">
        <v>53</v>
      </c>
      <c r="AH248" s="46">
        <f t="shared" ref="AH248:AH311" si="97">AC248*(1+AE248)</f>
        <v>134370</v>
      </c>
      <c r="AI248" s="43"/>
      <c r="AJ248" s="28"/>
      <c r="AK248" s="337"/>
      <c r="AL248" s="43"/>
      <c r="AM248" s="44">
        <f t="shared" ref="AM248:AM311" si="98">IF(AND(AJ248&lt;&gt;"",AK248&gt;0),AQ248*(VLOOKUP(AJ248,tbl_cambio,2,FALSE)/AK248-1),0)</f>
        <v>0</v>
      </c>
      <c r="AN248" s="43"/>
      <c r="AO248" s="28">
        <f t="shared" ref="AO248:AO311" si="99">IF(T248="Sim",ROUNDUP(M248*sobress_pc,0),0)</f>
        <v>0</v>
      </c>
      <c r="AP248" s="43"/>
      <c r="AQ248" s="323">
        <f t="shared" ref="AQ248:AQ311" si="100">SUMIFS(col_custoTotal,col_fatdir,"Não",col_item,E248)</f>
        <v>0</v>
      </c>
      <c r="AR248" s="43"/>
      <c r="AS248" s="44">
        <f t="shared" ref="AS248:AS311" si="101">IFERROR(AH248*VLOOKUP(I248,tbl_cambio,2,FALSE),0)</f>
        <v>134370</v>
      </c>
    </row>
    <row r="249" spans="1:45" x14ac:dyDescent="0.25">
      <c r="A249" s="28"/>
      <c r="B249" s="43"/>
      <c r="C249" s="43"/>
      <c r="D249" s="43"/>
      <c r="E249" s="43" t="s">
        <v>2509</v>
      </c>
      <c r="F249" s="43" t="s">
        <v>2510</v>
      </c>
      <c r="G249" s="46">
        <f t="shared" si="88"/>
        <v>158070</v>
      </c>
      <c r="H249" s="46">
        <f t="shared" si="89"/>
        <v>143448.52500000002</v>
      </c>
      <c r="I249" s="28" t="s">
        <v>262</v>
      </c>
      <c r="J249" s="337">
        <v>1</v>
      </c>
      <c r="K249" s="46">
        <f t="shared" si="90"/>
        <v>158070</v>
      </c>
      <c r="L249" s="46">
        <f t="shared" si="91"/>
        <v>143448.52500000002</v>
      </c>
      <c r="M249" s="338">
        <f t="shared" si="92"/>
        <v>0</v>
      </c>
      <c r="N249" s="43" t="s">
        <v>669</v>
      </c>
      <c r="O249" s="339" t="s">
        <v>167</v>
      </c>
      <c r="P249" s="340" t="str">
        <f>IFERROR(VLOOKUP(O249,NCM!$A$3:$D$99,COLUMN(head_porNCM_IPI)-COLUMN(head_porNCM_NCM)+1,FALSE),"")</f>
        <v/>
      </c>
      <c r="Q249" s="43" t="s">
        <v>1879</v>
      </c>
      <c r="R249" s="78" t="s">
        <v>209</v>
      </c>
      <c r="S249" s="341"/>
      <c r="T249" s="28" t="s">
        <v>53</v>
      </c>
      <c r="U249" s="28" t="s">
        <v>2753</v>
      </c>
      <c r="V249" s="548">
        <v>45425</v>
      </c>
      <c r="W249" s="43"/>
      <c r="X249" s="342">
        <f t="shared" si="93"/>
        <v>0</v>
      </c>
      <c r="Y249" s="342">
        <f t="shared" si="94"/>
        <v>0</v>
      </c>
      <c r="Z249" s="46">
        <f t="shared" si="95"/>
        <v>2608.1550000000002</v>
      </c>
      <c r="AA249" s="46">
        <f t="shared" si="96"/>
        <v>12013.32</v>
      </c>
      <c r="AB249" s="43"/>
      <c r="AC249" s="44">
        <v>158070</v>
      </c>
      <c r="AD249" s="31">
        <v>0</v>
      </c>
      <c r="AE249" s="31">
        <v>0</v>
      </c>
      <c r="AF249" s="31">
        <v>0</v>
      </c>
      <c r="AG249" s="28" t="s">
        <v>53</v>
      </c>
      <c r="AH249" s="46">
        <f t="shared" si="97"/>
        <v>158070</v>
      </c>
      <c r="AI249" s="43"/>
      <c r="AJ249" s="28"/>
      <c r="AK249" s="337"/>
      <c r="AL249" s="43"/>
      <c r="AM249" s="44">
        <f t="shared" si="98"/>
        <v>0</v>
      </c>
      <c r="AN249" s="43"/>
      <c r="AO249" s="28">
        <f t="shared" si="99"/>
        <v>0</v>
      </c>
      <c r="AP249" s="43"/>
      <c r="AQ249" s="323">
        <f t="shared" si="100"/>
        <v>0</v>
      </c>
      <c r="AR249" s="43"/>
      <c r="AS249" s="44">
        <f t="shared" si="101"/>
        <v>158070</v>
      </c>
    </row>
    <row r="250" spans="1:45" x14ac:dyDescent="0.25">
      <c r="A250" s="28"/>
      <c r="B250" s="43"/>
      <c r="C250" s="43"/>
      <c r="D250" s="43"/>
      <c r="E250" s="43" t="s">
        <v>2511</v>
      </c>
      <c r="F250" s="43" t="s">
        <v>2512</v>
      </c>
      <c r="G250" s="46">
        <f t="shared" si="88"/>
        <v>43150</v>
      </c>
      <c r="H250" s="46">
        <f t="shared" si="89"/>
        <v>39158.625000000007</v>
      </c>
      <c r="I250" s="28" t="s">
        <v>262</v>
      </c>
      <c r="J250" s="337">
        <v>1</v>
      </c>
      <c r="K250" s="46">
        <f t="shared" si="90"/>
        <v>43150</v>
      </c>
      <c r="L250" s="46">
        <f t="shared" si="91"/>
        <v>39158.625000000007</v>
      </c>
      <c r="M250" s="338">
        <f t="shared" si="92"/>
        <v>0</v>
      </c>
      <c r="N250" s="43" t="s">
        <v>669</v>
      </c>
      <c r="O250" s="339" t="s">
        <v>167</v>
      </c>
      <c r="P250" s="340" t="str">
        <f>IFERROR(VLOOKUP(O250,NCM!$A$3:$D$99,COLUMN(head_porNCM_IPI)-COLUMN(head_porNCM_NCM)+1,FALSE),"")</f>
        <v/>
      </c>
      <c r="Q250" s="43" t="s">
        <v>1879</v>
      </c>
      <c r="R250" s="78" t="s">
        <v>209</v>
      </c>
      <c r="S250" s="341"/>
      <c r="T250" s="28" t="s">
        <v>53</v>
      </c>
      <c r="U250" s="28" t="s">
        <v>2753</v>
      </c>
      <c r="V250" s="548">
        <v>45425</v>
      </c>
      <c r="W250" s="43"/>
      <c r="X250" s="342">
        <f t="shared" si="93"/>
        <v>0</v>
      </c>
      <c r="Y250" s="342">
        <f t="shared" si="94"/>
        <v>0</v>
      </c>
      <c r="Z250" s="46">
        <f t="shared" si="95"/>
        <v>711.97500000000002</v>
      </c>
      <c r="AA250" s="46">
        <f t="shared" si="96"/>
        <v>3279.4</v>
      </c>
      <c r="AB250" s="43"/>
      <c r="AC250" s="44">
        <v>43150</v>
      </c>
      <c r="AD250" s="31">
        <v>0</v>
      </c>
      <c r="AE250" s="31">
        <v>0</v>
      </c>
      <c r="AF250" s="31">
        <v>0</v>
      </c>
      <c r="AG250" s="28" t="s">
        <v>53</v>
      </c>
      <c r="AH250" s="46">
        <f t="shared" si="97"/>
        <v>43150</v>
      </c>
      <c r="AI250" s="43"/>
      <c r="AJ250" s="28"/>
      <c r="AK250" s="337"/>
      <c r="AL250" s="43"/>
      <c r="AM250" s="44">
        <f t="shared" si="98"/>
        <v>0</v>
      </c>
      <c r="AN250" s="43"/>
      <c r="AO250" s="28">
        <f t="shared" si="99"/>
        <v>0</v>
      </c>
      <c r="AP250" s="43"/>
      <c r="AQ250" s="323">
        <f t="shared" si="100"/>
        <v>0</v>
      </c>
      <c r="AR250" s="43"/>
      <c r="AS250" s="44">
        <f t="shared" si="101"/>
        <v>43150</v>
      </c>
    </row>
    <row r="251" spans="1:45" x14ac:dyDescent="0.25">
      <c r="A251" s="28"/>
      <c r="B251" s="43"/>
      <c r="C251" s="43"/>
      <c r="D251" s="43"/>
      <c r="E251" s="43" t="s">
        <v>2513</v>
      </c>
      <c r="F251" s="43" t="s">
        <v>2514</v>
      </c>
      <c r="G251" s="46">
        <f t="shared" si="88"/>
        <v>53320</v>
      </c>
      <c r="H251" s="46">
        <f t="shared" si="89"/>
        <v>48387.9</v>
      </c>
      <c r="I251" s="28" t="s">
        <v>262</v>
      </c>
      <c r="J251" s="337">
        <v>1</v>
      </c>
      <c r="K251" s="46">
        <f t="shared" si="90"/>
        <v>53320</v>
      </c>
      <c r="L251" s="46">
        <f t="shared" si="91"/>
        <v>48387.9</v>
      </c>
      <c r="M251" s="338">
        <f t="shared" si="92"/>
        <v>0</v>
      </c>
      <c r="N251" s="43" t="s">
        <v>669</v>
      </c>
      <c r="O251" s="339" t="s">
        <v>167</v>
      </c>
      <c r="P251" s="340" t="str">
        <f>IFERROR(VLOOKUP(O251,NCM!$A$3:$D$99,COLUMN(head_porNCM_IPI)-COLUMN(head_porNCM_NCM)+1,FALSE),"")</f>
        <v/>
      </c>
      <c r="Q251" s="43" t="s">
        <v>1879</v>
      </c>
      <c r="R251" s="78" t="s">
        <v>209</v>
      </c>
      <c r="S251" s="341"/>
      <c r="T251" s="28" t="s">
        <v>53</v>
      </c>
      <c r="U251" s="28" t="s">
        <v>2753</v>
      </c>
      <c r="V251" s="548">
        <v>45425</v>
      </c>
      <c r="W251" s="43"/>
      <c r="X251" s="342">
        <f t="shared" si="93"/>
        <v>0</v>
      </c>
      <c r="Y251" s="342">
        <f t="shared" si="94"/>
        <v>0</v>
      </c>
      <c r="Z251" s="46">
        <f t="shared" si="95"/>
        <v>879.78000000000009</v>
      </c>
      <c r="AA251" s="46">
        <f t="shared" si="96"/>
        <v>4052.3199999999997</v>
      </c>
      <c r="AB251" s="43"/>
      <c r="AC251" s="44">
        <v>53320</v>
      </c>
      <c r="AD251" s="31">
        <v>0</v>
      </c>
      <c r="AE251" s="31">
        <v>0</v>
      </c>
      <c r="AF251" s="31">
        <v>0</v>
      </c>
      <c r="AG251" s="28" t="s">
        <v>53</v>
      </c>
      <c r="AH251" s="46">
        <f t="shared" si="97"/>
        <v>53320</v>
      </c>
      <c r="AI251" s="43"/>
      <c r="AJ251" s="28"/>
      <c r="AK251" s="337"/>
      <c r="AL251" s="43"/>
      <c r="AM251" s="44">
        <f t="shared" si="98"/>
        <v>0</v>
      </c>
      <c r="AN251" s="43"/>
      <c r="AO251" s="28">
        <f t="shared" si="99"/>
        <v>0</v>
      </c>
      <c r="AP251" s="43"/>
      <c r="AQ251" s="323">
        <f t="shared" si="100"/>
        <v>0</v>
      </c>
      <c r="AR251" s="43"/>
      <c r="AS251" s="44">
        <f t="shared" si="101"/>
        <v>53320</v>
      </c>
    </row>
    <row r="252" spans="1:45" x14ac:dyDescent="0.25">
      <c r="A252" s="28"/>
      <c r="B252" s="43"/>
      <c r="C252" s="43"/>
      <c r="D252" s="43"/>
      <c r="E252" s="43" t="s">
        <v>2515</v>
      </c>
      <c r="F252" s="43" t="s">
        <v>2516</v>
      </c>
      <c r="G252" s="46">
        <f t="shared" si="88"/>
        <v>68590</v>
      </c>
      <c r="H252" s="46">
        <f t="shared" si="89"/>
        <v>62245.425000000003</v>
      </c>
      <c r="I252" s="28" t="s">
        <v>262</v>
      </c>
      <c r="J252" s="337">
        <v>1</v>
      </c>
      <c r="K252" s="46">
        <f t="shared" si="90"/>
        <v>68590</v>
      </c>
      <c r="L252" s="46">
        <f t="shared" si="91"/>
        <v>62245.425000000003</v>
      </c>
      <c r="M252" s="338">
        <f t="shared" si="92"/>
        <v>0</v>
      </c>
      <c r="N252" s="43" t="s">
        <v>669</v>
      </c>
      <c r="O252" s="339" t="s">
        <v>167</v>
      </c>
      <c r="P252" s="340" t="str">
        <f>IFERROR(VLOOKUP(O252,NCM!$A$3:$D$99,COLUMN(head_porNCM_IPI)-COLUMN(head_porNCM_NCM)+1,FALSE),"")</f>
        <v/>
      </c>
      <c r="Q252" s="43" t="s">
        <v>1879</v>
      </c>
      <c r="R252" s="78" t="s">
        <v>209</v>
      </c>
      <c r="S252" s="341"/>
      <c r="T252" s="28" t="s">
        <v>53</v>
      </c>
      <c r="U252" s="28" t="s">
        <v>2753</v>
      </c>
      <c r="V252" s="548">
        <v>45425</v>
      </c>
      <c r="W252" s="43"/>
      <c r="X252" s="342">
        <f t="shared" si="93"/>
        <v>0</v>
      </c>
      <c r="Y252" s="342">
        <f t="shared" si="94"/>
        <v>0</v>
      </c>
      <c r="Z252" s="46">
        <f t="shared" si="95"/>
        <v>1131.7350000000001</v>
      </c>
      <c r="AA252" s="46">
        <f t="shared" si="96"/>
        <v>5212.84</v>
      </c>
      <c r="AB252" s="43"/>
      <c r="AC252" s="44">
        <v>68590</v>
      </c>
      <c r="AD252" s="31">
        <v>0</v>
      </c>
      <c r="AE252" s="31">
        <v>0</v>
      </c>
      <c r="AF252" s="31">
        <v>0</v>
      </c>
      <c r="AG252" s="28" t="s">
        <v>53</v>
      </c>
      <c r="AH252" s="46">
        <f t="shared" si="97"/>
        <v>68590</v>
      </c>
      <c r="AI252" s="43"/>
      <c r="AJ252" s="28"/>
      <c r="AK252" s="337"/>
      <c r="AL252" s="43"/>
      <c r="AM252" s="44">
        <f t="shared" si="98"/>
        <v>0</v>
      </c>
      <c r="AN252" s="43"/>
      <c r="AO252" s="28">
        <f t="shared" si="99"/>
        <v>0</v>
      </c>
      <c r="AP252" s="43"/>
      <c r="AQ252" s="323">
        <f t="shared" si="100"/>
        <v>0</v>
      </c>
      <c r="AR252" s="43"/>
      <c r="AS252" s="44">
        <f t="shared" si="101"/>
        <v>68590</v>
      </c>
    </row>
    <row r="253" spans="1:45" x14ac:dyDescent="0.25">
      <c r="A253" s="28"/>
      <c r="B253" s="43"/>
      <c r="C253" s="43"/>
      <c r="D253" s="43"/>
      <c r="E253" s="43" t="s">
        <v>2517</v>
      </c>
      <c r="F253" s="43" t="s">
        <v>2518</v>
      </c>
      <c r="G253" s="46">
        <f t="shared" si="88"/>
        <v>86650</v>
      </c>
      <c r="H253" s="46">
        <f t="shared" si="89"/>
        <v>78634.875000000015</v>
      </c>
      <c r="I253" s="28" t="s">
        <v>262</v>
      </c>
      <c r="J253" s="337">
        <v>1</v>
      </c>
      <c r="K253" s="46">
        <f t="shared" si="90"/>
        <v>86650</v>
      </c>
      <c r="L253" s="46">
        <f t="shared" si="91"/>
        <v>78634.875000000015</v>
      </c>
      <c r="M253" s="338">
        <f t="shared" si="92"/>
        <v>0</v>
      </c>
      <c r="N253" s="43" t="s">
        <v>669</v>
      </c>
      <c r="O253" s="339" t="s">
        <v>167</v>
      </c>
      <c r="P253" s="340" t="str">
        <f>IFERROR(VLOOKUP(O253,NCM!$A$3:$D$99,COLUMN(head_porNCM_IPI)-COLUMN(head_porNCM_NCM)+1,FALSE),"")</f>
        <v/>
      </c>
      <c r="Q253" s="43" t="s">
        <v>1879</v>
      </c>
      <c r="R253" s="78" t="s">
        <v>209</v>
      </c>
      <c r="S253" s="341"/>
      <c r="T253" s="28" t="s">
        <v>53</v>
      </c>
      <c r="U253" s="28" t="s">
        <v>2753</v>
      </c>
      <c r="V253" s="548">
        <v>45425</v>
      </c>
      <c r="W253" s="43"/>
      <c r="X253" s="342">
        <f t="shared" si="93"/>
        <v>0</v>
      </c>
      <c r="Y253" s="342">
        <f t="shared" si="94"/>
        <v>0</v>
      </c>
      <c r="Z253" s="46">
        <f t="shared" si="95"/>
        <v>1429.7250000000001</v>
      </c>
      <c r="AA253" s="46">
        <f t="shared" si="96"/>
        <v>6585.4</v>
      </c>
      <c r="AB253" s="43"/>
      <c r="AC253" s="44">
        <v>86650</v>
      </c>
      <c r="AD253" s="31">
        <v>0</v>
      </c>
      <c r="AE253" s="31">
        <v>0</v>
      </c>
      <c r="AF253" s="31">
        <v>0</v>
      </c>
      <c r="AG253" s="28" t="s">
        <v>53</v>
      </c>
      <c r="AH253" s="46">
        <f t="shared" si="97"/>
        <v>86650</v>
      </c>
      <c r="AI253" s="43"/>
      <c r="AJ253" s="28"/>
      <c r="AK253" s="337"/>
      <c r="AL253" s="43"/>
      <c r="AM253" s="44">
        <f t="shared" si="98"/>
        <v>0</v>
      </c>
      <c r="AN253" s="43"/>
      <c r="AO253" s="28">
        <f t="shared" si="99"/>
        <v>0</v>
      </c>
      <c r="AP253" s="43"/>
      <c r="AQ253" s="323">
        <f t="shared" si="100"/>
        <v>0</v>
      </c>
      <c r="AR253" s="43"/>
      <c r="AS253" s="44">
        <f t="shared" si="101"/>
        <v>86650</v>
      </c>
    </row>
    <row r="254" spans="1:45" x14ac:dyDescent="0.25">
      <c r="A254" s="28"/>
      <c r="B254" s="43"/>
      <c r="C254" s="43"/>
      <c r="D254" s="43"/>
      <c r="E254" s="43" t="s">
        <v>2519</v>
      </c>
      <c r="F254" s="43" t="s">
        <v>2520</v>
      </c>
      <c r="G254" s="46">
        <f t="shared" si="88"/>
        <v>103270</v>
      </c>
      <c r="H254" s="46">
        <f t="shared" si="89"/>
        <v>93717.525000000009</v>
      </c>
      <c r="I254" s="28" t="s">
        <v>262</v>
      </c>
      <c r="J254" s="337">
        <v>1</v>
      </c>
      <c r="K254" s="46">
        <f t="shared" si="90"/>
        <v>103270</v>
      </c>
      <c r="L254" s="46">
        <f t="shared" si="91"/>
        <v>93717.525000000009</v>
      </c>
      <c r="M254" s="338">
        <f t="shared" si="92"/>
        <v>0</v>
      </c>
      <c r="N254" s="43" t="s">
        <v>669</v>
      </c>
      <c r="O254" s="339" t="s">
        <v>167</v>
      </c>
      <c r="P254" s="340" t="str">
        <f>IFERROR(VLOOKUP(O254,NCM!$A$3:$D$99,COLUMN(head_porNCM_IPI)-COLUMN(head_porNCM_NCM)+1,FALSE),"")</f>
        <v/>
      </c>
      <c r="Q254" s="43" t="s">
        <v>1879</v>
      </c>
      <c r="R254" s="78" t="s">
        <v>209</v>
      </c>
      <c r="S254" s="341"/>
      <c r="T254" s="28" t="s">
        <v>53</v>
      </c>
      <c r="U254" s="28" t="s">
        <v>2753</v>
      </c>
      <c r="V254" s="548">
        <v>45425</v>
      </c>
      <c r="W254" s="43"/>
      <c r="X254" s="342">
        <f t="shared" si="93"/>
        <v>0</v>
      </c>
      <c r="Y254" s="342">
        <f t="shared" si="94"/>
        <v>0</v>
      </c>
      <c r="Z254" s="46">
        <f t="shared" si="95"/>
        <v>1703.9550000000002</v>
      </c>
      <c r="AA254" s="46">
        <f t="shared" si="96"/>
        <v>7848.5199999999995</v>
      </c>
      <c r="AB254" s="43"/>
      <c r="AC254" s="44">
        <v>103270</v>
      </c>
      <c r="AD254" s="31">
        <v>0</v>
      </c>
      <c r="AE254" s="31">
        <v>0</v>
      </c>
      <c r="AF254" s="31">
        <v>0</v>
      </c>
      <c r="AG254" s="28" t="s">
        <v>53</v>
      </c>
      <c r="AH254" s="46">
        <f t="shared" si="97"/>
        <v>103270</v>
      </c>
      <c r="AI254" s="43"/>
      <c r="AJ254" s="28"/>
      <c r="AK254" s="337"/>
      <c r="AL254" s="43"/>
      <c r="AM254" s="44">
        <f t="shared" si="98"/>
        <v>0</v>
      </c>
      <c r="AN254" s="43"/>
      <c r="AO254" s="28">
        <f t="shared" si="99"/>
        <v>0</v>
      </c>
      <c r="AP254" s="43"/>
      <c r="AQ254" s="323">
        <f t="shared" si="100"/>
        <v>0</v>
      </c>
      <c r="AR254" s="43"/>
      <c r="AS254" s="44">
        <f t="shared" si="101"/>
        <v>103270</v>
      </c>
    </row>
    <row r="255" spans="1:45" x14ac:dyDescent="0.25">
      <c r="A255" s="28"/>
      <c r="B255" s="43"/>
      <c r="C255" s="43"/>
      <c r="D255" s="43"/>
      <c r="E255" s="43" t="s">
        <v>2521</v>
      </c>
      <c r="F255" s="43" t="s">
        <v>2522</v>
      </c>
      <c r="G255" s="46">
        <f t="shared" si="88"/>
        <v>134370</v>
      </c>
      <c r="H255" s="46">
        <f t="shared" si="89"/>
        <v>121940.77500000001</v>
      </c>
      <c r="I255" s="28" t="s">
        <v>262</v>
      </c>
      <c r="J255" s="337">
        <v>1</v>
      </c>
      <c r="K255" s="46">
        <f t="shared" si="90"/>
        <v>134370</v>
      </c>
      <c r="L255" s="46">
        <f t="shared" si="91"/>
        <v>121940.77500000001</v>
      </c>
      <c r="M255" s="338">
        <f t="shared" si="92"/>
        <v>0</v>
      </c>
      <c r="N255" s="43" t="s">
        <v>669</v>
      </c>
      <c r="O255" s="339" t="s">
        <v>167</v>
      </c>
      <c r="P255" s="340" t="str">
        <f>IFERROR(VLOOKUP(O255,NCM!$A$3:$D$99,COLUMN(head_porNCM_IPI)-COLUMN(head_porNCM_NCM)+1,FALSE),"")</f>
        <v/>
      </c>
      <c r="Q255" s="43" t="s">
        <v>1879</v>
      </c>
      <c r="R255" s="78" t="s">
        <v>209</v>
      </c>
      <c r="S255" s="341"/>
      <c r="T255" s="28" t="s">
        <v>53</v>
      </c>
      <c r="U255" s="28" t="s">
        <v>2753</v>
      </c>
      <c r="V255" s="548">
        <v>45425</v>
      </c>
      <c r="W255" s="43"/>
      <c r="X255" s="342">
        <f t="shared" si="93"/>
        <v>0</v>
      </c>
      <c r="Y255" s="342">
        <f t="shared" si="94"/>
        <v>0</v>
      </c>
      <c r="Z255" s="46">
        <f t="shared" si="95"/>
        <v>2217.105</v>
      </c>
      <c r="AA255" s="46">
        <f t="shared" si="96"/>
        <v>10212.119999999999</v>
      </c>
      <c r="AB255" s="43"/>
      <c r="AC255" s="44">
        <v>134370</v>
      </c>
      <c r="AD255" s="31">
        <v>0</v>
      </c>
      <c r="AE255" s="31">
        <v>0</v>
      </c>
      <c r="AF255" s="31">
        <v>0</v>
      </c>
      <c r="AG255" s="28" t="s">
        <v>53</v>
      </c>
      <c r="AH255" s="46">
        <f t="shared" si="97"/>
        <v>134370</v>
      </c>
      <c r="AI255" s="43"/>
      <c r="AJ255" s="28"/>
      <c r="AK255" s="337"/>
      <c r="AL255" s="43"/>
      <c r="AM255" s="44">
        <f t="shared" si="98"/>
        <v>0</v>
      </c>
      <c r="AN255" s="43"/>
      <c r="AO255" s="28">
        <f t="shared" si="99"/>
        <v>0</v>
      </c>
      <c r="AP255" s="43"/>
      <c r="AQ255" s="323">
        <f t="shared" si="100"/>
        <v>0</v>
      </c>
      <c r="AR255" s="43"/>
      <c r="AS255" s="44">
        <f t="shared" si="101"/>
        <v>134370</v>
      </c>
    </row>
    <row r="256" spans="1:45" x14ac:dyDescent="0.25">
      <c r="A256" s="28"/>
      <c r="B256" s="43"/>
      <c r="C256" s="43"/>
      <c r="D256" s="43"/>
      <c r="E256" s="43" t="s">
        <v>2523</v>
      </c>
      <c r="F256" s="43" t="s">
        <v>2524</v>
      </c>
      <c r="G256" s="46">
        <f t="shared" si="88"/>
        <v>158070</v>
      </c>
      <c r="H256" s="46">
        <f t="shared" si="89"/>
        <v>143448.52500000002</v>
      </c>
      <c r="I256" s="28" t="s">
        <v>262</v>
      </c>
      <c r="J256" s="337">
        <v>1</v>
      </c>
      <c r="K256" s="46">
        <f t="shared" si="90"/>
        <v>158070</v>
      </c>
      <c r="L256" s="46">
        <f t="shared" si="91"/>
        <v>143448.52500000002</v>
      </c>
      <c r="M256" s="338">
        <f t="shared" si="92"/>
        <v>0</v>
      </c>
      <c r="N256" s="43" t="s">
        <v>669</v>
      </c>
      <c r="O256" s="339" t="s">
        <v>167</v>
      </c>
      <c r="P256" s="340" t="str">
        <f>IFERROR(VLOOKUP(O256,NCM!$A$3:$D$99,COLUMN(head_porNCM_IPI)-COLUMN(head_porNCM_NCM)+1,FALSE),"")</f>
        <v/>
      </c>
      <c r="Q256" s="43" t="s">
        <v>1879</v>
      </c>
      <c r="R256" s="78" t="s">
        <v>209</v>
      </c>
      <c r="S256" s="341"/>
      <c r="T256" s="28" t="s">
        <v>53</v>
      </c>
      <c r="U256" s="28" t="s">
        <v>2753</v>
      </c>
      <c r="V256" s="548">
        <v>45425</v>
      </c>
      <c r="W256" s="43"/>
      <c r="X256" s="342">
        <f t="shared" si="93"/>
        <v>0</v>
      </c>
      <c r="Y256" s="342">
        <f t="shared" si="94"/>
        <v>0</v>
      </c>
      <c r="Z256" s="46">
        <f t="shared" si="95"/>
        <v>2608.1550000000002</v>
      </c>
      <c r="AA256" s="46">
        <f t="shared" si="96"/>
        <v>12013.32</v>
      </c>
      <c r="AB256" s="43"/>
      <c r="AC256" s="44">
        <v>158070</v>
      </c>
      <c r="AD256" s="31">
        <v>0</v>
      </c>
      <c r="AE256" s="31">
        <v>0</v>
      </c>
      <c r="AF256" s="31">
        <v>0</v>
      </c>
      <c r="AG256" s="28" t="s">
        <v>53</v>
      </c>
      <c r="AH256" s="46">
        <f t="shared" si="97"/>
        <v>158070</v>
      </c>
      <c r="AI256" s="43"/>
      <c r="AJ256" s="28"/>
      <c r="AK256" s="337"/>
      <c r="AL256" s="43"/>
      <c r="AM256" s="44">
        <f t="shared" si="98"/>
        <v>0</v>
      </c>
      <c r="AN256" s="43"/>
      <c r="AO256" s="28">
        <f t="shared" si="99"/>
        <v>0</v>
      </c>
      <c r="AP256" s="43"/>
      <c r="AQ256" s="323">
        <f t="shared" si="100"/>
        <v>0</v>
      </c>
      <c r="AR256" s="43"/>
      <c r="AS256" s="44">
        <f t="shared" si="101"/>
        <v>158070</v>
      </c>
    </row>
    <row r="257" spans="1:45" x14ac:dyDescent="0.25">
      <c r="A257" s="28"/>
      <c r="B257" s="43"/>
      <c r="C257" s="43"/>
      <c r="D257" s="43"/>
      <c r="E257" s="43" t="s">
        <v>2525</v>
      </c>
      <c r="F257" s="43" t="s">
        <v>2526</v>
      </c>
      <c r="G257" s="46">
        <f t="shared" si="88"/>
        <v>62740</v>
      </c>
      <c r="H257" s="46">
        <f t="shared" si="89"/>
        <v>56936.55</v>
      </c>
      <c r="I257" s="28" t="s">
        <v>262</v>
      </c>
      <c r="J257" s="337">
        <v>1</v>
      </c>
      <c r="K257" s="46">
        <f t="shared" si="90"/>
        <v>62740</v>
      </c>
      <c r="L257" s="46">
        <f t="shared" si="91"/>
        <v>56936.55</v>
      </c>
      <c r="M257" s="338">
        <f t="shared" si="92"/>
        <v>0</v>
      </c>
      <c r="N257" s="43" t="s">
        <v>669</v>
      </c>
      <c r="O257" s="339" t="s">
        <v>167</v>
      </c>
      <c r="P257" s="340" t="str">
        <f>IFERROR(VLOOKUP(O257,NCM!$A$3:$D$99,COLUMN(head_porNCM_IPI)-COLUMN(head_porNCM_NCM)+1,FALSE),"")</f>
        <v/>
      </c>
      <c r="Q257" s="43" t="s">
        <v>1879</v>
      </c>
      <c r="R257" s="78" t="s">
        <v>209</v>
      </c>
      <c r="S257" s="341"/>
      <c r="T257" s="28" t="s">
        <v>53</v>
      </c>
      <c r="U257" s="28" t="s">
        <v>2753</v>
      </c>
      <c r="V257" s="548">
        <v>45425</v>
      </c>
      <c r="W257" s="43"/>
      <c r="X257" s="342">
        <f t="shared" si="93"/>
        <v>0</v>
      </c>
      <c r="Y257" s="342">
        <f t="shared" si="94"/>
        <v>0</v>
      </c>
      <c r="Z257" s="46">
        <f t="shared" si="95"/>
        <v>1035.21</v>
      </c>
      <c r="AA257" s="46">
        <f t="shared" si="96"/>
        <v>4768.24</v>
      </c>
      <c r="AB257" s="43"/>
      <c r="AC257" s="44">
        <v>62740</v>
      </c>
      <c r="AD257" s="31">
        <v>0</v>
      </c>
      <c r="AE257" s="31">
        <v>0</v>
      </c>
      <c r="AF257" s="31">
        <v>0</v>
      </c>
      <c r="AG257" s="28" t="s">
        <v>53</v>
      </c>
      <c r="AH257" s="46">
        <f t="shared" si="97"/>
        <v>62740</v>
      </c>
      <c r="AI257" s="43"/>
      <c r="AJ257" s="28"/>
      <c r="AK257" s="337"/>
      <c r="AL257" s="43"/>
      <c r="AM257" s="44">
        <f t="shared" si="98"/>
        <v>0</v>
      </c>
      <c r="AN257" s="43"/>
      <c r="AO257" s="28">
        <f t="shared" si="99"/>
        <v>0</v>
      </c>
      <c r="AP257" s="43"/>
      <c r="AQ257" s="323">
        <f t="shared" si="100"/>
        <v>0</v>
      </c>
      <c r="AR257" s="43"/>
      <c r="AS257" s="44">
        <f t="shared" si="101"/>
        <v>62740</v>
      </c>
    </row>
    <row r="258" spans="1:45" x14ac:dyDescent="0.25">
      <c r="A258" s="28"/>
      <c r="B258" s="43"/>
      <c r="C258" s="43"/>
      <c r="D258" s="43"/>
      <c r="E258" s="43" t="s">
        <v>2527</v>
      </c>
      <c r="F258" s="43" t="s">
        <v>2528</v>
      </c>
      <c r="G258" s="46">
        <f t="shared" si="88"/>
        <v>80670</v>
      </c>
      <c r="H258" s="46">
        <f t="shared" si="89"/>
        <v>73208.025000000009</v>
      </c>
      <c r="I258" s="28" t="s">
        <v>262</v>
      </c>
      <c r="J258" s="337">
        <v>1</v>
      </c>
      <c r="K258" s="46">
        <f t="shared" si="90"/>
        <v>80670</v>
      </c>
      <c r="L258" s="46">
        <f t="shared" si="91"/>
        <v>73208.025000000009</v>
      </c>
      <c r="M258" s="338">
        <f t="shared" si="92"/>
        <v>0</v>
      </c>
      <c r="N258" s="43" t="s">
        <v>669</v>
      </c>
      <c r="O258" s="339" t="s">
        <v>167</v>
      </c>
      <c r="P258" s="340" t="str">
        <f>IFERROR(VLOOKUP(O258,NCM!$A$3:$D$99,COLUMN(head_porNCM_IPI)-COLUMN(head_porNCM_NCM)+1,FALSE),"")</f>
        <v/>
      </c>
      <c r="Q258" s="43" t="s">
        <v>1879</v>
      </c>
      <c r="R258" s="78" t="s">
        <v>209</v>
      </c>
      <c r="S258" s="341"/>
      <c r="T258" s="28" t="s">
        <v>53</v>
      </c>
      <c r="U258" s="28" t="s">
        <v>2753</v>
      </c>
      <c r="V258" s="548">
        <v>45425</v>
      </c>
      <c r="W258" s="43"/>
      <c r="X258" s="342">
        <f t="shared" si="93"/>
        <v>0</v>
      </c>
      <c r="Y258" s="342">
        <f t="shared" si="94"/>
        <v>0</v>
      </c>
      <c r="Z258" s="46">
        <f t="shared" si="95"/>
        <v>1331.0550000000001</v>
      </c>
      <c r="AA258" s="46">
        <f t="shared" si="96"/>
        <v>6130.92</v>
      </c>
      <c r="AB258" s="43"/>
      <c r="AC258" s="44">
        <v>80670</v>
      </c>
      <c r="AD258" s="31">
        <v>0</v>
      </c>
      <c r="AE258" s="31">
        <v>0</v>
      </c>
      <c r="AF258" s="31">
        <v>0</v>
      </c>
      <c r="AG258" s="28" t="s">
        <v>53</v>
      </c>
      <c r="AH258" s="46">
        <f t="shared" si="97"/>
        <v>80670</v>
      </c>
      <c r="AI258" s="43"/>
      <c r="AJ258" s="28"/>
      <c r="AK258" s="337"/>
      <c r="AL258" s="43"/>
      <c r="AM258" s="44">
        <f t="shared" si="98"/>
        <v>0</v>
      </c>
      <c r="AN258" s="43"/>
      <c r="AO258" s="28">
        <f t="shared" si="99"/>
        <v>0</v>
      </c>
      <c r="AP258" s="43"/>
      <c r="AQ258" s="323">
        <f t="shared" si="100"/>
        <v>0</v>
      </c>
      <c r="AR258" s="43"/>
      <c r="AS258" s="44">
        <f t="shared" si="101"/>
        <v>80670</v>
      </c>
    </row>
    <row r="259" spans="1:45" x14ac:dyDescent="0.25">
      <c r="A259" s="28"/>
      <c r="B259" s="43"/>
      <c r="C259" s="43"/>
      <c r="D259" s="43"/>
      <c r="E259" s="43" t="s">
        <v>2529</v>
      </c>
      <c r="F259" s="43" t="s">
        <v>2530</v>
      </c>
      <c r="G259" s="46">
        <f t="shared" si="88"/>
        <v>101930</v>
      </c>
      <c r="H259" s="46">
        <f t="shared" si="89"/>
        <v>92501.475000000006</v>
      </c>
      <c r="I259" s="28" t="s">
        <v>262</v>
      </c>
      <c r="J259" s="337">
        <v>1</v>
      </c>
      <c r="K259" s="46">
        <f t="shared" si="90"/>
        <v>101930</v>
      </c>
      <c r="L259" s="46">
        <f t="shared" si="91"/>
        <v>92501.475000000006</v>
      </c>
      <c r="M259" s="338">
        <f t="shared" si="92"/>
        <v>0</v>
      </c>
      <c r="N259" s="43" t="s">
        <v>669</v>
      </c>
      <c r="O259" s="339" t="s">
        <v>167</v>
      </c>
      <c r="P259" s="340" t="str">
        <f>IFERROR(VLOOKUP(O259,NCM!$A$3:$D$99,COLUMN(head_porNCM_IPI)-COLUMN(head_porNCM_NCM)+1,FALSE),"")</f>
        <v/>
      </c>
      <c r="Q259" s="43" t="s">
        <v>1879</v>
      </c>
      <c r="R259" s="78" t="s">
        <v>209</v>
      </c>
      <c r="S259" s="341"/>
      <c r="T259" s="28" t="s">
        <v>53</v>
      </c>
      <c r="U259" s="28" t="s">
        <v>2753</v>
      </c>
      <c r="V259" s="548">
        <v>45425</v>
      </c>
      <c r="W259" s="43"/>
      <c r="X259" s="342">
        <f t="shared" si="93"/>
        <v>0</v>
      </c>
      <c r="Y259" s="342">
        <f t="shared" si="94"/>
        <v>0</v>
      </c>
      <c r="Z259" s="46">
        <f t="shared" si="95"/>
        <v>1681.845</v>
      </c>
      <c r="AA259" s="46">
        <f t="shared" si="96"/>
        <v>7746.6799999999994</v>
      </c>
      <c r="AB259" s="43"/>
      <c r="AC259" s="44">
        <v>101930</v>
      </c>
      <c r="AD259" s="31">
        <v>0</v>
      </c>
      <c r="AE259" s="31">
        <v>0</v>
      </c>
      <c r="AF259" s="31">
        <v>0</v>
      </c>
      <c r="AG259" s="28" t="s">
        <v>53</v>
      </c>
      <c r="AH259" s="46">
        <f t="shared" si="97"/>
        <v>101930</v>
      </c>
      <c r="AI259" s="43"/>
      <c r="AJ259" s="28"/>
      <c r="AK259" s="337"/>
      <c r="AL259" s="43"/>
      <c r="AM259" s="44">
        <f t="shared" si="98"/>
        <v>0</v>
      </c>
      <c r="AN259" s="43"/>
      <c r="AO259" s="28">
        <f t="shared" si="99"/>
        <v>0</v>
      </c>
      <c r="AP259" s="43"/>
      <c r="AQ259" s="323">
        <f t="shared" si="100"/>
        <v>0</v>
      </c>
      <c r="AR259" s="43"/>
      <c r="AS259" s="44">
        <f t="shared" si="101"/>
        <v>101930</v>
      </c>
    </row>
    <row r="260" spans="1:45" x14ac:dyDescent="0.25">
      <c r="A260" s="28"/>
      <c r="B260" s="43"/>
      <c r="C260" s="43"/>
      <c r="D260" s="43"/>
      <c r="E260" s="43" t="s">
        <v>2531</v>
      </c>
      <c r="F260" s="43" t="s">
        <v>2532</v>
      </c>
      <c r="G260" s="46">
        <f t="shared" si="88"/>
        <v>121470</v>
      </c>
      <c r="H260" s="46">
        <f t="shared" si="89"/>
        <v>110234.02500000001</v>
      </c>
      <c r="I260" s="28" t="s">
        <v>262</v>
      </c>
      <c r="J260" s="337">
        <v>1</v>
      </c>
      <c r="K260" s="46">
        <f t="shared" si="90"/>
        <v>121470</v>
      </c>
      <c r="L260" s="46">
        <f t="shared" si="91"/>
        <v>110234.02500000001</v>
      </c>
      <c r="M260" s="338">
        <f t="shared" si="92"/>
        <v>0</v>
      </c>
      <c r="N260" s="43" t="s">
        <v>669</v>
      </c>
      <c r="O260" s="339" t="s">
        <v>167</v>
      </c>
      <c r="P260" s="340" t="str">
        <f>IFERROR(VLOOKUP(O260,NCM!$A$3:$D$99,COLUMN(head_porNCM_IPI)-COLUMN(head_porNCM_NCM)+1,FALSE),"")</f>
        <v/>
      </c>
      <c r="Q260" s="43" t="s">
        <v>1879</v>
      </c>
      <c r="R260" s="78" t="s">
        <v>209</v>
      </c>
      <c r="S260" s="341"/>
      <c r="T260" s="28" t="s">
        <v>53</v>
      </c>
      <c r="U260" s="28" t="s">
        <v>2753</v>
      </c>
      <c r="V260" s="548">
        <v>45425</v>
      </c>
      <c r="W260" s="43"/>
      <c r="X260" s="342">
        <f t="shared" si="93"/>
        <v>0</v>
      </c>
      <c r="Y260" s="342">
        <f t="shared" si="94"/>
        <v>0</v>
      </c>
      <c r="Z260" s="46">
        <f t="shared" si="95"/>
        <v>2004.2550000000001</v>
      </c>
      <c r="AA260" s="46">
        <f t="shared" si="96"/>
        <v>9231.7199999999993</v>
      </c>
      <c r="AB260" s="43"/>
      <c r="AC260" s="44">
        <v>121470</v>
      </c>
      <c r="AD260" s="31">
        <v>0</v>
      </c>
      <c r="AE260" s="31">
        <v>0</v>
      </c>
      <c r="AF260" s="31">
        <v>0</v>
      </c>
      <c r="AG260" s="28" t="s">
        <v>53</v>
      </c>
      <c r="AH260" s="46">
        <f t="shared" si="97"/>
        <v>121470</v>
      </c>
      <c r="AI260" s="43"/>
      <c r="AJ260" s="28"/>
      <c r="AK260" s="337"/>
      <c r="AL260" s="43"/>
      <c r="AM260" s="44">
        <f t="shared" si="98"/>
        <v>0</v>
      </c>
      <c r="AN260" s="43"/>
      <c r="AO260" s="28">
        <f t="shared" si="99"/>
        <v>0</v>
      </c>
      <c r="AP260" s="43"/>
      <c r="AQ260" s="323">
        <f t="shared" si="100"/>
        <v>0</v>
      </c>
      <c r="AR260" s="43"/>
      <c r="AS260" s="44">
        <f t="shared" si="101"/>
        <v>121470</v>
      </c>
    </row>
    <row r="261" spans="1:45" x14ac:dyDescent="0.25">
      <c r="A261" s="28"/>
      <c r="B261" s="43"/>
      <c r="C261" s="43"/>
      <c r="D261" s="43"/>
      <c r="E261" s="43" t="s">
        <v>2533</v>
      </c>
      <c r="F261" s="43" t="s">
        <v>2534</v>
      </c>
      <c r="G261" s="46">
        <f t="shared" si="88"/>
        <v>158080</v>
      </c>
      <c r="H261" s="46">
        <f t="shared" si="89"/>
        <v>143457.60000000001</v>
      </c>
      <c r="I261" s="28" t="s">
        <v>262</v>
      </c>
      <c r="J261" s="337">
        <v>1</v>
      </c>
      <c r="K261" s="46">
        <f t="shared" si="90"/>
        <v>158080</v>
      </c>
      <c r="L261" s="46">
        <f t="shared" si="91"/>
        <v>143457.60000000001</v>
      </c>
      <c r="M261" s="338">
        <f t="shared" si="92"/>
        <v>0</v>
      </c>
      <c r="N261" s="43" t="s">
        <v>669</v>
      </c>
      <c r="O261" s="339" t="s">
        <v>167</v>
      </c>
      <c r="P261" s="340" t="str">
        <f>IFERROR(VLOOKUP(O261,NCM!$A$3:$D$99,COLUMN(head_porNCM_IPI)-COLUMN(head_porNCM_NCM)+1,FALSE),"")</f>
        <v/>
      </c>
      <c r="Q261" s="43" t="s">
        <v>1879</v>
      </c>
      <c r="R261" s="78" t="s">
        <v>209</v>
      </c>
      <c r="S261" s="341"/>
      <c r="T261" s="28" t="s">
        <v>53</v>
      </c>
      <c r="U261" s="28" t="s">
        <v>2753</v>
      </c>
      <c r="V261" s="548">
        <v>45425</v>
      </c>
      <c r="W261" s="43"/>
      <c r="X261" s="342">
        <f t="shared" si="93"/>
        <v>0</v>
      </c>
      <c r="Y261" s="342">
        <f t="shared" si="94"/>
        <v>0</v>
      </c>
      <c r="Z261" s="46">
        <f t="shared" si="95"/>
        <v>2608.3200000000002</v>
      </c>
      <c r="AA261" s="46">
        <f t="shared" si="96"/>
        <v>12014.08</v>
      </c>
      <c r="AB261" s="43"/>
      <c r="AC261" s="44">
        <v>158080</v>
      </c>
      <c r="AD261" s="31">
        <v>0</v>
      </c>
      <c r="AE261" s="31">
        <v>0</v>
      </c>
      <c r="AF261" s="31">
        <v>0</v>
      </c>
      <c r="AG261" s="28" t="s">
        <v>53</v>
      </c>
      <c r="AH261" s="46">
        <f t="shared" si="97"/>
        <v>158080</v>
      </c>
      <c r="AI261" s="43"/>
      <c r="AJ261" s="28"/>
      <c r="AK261" s="337"/>
      <c r="AL261" s="43"/>
      <c r="AM261" s="44">
        <f t="shared" si="98"/>
        <v>0</v>
      </c>
      <c r="AN261" s="43"/>
      <c r="AO261" s="28">
        <f t="shared" si="99"/>
        <v>0</v>
      </c>
      <c r="AP261" s="43"/>
      <c r="AQ261" s="323">
        <f t="shared" si="100"/>
        <v>0</v>
      </c>
      <c r="AR261" s="43"/>
      <c r="AS261" s="44">
        <f t="shared" si="101"/>
        <v>158080</v>
      </c>
    </row>
    <row r="262" spans="1:45" x14ac:dyDescent="0.25">
      <c r="A262" s="28"/>
      <c r="B262" s="43"/>
      <c r="C262" s="43"/>
      <c r="D262" s="43"/>
      <c r="E262" s="43" t="s">
        <v>2535</v>
      </c>
      <c r="F262" s="43" t="s">
        <v>2536</v>
      </c>
      <c r="G262" s="46">
        <f t="shared" si="88"/>
        <v>185910</v>
      </c>
      <c r="H262" s="46">
        <f t="shared" si="89"/>
        <v>168713.32500000001</v>
      </c>
      <c r="I262" s="28" t="s">
        <v>262</v>
      </c>
      <c r="J262" s="337">
        <v>1</v>
      </c>
      <c r="K262" s="46">
        <f t="shared" si="90"/>
        <v>185910</v>
      </c>
      <c r="L262" s="46">
        <f t="shared" si="91"/>
        <v>168713.32500000001</v>
      </c>
      <c r="M262" s="338">
        <f t="shared" si="92"/>
        <v>0</v>
      </c>
      <c r="N262" s="43" t="s">
        <v>669</v>
      </c>
      <c r="O262" s="339" t="s">
        <v>167</v>
      </c>
      <c r="P262" s="340" t="str">
        <f>IFERROR(VLOOKUP(O262,NCM!$A$3:$D$99,COLUMN(head_porNCM_IPI)-COLUMN(head_porNCM_NCM)+1,FALSE),"")</f>
        <v/>
      </c>
      <c r="Q262" s="43" t="s">
        <v>1879</v>
      </c>
      <c r="R262" s="78" t="s">
        <v>209</v>
      </c>
      <c r="S262" s="341"/>
      <c r="T262" s="28" t="s">
        <v>53</v>
      </c>
      <c r="U262" s="28" t="s">
        <v>2753</v>
      </c>
      <c r="V262" s="548">
        <v>45425</v>
      </c>
      <c r="W262" s="43"/>
      <c r="X262" s="342">
        <f t="shared" si="93"/>
        <v>0</v>
      </c>
      <c r="Y262" s="342">
        <f t="shared" si="94"/>
        <v>0</v>
      </c>
      <c r="Z262" s="46">
        <f t="shared" si="95"/>
        <v>3067.5150000000003</v>
      </c>
      <c r="AA262" s="46">
        <f t="shared" si="96"/>
        <v>14129.16</v>
      </c>
      <c r="AB262" s="43"/>
      <c r="AC262" s="44">
        <v>185910</v>
      </c>
      <c r="AD262" s="31">
        <v>0</v>
      </c>
      <c r="AE262" s="31">
        <v>0</v>
      </c>
      <c r="AF262" s="31">
        <v>0</v>
      </c>
      <c r="AG262" s="28" t="s">
        <v>53</v>
      </c>
      <c r="AH262" s="46">
        <f t="shared" si="97"/>
        <v>185910</v>
      </c>
      <c r="AI262" s="43"/>
      <c r="AJ262" s="28"/>
      <c r="AK262" s="337"/>
      <c r="AL262" s="43"/>
      <c r="AM262" s="44">
        <f t="shared" si="98"/>
        <v>0</v>
      </c>
      <c r="AN262" s="43"/>
      <c r="AO262" s="28">
        <f t="shared" si="99"/>
        <v>0</v>
      </c>
      <c r="AP262" s="43"/>
      <c r="AQ262" s="323">
        <f t="shared" si="100"/>
        <v>0</v>
      </c>
      <c r="AR262" s="43"/>
      <c r="AS262" s="44">
        <f t="shared" si="101"/>
        <v>185910</v>
      </c>
    </row>
    <row r="263" spans="1:45" x14ac:dyDescent="0.25">
      <c r="A263" s="28"/>
      <c r="B263" s="43"/>
      <c r="C263" s="43"/>
      <c r="D263" s="43"/>
      <c r="E263" s="43" t="s">
        <v>2537</v>
      </c>
      <c r="F263" s="43" t="s">
        <v>2538</v>
      </c>
      <c r="G263" s="46">
        <f t="shared" si="88"/>
        <v>246500</v>
      </c>
      <c r="H263" s="46">
        <f t="shared" si="89"/>
        <v>223698.75000000003</v>
      </c>
      <c r="I263" s="28" t="s">
        <v>262</v>
      </c>
      <c r="J263" s="337">
        <v>1</v>
      </c>
      <c r="K263" s="46">
        <f t="shared" si="90"/>
        <v>246500</v>
      </c>
      <c r="L263" s="46">
        <f t="shared" si="91"/>
        <v>223698.75000000003</v>
      </c>
      <c r="M263" s="338">
        <f t="shared" si="92"/>
        <v>0</v>
      </c>
      <c r="N263" s="43" t="s">
        <v>669</v>
      </c>
      <c r="O263" s="339" t="s">
        <v>167</v>
      </c>
      <c r="P263" s="340" t="str">
        <f>IFERROR(VLOOKUP(O263,NCM!$A$3:$D$99,COLUMN(head_porNCM_IPI)-COLUMN(head_porNCM_NCM)+1,FALSE),"")</f>
        <v/>
      </c>
      <c r="Q263" s="43" t="s">
        <v>1879</v>
      </c>
      <c r="R263" s="78" t="s">
        <v>209</v>
      </c>
      <c r="S263" s="341"/>
      <c r="T263" s="28" t="s">
        <v>53</v>
      </c>
      <c r="U263" s="28" t="s">
        <v>2753</v>
      </c>
      <c r="V263" s="548">
        <v>45425</v>
      </c>
      <c r="W263" s="43"/>
      <c r="X263" s="342">
        <f t="shared" si="93"/>
        <v>0</v>
      </c>
      <c r="Y263" s="342">
        <f t="shared" si="94"/>
        <v>0</v>
      </c>
      <c r="Z263" s="46">
        <f t="shared" si="95"/>
        <v>4067.25</v>
      </c>
      <c r="AA263" s="46">
        <f t="shared" si="96"/>
        <v>18734</v>
      </c>
      <c r="AB263" s="43"/>
      <c r="AC263" s="44">
        <v>246500</v>
      </c>
      <c r="AD263" s="31">
        <v>0</v>
      </c>
      <c r="AE263" s="31">
        <v>0</v>
      </c>
      <c r="AF263" s="31">
        <v>0</v>
      </c>
      <c r="AG263" s="28" t="s">
        <v>53</v>
      </c>
      <c r="AH263" s="46">
        <f t="shared" si="97"/>
        <v>246500</v>
      </c>
      <c r="AI263" s="43"/>
      <c r="AJ263" s="28"/>
      <c r="AK263" s="337"/>
      <c r="AL263" s="43"/>
      <c r="AM263" s="44">
        <f t="shared" si="98"/>
        <v>0</v>
      </c>
      <c r="AN263" s="43"/>
      <c r="AO263" s="28">
        <f t="shared" si="99"/>
        <v>0</v>
      </c>
      <c r="AP263" s="43"/>
      <c r="AQ263" s="323">
        <f t="shared" si="100"/>
        <v>0</v>
      </c>
      <c r="AR263" s="43"/>
      <c r="AS263" s="44">
        <f t="shared" si="101"/>
        <v>246500</v>
      </c>
    </row>
    <row r="264" spans="1:45" x14ac:dyDescent="0.25">
      <c r="A264" s="28"/>
      <c r="B264" s="43"/>
      <c r="C264" s="43"/>
      <c r="D264" s="43"/>
      <c r="E264" s="43" t="s">
        <v>2539</v>
      </c>
      <c r="F264" s="43" t="s">
        <v>2540</v>
      </c>
      <c r="G264" s="46">
        <f t="shared" si="88"/>
        <v>298370</v>
      </c>
      <c r="H264" s="46">
        <f t="shared" si="89"/>
        <v>270770.77500000002</v>
      </c>
      <c r="I264" s="28" t="s">
        <v>262</v>
      </c>
      <c r="J264" s="337">
        <v>1</v>
      </c>
      <c r="K264" s="46">
        <f t="shared" si="90"/>
        <v>298370</v>
      </c>
      <c r="L264" s="46">
        <f t="shared" si="91"/>
        <v>270770.77500000002</v>
      </c>
      <c r="M264" s="338">
        <f t="shared" si="92"/>
        <v>0</v>
      </c>
      <c r="N264" s="43" t="s">
        <v>669</v>
      </c>
      <c r="O264" s="339" t="s">
        <v>167</v>
      </c>
      <c r="P264" s="340" t="str">
        <f>IFERROR(VLOOKUP(O264,NCM!$A$3:$D$99,COLUMN(head_porNCM_IPI)-COLUMN(head_porNCM_NCM)+1,FALSE),"")</f>
        <v/>
      </c>
      <c r="Q264" s="43" t="s">
        <v>1879</v>
      </c>
      <c r="R264" s="78" t="s">
        <v>209</v>
      </c>
      <c r="S264" s="341"/>
      <c r="T264" s="28" t="s">
        <v>53</v>
      </c>
      <c r="U264" s="28" t="s">
        <v>2753</v>
      </c>
      <c r="V264" s="548">
        <v>45425</v>
      </c>
      <c r="W264" s="43"/>
      <c r="X264" s="342">
        <f t="shared" si="93"/>
        <v>0</v>
      </c>
      <c r="Y264" s="342">
        <f t="shared" si="94"/>
        <v>0</v>
      </c>
      <c r="Z264" s="46">
        <f t="shared" si="95"/>
        <v>4923.1050000000005</v>
      </c>
      <c r="AA264" s="46">
        <f t="shared" si="96"/>
        <v>22676.12</v>
      </c>
      <c r="AB264" s="43"/>
      <c r="AC264" s="44">
        <v>298370</v>
      </c>
      <c r="AD264" s="31">
        <v>0</v>
      </c>
      <c r="AE264" s="31">
        <v>0</v>
      </c>
      <c r="AF264" s="31">
        <v>0</v>
      </c>
      <c r="AG264" s="28" t="s">
        <v>53</v>
      </c>
      <c r="AH264" s="46">
        <f t="shared" si="97"/>
        <v>298370</v>
      </c>
      <c r="AI264" s="43"/>
      <c r="AJ264" s="28"/>
      <c r="AK264" s="337"/>
      <c r="AL264" s="43"/>
      <c r="AM264" s="44">
        <f t="shared" si="98"/>
        <v>0</v>
      </c>
      <c r="AN264" s="43"/>
      <c r="AO264" s="28">
        <f t="shared" si="99"/>
        <v>0</v>
      </c>
      <c r="AP264" s="43"/>
      <c r="AQ264" s="323">
        <f t="shared" si="100"/>
        <v>0</v>
      </c>
      <c r="AR264" s="43"/>
      <c r="AS264" s="44">
        <f t="shared" si="101"/>
        <v>298370</v>
      </c>
    </row>
    <row r="265" spans="1:45" x14ac:dyDescent="0.25">
      <c r="A265" s="28"/>
      <c r="B265" s="43"/>
      <c r="C265" s="43"/>
      <c r="D265" s="43"/>
      <c r="E265" s="43" t="s">
        <v>2541</v>
      </c>
      <c r="F265" s="43" t="s">
        <v>2542</v>
      </c>
      <c r="G265" s="46">
        <f t="shared" si="88"/>
        <v>355380</v>
      </c>
      <c r="H265" s="46">
        <f t="shared" si="89"/>
        <v>322507.35000000003</v>
      </c>
      <c r="I265" s="28" t="s">
        <v>262</v>
      </c>
      <c r="J265" s="337">
        <v>1</v>
      </c>
      <c r="K265" s="46">
        <f t="shared" si="90"/>
        <v>355380</v>
      </c>
      <c r="L265" s="46">
        <f t="shared" si="91"/>
        <v>322507.35000000003</v>
      </c>
      <c r="M265" s="338">
        <f t="shared" si="92"/>
        <v>0</v>
      </c>
      <c r="N265" s="43" t="s">
        <v>669</v>
      </c>
      <c r="O265" s="339" t="s">
        <v>167</v>
      </c>
      <c r="P265" s="340" t="str">
        <f>IFERROR(VLOOKUP(O265,NCM!$A$3:$D$99,COLUMN(head_porNCM_IPI)-COLUMN(head_porNCM_NCM)+1,FALSE),"")</f>
        <v/>
      </c>
      <c r="Q265" s="43" t="s">
        <v>1879</v>
      </c>
      <c r="R265" s="78" t="s">
        <v>209</v>
      </c>
      <c r="S265" s="341"/>
      <c r="T265" s="28" t="s">
        <v>53</v>
      </c>
      <c r="U265" s="28" t="s">
        <v>2753</v>
      </c>
      <c r="V265" s="548">
        <v>45425</v>
      </c>
      <c r="W265" s="43"/>
      <c r="X265" s="342">
        <f t="shared" si="93"/>
        <v>0</v>
      </c>
      <c r="Y265" s="342">
        <f t="shared" si="94"/>
        <v>0</v>
      </c>
      <c r="Z265" s="46">
        <f t="shared" si="95"/>
        <v>5863.77</v>
      </c>
      <c r="AA265" s="46">
        <f t="shared" si="96"/>
        <v>27008.880000000001</v>
      </c>
      <c r="AB265" s="43"/>
      <c r="AC265" s="44">
        <v>355380</v>
      </c>
      <c r="AD265" s="31">
        <v>0</v>
      </c>
      <c r="AE265" s="31">
        <v>0</v>
      </c>
      <c r="AF265" s="31">
        <v>0</v>
      </c>
      <c r="AG265" s="28" t="s">
        <v>53</v>
      </c>
      <c r="AH265" s="46">
        <f t="shared" si="97"/>
        <v>355380</v>
      </c>
      <c r="AI265" s="43"/>
      <c r="AJ265" s="28"/>
      <c r="AK265" s="337"/>
      <c r="AL265" s="43"/>
      <c r="AM265" s="44">
        <f t="shared" si="98"/>
        <v>0</v>
      </c>
      <c r="AN265" s="43"/>
      <c r="AO265" s="28">
        <f t="shared" si="99"/>
        <v>0</v>
      </c>
      <c r="AP265" s="43"/>
      <c r="AQ265" s="323">
        <f t="shared" si="100"/>
        <v>0</v>
      </c>
      <c r="AR265" s="43"/>
      <c r="AS265" s="44">
        <f t="shared" si="101"/>
        <v>355380</v>
      </c>
    </row>
    <row r="266" spans="1:45" x14ac:dyDescent="0.25">
      <c r="A266" s="28"/>
      <c r="B266" s="43"/>
      <c r="C266" s="43"/>
      <c r="D266" s="43"/>
      <c r="E266" s="43" t="s">
        <v>2543</v>
      </c>
      <c r="F266" s="43" t="s">
        <v>2544</v>
      </c>
      <c r="G266" s="46">
        <f t="shared" si="88"/>
        <v>469390</v>
      </c>
      <c r="H266" s="46">
        <f t="shared" si="89"/>
        <v>425971.42500000005</v>
      </c>
      <c r="I266" s="28" t="s">
        <v>262</v>
      </c>
      <c r="J266" s="337">
        <v>1</v>
      </c>
      <c r="K266" s="46">
        <f t="shared" si="90"/>
        <v>469390</v>
      </c>
      <c r="L266" s="46">
        <f t="shared" si="91"/>
        <v>425971.42500000005</v>
      </c>
      <c r="M266" s="338">
        <f t="shared" si="92"/>
        <v>0</v>
      </c>
      <c r="N266" s="43" t="s">
        <v>669</v>
      </c>
      <c r="O266" s="339" t="s">
        <v>167</v>
      </c>
      <c r="P266" s="340" t="str">
        <f>IFERROR(VLOOKUP(O266,NCM!$A$3:$D$99,COLUMN(head_porNCM_IPI)-COLUMN(head_porNCM_NCM)+1,FALSE),"")</f>
        <v/>
      </c>
      <c r="Q266" s="43" t="s">
        <v>1879</v>
      </c>
      <c r="R266" s="78" t="s">
        <v>209</v>
      </c>
      <c r="S266" s="341"/>
      <c r="T266" s="28" t="s">
        <v>53</v>
      </c>
      <c r="U266" s="28" t="s">
        <v>2753</v>
      </c>
      <c r="V266" s="548">
        <v>45425</v>
      </c>
      <c r="W266" s="43"/>
      <c r="X266" s="342">
        <f t="shared" si="93"/>
        <v>0</v>
      </c>
      <c r="Y266" s="342">
        <f t="shared" si="94"/>
        <v>0</v>
      </c>
      <c r="Z266" s="46">
        <f t="shared" si="95"/>
        <v>7744.9350000000004</v>
      </c>
      <c r="AA266" s="46">
        <f t="shared" si="96"/>
        <v>35673.64</v>
      </c>
      <c r="AB266" s="43"/>
      <c r="AC266" s="44">
        <v>469390</v>
      </c>
      <c r="AD266" s="31">
        <v>0</v>
      </c>
      <c r="AE266" s="31">
        <v>0</v>
      </c>
      <c r="AF266" s="31">
        <v>0</v>
      </c>
      <c r="AG266" s="28" t="s">
        <v>53</v>
      </c>
      <c r="AH266" s="46">
        <f t="shared" si="97"/>
        <v>469390</v>
      </c>
      <c r="AI266" s="43"/>
      <c r="AJ266" s="28"/>
      <c r="AK266" s="337"/>
      <c r="AL266" s="43"/>
      <c r="AM266" s="44">
        <f t="shared" si="98"/>
        <v>0</v>
      </c>
      <c r="AN266" s="43"/>
      <c r="AO266" s="28">
        <f t="shared" si="99"/>
        <v>0</v>
      </c>
      <c r="AP266" s="43"/>
      <c r="AQ266" s="323">
        <f t="shared" si="100"/>
        <v>0</v>
      </c>
      <c r="AR266" s="43"/>
      <c r="AS266" s="44">
        <f t="shared" si="101"/>
        <v>469390</v>
      </c>
    </row>
    <row r="267" spans="1:45" x14ac:dyDescent="0.25">
      <c r="A267" s="28"/>
      <c r="B267" s="43"/>
      <c r="C267" s="43"/>
      <c r="D267" s="43"/>
      <c r="E267" s="43" t="s">
        <v>2545</v>
      </c>
      <c r="F267" s="43" t="s">
        <v>2546</v>
      </c>
      <c r="G267" s="46">
        <f t="shared" si="88"/>
        <v>583380</v>
      </c>
      <c r="H267" s="46">
        <f t="shared" si="89"/>
        <v>529417.35000000009</v>
      </c>
      <c r="I267" s="28" t="s">
        <v>262</v>
      </c>
      <c r="J267" s="337">
        <v>1</v>
      </c>
      <c r="K267" s="46">
        <f t="shared" si="90"/>
        <v>583380</v>
      </c>
      <c r="L267" s="46">
        <f t="shared" si="91"/>
        <v>529417.35000000009</v>
      </c>
      <c r="M267" s="338">
        <f t="shared" si="92"/>
        <v>0</v>
      </c>
      <c r="N267" s="43" t="s">
        <v>669</v>
      </c>
      <c r="O267" s="339" t="s">
        <v>167</v>
      </c>
      <c r="P267" s="340" t="str">
        <f>IFERROR(VLOOKUP(O267,NCM!$A$3:$D$99,COLUMN(head_porNCM_IPI)-COLUMN(head_porNCM_NCM)+1,FALSE),"")</f>
        <v/>
      </c>
      <c r="Q267" s="43" t="s">
        <v>1879</v>
      </c>
      <c r="R267" s="78" t="s">
        <v>209</v>
      </c>
      <c r="S267" s="341"/>
      <c r="T267" s="28" t="s">
        <v>53</v>
      </c>
      <c r="U267" s="28" t="s">
        <v>2753</v>
      </c>
      <c r="V267" s="548">
        <v>45425</v>
      </c>
      <c r="W267" s="43"/>
      <c r="X267" s="342">
        <f t="shared" si="93"/>
        <v>0</v>
      </c>
      <c r="Y267" s="342">
        <f t="shared" si="94"/>
        <v>0</v>
      </c>
      <c r="Z267" s="46">
        <f t="shared" si="95"/>
        <v>9625.77</v>
      </c>
      <c r="AA267" s="46">
        <f t="shared" si="96"/>
        <v>44336.88</v>
      </c>
      <c r="AB267" s="43"/>
      <c r="AC267" s="44">
        <v>583380</v>
      </c>
      <c r="AD267" s="31">
        <v>0</v>
      </c>
      <c r="AE267" s="31">
        <v>0</v>
      </c>
      <c r="AF267" s="31">
        <v>0</v>
      </c>
      <c r="AG267" s="28" t="s">
        <v>53</v>
      </c>
      <c r="AH267" s="46">
        <f t="shared" si="97"/>
        <v>583380</v>
      </c>
      <c r="AI267" s="43"/>
      <c r="AJ267" s="28"/>
      <c r="AK267" s="337"/>
      <c r="AL267" s="43"/>
      <c r="AM267" s="44">
        <f t="shared" si="98"/>
        <v>0</v>
      </c>
      <c r="AN267" s="43"/>
      <c r="AO267" s="28">
        <f t="shared" si="99"/>
        <v>0</v>
      </c>
      <c r="AP267" s="43"/>
      <c r="AQ267" s="323">
        <f t="shared" si="100"/>
        <v>0</v>
      </c>
      <c r="AR267" s="43"/>
      <c r="AS267" s="44">
        <f t="shared" si="101"/>
        <v>583380</v>
      </c>
    </row>
    <row r="268" spans="1:45" x14ac:dyDescent="0.25">
      <c r="A268" s="28"/>
      <c r="B268" s="43"/>
      <c r="C268" s="43"/>
      <c r="D268" s="43"/>
      <c r="E268" s="43" t="s">
        <v>2547</v>
      </c>
      <c r="F268" s="43" t="s">
        <v>2548</v>
      </c>
      <c r="G268" s="46">
        <f t="shared" si="88"/>
        <v>62740</v>
      </c>
      <c r="H268" s="46">
        <f t="shared" si="89"/>
        <v>56936.55</v>
      </c>
      <c r="I268" s="28" t="s">
        <v>262</v>
      </c>
      <c r="J268" s="337">
        <v>1</v>
      </c>
      <c r="K268" s="46">
        <f t="shared" si="90"/>
        <v>62740</v>
      </c>
      <c r="L268" s="46">
        <f t="shared" si="91"/>
        <v>56936.55</v>
      </c>
      <c r="M268" s="338">
        <f t="shared" si="92"/>
        <v>0</v>
      </c>
      <c r="N268" s="43" t="s">
        <v>669</v>
      </c>
      <c r="O268" s="339" t="s">
        <v>167</v>
      </c>
      <c r="P268" s="340" t="str">
        <f>IFERROR(VLOOKUP(O268,NCM!$A$3:$D$99,COLUMN(head_porNCM_IPI)-COLUMN(head_porNCM_NCM)+1,FALSE),"")</f>
        <v/>
      </c>
      <c r="Q268" s="43" t="s">
        <v>1879</v>
      </c>
      <c r="R268" s="78" t="s">
        <v>209</v>
      </c>
      <c r="S268" s="341"/>
      <c r="T268" s="28" t="s">
        <v>53</v>
      </c>
      <c r="U268" s="28" t="s">
        <v>2753</v>
      </c>
      <c r="V268" s="548">
        <v>45425</v>
      </c>
      <c r="W268" s="43"/>
      <c r="X268" s="342">
        <f t="shared" si="93"/>
        <v>0</v>
      </c>
      <c r="Y268" s="342">
        <f t="shared" si="94"/>
        <v>0</v>
      </c>
      <c r="Z268" s="46">
        <f t="shared" si="95"/>
        <v>1035.21</v>
      </c>
      <c r="AA268" s="46">
        <f t="shared" si="96"/>
        <v>4768.24</v>
      </c>
      <c r="AB268" s="43"/>
      <c r="AC268" s="44">
        <v>62740</v>
      </c>
      <c r="AD268" s="31">
        <v>0</v>
      </c>
      <c r="AE268" s="31">
        <v>0</v>
      </c>
      <c r="AF268" s="31">
        <v>0</v>
      </c>
      <c r="AG268" s="28" t="s">
        <v>53</v>
      </c>
      <c r="AH268" s="46">
        <f t="shared" si="97"/>
        <v>62740</v>
      </c>
      <c r="AI268" s="43"/>
      <c r="AJ268" s="28"/>
      <c r="AK268" s="337"/>
      <c r="AL268" s="43"/>
      <c r="AM268" s="44">
        <f t="shared" si="98"/>
        <v>0</v>
      </c>
      <c r="AN268" s="43"/>
      <c r="AO268" s="28">
        <f t="shared" si="99"/>
        <v>0</v>
      </c>
      <c r="AP268" s="43"/>
      <c r="AQ268" s="323">
        <f t="shared" si="100"/>
        <v>0</v>
      </c>
      <c r="AR268" s="43"/>
      <c r="AS268" s="44">
        <f t="shared" si="101"/>
        <v>62740</v>
      </c>
    </row>
    <row r="269" spans="1:45" x14ac:dyDescent="0.25">
      <c r="A269" s="28"/>
      <c r="B269" s="43"/>
      <c r="C269" s="43"/>
      <c r="D269" s="43"/>
      <c r="E269" s="43" t="s">
        <v>2549</v>
      </c>
      <c r="F269" s="43" t="s">
        <v>2550</v>
      </c>
      <c r="G269" s="46">
        <f t="shared" si="88"/>
        <v>80670</v>
      </c>
      <c r="H269" s="46">
        <f t="shared" si="89"/>
        <v>73208.025000000009</v>
      </c>
      <c r="I269" s="28" t="s">
        <v>262</v>
      </c>
      <c r="J269" s="337">
        <v>1</v>
      </c>
      <c r="K269" s="46">
        <f t="shared" si="90"/>
        <v>80670</v>
      </c>
      <c r="L269" s="46">
        <f t="shared" si="91"/>
        <v>73208.025000000009</v>
      </c>
      <c r="M269" s="338">
        <f t="shared" si="92"/>
        <v>0</v>
      </c>
      <c r="N269" s="43" t="s">
        <v>669</v>
      </c>
      <c r="O269" s="339" t="s">
        <v>167</v>
      </c>
      <c r="P269" s="340" t="str">
        <f>IFERROR(VLOOKUP(O269,NCM!$A$3:$D$99,COLUMN(head_porNCM_IPI)-COLUMN(head_porNCM_NCM)+1,FALSE),"")</f>
        <v/>
      </c>
      <c r="Q269" s="43" t="s">
        <v>1879</v>
      </c>
      <c r="R269" s="78" t="s">
        <v>209</v>
      </c>
      <c r="S269" s="341"/>
      <c r="T269" s="28" t="s">
        <v>53</v>
      </c>
      <c r="U269" s="28" t="s">
        <v>2753</v>
      </c>
      <c r="V269" s="548">
        <v>45425</v>
      </c>
      <c r="W269" s="43"/>
      <c r="X269" s="342">
        <f t="shared" si="93"/>
        <v>0</v>
      </c>
      <c r="Y269" s="342">
        <f t="shared" si="94"/>
        <v>0</v>
      </c>
      <c r="Z269" s="46">
        <f t="shared" si="95"/>
        <v>1331.0550000000001</v>
      </c>
      <c r="AA269" s="46">
        <f t="shared" si="96"/>
        <v>6130.92</v>
      </c>
      <c r="AB269" s="43"/>
      <c r="AC269" s="44">
        <v>80670</v>
      </c>
      <c r="AD269" s="31">
        <v>0</v>
      </c>
      <c r="AE269" s="31">
        <v>0</v>
      </c>
      <c r="AF269" s="31">
        <v>0</v>
      </c>
      <c r="AG269" s="28" t="s">
        <v>53</v>
      </c>
      <c r="AH269" s="46">
        <f t="shared" si="97"/>
        <v>80670</v>
      </c>
      <c r="AI269" s="43"/>
      <c r="AJ269" s="28"/>
      <c r="AK269" s="337"/>
      <c r="AL269" s="43"/>
      <c r="AM269" s="44">
        <f t="shared" si="98"/>
        <v>0</v>
      </c>
      <c r="AN269" s="43"/>
      <c r="AO269" s="28">
        <f t="shared" si="99"/>
        <v>0</v>
      </c>
      <c r="AP269" s="43"/>
      <c r="AQ269" s="323">
        <f t="shared" si="100"/>
        <v>0</v>
      </c>
      <c r="AR269" s="43"/>
      <c r="AS269" s="44">
        <f t="shared" si="101"/>
        <v>80670</v>
      </c>
    </row>
    <row r="270" spans="1:45" x14ac:dyDescent="0.25">
      <c r="A270" s="28"/>
      <c r="B270" s="43"/>
      <c r="C270" s="43"/>
      <c r="D270" s="43"/>
      <c r="E270" s="43" t="s">
        <v>2551</v>
      </c>
      <c r="F270" s="43" t="s">
        <v>2552</v>
      </c>
      <c r="G270" s="46">
        <f t="shared" si="88"/>
        <v>101930</v>
      </c>
      <c r="H270" s="46">
        <f t="shared" si="89"/>
        <v>92501.475000000006</v>
      </c>
      <c r="I270" s="28" t="s">
        <v>262</v>
      </c>
      <c r="J270" s="337">
        <v>1</v>
      </c>
      <c r="K270" s="46">
        <f t="shared" si="90"/>
        <v>101930</v>
      </c>
      <c r="L270" s="46">
        <f t="shared" si="91"/>
        <v>92501.475000000006</v>
      </c>
      <c r="M270" s="338">
        <f t="shared" si="92"/>
        <v>0</v>
      </c>
      <c r="N270" s="43" t="s">
        <v>669</v>
      </c>
      <c r="O270" s="339" t="s">
        <v>167</v>
      </c>
      <c r="P270" s="340" t="str">
        <f>IFERROR(VLOOKUP(O270,NCM!$A$3:$D$99,COLUMN(head_porNCM_IPI)-COLUMN(head_porNCM_NCM)+1,FALSE),"")</f>
        <v/>
      </c>
      <c r="Q270" s="43" t="s">
        <v>1879</v>
      </c>
      <c r="R270" s="78" t="s">
        <v>209</v>
      </c>
      <c r="S270" s="341"/>
      <c r="T270" s="28" t="s">
        <v>53</v>
      </c>
      <c r="U270" s="28" t="s">
        <v>2753</v>
      </c>
      <c r="V270" s="548">
        <v>45425</v>
      </c>
      <c r="W270" s="43"/>
      <c r="X270" s="342">
        <f t="shared" si="93"/>
        <v>0</v>
      </c>
      <c r="Y270" s="342">
        <f t="shared" si="94"/>
        <v>0</v>
      </c>
      <c r="Z270" s="46">
        <f t="shared" si="95"/>
        <v>1681.845</v>
      </c>
      <c r="AA270" s="46">
        <f t="shared" si="96"/>
        <v>7746.6799999999994</v>
      </c>
      <c r="AB270" s="43"/>
      <c r="AC270" s="44">
        <v>101930</v>
      </c>
      <c r="AD270" s="31">
        <v>0</v>
      </c>
      <c r="AE270" s="31">
        <v>0</v>
      </c>
      <c r="AF270" s="31">
        <v>0</v>
      </c>
      <c r="AG270" s="28" t="s">
        <v>53</v>
      </c>
      <c r="AH270" s="46">
        <f t="shared" si="97"/>
        <v>101930</v>
      </c>
      <c r="AI270" s="43"/>
      <c r="AJ270" s="28"/>
      <c r="AK270" s="337"/>
      <c r="AL270" s="43"/>
      <c r="AM270" s="44">
        <f t="shared" si="98"/>
        <v>0</v>
      </c>
      <c r="AN270" s="43"/>
      <c r="AO270" s="28">
        <f t="shared" si="99"/>
        <v>0</v>
      </c>
      <c r="AP270" s="43"/>
      <c r="AQ270" s="323">
        <f t="shared" si="100"/>
        <v>0</v>
      </c>
      <c r="AR270" s="43"/>
      <c r="AS270" s="44">
        <f t="shared" si="101"/>
        <v>101930</v>
      </c>
    </row>
    <row r="271" spans="1:45" x14ac:dyDescent="0.25">
      <c r="A271" s="28"/>
      <c r="B271" s="43"/>
      <c r="C271" s="43"/>
      <c r="D271" s="43"/>
      <c r="E271" s="43" t="s">
        <v>2553</v>
      </c>
      <c r="F271" s="43" t="s">
        <v>2554</v>
      </c>
      <c r="G271" s="46">
        <f t="shared" si="88"/>
        <v>121470</v>
      </c>
      <c r="H271" s="46">
        <f t="shared" si="89"/>
        <v>110234.02500000001</v>
      </c>
      <c r="I271" s="28" t="s">
        <v>262</v>
      </c>
      <c r="J271" s="337">
        <v>1</v>
      </c>
      <c r="K271" s="46">
        <f t="shared" si="90"/>
        <v>121470</v>
      </c>
      <c r="L271" s="46">
        <f t="shared" si="91"/>
        <v>110234.02500000001</v>
      </c>
      <c r="M271" s="338">
        <f t="shared" si="92"/>
        <v>0</v>
      </c>
      <c r="N271" s="43" t="s">
        <v>669</v>
      </c>
      <c r="O271" s="339" t="s">
        <v>167</v>
      </c>
      <c r="P271" s="340" t="str">
        <f>IFERROR(VLOOKUP(O271,NCM!$A$3:$D$99,COLUMN(head_porNCM_IPI)-COLUMN(head_porNCM_NCM)+1,FALSE),"")</f>
        <v/>
      </c>
      <c r="Q271" s="43" t="s">
        <v>1879</v>
      </c>
      <c r="R271" s="78" t="s">
        <v>209</v>
      </c>
      <c r="S271" s="341"/>
      <c r="T271" s="28" t="s">
        <v>53</v>
      </c>
      <c r="U271" s="28" t="s">
        <v>2753</v>
      </c>
      <c r="V271" s="548">
        <v>45425</v>
      </c>
      <c r="W271" s="43"/>
      <c r="X271" s="342">
        <f t="shared" si="93"/>
        <v>0</v>
      </c>
      <c r="Y271" s="342">
        <f t="shared" si="94"/>
        <v>0</v>
      </c>
      <c r="Z271" s="46">
        <f t="shared" si="95"/>
        <v>2004.2550000000001</v>
      </c>
      <c r="AA271" s="46">
        <f t="shared" si="96"/>
        <v>9231.7199999999993</v>
      </c>
      <c r="AB271" s="43"/>
      <c r="AC271" s="44">
        <v>121470</v>
      </c>
      <c r="AD271" s="31">
        <v>0</v>
      </c>
      <c r="AE271" s="31">
        <v>0</v>
      </c>
      <c r="AF271" s="31">
        <v>0</v>
      </c>
      <c r="AG271" s="28" t="s">
        <v>53</v>
      </c>
      <c r="AH271" s="46">
        <f t="shared" si="97"/>
        <v>121470</v>
      </c>
      <c r="AI271" s="43"/>
      <c r="AJ271" s="28"/>
      <c r="AK271" s="337"/>
      <c r="AL271" s="43"/>
      <c r="AM271" s="44">
        <f t="shared" si="98"/>
        <v>0</v>
      </c>
      <c r="AN271" s="43"/>
      <c r="AO271" s="28">
        <f t="shared" si="99"/>
        <v>0</v>
      </c>
      <c r="AP271" s="43"/>
      <c r="AQ271" s="323">
        <f t="shared" si="100"/>
        <v>0</v>
      </c>
      <c r="AR271" s="43"/>
      <c r="AS271" s="44">
        <f t="shared" si="101"/>
        <v>121470</v>
      </c>
    </row>
    <row r="272" spans="1:45" x14ac:dyDescent="0.25">
      <c r="A272" s="28"/>
      <c r="B272" s="43"/>
      <c r="C272" s="43"/>
      <c r="D272" s="43"/>
      <c r="E272" s="43" t="s">
        <v>2555</v>
      </c>
      <c r="F272" s="43" t="s">
        <v>2556</v>
      </c>
      <c r="G272" s="46">
        <f t="shared" si="88"/>
        <v>158080</v>
      </c>
      <c r="H272" s="46">
        <f t="shared" si="89"/>
        <v>143457.60000000001</v>
      </c>
      <c r="I272" s="28" t="s">
        <v>262</v>
      </c>
      <c r="J272" s="337">
        <v>1</v>
      </c>
      <c r="K272" s="46">
        <f t="shared" si="90"/>
        <v>158080</v>
      </c>
      <c r="L272" s="46">
        <f t="shared" si="91"/>
        <v>143457.60000000001</v>
      </c>
      <c r="M272" s="338">
        <f t="shared" si="92"/>
        <v>0</v>
      </c>
      <c r="N272" s="43" t="s">
        <v>669</v>
      </c>
      <c r="O272" s="339" t="s">
        <v>167</v>
      </c>
      <c r="P272" s="340" t="str">
        <f>IFERROR(VLOOKUP(O272,NCM!$A$3:$D$99,COLUMN(head_porNCM_IPI)-COLUMN(head_porNCM_NCM)+1,FALSE),"")</f>
        <v/>
      </c>
      <c r="Q272" s="43" t="s">
        <v>1879</v>
      </c>
      <c r="R272" s="78" t="s">
        <v>209</v>
      </c>
      <c r="S272" s="341"/>
      <c r="T272" s="28" t="s">
        <v>53</v>
      </c>
      <c r="U272" s="28" t="s">
        <v>2753</v>
      </c>
      <c r="V272" s="548">
        <v>45425</v>
      </c>
      <c r="W272" s="43"/>
      <c r="X272" s="342">
        <f t="shared" si="93"/>
        <v>0</v>
      </c>
      <c r="Y272" s="342">
        <f t="shared" si="94"/>
        <v>0</v>
      </c>
      <c r="Z272" s="46">
        <f t="shared" si="95"/>
        <v>2608.3200000000002</v>
      </c>
      <c r="AA272" s="46">
        <f t="shared" si="96"/>
        <v>12014.08</v>
      </c>
      <c r="AB272" s="43"/>
      <c r="AC272" s="44">
        <v>158080</v>
      </c>
      <c r="AD272" s="31">
        <v>0</v>
      </c>
      <c r="AE272" s="31">
        <v>0</v>
      </c>
      <c r="AF272" s="31">
        <v>0</v>
      </c>
      <c r="AG272" s="28" t="s">
        <v>53</v>
      </c>
      <c r="AH272" s="46">
        <f t="shared" si="97"/>
        <v>158080</v>
      </c>
      <c r="AI272" s="43"/>
      <c r="AJ272" s="28"/>
      <c r="AK272" s="337"/>
      <c r="AL272" s="43"/>
      <c r="AM272" s="44">
        <f t="shared" si="98"/>
        <v>0</v>
      </c>
      <c r="AN272" s="43"/>
      <c r="AO272" s="28">
        <f t="shared" si="99"/>
        <v>0</v>
      </c>
      <c r="AP272" s="43"/>
      <c r="AQ272" s="323">
        <f t="shared" si="100"/>
        <v>0</v>
      </c>
      <c r="AR272" s="43"/>
      <c r="AS272" s="44">
        <f t="shared" si="101"/>
        <v>158080</v>
      </c>
    </row>
    <row r="273" spans="1:45" x14ac:dyDescent="0.25">
      <c r="A273" s="28"/>
      <c r="B273" s="43"/>
      <c r="C273" s="43"/>
      <c r="D273" s="43"/>
      <c r="E273" s="43" t="s">
        <v>2557</v>
      </c>
      <c r="F273" s="43" t="s">
        <v>2558</v>
      </c>
      <c r="G273" s="46">
        <f t="shared" si="88"/>
        <v>185910</v>
      </c>
      <c r="H273" s="46">
        <f t="shared" si="89"/>
        <v>168713.32500000001</v>
      </c>
      <c r="I273" s="28" t="s">
        <v>262</v>
      </c>
      <c r="J273" s="337">
        <v>1</v>
      </c>
      <c r="K273" s="46">
        <f t="shared" si="90"/>
        <v>185910</v>
      </c>
      <c r="L273" s="46">
        <f t="shared" si="91"/>
        <v>168713.32500000001</v>
      </c>
      <c r="M273" s="338">
        <f t="shared" si="92"/>
        <v>0</v>
      </c>
      <c r="N273" s="43" t="s">
        <v>669</v>
      </c>
      <c r="O273" s="339" t="s">
        <v>167</v>
      </c>
      <c r="P273" s="340" t="str">
        <f>IFERROR(VLOOKUP(O273,NCM!$A$3:$D$99,COLUMN(head_porNCM_IPI)-COLUMN(head_porNCM_NCM)+1,FALSE),"")</f>
        <v/>
      </c>
      <c r="Q273" s="43" t="s">
        <v>1879</v>
      </c>
      <c r="R273" s="78" t="s">
        <v>209</v>
      </c>
      <c r="S273" s="341"/>
      <c r="T273" s="28" t="s">
        <v>53</v>
      </c>
      <c r="U273" s="28" t="s">
        <v>2753</v>
      </c>
      <c r="V273" s="548">
        <v>45425</v>
      </c>
      <c r="W273" s="43"/>
      <c r="X273" s="342">
        <f t="shared" si="93"/>
        <v>0</v>
      </c>
      <c r="Y273" s="342">
        <f t="shared" si="94"/>
        <v>0</v>
      </c>
      <c r="Z273" s="46">
        <f t="shared" si="95"/>
        <v>3067.5150000000003</v>
      </c>
      <c r="AA273" s="46">
        <f t="shared" si="96"/>
        <v>14129.16</v>
      </c>
      <c r="AB273" s="43"/>
      <c r="AC273" s="44">
        <v>185910</v>
      </c>
      <c r="AD273" s="31">
        <v>0</v>
      </c>
      <c r="AE273" s="31">
        <v>0</v>
      </c>
      <c r="AF273" s="31">
        <v>0</v>
      </c>
      <c r="AG273" s="28" t="s">
        <v>53</v>
      </c>
      <c r="AH273" s="46">
        <f t="shared" si="97"/>
        <v>185910</v>
      </c>
      <c r="AI273" s="43"/>
      <c r="AJ273" s="28"/>
      <c r="AK273" s="337"/>
      <c r="AL273" s="43"/>
      <c r="AM273" s="44">
        <f t="shared" si="98"/>
        <v>0</v>
      </c>
      <c r="AN273" s="43"/>
      <c r="AO273" s="28">
        <f t="shared" si="99"/>
        <v>0</v>
      </c>
      <c r="AP273" s="43"/>
      <c r="AQ273" s="323">
        <f t="shared" si="100"/>
        <v>0</v>
      </c>
      <c r="AR273" s="43"/>
      <c r="AS273" s="44">
        <f t="shared" si="101"/>
        <v>185910</v>
      </c>
    </row>
    <row r="274" spans="1:45" x14ac:dyDescent="0.25">
      <c r="A274" s="28"/>
      <c r="B274" s="43"/>
      <c r="C274" s="43"/>
      <c r="D274" s="43"/>
      <c r="E274" s="43" t="s">
        <v>2559</v>
      </c>
      <c r="F274" s="43" t="s">
        <v>2560</v>
      </c>
      <c r="G274" s="46">
        <f t="shared" si="88"/>
        <v>246500</v>
      </c>
      <c r="H274" s="46">
        <f t="shared" si="89"/>
        <v>223698.75000000003</v>
      </c>
      <c r="I274" s="28" t="s">
        <v>262</v>
      </c>
      <c r="J274" s="337">
        <v>1</v>
      </c>
      <c r="K274" s="46">
        <f t="shared" si="90"/>
        <v>246500</v>
      </c>
      <c r="L274" s="46">
        <f t="shared" si="91"/>
        <v>223698.75000000003</v>
      </c>
      <c r="M274" s="338">
        <f t="shared" si="92"/>
        <v>0</v>
      </c>
      <c r="N274" s="43" t="s">
        <v>669</v>
      </c>
      <c r="O274" s="339" t="s">
        <v>167</v>
      </c>
      <c r="P274" s="340" t="str">
        <f>IFERROR(VLOOKUP(O274,NCM!$A$3:$D$99,COLUMN(head_porNCM_IPI)-COLUMN(head_porNCM_NCM)+1,FALSE),"")</f>
        <v/>
      </c>
      <c r="Q274" s="43" t="s">
        <v>1879</v>
      </c>
      <c r="R274" s="78" t="s">
        <v>209</v>
      </c>
      <c r="S274" s="341"/>
      <c r="T274" s="28" t="s">
        <v>53</v>
      </c>
      <c r="U274" s="28" t="s">
        <v>2753</v>
      </c>
      <c r="V274" s="548">
        <v>45425</v>
      </c>
      <c r="W274" s="43"/>
      <c r="X274" s="342">
        <f t="shared" si="93"/>
        <v>0</v>
      </c>
      <c r="Y274" s="342">
        <f t="shared" si="94"/>
        <v>0</v>
      </c>
      <c r="Z274" s="46">
        <f t="shared" si="95"/>
        <v>4067.25</v>
      </c>
      <c r="AA274" s="46">
        <f t="shared" si="96"/>
        <v>18734</v>
      </c>
      <c r="AB274" s="43"/>
      <c r="AC274" s="44">
        <v>246500</v>
      </c>
      <c r="AD274" s="31">
        <v>0</v>
      </c>
      <c r="AE274" s="31">
        <v>0</v>
      </c>
      <c r="AF274" s="31">
        <v>0</v>
      </c>
      <c r="AG274" s="28" t="s">
        <v>53</v>
      </c>
      <c r="AH274" s="46">
        <f t="shared" si="97"/>
        <v>246500</v>
      </c>
      <c r="AI274" s="43"/>
      <c r="AJ274" s="28"/>
      <c r="AK274" s="337"/>
      <c r="AL274" s="43"/>
      <c r="AM274" s="44">
        <f t="shared" si="98"/>
        <v>0</v>
      </c>
      <c r="AN274" s="43"/>
      <c r="AO274" s="28">
        <f t="shared" si="99"/>
        <v>0</v>
      </c>
      <c r="AP274" s="43"/>
      <c r="AQ274" s="323">
        <f t="shared" si="100"/>
        <v>0</v>
      </c>
      <c r="AR274" s="43"/>
      <c r="AS274" s="44">
        <f t="shared" si="101"/>
        <v>246500</v>
      </c>
    </row>
    <row r="275" spans="1:45" x14ac:dyDescent="0.25">
      <c r="A275" s="28"/>
      <c r="B275" s="43"/>
      <c r="C275" s="43"/>
      <c r="D275" s="43"/>
      <c r="E275" s="43" t="s">
        <v>2561</v>
      </c>
      <c r="F275" s="43" t="s">
        <v>2562</v>
      </c>
      <c r="G275" s="46">
        <f t="shared" si="88"/>
        <v>298370</v>
      </c>
      <c r="H275" s="46">
        <f t="shared" si="89"/>
        <v>270770.77500000002</v>
      </c>
      <c r="I275" s="28" t="s">
        <v>262</v>
      </c>
      <c r="J275" s="337">
        <v>1</v>
      </c>
      <c r="K275" s="46">
        <f t="shared" si="90"/>
        <v>298370</v>
      </c>
      <c r="L275" s="46">
        <f t="shared" si="91"/>
        <v>270770.77500000002</v>
      </c>
      <c r="M275" s="338">
        <f t="shared" si="92"/>
        <v>0</v>
      </c>
      <c r="N275" s="43" t="s">
        <v>669</v>
      </c>
      <c r="O275" s="339" t="s">
        <v>167</v>
      </c>
      <c r="P275" s="340" t="str">
        <f>IFERROR(VLOOKUP(O275,NCM!$A$3:$D$99,COLUMN(head_porNCM_IPI)-COLUMN(head_porNCM_NCM)+1,FALSE),"")</f>
        <v/>
      </c>
      <c r="Q275" s="43" t="s">
        <v>1879</v>
      </c>
      <c r="R275" s="78" t="s">
        <v>209</v>
      </c>
      <c r="S275" s="341"/>
      <c r="T275" s="28" t="s">
        <v>53</v>
      </c>
      <c r="U275" s="28" t="s">
        <v>2753</v>
      </c>
      <c r="V275" s="548">
        <v>45425</v>
      </c>
      <c r="W275" s="43"/>
      <c r="X275" s="342">
        <f t="shared" si="93"/>
        <v>0</v>
      </c>
      <c r="Y275" s="342">
        <f t="shared" si="94"/>
        <v>0</v>
      </c>
      <c r="Z275" s="46">
        <f t="shared" si="95"/>
        <v>4923.1050000000005</v>
      </c>
      <c r="AA275" s="46">
        <f t="shared" si="96"/>
        <v>22676.12</v>
      </c>
      <c r="AB275" s="43"/>
      <c r="AC275" s="44">
        <v>298370</v>
      </c>
      <c r="AD275" s="31">
        <v>0</v>
      </c>
      <c r="AE275" s="31">
        <v>0</v>
      </c>
      <c r="AF275" s="31">
        <v>0</v>
      </c>
      <c r="AG275" s="28" t="s">
        <v>53</v>
      </c>
      <c r="AH275" s="46">
        <f t="shared" si="97"/>
        <v>298370</v>
      </c>
      <c r="AI275" s="43"/>
      <c r="AJ275" s="28"/>
      <c r="AK275" s="337"/>
      <c r="AL275" s="43"/>
      <c r="AM275" s="44">
        <f t="shared" si="98"/>
        <v>0</v>
      </c>
      <c r="AN275" s="43"/>
      <c r="AO275" s="28">
        <f t="shared" si="99"/>
        <v>0</v>
      </c>
      <c r="AP275" s="43"/>
      <c r="AQ275" s="323">
        <f t="shared" si="100"/>
        <v>0</v>
      </c>
      <c r="AR275" s="43"/>
      <c r="AS275" s="44">
        <f t="shared" si="101"/>
        <v>298370</v>
      </c>
    </row>
    <row r="276" spans="1:45" x14ac:dyDescent="0.25">
      <c r="A276" s="28"/>
      <c r="B276" s="43"/>
      <c r="C276" s="43"/>
      <c r="D276" s="43"/>
      <c r="E276" s="43" t="s">
        <v>2563</v>
      </c>
      <c r="F276" s="43" t="s">
        <v>2564</v>
      </c>
      <c r="G276" s="46">
        <f t="shared" si="88"/>
        <v>355380</v>
      </c>
      <c r="H276" s="46">
        <f t="shared" si="89"/>
        <v>322507.35000000003</v>
      </c>
      <c r="I276" s="28" t="s">
        <v>262</v>
      </c>
      <c r="J276" s="337">
        <v>1</v>
      </c>
      <c r="K276" s="46">
        <f t="shared" si="90"/>
        <v>355380</v>
      </c>
      <c r="L276" s="46">
        <f t="shared" si="91"/>
        <v>322507.35000000003</v>
      </c>
      <c r="M276" s="338">
        <f t="shared" si="92"/>
        <v>0</v>
      </c>
      <c r="N276" s="43" t="s">
        <v>669</v>
      </c>
      <c r="O276" s="339" t="s">
        <v>167</v>
      </c>
      <c r="P276" s="340" t="str">
        <f>IFERROR(VLOOKUP(O276,NCM!$A$3:$D$99,COLUMN(head_porNCM_IPI)-COLUMN(head_porNCM_NCM)+1,FALSE),"")</f>
        <v/>
      </c>
      <c r="Q276" s="43" t="s">
        <v>1879</v>
      </c>
      <c r="R276" s="78" t="s">
        <v>209</v>
      </c>
      <c r="S276" s="341"/>
      <c r="T276" s="28" t="s">
        <v>53</v>
      </c>
      <c r="U276" s="28" t="s">
        <v>2753</v>
      </c>
      <c r="V276" s="548">
        <v>45425</v>
      </c>
      <c r="W276" s="43"/>
      <c r="X276" s="342">
        <f t="shared" si="93"/>
        <v>0</v>
      </c>
      <c r="Y276" s="342">
        <f t="shared" si="94"/>
        <v>0</v>
      </c>
      <c r="Z276" s="46">
        <f t="shared" si="95"/>
        <v>5863.77</v>
      </c>
      <c r="AA276" s="46">
        <f t="shared" si="96"/>
        <v>27008.880000000001</v>
      </c>
      <c r="AB276" s="43"/>
      <c r="AC276" s="44">
        <v>355380</v>
      </c>
      <c r="AD276" s="31">
        <v>0</v>
      </c>
      <c r="AE276" s="31">
        <v>0</v>
      </c>
      <c r="AF276" s="31">
        <v>0</v>
      </c>
      <c r="AG276" s="28" t="s">
        <v>53</v>
      </c>
      <c r="AH276" s="46">
        <f t="shared" si="97"/>
        <v>355380</v>
      </c>
      <c r="AI276" s="43"/>
      <c r="AJ276" s="28"/>
      <c r="AK276" s="337"/>
      <c r="AL276" s="43"/>
      <c r="AM276" s="44">
        <f t="shared" si="98"/>
        <v>0</v>
      </c>
      <c r="AN276" s="43"/>
      <c r="AO276" s="28">
        <f t="shared" si="99"/>
        <v>0</v>
      </c>
      <c r="AP276" s="43"/>
      <c r="AQ276" s="323">
        <f t="shared" si="100"/>
        <v>0</v>
      </c>
      <c r="AR276" s="43"/>
      <c r="AS276" s="44">
        <f t="shared" si="101"/>
        <v>355380</v>
      </c>
    </row>
    <row r="277" spans="1:45" x14ac:dyDescent="0.25">
      <c r="A277" s="28"/>
      <c r="B277" s="43"/>
      <c r="C277" s="43"/>
      <c r="D277" s="43"/>
      <c r="E277" s="43" t="s">
        <v>2565</v>
      </c>
      <c r="F277" s="43" t="s">
        <v>2566</v>
      </c>
      <c r="G277" s="46">
        <f t="shared" si="88"/>
        <v>469390</v>
      </c>
      <c r="H277" s="46">
        <f t="shared" si="89"/>
        <v>425971.42500000005</v>
      </c>
      <c r="I277" s="28" t="s">
        <v>262</v>
      </c>
      <c r="J277" s="337">
        <v>1</v>
      </c>
      <c r="K277" s="46">
        <f t="shared" si="90"/>
        <v>469390</v>
      </c>
      <c r="L277" s="46">
        <f t="shared" si="91"/>
        <v>425971.42500000005</v>
      </c>
      <c r="M277" s="338">
        <f t="shared" si="92"/>
        <v>0</v>
      </c>
      <c r="N277" s="43" t="s">
        <v>669</v>
      </c>
      <c r="O277" s="339" t="s">
        <v>167</v>
      </c>
      <c r="P277" s="340" t="str">
        <f>IFERROR(VLOOKUP(O277,NCM!$A$3:$D$99,COLUMN(head_porNCM_IPI)-COLUMN(head_porNCM_NCM)+1,FALSE),"")</f>
        <v/>
      </c>
      <c r="Q277" s="43" t="s">
        <v>1879</v>
      </c>
      <c r="R277" s="78" t="s">
        <v>209</v>
      </c>
      <c r="S277" s="341"/>
      <c r="T277" s="28" t="s">
        <v>53</v>
      </c>
      <c r="U277" s="28" t="s">
        <v>2753</v>
      </c>
      <c r="V277" s="548">
        <v>45425</v>
      </c>
      <c r="W277" s="43"/>
      <c r="X277" s="342">
        <f t="shared" si="93"/>
        <v>0</v>
      </c>
      <c r="Y277" s="342">
        <f t="shared" si="94"/>
        <v>0</v>
      </c>
      <c r="Z277" s="46">
        <f t="shared" si="95"/>
        <v>7744.9350000000004</v>
      </c>
      <c r="AA277" s="46">
        <f t="shared" si="96"/>
        <v>35673.64</v>
      </c>
      <c r="AB277" s="43"/>
      <c r="AC277" s="44">
        <v>469390</v>
      </c>
      <c r="AD277" s="31">
        <v>0</v>
      </c>
      <c r="AE277" s="31">
        <v>0</v>
      </c>
      <c r="AF277" s="31">
        <v>0</v>
      </c>
      <c r="AG277" s="28" t="s">
        <v>53</v>
      </c>
      <c r="AH277" s="46">
        <f t="shared" si="97"/>
        <v>469390</v>
      </c>
      <c r="AI277" s="43"/>
      <c r="AJ277" s="28"/>
      <c r="AK277" s="337"/>
      <c r="AL277" s="43"/>
      <c r="AM277" s="44">
        <f t="shared" si="98"/>
        <v>0</v>
      </c>
      <c r="AN277" s="43"/>
      <c r="AO277" s="28">
        <f t="shared" si="99"/>
        <v>0</v>
      </c>
      <c r="AP277" s="43"/>
      <c r="AQ277" s="323">
        <f t="shared" si="100"/>
        <v>0</v>
      </c>
      <c r="AR277" s="43"/>
      <c r="AS277" s="44">
        <f t="shared" si="101"/>
        <v>469390</v>
      </c>
    </row>
    <row r="278" spans="1:45" x14ac:dyDescent="0.25">
      <c r="A278" s="28"/>
      <c r="B278" s="43"/>
      <c r="C278" s="43"/>
      <c r="D278" s="43"/>
      <c r="E278" s="43" t="s">
        <v>2567</v>
      </c>
      <c r="F278" s="43" t="s">
        <v>2568</v>
      </c>
      <c r="G278" s="46">
        <f t="shared" si="88"/>
        <v>583380</v>
      </c>
      <c r="H278" s="46">
        <f t="shared" si="89"/>
        <v>529417.35000000009</v>
      </c>
      <c r="I278" s="28" t="s">
        <v>262</v>
      </c>
      <c r="J278" s="337">
        <v>1</v>
      </c>
      <c r="K278" s="46">
        <f t="shared" si="90"/>
        <v>583380</v>
      </c>
      <c r="L278" s="46">
        <f t="shared" si="91"/>
        <v>529417.35000000009</v>
      </c>
      <c r="M278" s="338">
        <f t="shared" si="92"/>
        <v>0</v>
      </c>
      <c r="N278" s="43" t="s">
        <v>669</v>
      </c>
      <c r="O278" s="339" t="s">
        <v>167</v>
      </c>
      <c r="P278" s="340" t="str">
        <f>IFERROR(VLOOKUP(O278,NCM!$A$3:$D$99,COLUMN(head_porNCM_IPI)-COLUMN(head_porNCM_NCM)+1,FALSE),"")</f>
        <v/>
      </c>
      <c r="Q278" s="43" t="s">
        <v>1879</v>
      </c>
      <c r="R278" s="78" t="s">
        <v>209</v>
      </c>
      <c r="S278" s="341"/>
      <c r="T278" s="28" t="s">
        <v>53</v>
      </c>
      <c r="U278" s="28" t="s">
        <v>2753</v>
      </c>
      <c r="V278" s="548">
        <v>45425</v>
      </c>
      <c r="W278" s="43"/>
      <c r="X278" s="342">
        <f t="shared" si="93"/>
        <v>0</v>
      </c>
      <c r="Y278" s="342">
        <f t="shared" si="94"/>
        <v>0</v>
      </c>
      <c r="Z278" s="46">
        <f t="shared" si="95"/>
        <v>9625.77</v>
      </c>
      <c r="AA278" s="46">
        <f t="shared" si="96"/>
        <v>44336.88</v>
      </c>
      <c r="AB278" s="43"/>
      <c r="AC278" s="44">
        <v>583380</v>
      </c>
      <c r="AD278" s="31">
        <v>0</v>
      </c>
      <c r="AE278" s="31">
        <v>0</v>
      </c>
      <c r="AF278" s="31">
        <v>0</v>
      </c>
      <c r="AG278" s="28" t="s">
        <v>53</v>
      </c>
      <c r="AH278" s="46">
        <f t="shared" si="97"/>
        <v>583380</v>
      </c>
      <c r="AI278" s="43"/>
      <c r="AJ278" s="28"/>
      <c r="AK278" s="337"/>
      <c r="AL278" s="43"/>
      <c r="AM278" s="44">
        <f t="shared" si="98"/>
        <v>0</v>
      </c>
      <c r="AN278" s="43"/>
      <c r="AO278" s="28">
        <f t="shared" si="99"/>
        <v>0</v>
      </c>
      <c r="AP278" s="43"/>
      <c r="AQ278" s="323">
        <f t="shared" si="100"/>
        <v>0</v>
      </c>
      <c r="AR278" s="43"/>
      <c r="AS278" s="44">
        <f t="shared" si="101"/>
        <v>583380</v>
      </c>
    </row>
    <row r="279" spans="1:45" x14ac:dyDescent="0.25">
      <c r="A279" s="28"/>
      <c r="B279" s="43"/>
      <c r="C279" s="43"/>
      <c r="D279" s="43"/>
      <c r="E279" s="43" t="s">
        <v>2569</v>
      </c>
      <c r="F279" s="43" t="s">
        <v>2570</v>
      </c>
      <c r="G279" s="46">
        <f t="shared" si="88"/>
        <v>8920</v>
      </c>
      <c r="H279" s="46">
        <f t="shared" si="89"/>
        <v>8094.9000000000005</v>
      </c>
      <c r="I279" s="28" t="s">
        <v>262</v>
      </c>
      <c r="J279" s="337">
        <v>1</v>
      </c>
      <c r="K279" s="46">
        <f t="shared" si="90"/>
        <v>8920</v>
      </c>
      <c r="L279" s="46">
        <f t="shared" si="91"/>
        <v>8094.9000000000005</v>
      </c>
      <c r="M279" s="338">
        <f t="shared" si="92"/>
        <v>0</v>
      </c>
      <c r="N279" s="43" t="s">
        <v>669</v>
      </c>
      <c r="O279" s="339" t="s">
        <v>167</v>
      </c>
      <c r="P279" s="340" t="str">
        <f>IFERROR(VLOOKUP(O279,NCM!$A$3:$D$99,COLUMN(head_porNCM_IPI)-COLUMN(head_porNCM_NCM)+1,FALSE),"")</f>
        <v/>
      </c>
      <c r="Q279" s="43" t="s">
        <v>1879</v>
      </c>
      <c r="R279" s="78" t="s">
        <v>209</v>
      </c>
      <c r="S279" s="341"/>
      <c r="T279" s="28" t="s">
        <v>53</v>
      </c>
      <c r="U279" s="28" t="s">
        <v>2753</v>
      </c>
      <c r="V279" s="548">
        <v>45425</v>
      </c>
      <c r="W279" s="43"/>
      <c r="X279" s="342">
        <f t="shared" si="93"/>
        <v>0</v>
      </c>
      <c r="Y279" s="342">
        <f t="shared" si="94"/>
        <v>0</v>
      </c>
      <c r="Z279" s="46">
        <f t="shared" si="95"/>
        <v>147.18</v>
      </c>
      <c r="AA279" s="46">
        <f t="shared" si="96"/>
        <v>677.92</v>
      </c>
      <c r="AB279" s="43"/>
      <c r="AC279" s="44">
        <v>8920</v>
      </c>
      <c r="AD279" s="31">
        <v>0</v>
      </c>
      <c r="AE279" s="31">
        <v>0</v>
      </c>
      <c r="AF279" s="31">
        <v>0</v>
      </c>
      <c r="AG279" s="28" t="s">
        <v>53</v>
      </c>
      <c r="AH279" s="46">
        <f t="shared" si="97"/>
        <v>8920</v>
      </c>
      <c r="AI279" s="43"/>
      <c r="AJ279" s="28"/>
      <c r="AK279" s="337"/>
      <c r="AL279" s="43"/>
      <c r="AM279" s="44">
        <f t="shared" si="98"/>
        <v>0</v>
      </c>
      <c r="AN279" s="43"/>
      <c r="AO279" s="28">
        <f t="shared" si="99"/>
        <v>0</v>
      </c>
      <c r="AP279" s="43"/>
      <c r="AQ279" s="323">
        <f t="shared" si="100"/>
        <v>0</v>
      </c>
      <c r="AR279" s="43"/>
      <c r="AS279" s="44">
        <f t="shared" si="101"/>
        <v>8920</v>
      </c>
    </row>
    <row r="280" spans="1:45" x14ac:dyDescent="0.25">
      <c r="A280" s="28"/>
      <c r="B280" s="43"/>
      <c r="C280" s="43"/>
      <c r="D280" s="43"/>
      <c r="E280" s="43" t="s">
        <v>1250</v>
      </c>
      <c r="F280" s="43" t="s">
        <v>1251</v>
      </c>
      <c r="G280" s="46">
        <f t="shared" si="88"/>
        <v>10530</v>
      </c>
      <c r="H280" s="46">
        <f t="shared" si="89"/>
        <v>9555.9750000000004</v>
      </c>
      <c r="I280" s="28" t="s">
        <v>262</v>
      </c>
      <c r="J280" s="337">
        <v>1</v>
      </c>
      <c r="K280" s="46">
        <f t="shared" si="90"/>
        <v>10530</v>
      </c>
      <c r="L280" s="46">
        <f t="shared" si="91"/>
        <v>9555.9750000000004</v>
      </c>
      <c r="M280" s="338">
        <f t="shared" si="92"/>
        <v>0</v>
      </c>
      <c r="N280" s="43" t="s">
        <v>669</v>
      </c>
      <c r="O280" s="339" t="s">
        <v>167</v>
      </c>
      <c r="P280" s="340" t="str">
        <f>IFERROR(VLOOKUP(O280,NCM!$A$3:$D$99,COLUMN(head_porNCM_IPI)-COLUMN(head_porNCM_NCM)+1,FALSE),"")</f>
        <v/>
      </c>
      <c r="Q280" s="43" t="s">
        <v>1879</v>
      </c>
      <c r="R280" s="78" t="s">
        <v>209</v>
      </c>
      <c r="S280" s="341"/>
      <c r="T280" s="28" t="s">
        <v>53</v>
      </c>
      <c r="U280" s="28" t="s">
        <v>2753</v>
      </c>
      <c r="V280" s="548">
        <v>45425</v>
      </c>
      <c r="W280" s="43"/>
      <c r="X280" s="342">
        <f t="shared" si="93"/>
        <v>0</v>
      </c>
      <c r="Y280" s="342">
        <f t="shared" si="94"/>
        <v>0</v>
      </c>
      <c r="Z280" s="46">
        <f t="shared" si="95"/>
        <v>173.745</v>
      </c>
      <c r="AA280" s="46">
        <f t="shared" si="96"/>
        <v>800.28</v>
      </c>
      <c r="AB280" s="43"/>
      <c r="AC280" s="44">
        <v>10530</v>
      </c>
      <c r="AD280" s="31">
        <v>0</v>
      </c>
      <c r="AE280" s="31">
        <v>0</v>
      </c>
      <c r="AF280" s="31">
        <v>0</v>
      </c>
      <c r="AG280" s="28" t="s">
        <v>53</v>
      </c>
      <c r="AH280" s="46">
        <f t="shared" si="97"/>
        <v>10530</v>
      </c>
      <c r="AI280" s="43"/>
      <c r="AJ280" s="28"/>
      <c r="AK280" s="337"/>
      <c r="AL280" s="43"/>
      <c r="AM280" s="44">
        <f t="shared" si="98"/>
        <v>0</v>
      </c>
      <c r="AN280" s="43"/>
      <c r="AO280" s="28">
        <f t="shared" si="99"/>
        <v>0</v>
      </c>
      <c r="AP280" s="43"/>
      <c r="AQ280" s="323">
        <f t="shared" si="100"/>
        <v>0</v>
      </c>
      <c r="AR280" s="43"/>
      <c r="AS280" s="44">
        <f t="shared" si="101"/>
        <v>10530</v>
      </c>
    </row>
    <row r="281" spans="1:45" x14ac:dyDescent="0.25">
      <c r="A281" s="28"/>
      <c r="B281" s="43"/>
      <c r="C281" s="43"/>
      <c r="D281" s="43"/>
      <c r="E281" s="43" t="s">
        <v>1252</v>
      </c>
      <c r="F281" s="43" t="s">
        <v>1253</v>
      </c>
      <c r="G281" s="46">
        <f t="shared" si="88"/>
        <v>12480</v>
      </c>
      <c r="H281" s="46">
        <f t="shared" si="89"/>
        <v>11325.6</v>
      </c>
      <c r="I281" s="28" t="s">
        <v>262</v>
      </c>
      <c r="J281" s="337">
        <v>1</v>
      </c>
      <c r="K281" s="46">
        <f t="shared" si="90"/>
        <v>12480</v>
      </c>
      <c r="L281" s="46">
        <f t="shared" si="91"/>
        <v>11325.6</v>
      </c>
      <c r="M281" s="338">
        <f t="shared" si="92"/>
        <v>0</v>
      </c>
      <c r="N281" s="43" t="s">
        <v>669</v>
      </c>
      <c r="O281" s="339" t="s">
        <v>167</v>
      </c>
      <c r="P281" s="340" t="str">
        <f>IFERROR(VLOOKUP(O281,NCM!$A$3:$D$99,COLUMN(head_porNCM_IPI)-COLUMN(head_porNCM_NCM)+1,FALSE),"")</f>
        <v/>
      </c>
      <c r="Q281" s="43" t="s">
        <v>1879</v>
      </c>
      <c r="R281" s="78" t="s">
        <v>209</v>
      </c>
      <c r="S281" s="341"/>
      <c r="T281" s="28" t="s">
        <v>53</v>
      </c>
      <c r="U281" s="28" t="s">
        <v>2753</v>
      </c>
      <c r="V281" s="548">
        <v>45425</v>
      </c>
      <c r="W281" s="43"/>
      <c r="X281" s="342">
        <f t="shared" si="93"/>
        <v>0</v>
      </c>
      <c r="Y281" s="342">
        <f t="shared" si="94"/>
        <v>0</v>
      </c>
      <c r="Z281" s="46">
        <f t="shared" si="95"/>
        <v>205.92000000000002</v>
      </c>
      <c r="AA281" s="46">
        <f t="shared" si="96"/>
        <v>948.48</v>
      </c>
      <c r="AB281" s="43"/>
      <c r="AC281" s="44">
        <v>12480</v>
      </c>
      <c r="AD281" s="31">
        <v>0</v>
      </c>
      <c r="AE281" s="31">
        <v>0</v>
      </c>
      <c r="AF281" s="31">
        <v>0</v>
      </c>
      <c r="AG281" s="28" t="s">
        <v>53</v>
      </c>
      <c r="AH281" s="46">
        <f t="shared" si="97"/>
        <v>12480</v>
      </c>
      <c r="AI281" s="43"/>
      <c r="AJ281" s="28"/>
      <c r="AK281" s="337"/>
      <c r="AL281" s="43"/>
      <c r="AM281" s="44">
        <f t="shared" si="98"/>
        <v>0</v>
      </c>
      <c r="AN281" s="43"/>
      <c r="AO281" s="28">
        <f t="shared" si="99"/>
        <v>0</v>
      </c>
      <c r="AP281" s="43"/>
      <c r="AQ281" s="323">
        <f t="shared" si="100"/>
        <v>0</v>
      </c>
      <c r="AR281" s="43"/>
      <c r="AS281" s="44">
        <f t="shared" si="101"/>
        <v>12480</v>
      </c>
    </row>
    <row r="282" spans="1:45" x14ac:dyDescent="0.25">
      <c r="A282" s="28"/>
      <c r="B282" s="43"/>
      <c r="C282" s="43"/>
      <c r="D282" s="43"/>
      <c r="E282" s="43" t="s">
        <v>1254</v>
      </c>
      <c r="F282" s="43" t="s">
        <v>1255</v>
      </c>
      <c r="G282" s="46">
        <f t="shared" si="88"/>
        <v>15380</v>
      </c>
      <c r="H282" s="46">
        <f t="shared" si="89"/>
        <v>13957.350000000002</v>
      </c>
      <c r="I282" s="28" t="s">
        <v>262</v>
      </c>
      <c r="J282" s="337">
        <v>1</v>
      </c>
      <c r="K282" s="46">
        <f t="shared" si="90"/>
        <v>15380</v>
      </c>
      <c r="L282" s="46">
        <f t="shared" si="91"/>
        <v>13957.350000000002</v>
      </c>
      <c r="M282" s="338">
        <f t="shared" si="92"/>
        <v>0</v>
      </c>
      <c r="N282" s="43" t="s">
        <v>669</v>
      </c>
      <c r="O282" s="339" t="s">
        <v>167</v>
      </c>
      <c r="P282" s="340" t="str">
        <f>IFERROR(VLOOKUP(O282,NCM!$A$3:$D$99,COLUMN(head_porNCM_IPI)-COLUMN(head_porNCM_NCM)+1,FALSE),"")</f>
        <v/>
      </c>
      <c r="Q282" s="43" t="s">
        <v>1879</v>
      </c>
      <c r="R282" s="78" t="s">
        <v>209</v>
      </c>
      <c r="S282" s="341"/>
      <c r="T282" s="28" t="s">
        <v>53</v>
      </c>
      <c r="U282" s="28" t="s">
        <v>2753</v>
      </c>
      <c r="V282" s="548">
        <v>45425</v>
      </c>
      <c r="W282" s="43"/>
      <c r="X282" s="342">
        <f t="shared" si="93"/>
        <v>0</v>
      </c>
      <c r="Y282" s="342">
        <f t="shared" si="94"/>
        <v>0</v>
      </c>
      <c r="Z282" s="46">
        <f t="shared" si="95"/>
        <v>253.77</v>
      </c>
      <c r="AA282" s="46">
        <f t="shared" si="96"/>
        <v>1168.8799999999999</v>
      </c>
      <c r="AB282" s="43"/>
      <c r="AC282" s="44">
        <v>15380</v>
      </c>
      <c r="AD282" s="31">
        <v>0</v>
      </c>
      <c r="AE282" s="31">
        <v>0</v>
      </c>
      <c r="AF282" s="31">
        <v>0</v>
      </c>
      <c r="AG282" s="28" t="s">
        <v>53</v>
      </c>
      <c r="AH282" s="46">
        <f t="shared" si="97"/>
        <v>15380</v>
      </c>
      <c r="AI282" s="43"/>
      <c r="AJ282" s="28"/>
      <c r="AK282" s="337"/>
      <c r="AL282" s="43"/>
      <c r="AM282" s="44">
        <f t="shared" si="98"/>
        <v>0</v>
      </c>
      <c r="AN282" s="43"/>
      <c r="AO282" s="28">
        <f t="shared" si="99"/>
        <v>0</v>
      </c>
      <c r="AP282" s="43"/>
      <c r="AQ282" s="323">
        <f t="shared" si="100"/>
        <v>0</v>
      </c>
      <c r="AR282" s="43"/>
      <c r="AS282" s="44">
        <f t="shared" si="101"/>
        <v>15380</v>
      </c>
    </row>
    <row r="283" spans="1:45" x14ac:dyDescent="0.25">
      <c r="A283" s="28"/>
      <c r="B283" s="43"/>
      <c r="C283" s="43"/>
      <c r="D283" s="43"/>
      <c r="E283" s="43" t="s">
        <v>1256</v>
      </c>
      <c r="F283" s="43" t="s">
        <v>1257</v>
      </c>
      <c r="G283" s="46">
        <f t="shared" si="88"/>
        <v>17910</v>
      </c>
      <c r="H283" s="46">
        <f t="shared" si="89"/>
        <v>16253.325000000001</v>
      </c>
      <c r="I283" s="28" t="s">
        <v>262</v>
      </c>
      <c r="J283" s="337">
        <v>1</v>
      </c>
      <c r="K283" s="46">
        <f t="shared" si="90"/>
        <v>17910</v>
      </c>
      <c r="L283" s="46">
        <f t="shared" si="91"/>
        <v>16253.325000000001</v>
      </c>
      <c r="M283" s="338">
        <f t="shared" si="92"/>
        <v>0</v>
      </c>
      <c r="N283" s="43" t="s">
        <v>669</v>
      </c>
      <c r="O283" s="339" t="s">
        <v>167</v>
      </c>
      <c r="P283" s="340" t="str">
        <f>IFERROR(VLOOKUP(O283,NCM!$A$3:$D$99,COLUMN(head_porNCM_IPI)-COLUMN(head_porNCM_NCM)+1,FALSE),"")</f>
        <v/>
      </c>
      <c r="Q283" s="43" t="s">
        <v>1879</v>
      </c>
      <c r="R283" s="78" t="s">
        <v>209</v>
      </c>
      <c r="S283" s="341"/>
      <c r="T283" s="28" t="s">
        <v>53</v>
      </c>
      <c r="U283" s="28" t="s">
        <v>2753</v>
      </c>
      <c r="V283" s="548">
        <v>45425</v>
      </c>
      <c r="W283" s="43"/>
      <c r="X283" s="342">
        <f t="shared" si="93"/>
        <v>0</v>
      </c>
      <c r="Y283" s="342">
        <f t="shared" si="94"/>
        <v>0</v>
      </c>
      <c r="Z283" s="46">
        <f t="shared" si="95"/>
        <v>295.51499999999999</v>
      </c>
      <c r="AA283" s="46">
        <f t="shared" si="96"/>
        <v>1361.1599999999999</v>
      </c>
      <c r="AB283" s="43"/>
      <c r="AC283" s="44">
        <v>17910</v>
      </c>
      <c r="AD283" s="31">
        <v>0</v>
      </c>
      <c r="AE283" s="31">
        <v>0</v>
      </c>
      <c r="AF283" s="31">
        <v>0</v>
      </c>
      <c r="AG283" s="28" t="s">
        <v>53</v>
      </c>
      <c r="AH283" s="46">
        <f t="shared" si="97"/>
        <v>17910</v>
      </c>
      <c r="AI283" s="43"/>
      <c r="AJ283" s="28"/>
      <c r="AK283" s="337"/>
      <c r="AL283" s="43"/>
      <c r="AM283" s="44">
        <f t="shared" si="98"/>
        <v>0</v>
      </c>
      <c r="AN283" s="43"/>
      <c r="AO283" s="28">
        <f t="shared" si="99"/>
        <v>0</v>
      </c>
      <c r="AP283" s="43"/>
      <c r="AQ283" s="323">
        <f t="shared" si="100"/>
        <v>0</v>
      </c>
      <c r="AR283" s="43"/>
      <c r="AS283" s="44">
        <f t="shared" si="101"/>
        <v>17910</v>
      </c>
    </row>
    <row r="284" spans="1:45" x14ac:dyDescent="0.25">
      <c r="A284" s="28"/>
      <c r="B284" s="43"/>
      <c r="C284" s="43"/>
      <c r="D284" s="43"/>
      <c r="E284" s="43" t="s">
        <v>1258</v>
      </c>
      <c r="F284" s="43" t="s">
        <v>1259</v>
      </c>
      <c r="G284" s="46">
        <f t="shared" si="88"/>
        <v>22360</v>
      </c>
      <c r="H284" s="46">
        <f t="shared" si="89"/>
        <v>20291.7</v>
      </c>
      <c r="I284" s="28" t="s">
        <v>262</v>
      </c>
      <c r="J284" s="337">
        <v>1</v>
      </c>
      <c r="K284" s="46">
        <f t="shared" si="90"/>
        <v>22360</v>
      </c>
      <c r="L284" s="46">
        <f t="shared" si="91"/>
        <v>20291.7</v>
      </c>
      <c r="M284" s="338">
        <f t="shared" si="92"/>
        <v>0</v>
      </c>
      <c r="N284" s="43" t="s">
        <v>669</v>
      </c>
      <c r="O284" s="339" t="s">
        <v>167</v>
      </c>
      <c r="P284" s="340" t="str">
        <f>IFERROR(VLOOKUP(O284,NCM!$A$3:$D$99,COLUMN(head_porNCM_IPI)-COLUMN(head_porNCM_NCM)+1,FALSE),"")</f>
        <v/>
      </c>
      <c r="Q284" s="43" t="s">
        <v>1879</v>
      </c>
      <c r="R284" s="78" t="s">
        <v>209</v>
      </c>
      <c r="S284" s="341"/>
      <c r="T284" s="28" t="s">
        <v>53</v>
      </c>
      <c r="U284" s="28" t="s">
        <v>2753</v>
      </c>
      <c r="V284" s="548">
        <v>45425</v>
      </c>
      <c r="W284" s="43"/>
      <c r="X284" s="342">
        <f t="shared" si="93"/>
        <v>0</v>
      </c>
      <c r="Y284" s="342">
        <f t="shared" si="94"/>
        <v>0</v>
      </c>
      <c r="Z284" s="46">
        <f t="shared" si="95"/>
        <v>368.94</v>
      </c>
      <c r="AA284" s="46">
        <f t="shared" si="96"/>
        <v>1699.36</v>
      </c>
      <c r="AB284" s="43"/>
      <c r="AC284" s="44">
        <v>22360</v>
      </c>
      <c r="AD284" s="31">
        <v>0</v>
      </c>
      <c r="AE284" s="31">
        <v>0</v>
      </c>
      <c r="AF284" s="31">
        <v>0</v>
      </c>
      <c r="AG284" s="28" t="s">
        <v>53</v>
      </c>
      <c r="AH284" s="46">
        <f t="shared" si="97"/>
        <v>22360</v>
      </c>
      <c r="AI284" s="43"/>
      <c r="AJ284" s="28"/>
      <c r="AK284" s="337"/>
      <c r="AL284" s="43"/>
      <c r="AM284" s="44">
        <f t="shared" si="98"/>
        <v>0</v>
      </c>
      <c r="AN284" s="43"/>
      <c r="AO284" s="28">
        <f t="shared" si="99"/>
        <v>0</v>
      </c>
      <c r="AP284" s="43"/>
      <c r="AQ284" s="323">
        <f t="shared" si="100"/>
        <v>0</v>
      </c>
      <c r="AR284" s="43"/>
      <c r="AS284" s="44">
        <f t="shared" si="101"/>
        <v>22360</v>
      </c>
    </row>
    <row r="285" spans="1:45" x14ac:dyDescent="0.25">
      <c r="A285" s="28"/>
      <c r="B285" s="43"/>
      <c r="C285" s="43"/>
      <c r="D285" s="43"/>
      <c r="E285" s="43" t="s">
        <v>1260</v>
      </c>
      <c r="F285" s="43" t="s">
        <v>1261</v>
      </c>
      <c r="G285" s="46">
        <f t="shared" si="88"/>
        <v>29100</v>
      </c>
      <c r="H285" s="46">
        <f t="shared" si="89"/>
        <v>26408.250000000004</v>
      </c>
      <c r="I285" s="28" t="s">
        <v>262</v>
      </c>
      <c r="J285" s="337">
        <v>1</v>
      </c>
      <c r="K285" s="46">
        <f t="shared" si="90"/>
        <v>29100</v>
      </c>
      <c r="L285" s="46">
        <f t="shared" si="91"/>
        <v>26408.250000000004</v>
      </c>
      <c r="M285" s="338">
        <f t="shared" si="92"/>
        <v>0</v>
      </c>
      <c r="N285" s="43" t="s">
        <v>669</v>
      </c>
      <c r="O285" s="339" t="s">
        <v>167</v>
      </c>
      <c r="P285" s="340" t="str">
        <f>IFERROR(VLOOKUP(O285,NCM!$A$3:$D$99,COLUMN(head_porNCM_IPI)-COLUMN(head_porNCM_NCM)+1,FALSE),"")</f>
        <v/>
      </c>
      <c r="Q285" s="43" t="s">
        <v>1879</v>
      </c>
      <c r="R285" s="78" t="s">
        <v>209</v>
      </c>
      <c r="S285" s="341"/>
      <c r="T285" s="28" t="s">
        <v>53</v>
      </c>
      <c r="U285" s="28" t="s">
        <v>2753</v>
      </c>
      <c r="V285" s="548">
        <v>45425</v>
      </c>
      <c r="W285" s="43"/>
      <c r="X285" s="342">
        <f t="shared" si="93"/>
        <v>0</v>
      </c>
      <c r="Y285" s="342">
        <f t="shared" si="94"/>
        <v>0</v>
      </c>
      <c r="Z285" s="46">
        <f t="shared" si="95"/>
        <v>480.15000000000003</v>
      </c>
      <c r="AA285" s="46">
        <f t="shared" si="96"/>
        <v>2211.6</v>
      </c>
      <c r="AB285" s="43"/>
      <c r="AC285" s="44">
        <v>29100</v>
      </c>
      <c r="AD285" s="31">
        <v>0</v>
      </c>
      <c r="AE285" s="31">
        <v>0</v>
      </c>
      <c r="AF285" s="31">
        <v>0</v>
      </c>
      <c r="AG285" s="28" t="s">
        <v>53</v>
      </c>
      <c r="AH285" s="46">
        <f t="shared" si="97"/>
        <v>29100</v>
      </c>
      <c r="AI285" s="43"/>
      <c r="AJ285" s="28"/>
      <c r="AK285" s="337"/>
      <c r="AL285" s="43"/>
      <c r="AM285" s="44">
        <f t="shared" si="98"/>
        <v>0</v>
      </c>
      <c r="AN285" s="43"/>
      <c r="AO285" s="28">
        <f t="shared" si="99"/>
        <v>0</v>
      </c>
      <c r="AP285" s="43"/>
      <c r="AQ285" s="323">
        <f t="shared" si="100"/>
        <v>0</v>
      </c>
      <c r="AR285" s="43"/>
      <c r="AS285" s="44">
        <f t="shared" si="101"/>
        <v>29100</v>
      </c>
    </row>
    <row r="286" spans="1:45" x14ac:dyDescent="0.25">
      <c r="A286" s="28"/>
      <c r="B286" s="43"/>
      <c r="C286" s="43"/>
      <c r="D286" s="43"/>
      <c r="E286" s="43" t="s">
        <v>1262</v>
      </c>
      <c r="F286" s="43" t="s">
        <v>1263</v>
      </c>
      <c r="G286" s="46">
        <f t="shared" si="88"/>
        <v>35390</v>
      </c>
      <c r="H286" s="46">
        <f t="shared" si="89"/>
        <v>32116.425000000003</v>
      </c>
      <c r="I286" s="28" t="s">
        <v>262</v>
      </c>
      <c r="J286" s="337">
        <v>1</v>
      </c>
      <c r="K286" s="46">
        <f t="shared" si="90"/>
        <v>35390</v>
      </c>
      <c r="L286" s="46">
        <f t="shared" si="91"/>
        <v>32116.425000000003</v>
      </c>
      <c r="M286" s="338">
        <f t="shared" si="92"/>
        <v>0</v>
      </c>
      <c r="N286" s="43" t="s">
        <v>669</v>
      </c>
      <c r="O286" s="339" t="s">
        <v>167</v>
      </c>
      <c r="P286" s="340" t="str">
        <f>IFERROR(VLOOKUP(O286,NCM!$A$3:$D$99,COLUMN(head_porNCM_IPI)-COLUMN(head_porNCM_NCM)+1,FALSE),"")</f>
        <v/>
      </c>
      <c r="Q286" s="43" t="s">
        <v>1879</v>
      </c>
      <c r="R286" s="78" t="s">
        <v>209</v>
      </c>
      <c r="S286" s="341"/>
      <c r="T286" s="28" t="s">
        <v>53</v>
      </c>
      <c r="U286" s="28" t="s">
        <v>2753</v>
      </c>
      <c r="V286" s="548">
        <v>45425</v>
      </c>
      <c r="W286" s="43"/>
      <c r="X286" s="342">
        <f t="shared" si="93"/>
        <v>0</v>
      </c>
      <c r="Y286" s="342">
        <f t="shared" si="94"/>
        <v>0</v>
      </c>
      <c r="Z286" s="46">
        <f t="shared" si="95"/>
        <v>583.93500000000006</v>
      </c>
      <c r="AA286" s="46">
        <f t="shared" si="96"/>
        <v>2689.64</v>
      </c>
      <c r="AB286" s="43"/>
      <c r="AC286" s="44">
        <v>35390</v>
      </c>
      <c r="AD286" s="31">
        <v>0</v>
      </c>
      <c r="AE286" s="31">
        <v>0</v>
      </c>
      <c r="AF286" s="31">
        <v>0</v>
      </c>
      <c r="AG286" s="28" t="s">
        <v>53</v>
      </c>
      <c r="AH286" s="46">
        <f t="shared" si="97"/>
        <v>35390</v>
      </c>
      <c r="AI286" s="43"/>
      <c r="AJ286" s="28"/>
      <c r="AK286" s="337"/>
      <c r="AL286" s="43"/>
      <c r="AM286" s="44">
        <f t="shared" si="98"/>
        <v>0</v>
      </c>
      <c r="AN286" s="43"/>
      <c r="AO286" s="28">
        <f t="shared" si="99"/>
        <v>0</v>
      </c>
      <c r="AP286" s="43"/>
      <c r="AQ286" s="323">
        <f t="shared" si="100"/>
        <v>0</v>
      </c>
      <c r="AR286" s="43"/>
      <c r="AS286" s="44">
        <f t="shared" si="101"/>
        <v>35390</v>
      </c>
    </row>
    <row r="287" spans="1:45" x14ac:dyDescent="0.25">
      <c r="A287" s="28"/>
      <c r="B287" s="43"/>
      <c r="C287" s="43"/>
      <c r="D287" s="43"/>
      <c r="E287" s="43" t="s">
        <v>2571</v>
      </c>
      <c r="F287" s="43" t="s">
        <v>2572</v>
      </c>
      <c r="G287" s="46">
        <f t="shared" si="88"/>
        <v>41590</v>
      </c>
      <c r="H287" s="46">
        <f t="shared" si="89"/>
        <v>37742.925000000003</v>
      </c>
      <c r="I287" s="28" t="s">
        <v>262</v>
      </c>
      <c r="J287" s="337">
        <v>1</v>
      </c>
      <c r="K287" s="46">
        <f t="shared" si="90"/>
        <v>41590</v>
      </c>
      <c r="L287" s="46">
        <f t="shared" si="91"/>
        <v>37742.925000000003</v>
      </c>
      <c r="M287" s="338">
        <f t="shared" si="92"/>
        <v>0</v>
      </c>
      <c r="N287" s="43" t="s">
        <v>669</v>
      </c>
      <c r="O287" s="339" t="s">
        <v>167</v>
      </c>
      <c r="P287" s="340" t="str">
        <f>IFERROR(VLOOKUP(O287,NCM!$A$3:$D$99,COLUMN(head_porNCM_IPI)-COLUMN(head_porNCM_NCM)+1,FALSE),"")</f>
        <v/>
      </c>
      <c r="Q287" s="43" t="s">
        <v>1879</v>
      </c>
      <c r="R287" s="78" t="s">
        <v>209</v>
      </c>
      <c r="S287" s="341"/>
      <c r="T287" s="28" t="s">
        <v>53</v>
      </c>
      <c r="U287" s="28" t="s">
        <v>2753</v>
      </c>
      <c r="V287" s="548">
        <v>45425</v>
      </c>
      <c r="W287" s="43"/>
      <c r="X287" s="342">
        <f t="shared" si="93"/>
        <v>0</v>
      </c>
      <c r="Y287" s="342">
        <f t="shared" si="94"/>
        <v>0</v>
      </c>
      <c r="Z287" s="46">
        <f t="shared" si="95"/>
        <v>686.23500000000001</v>
      </c>
      <c r="AA287" s="46">
        <f t="shared" si="96"/>
        <v>3160.84</v>
      </c>
      <c r="AB287" s="43"/>
      <c r="AC287" s="44">
        <v>41590</v>
      </c>
      <c r="AD287" s="31">
        <v>0</v>
      </c>
      <c r="AE287" s="31">
        <v>0</v>
      </c>
      <c r="AF287" s="31">
        <v>0</v>
      </c>
      <c r="AG287" s="28" t="s">
        <v>53</v>
      </c>
      <c r="AH287" s="46">
        <f t="shared" si="97"/>
        <v>41590</v>
      </c>
      <c r="AI287" s="43"/>
      <c r="AJ287" s="28"/>
      <c r="AK287" s="337"/>
      <c r="AL287" s="43"/>
      <c r="AM287" s="44">
        <f t="shared" si="98"/>
        <v>0</v>
      </c>
      <c r="AN287" s="43"/>
      <c r="AO287" s="28">
        <f t="shared" si="99"/>
        <v>0</v>
      </c>
      <c r="AP287" s="43"/>
      <c r="AQ287" s="323">
        <f t="shared" si="100"/>
        <v>0</v>
      </c>
      <c r="AR287" s="43"/>
      <c r="AS287" s="44">
        <f t="shared" si="101"/>
        <v>41590</v>
      </c>
    </row>
    <row r="288" spans="1:45" x14ac:dyDescent="0.25">
      <c r="A288" s="28"/>
      <c r="B288" s="43"/>
      <c r="C288" s="43"/>
      <c r="D288" s="43"/>
      <c r="E288" s="43" t="s">
        <v>2573</v>
      </c>
      <c r="F288" s="43" t="s">
        <v>2574</v>
      </c>
      <c r="G288" s="46">
        <f t="shared" si="88"/>
        <v>48290</v>
      </c>
      <c r="H288" s="46">
        <f t="shared" si="89"/>
        <v>43823.175000000003</v>
      </c>
      <c r="I288" s="28" t="s">
        <v>262</v>
      </c>
      <c r="J288" s="337">
        <v>1</v>
      </c>
      <c r="K288" s="46">
        <f t="shared" si="90"/>
        <v>48290</v>
      </c>
      <c r="L288" s="46">
        <f t="shared" si="91"/>
        <v>43823.175000000003</v>
      </c>
      <c r="M288" s="338">
        <f t="shared" si="92"/>
        <v>0</v>
      </c>
      <c r="N288" s="43" t="s">
        <v>669</v>
      </c>
      <c r="O288" s="339" t="s">
        <v>167</v>
      </c>
      <c r="P288" s="340" t="str">
        <f>IFERROR(VLOOKUP(O288,NCM!$A$3:$D$99,COLUMN(head_porNCM_IPI)-COLUMN(head_porNCM_NCM)+1,FALSE),"")</f>
        <v/>
      </c>
      <c r="Q288" s="43" t="s">
        <v>1879</v>
      </c>
      <c r="R288" s="78" t="s">
        <v>209</v>
      </c>
      <c r="S288" s="341"/>
      <c r="T288" s="28" t="s">
        <v>53</v>
      </c>
      <c r="U288" s="28" t="s">
        <v>2753</v>
      </c>
      <c r="V288" s="548">
        <v>45425</v>
      </c>
      <c r="W288" s="43"/>
      <c r="X288" s="342">
        <f t="shared" si="93"/>
        <v>0</v>
      </c>
      <c r="Y288" s="342">
        <f t="shared" si="94"/>
        <v>0</v>
      </c>
      <c r="Z288" s="46">
        <f t="shared" si="95"/>
        <v>796.78500000000008</v>
      </c>
      <c r="AA288" s="46">
        <f t="shared" si="96"/>
        <v>3670.04</v>
      </c>
      <c r="AB288" s="43"/>
      <c r="AC288" s="44">
        <v>48290</v>
      </c>
      <c r="AD288" s="31">
        <v>0</v>
      </c>
      <c r="AE288" s="31">
        <v>0</v>
      </c>
      <c r="AF288" s="31">
        <v>0</v>
      </c>
      <c r="AG288" s="28" t="s">
        <v>53</v>
      </c>
      <c r="AH288" s="46">
        <f t="shared" si="97"/>
        <v>48290</v>
      </c>
      <c r="AI288" s="43"/>
      <c r="AJ288" s="28"/>
      <c r="AK288" s="337"/>
      <c r="AL288" s="43"/>
      <c r="AM288" s="44">
        <f t="shared" si="98"/>
        <v>0</v>
      </c>
      <c r="AN288" s="43"/>
      <c r="AO288" s="28">
        <f t="shared" si="99"/>
        <v>0</v>
      </c>
      <c r="AP288" s="43"/>
      <c r="AQ288" s="323">
        <f t="shared" si="100"/>
        <v>0</v>
      </c>
      <c r="AR288" s="43"/>
      <c r="AS288" s="44">
        <f t="shared" si="101"/>
        <v>48290</v>
      </c>
    </row>
    <row r="289" spans="1:45" x14ac:dyDescent="0.25">
      <c r="A289" s="28"/>
      <c r="B289" s="43"/>
      <c r="C289" s="43"/>
      <c r="D289" s="43"/>
      <c r="E289" s="43" t="s">
        <v>2575</v>
      </c>
      <c r="F289" s="43" t="s">
        <v>2576</v>
      </c>
      <c r="G289" s="46">
        <f t="shared" si="88"/>
        <v>54810</v>
      </c>
      <c r="H289" s="46">
        <f t="shared" si="89"/>
        <v>49740.075000000004</v>
      </c>
      <c r="I289" s="28" t="s">
        <v>262</v>
      </c>
      <c r="J289" s="337">
        <v>1</v>
      </c>
      <c r="K289" s="46">
        <f t="shared" si="90"/>
        <v>54810</v>
      </c>
      <c r="L289" s="46">
        <f t="shared" si="91"/>
        <v>49740.075000000004</v>
      </c>
      <c r="M289" s="338">
        <f t="shared" si="92"/>
        <v>0</v>
      </c>
      <c r="N289" s="43" t="s">
        <v>669</v>
      </c>
      <c r="O289" s="339" t="s">
        <v>167</v>
      </c>
      <c r="P289" s="340" t="str">
        <f>IFERROR(VLOOKUP(O289,NCM!$A$3:$D$99,COLUMN(head_porNCM_IPI)-COLUMN(head_porNCM_NCM)+1,FALSE),"")</f>
        <v/>
      </c>
      <c r="Q289" s="43" t="s">
        <v>1879</v>
      </c>
      <c r="R289" s="78" t="s">
        <v>209</v>
      </c>
      <c r="S289" s="341"/>
      <c r="T289" s="28" t="s">
        <v>53</v>
      </c>
      <c r="U289" s="28" t="s">
        <v>2753</v>
      </c>
      <c r="V289" s="548">
        <v>45425</v>
      </c>
      <c r="W289" s="43"/>
      <c r="X289" s="342">
        <f t="shared" si="93"/>
        <v>0</v>
      </c>
      <c r="Y289" s="342">
        <f t="shared" si="94"/>
        <v>0</v>
      </c>
      <c r="Z289" s="46">
        <f t="shared" si="95"/>
        <v>904.36500000000001</v>
      </c>
      <c r="AA289" s="46">
        <f t="shared" si="96"/>
        <v>4165.5599999999995</v>
      </c>
      <c r="AB289" s="43"/>
      <c r="AC289" s="44">
        <v>54810</v>
      </c>
      <c r="AD289" s="31">
        <v>0</v>
      </c>
      <c r="AE289" s="31">
        <v>0</v>
      </c>
      <c r="AF289" s="31">
        <v>0</v>
      </c>
      <c r="AG289" s="28" t="s">
        <v>53</v>
      </c>
      <c r="AH289" s="46">
        <f t="shared" si="97"/>
        <v>54810</v>
      </c>
      <c r="AI289" s="43"/>
      <c r="AJ289" s="28"/>
      <c r="AK289" s="337"/>
      <c r="AL289" s="43"/>
      <c r="AM289" s="44">
        <f t="shared" si="98"/>
        <v>0</v>
      </c>
      <c r="AN289" s="43"/>
      <c r="AO289" s="28">
        <f t="shared" si="99"/>
        <v>0</v>
      </c>
      <c r="AP289" s="43"/>
      <c r="AQ289" s="323">
        <f t="shared" si="100"/>
        <v>0</v>
      </c>
      <c r="AR289" s="43"/>
      <c r="AS289" s="44">
        <f t="shared" si="101"/>
        <v>54810</v>
      </c>
    </row>
    <row r="290" spans="1:45" x14ac:dyDescent="0.25">
      <c r="A290" s="28"/>
      <c r="B290" s="43"/>
      <c r="C290" s="43"/>
      <c r="D290" s="43"/>
      <c r="E290" s="43" t="s">
        <v>2577</v>
      </c>
      <c r="F290" s="43" t="s">
        <v>2578</v>
      </c>
      <c r="G290" s="46">
        <f t="shared" si="88"/>
        <v>66490</v>
      </c>
      <c r="H290" s="46">
        <f t="shared" si="89"/>
        <v>60339.675000000003</v>
      </c>
      <c r="I290" s="28" t="s">
        <v>262</v>
      </c>
      <c r="J290" s="337">
        <v>1</v>
      </c>
      <c r="K290" s="46">
        <f t="shared" si="90"/>
        <v>66490</v>
      </c>
      <c r="L290" s="46">
        <f t="shared" si="91"/>
        <v>60339.675000000003</v>
      </c>
      <c r="M290" s="338">
        <f t="shared" si="92"/>
        <v>0</v>
      </c>
      <c r="N290" s="43" t="s">
        <v>669</v>
      </c>
      <c r="O290" s="339" t="s">
        <v>167</v>
      </c>
      <c r="P290" s="340" t="str">
        <f>IFERROR(VLOOKUP(O290,NCM!$A$3:$D$99,COLUMN(head_porNCM_IPI)-COLUMN(head_porNCM_NCM)+1,FALSE),"")</f>
        <v/>
      </c>
      <c r="Q290" s="43" t="s">
        <v>1879</v>
      </c>
      <c r="R290" s="78" t="s">
        <v>209</v>
      </c>
      <c r="S290" s="341"/>
      <c r="T290" s="28" t="s">
        <v>53</v>
      </c>
      <c r="U290" s="28" t="s">
        <v>2753</v>
      </c>
      <c r="V290" s="548">
        <v>45425</v>
      </c>
      <c r="W290" s="43"/>
      <c r="X290" s="342">
        <f t="shared" si="93"/>
        <v>0</v>
      </c>
      <c r="Y290" s="342">
        <f t="shared" si="94"/>
        <v>0</v>
      </c>
      <c r="Z290" s="46">
        <f t="shared" si="95"/>
        <v>1097.085</v>
      </c>
      <c r="AA290" s="46">
        <f t="shared" si="96"/>
        <v>5053.24</v>
      </c>
      <c r="AB290" s="43"/>
      <c r="AC290" s="44">
        <v>66490</v>
      </c>
      <c r="AD290" s="31">
        <v>0</v>
      </c>
      <c r="AE290" s="31">
        <v>0</v>
      </c>
      <c r="AF290" s="31">
        <v>0</v>
      </c>
      <c r="AG290" s="28" t="s">
        <v>53</v>
      </c>
      <c r="AH290" s="46">
        <f t="shared" si="97"/>
        <v>66490</v>
      </c>
      <c r="AI290" s="43"/>
      <c r="AJ290" s="28"/>
      <c r="AK290" s="337"/>
      <c r="AL290" s="43"/>
      <c r="AM290" s="44">
        <f t="shared" si="98"/>
        <v>0</v>
      </c>
      <c r="AN290" s="43"/>
      <c r="AO290" s="28">
        <f t="shared" si="99"/>
        <v>0</v>
      </c>
      <c r="AP290" s="43"/>
      <c r="AQ290" s="323">
        <f t="shared" si="100"/>
        <v>0</v>
      </c>
      <c r="AR290" s="43"/>
      <c r="AS290" s="44">
        <f t="shared" si="101"/>
        <v>66490</v>
      </c>
    </row>
    <row r="291" spans="1:45" x14ac:dyDescent="0.25">
      <c r="A291" s="28"/>
      <c r="B291" s="43"/>
      <c r="C291" s="43"/>
      <c r="D291" s="43"/>
      <c r="E291" s="43" t="s">
        <v>2579</v>
      </c>
      <c r="F291" s="43" t="s">
        <v>2580</v>
      </c>
      <c r="G291" s="46">
        <f t="shared" si="88"/>
        <v>79930</v>
      </c>
      <c r="H291" s="46">
        <f t="shared" si="89"/>
        <v>72536.475000000006</v>
      </c>
      <c r="I291" s="28" t="s">
        <v>262</v>
      </c>
      <c r="J291" s="337">
        <v>1</v>
      </c>
      <c r="K291" s="46">
        <f t="shared" si="90"/>
        <v>79930</v>
      </c>
      <c r="L291" s="46">
        <f t="shared" si="91"/>
        <v>72536.475000000006</v>
      </c>
      <c r="M291" s="338">
        <f t="shared" si="92"/>
        <v>0</v>
      </c>
      <c r="N291" s="43" t="s">
        <v>669</v>
      </c>
      <c r="O291" s="339" t="s">
        <v>167</v>
      </c>
      <c r="P291" s="340" t="str">
        <f>IFERROR(VLOOKUP(O291,NCM!$A$3:$D$99,COLUMN(head_porNCM_IPI)-COLUMN(head_porNCM_NCM)+1,FALSE),"")</f>
        <v/>
      </c>
      <c r="Q291" s="43" t="s">
        <v>1879</v>
      </c>
      <c r="R291" s="78" t="s">
        <v>209</v>
      </c>
      <c r="S291" s="341"/>
      <c r="T291" s="28" t="s">
        <v>53</v>
      </c>
      <c r="U291" s="28" t="s">
        <v>2753</v>
      </c>
      <c r="V291" s="548">
        <v>45425</v>
      </c>
      <c r="W291" s="43"/>
      <c r="X291" s="342">
        <f t="shared" si="93"/>
        <v>0</v>
      </c>
      <c r="Y291" s="342">
        <f t="shared" si="94"/>
        <v>0</v>
      </c>
      <c r="Z291" s="46">
        <f t="shared" si="95"/>
        <v>1318.845</v>
      </c>
      <c r="AA291" s="46">
        <f t="shared" si="96"/>
        <v>6074.68</v>
      </c>
      <c r="AB291" s="43"/>
      <c r="AC291" s="44">
        <v>79930</v>
      </c>
      <c r="AD291" s="31">
        <v>0</v>
      </c>
      <c r="AE291" s="31">
        <v>0</v>
      </c>
      <c r="AF291" s="31">
        <v>0</v>
      </c>
      <c r="AG291" s="28" t="s">
        <v>53</v>
      </c>
      <c r="AH291" s="46">
        <f t="shared" si="97"/>
        <v>79930</v>
      </c>
      <c r="AI291" s="43"/>
      <c r="AJ291" s="28"/>
      <c r="AK291" s="337"/>
      <c r="AL291" s="43"/>
      <c r="AM291" s="44">
        <f t="shared" si="98"/>
        <v>0</v>
      </c>
      <c r="AN291" s="43"/>
      <c r="AO291" s="28">
        <f t="shared" si="99"/>
        <v>0</v>
      </c>
      <c r="AP291" s="43"/>
      <c r="AQ291" s="323">
        <f t="shared" si="100"/>
        <v>0</v>
      </c>
      <c r="AR291" s="43"/>
      <c r="AS291" s="44">
        <f t="shared" si="101"/>
        <v>79930</v>
      </c>
    </row>
    <row r="292" spans="1:45" x14ac:dyDescent="0.25">
      <c r="A292" s="28"/>
      <c r="B292" s="43"/>
      <c r="C292" s="43"/>
      <c r="D292" s="43"/>
      <c r="E292" s="43" t="s">
        <v>2581</v>
      </c>
      <c r="F292" s="43" t="s">
        <v>2582</v>
      </c>
      <c r="G292" s="46">
        <f t="shared" si="88"/>
        <v>106710</v>
      </c>
      <c r="H292" s="46">
        <f t="shared" si="89"/>
        <v>96839.325000000012</v>
      </c>
      <c r="I292" s="28" t="s">
        <v>262</v>
      </c>
      <c r="J292" s="337">
        <v>1</v>
      </c>
      <c r="K292" s="46">
        <f t="shared" si="90"/>
        <v>106710</v>
      </c>
      <c r="L292" s="46">
        <f t="shared" si="91"/>
        <v>96839.325000000012</v>
      </c>
      <c r="M292" s="338">
        <f t="shared" si="92"/>
        <v>0</v>
      </c>
      <c r="N292" s="43" t="s">
        <v>669</v>
      </c>
      <c r="O292" s="339" t="s">
        <v>167</v>
      </c>
      <c r="P292" s="340" t="str">
        <f>IFERROR(VLOOKUP(O292,NCM!$A$3:$D$99,COLUMN(head_porNCM_IPI)-COLUMN(head_porNCM_NCM)+1,FALSE),"")</f>
        <v/>
      </c>
      <c r="Q292" s="43" t="s">
        <v>1879</v>
      </c>
      <c r="R292" s="78" t="s">
        <v>209</v>
      </c>
      <c r="S292" s="341"/>
      <c r="T292" s="28" t="s">
        <v>53</v>
      </c>
      <c r="U292" s="28" t="s">
        <v>2753</v>
      </c>
      <c r="V292" s="548">
        <v>45425</v>
      </c>
      <c r="W292" s="43"/>
      <c r="X292" s="342">
        <f t="shared" si="93"/>
        <v>0</v>
      </c>
      <c r="Y292" s="342">
        <f t="shared" si="94"/>
        <v>0</v>
      </c>
      <c r="Z292" s="46">
        <f t="shared" si="95"/>
        <v>1760.7150000000001</v>
      </c>
      <c r="AA292" s="46">
        <f t="shared" si="96"/>
        <v>8109.96</v>
      </c>
      <c r="AB292" s="43"/>
      <c r="AC292" s="44">
        <v>106710</v>
      </c>
      <c r="AD292" s="31">
        <v>0</v>
      </c>
      <c r="AE292" s="31">
        <v>0</v>
      </c>
      <c r="AF292" s="31">
        <v>0</v>
      </c>
      <c r="AG292" s="28" t="s">
        <v>53</v>
      </c>
      <c r="AH292" s="46">
        <f t="shared" si="97"/>
        <v>106710</v>
      </c>
      <c r="AI292" s="43"/>
      <c r="AJ292" s="28"/>
      <c r="AK292" s="337"/>
      <c r="AL292" s="43"/>
      <c r="AM292" s="44">
        <f t="shared" si="98"/>
        <v>0</v>
      </c>
      <c r="AN292" s="43"/>
      <c r="AO292" s="28">
        <f t="shared" si="99"/>
        <v>0</v>
      </c>
      <c r="AP292" s="43"/>
      <c r="AQ292" s="323">
        <f t="shared" si="100"/>
        <v>0</v>
      </c>
      <c r="AR292" s="43"/>
      <c r="AS292" s="44">
        <f t="shared" si="101"/>
        <v>106710</v>
      </c>
    </row>
    <row r="293" spans="1:45" x14ac:dyDescent="0.25">
      <c r="A293" s="28"/>
      <c r="B293" s="43"/>
      <c r="C293" s="43"/>
      <c r="D293" s="43"/>
      <c r="E293" s="43" t="s">
        <v>2583</v>
      </c>
      <c r="F293" s="43" t="s">
        <v>2584</v>
      </c>
      <c r="G293" s="46">
        <f t="shared" si="88"/>
        <v>133510</v>
      </c>
      <c r="H293" s="46">
        <f t="shared" si="89"/>
        <v>121160.32500000001</v>
      </c>
      <c r="I293" s="28" t="s">
        <v>262</v>
      </c>
      <c r="J293" s="337">
        <v>1</v>
      </c>
      <c r="K293" s="46">
        <f t="shared" si="90"/>
        <v>133510</v>
      </c>
      <c r="L293" s="46">
        <f t="shared" si="91"/>
        <v>121160.32500000001</v>
      </c>
      <c r="M293" s="338">
        <f t="shared" si="92"/>
        <v>0</v>
      </c>
      <c r="N293" s="43" t="s">
        <v>669</v>
      </c>
      <c r="O293" s="339" t="s">
        <v>167</v>
      </c>
      <c r="P293" s="340" t="str">
        <f>IFERROR(VLOOKUP(O293,NCM!$A$3:$D$99,COLUMN(head_porNCM_IPI)-COLUMN(head_porNCM_NCM)+1,FALSE),"")</f>
        <v/>
      </c>
      <c r="Q293" s="43" t="s">
        <v>1879</v>
      </c>
      <c r="R293" s="78" t="s">
        <v>209</v>
      </c>
      <c r="S293" s="341"/>
      <c r="T293" s="28" t="s">
        <v>53</v>
      </c>
      <c r="U293" s="28" t="s">
        <v>2753</v>
      </c>
      <c r="V293" s="548">
        <v>45425</v>
      </c>
      <c r="W293" s="43"/>
      <c r="X293" s="342">
        <f t="shared" si="93"/>
        <v>0</v>
      </c>
      <c r="Y293" s="342">
        <f t="shared" si="94"/>
        <v>0</v>
      </c>
      <c r="Z293" s="46">
        <f t="shared" si="95"/>
        <v>2202.915</v>
      </c>
      <c r="AA293" s="46">
        <f t="shared" si="96"/>
        <v>10146.76</v>
      </c>
      <c r="AB293" s="43"/>
      <c r="AC293" s="44">
        <v>133510</v>
      </c>
      <c r="AD293" s="31">
        <v>0</v>
      </c>
      <c r="AE293" s="31">
        <v>0</v>
      </c>
      <c r="AF293" s="31">
        <v>0</v>
      </c>
      <c r="AG293" s="28" t="s">
        <v>53</v>
      </c>
      <c r="AH293" s="46">
        <f t="shared" si="97"/>
        <v>133510</v>
      </c>
      <c r="AI293" s="43"/>
      <c r="AJ293" s="28"/>
      <c r="AK293" s="337"/>
      <c r="AL293" s="43"/>
      <c r="AM293" s="44">
        <f t="shared" si="98"/>
        <v>0</v>
      </c>
      <c r="AN293" s="43"/>
      <c r="AO293" s="28">
        <f t="shared" si="99"/>
        <v>0</v>
      </c>
      <c r="AP293" s="43"/>
      <c r="AQ293" s="323">
        <f t="shared" si="100"/>
        <v>0</v>
      </c>
      <c r="AR293" s="43"/>
      <c r="AS293" s="44">
        <f t="shared" si="101"/>
        <v>133510</v>
      </c>
    </row>
    <row r="294" spans="1:45" x14ac:dyDescent="0.25">
      <c r="A294" s="28"/>
      <c r="B294" s="43"/>
      <c r="C294" s="43"/>
      <c r="D294" s="43"/>
      <c r="E294" s="43" t="s">
        <v>2585</v>
      </c>
      <c r="F294" s="43" t="s">
        <v>2586</v>
      </c>
      <c r="G294" s="46">
        <f t="shared" si="88"/>
        <v>145480</v>
      </c>
      <c r="H294" s="46">
        <f t="shared" si="89"/>
        <v>132023.1</v>
      </c>
      <c r="I294" s="28" t="s">
        <v>262</v>
      </c>
      <c r="J294" s="337">
        <v>1</v>
      </c>
      <c r="K294" s="46">
        <f t="shared" si="90"/>
        <v>145480</v>
      </c>
      <c r="L294" s="46">
        <f t="shared" si="91"/>
        <v>132023.1</v>
      </c>
      <c r="M294" s="338">
        <f t="shared" si="92"/>
        <v>0</v>
      </c>
      <c r="N294" s="43" t="s">
        <v>669</v>
      </c>
      <c r="O294" s="339" t="s">
        <v>167</v>
      </c>
      <c r="P294" s="340" t="str">
        <f>IFERROR(VLOOKUP(O294,NCM!$A$3:$D$99,COLUMN(head_porNCM_IPI)-COLUMN(head_porNCM_NCM)+1,FALSE),"")</f>
        <v/>
      </c>
      <c r="Q294" s="43" t="s">
        <v>1879</v>
      </c>
      <c r="R294" s="78" t="s">
        <v>209</v>
      </c>
      <c r="S294" s="341"/>
      <c r="T294" s="28" t="s">
        <v>53</v>
      </c>
      <c r="U294" s="28" t="s">
        <v>2753</v>
      </c>
      <c r="V294" s="548">
        <v>45425</v>
      </c>
      <c r="W294" s="43"/>
      <c r="X294" s="342">
        <f t="shared" si="93"/>
        <v>0</v>
      </c>
      <c r="Y294" s="342">
        <f t="shared" si="94"/>
        <v>0</v>
      </c>
      <c r="Z294" s="46">
        <f t="shared" si="95"/>
        <v>2400.42</v>
      </c>
      <c r="AA294" s="46">
        <f t="shared" si="96"/>
        <v>11056.48</v>
      </c>
      <c r="AB294" s="43"/>
      <c r="AC294" s="44">
        <v>145480</v>
      </c>
      <c r="AD294" s="31">
        <v>0</v>
      </c>
      <c r="AE294" s="31">
        <v>0</v>
      </c>
      <c r="AF294" s="31">
        <v>0</v>
      </c>
      <c r="AG294" s="28" t="s">
        <v>53</v>
      </c>
      <c r="AH294" s="46">
        <f t="shared" si="97"/>
        <v>145480</v>
      </c>
      <c r="AI294" s="43"/>
      <c r="AJ294" s="28"/>
      <c r="AK294" s="337"/>
      <c r="AL294" s="43"/>
      <c r="AM294" s="44">
        <f t="shared" si="98"/>
        <v>0</v>
      </c>
      <c r="AN294" s="43"/>
      <c r="AO294" s="28">
        <f t="shared" si="99"/>
        <v>0</v>
      </c>
      <c r="AP294" s="43"/>
      <c r="AQ294" s="323">
        <f t="shared" si="100"/>
        <v>0</v>
      </c>
      <c r="AR294" s="43"/>
      <c r="AS294" s="44">
        <f t="shared" si="101"/>
        <v>145480</v>
      </c>
    </row>
    <row r="295" spans="1:45" x14ac:dyDescent="0.25">
      <c r="A295" s="28"/>
      <c r="B295" s="43"/>
      <c r="C295" s="43"/>
      <c r="D295" s="43"/>
      <c r="E295" s="43" t="s">
        <v>2587</v>
      </c>
      <c r="F295" s="43" t="s">
        <v>2588</v>
      </c>
      <c r="G295" s="46">
        <f t="shared" si="88"/>
        <v>158520</v>
      </c>
      <c r="H295" s="46">
        <f t="shared" si="89"/>
        <v>143856.90000000002</v>
      </c>
      <c r="I295" s="28" t="s">
        <v>262</v>
      </c>
      <c r="J295" s="337">
        <v>1</v>
      </c>
      <c r="K295" s="46">
        <f t="shared" si="90"/>
        <v>158520</v>
      </c>
      <c r="L295" s="46">
        <f t="shared" si="91"/>
        <v>143856.90000000002</v>
      </c>
      <c r="M295" s="338">
        <f t="shared" si="92"/>
        <v>0</v>
      </c>
      <c r="N295" s="43" t="s">
        <v>669</v>
      </c>
      <c r="O295" s="339" t="s">
        <v>167</v>
      </c>
      <c r="P295" s="340" t="str">
        <f>IFERROR(VLOOKUP(O295,NCM!$A$3:$D$99,COLUMN(head_porNCM_IPI)-COLUMN(head_porNCM_NCM)+1,FALSE),"")</f>
        <v/>
      </c>
      <c r="Q295" s="43" t="s">
        <v>1879</v>
      </c>
      <c r="R295" s="78" t="s">
        <v>209</v>
      </c>
      <c r="S295" s="341"/>
      <c r="T295" s="28" t="s">
        <v>53</v>
      </c>
      <c r="U295" s="28" t="s">
        <v>2753</v>
      </c>
      <c r="V295" s="548">
        <v>45425</v>
      </c>
      <c r="W295" s="43"/>
      <c r="X295" s="342">
        <f t="shared" si="93"/>
        <v>0</v>
      </c>
      <c r="Y295" s="342">
        <f t="shared" si="94"/>
        <v>0</v>
      </c>
      <c r="Z295" s="46">
        <f t="shared" si="95"/>
        <v>2615.58</v>
      </c>
      <c r="AA295" s="46">
        <f t="shared" si="96"/>
        <v>12047.52</v>
      </c>
      <c r="AB295" s="43"/>
      <c r="AC295" s="44">
        <v>158520</v>
      </c>
      <c r="AD295" s="31">
        <v>0</v>
      </c>
      <c r="AE295" s="31">
        <v>0</v>
      </c>
      <c r="AF295" s="31">
        <v>0</v>
      </c>
      <c r="AG295" s="28" t="s">
        <v>53</v>
      </c>
      <c r="AH295" s="46">
        <f t="shared" si="97"/>
        <v>158520</v>
      </c>
      <c r="AI295" s="43"/>
      <c r="AJ295" s="28"/>
      <c r="AK295" s="337"/>
      <c r="AL295" s="43"/>
      <c r="AM295" s="44">
        <f t="shared" si="98"/>
        <v>0</v>
      </c>
      <c r="AN295" s="43"/>
      <c r="AO295" s="28">
        <f t="shared" si="99"/>
        <v>0</v>
      </c>
      <c r="AP295" s="43"/>
      <c r="AQ295" s="323">
        <f t="shared" si="100"/>
        <v>0</v>
      </c>
      <c r="AR295" s="43"/>
      <c r="AS295" s="44">
        <f t="shared" si="101"/>
        <v>158520</v>
      </c>
    </row>
    <row r="296" spans="1:45" x14ac:dyDescent="0.25">
      <c r="A296" s="28"/>
      <c r="B296" s="43"/>
      <c r="C296" s="43"/>
      <c r="D296" s="43"/>
      <c r="E296" s="43" t="s">
        <v>2589</v>
      </c>
      <c r="F296" s="43" t="s">
        <v>2590</v>
      </c>
      <c r="G296" s="46">
        <f t="shared" si="88"/>
        <v>8920</v>
      </c>
      <c r="H296" s="46">
        <f t="shared" si="89"/>
        <v>8094.9000000000005</v>
      </c>
      <c r="I296" s="28" t="s">
        <v>262</v>
      </c>
      <c r="J296" s="337">
        <v>1</v>
      </c>
      <c r="K296" s="46">
        <f t="shared" si="90"/>
        <v>8920</v>
      </c>
      <c r="L296" s="46">
        <f t="shared" si="91"/>
        <v>8094.9000000000005</v>
      </c>
      <c r="M296" s="338">
        <f t="shared" si="92"/>
        <v>0</v>
      </c>
      <c r="N296" s="43" t="s">
        <v>669</v>
      </c>
      <c r="O296" s="339" t="s">
        <v>167</v>
      </c>
      <c r="P296" s="340" t="str">
        <f>IFERROR(VLOOKUP(O296,NCM!$A$3:$D$99,COLUMN(head_porNCM_IPI)-COLUMN(head_porNCM_NCM)+1,FALSE),"")</f>
        <v/>
      </c>
      <c r="Q296" s="43" t="s">
        <v>1879</v>
      </c>
      <c r="R296" s="78" t="s">
        <v>209</v>
      </c>
      <c r="S296" s="341"/>
      <c r="T296" s="28" t="s">
        <v>53</v>
      </c>
      <c r="U296" s="28" t="s">
        <v>2753</v>
      </c>
      <c r="V296" s="548">
        <v>45425</v>
      </c>
      <c r="W296" s="43"/>
      <c r="X296" s="342">
        <f t="shared" si="93"/>
        <v>0</v>
      </c>
      <c r="Y296" s="342">
        <f t="shared" si="94"/>
        <v>0</v>
      </c>
      <c r="Z296" s="46">
        <f t="shared" si="95"/>
        <v>147.18</v>
      </c>
      <c r="AA296" s="46">
        <f t="shared" si="96"/>
        <v>677.92</v>
      </c>
      <c r="AB296" s="43"/>
      <c r="AC296" s="44">
        <v>8920</v>
      </c>
      <c r="AD296" s="31">
        <v>0</v>
      </c>
      <c r="AE296" s="31">
        <v>0</v>
      </c>
      <c r="AF296" s="31">
        <v>0</v>
      </c>
      <c r="AG296" s="28" t="s">
        <v>53</v>
      </c>
      <c r="AH296" s="46">
        <f t="shared" si="97"/>
        <v>8920</v>
      </c>
      <c r="AI296" s="43"/>
      <c r="AJ296" s="28"/>
      <c r="AK296" s="337"/>
      <c r="AL296" s="43"/>
      <c r="AM296" s="44">
        <f t="shared" si="98"/>
        <v>0</v>
      </c>
      <c r="AN296" s="43"/>
      <c r="AO296" s="28">
        <f t="shared" si="99"/>
        <v>0</v>
      </c>
      <c r="AP296" s="43"/>
      <c r="AQ296" s="323">
        <f t="shared" si="100"/>
        <v>0</v>
      </c>
      <c r="AR296" s="43"/>
      <c r="AS296" s="44">
        <f t="shared" si="101"/>
        <v>8920</v>
      </c>
    </row>
    <row r="297" spans="1:45" x14ac:dyDescent="0.25">
      <c r="A297" s="28"/>
      <c r="B297" s="43"/>
      <c r="C297" s="43"/>
      <c r="D297" s="43"/>
      <c r="E297" s="43" t="s">
        <v>2591</v>
      </c>
      <c r="F297" s="43" t="s">
        <v>2592</v>
      </c>
      <c r="G297" s="46">
        <f t="shared" si="88"/>
        <v>10530</v>
      </c>
      <c r="H297" s="46">
        <f t="shared" si="89"/>
        <v>9555.9750000000004</v>
      </c>
      <c r="I297" s="28" t="s">
        <v>262</v>
      </c>
      <c r="J297" s="337">
        <v>1</v>
      </c>
      <c r="K297" s="46">
        <f t="shared" si="90"/>
        <v>10530</v>
      </c>
      <c r="L297" s="46">
        <f t="shared" si="91"/>
        <v>9555.9750000000004</v>
      </c>
      <c r="M297" s="338">
        <f t="shared" si="92"/>
        <v>0</v>
      </c>
      <c r="N297" s="43" t="s">
        <v>669</v>
      </c>
      <c r="O297" s="339" t="s">
        <v>167</v>
      </c>
      <c r="P297" s="340" t="str">
        <f>IFERROR(VLOOKUP(O297,NCM!$A$3:$D$99,COLUMN(head_porNCM_IPI)-COLUMN(head_porNCM_NCM)+1,FALSE),"")</f>
        <v/>
      </c>
      <c r="Q297" s="43" t="s">
        <v>1879</v>
      </c>
      <c r="R297" s="78" t="s">
        <v>209</v>
      </c>
      <c r="S297" s="341"/>
      <c r="T297" s="28" t="s">
        <v>53</v>
      </c>
      <c r="U297" s="28" t="s">
        <v>2753</v>
      </c>
      <c r="V297" s="548">
        <v>45425</v>
      </c>
      <c r="W297" s="43"/>
      <c r="X297" s="342">
        <f t="shared" si="93"/>
        <v>0</v>
      </c>
      <c r="Y297" s="342">
        <f t="shared" si="94"/>
        <v>0</v>
      </c>
      <c r="Z297" s="46">
        <f t="shared" si="95"/>
        <v>173.745</v>
      </c>
      <c r="AA297" s="46">
        <f t="shared" si="96"/>
        <v>800.28</v>
      </c>
      <c r="AB297" s="43"/>
      <c r="AC297" s="44">
        <v>10530</v>
      </c>
      <c r="AD297" s="31">
        <v>0</v>
      </c>
      <c r="AE297" s="31">
        <v>0</v>
      </c>
      <c r="AF297" s="31">
        <v>0</v>
      </c>
      <c r="AG297" s="28" t="s">
        <v>53</v>
      </c>
      <c r="AH297" s="46">
        <f t="shared" si="97"/>
        <v>10530</v>
      </c>
      <c r="AI297" s="43"/>
      <c r="AJ297" s="28"/>
      <c r="AK297" s="337"/>
      <c r="AL297" s="43"/>
      <c r="AM297" s="44">
        <f t="shared" si="98"/>
        <v>0</v>
      </c>
      <c r="AN297" s="43"/>
      <c r="AO297" s="28">
        <f t="shared" si="99"/>
        <v>0</v>
      </c>
      <c r="AP297" s="43"/>
      <c r="AQ297" s="323">
        <f t="shared" si="100"/>
        <v>0</v>
      </c>
      <c r="AR297" s="43"/>
      <c r="AS297" s="44">
        <f t="shared" si="101"/>
        <v>10530</v>
      </c>
    </row>
    <row r="298" spans="1:45" x14ac:dyDescent="0.25">
      <c r="A298" s="28"/>
      <c r="B298" s="43"/>
      <c r="C298" s="43"/>
      <c r="D298" s="43"/>
      <c r="E298" s="43" t="s">
        <v>2593</v>
      </c>
      <c r="F298" s="43" t="s">
        <v>2594</v>
      </c>
      <c r="G298" s="46">
        <f t="shared" si="88"/>
        <v>12480</v>
      </c>
      <c r="H298" s="46">
        <f t="shared" si="89"/>
        <v>11325.6</v>
      </c>
      <c r="I298" s="28" t="s">
        <v>262</v>
      </c>
      <c r="J298" s="337">
        <v>1</v>
      </c>
      <c r="K298" s="46">
        <f t="shared" si="90"/>
        <v>12480</v>
      </c>
      <c r="L298" s="46">
        <f t="shared" si="91"/>
        <v>11325.6</v>
      </c>
      <c r="M298" s="338">
        <f t="shared" si="92"/>
        <v>0</v>
      </c>
      <c r="N298" s="43" t="s">
        <v>669</v>
      </c>
      <c r="O298" s="339" t="s">
        <v>167</v>
      </c>
      <c r="P298" s="340" t="str">
        <f>IFERROR(VLOOKUP(O298,NCM!$A$3:$D$99,COLUMN(head_porNCM_IPI)-COLUMN(head_porNCM_NCM)+1,FALSE),"")</f>
        <v/>
      </c>
      <c r="Q298" s="43" t="s">
        <v>1879</v>
      </c>
      <c r="R298" s="78" t="s">
        <v>209</v>
      </c>
      <c r="S298" s="341"/>
      <c r="T298" s="28" t="s">
        <v>53</v>
      </c>
      <c r="U298" s="28" t="s">
        <v>2753</v>
      </c>
      <c r="V298" s="548">
        <v>45425</v>
      </c>
      <c r="W298" s="43"/>
      <c r="X298" s="342">
        <f t="shared" si="93"/>
        <v>0</v>
      </c>
      <c r="Y298" s="342">
        <f t="shared" si="94"/>
        <v>0</v>
      </c>
      <c r="Z298" s="46">
        <f t="shared" si="95"/>
        <v>205.92000000000002</v>
      </c>
      <c r="AA298" s="46">
        <f t="shared" si="96"/>
        <v>948.48</v>
      </c>
      <c r="AB298" s="43"/>
      <c r="AC298" s="44">
        <v>12480</v>
      </c>
      <c r="AD298" s="31">
        <v>0</v>
      </c>
      <c r="AE298" s="31">
        <v>0</v>
      </c>
      <c r="AF298" s="31">
        <v>0</v>
      </c>
      <c r="AG298" s="28" t="s">
        <v>53</v>
      </c>
      <c r="AH298" s="46">
        <f t="shared" si="97"/>
        <v>12480</v>
      </c>
      <c r="AI298" s="43"/>
      <c r="AJ298" s="28"/>
      <c r="AK298" s="337"/>
      <c r="AL298" s="43"/>
      <c r="AM298" s="44">
        <f t="shared" si="98"/>
        <v>0</v>
      </c>
      <c r="AN298" s="43"/>
      <c r="AO298" s="28">
        <f t="shared" si="99"/>
        <v>0</v>
      </c>
      <c r="AP298" s="43"/>
      <c r="AQ298" s="323">
        <f t="shared" si="100"/>
        <v>0</v>
      </c>
      <c r="AR298" s="43"/>
      <c r="AS298" s="44">
        <f t="shared" si="101"/>
        <v>12480</v>
      </c>
    </row>
    <row r="299" spans="1:45" x14ac:dyDescent="0.25">
      <c r="A299" s="28"/>
      <c r="B299" s="43"/>
      <c r="C299" s="43"/>
      <c r="D299" s="43"/>
      <c r="E299" s="43" t="s">
        <v>2595</v>
      </c>
      <c r="F299" s="43" t="s">
        <v>2596</v>
      </c>
      <c r="G299" s="46">
        <f t="shared" si="88"/>
        <v>15380</v>
      </c>
      <c r="H299" s="46">
        <f t="shared" si="89"/>
        <v>13957.350000000002</v>
      </c>
      <c r="I299" s="28" t="s">
        <v>262</v>
      </c>
      <c r="J299" s="337">
        <v>1</v>
      </c>
      <c r="K299" s="46">
        <f t="shared" si="90"/>
        <v>15380</v>
      </c>
      <c r="L299" s="46">
        <f t="shared" si="91"/>
        <v>13957.350000000002</v>
      </c>
      <c r="M299" s="338">
        <f t="shared" si="92"/>
        <v>0</v>
      </c>
      <c r="N299" s="43" t="s">
        <v>669</v>
      </c>
      <c r="O299" s="339" t="s">
        <v>167</v>
      </c>
      <c r="P299" s="340" t="str">
        <f>IFERROR(VLOOKUP(O299,NCM!$A$3:$D$99,COLUMN(head_porNCM_IPI)-COLUMN(head_porNCM_NCM)+1,FALSE),"")</f>
        <v/>
      </c>
      <c r="Q299" s="43" t="s">
        <v>1879</v>
      </c>
      <c r="R299" s="78" t="s">
        <v>209</v>
      </c>
      <c r="S299" s="341"/>
      <c r="T299" s="28" t="s">
        <v>53</v>
      </c>
      <c r="U299" s="28" t="s">
        <v>2753</v>
      </c>
      <c r="V299" s="548">
        <v>45425</v>
      </c>
      <c r="W299" s="43"/>
      <c r="X299" s="342">
        <f t="shared" si="93"/>
        <v>0</v>
      </c>
      <c r="Y299" s="342">
        <f t="shared" si="94"/>
        <v>0</v>
      </c>
      <c r="Z299" s="46">
        <f t="shared" si="95"/>
        <v>253.77</v>
      </c>
      <c r="AA299" s="46">
        <f t="shared" si="96"/>
        <v>1168.8799999999999</v>
      </c>
      <c r="AB299" s="43"/>
      <c r="AC299" s="44">
        <v>15380</v>
      </c>
      <c r="AD299" s="31">
        <v>0</v>
      </c>
      <c r="AE299" s="31">
        <v>0</v>
      </c>
      <c r="AF299" s="31">
        <v>0</v>
      </c>
      <c r="AG299" s="28" t="s">
        <v>53</v>
      </c>
      <c r="AH299" s="46">
        <f t="shared" si="97"/>
        <v>15380</v>
      </c>
      <c r="AI299" s="43"/>
      <c r="AJ299" s="28"/>
      <c r="AK299" s="337"/>
      <c r="AL299" s="43"/>
      <c r="AM299" s="44">
        <f t="shared" si="98"/>
        <v>0</v>
      </c>
      <c r="AN299" s="43"/>
      <c r="AO299" s="28">
        <f t="shared" si="99"/>
        <v>0</v>
      </c>
      <c r="AP299" s="43"/>
      <c r="AQ299" s="323">
        <f t="shared" si="100"/>
        <v>0</v>
      </c>
      <c r="AR299" s="43"/>
      <c r="AS299" s="44">
        <f t="shared" si="101"/>
        <v>15380</v>
      </c>
    </row>
    <row r="300" spans="1:45" x14ac:dyDescent="0.25">
      <c r="A300" s="28"/>
      <c r="B300" s="43"/>
      <c r="C300" s="43"/>
      <c r="D300" s="43"/>
      <c r="E300" s="43" t="s">
        <v>2597</v>
      </c>
      <c r="F300" s="43" t="s">
        <v>2598</v>
      </c>
      <c r="G300" s="46">
        <f t="shared" si="88"/>
        <v>17910</v>
      </c>
      <c r="H300" s="46">
        <f t="shared" si="89"/>
        <v>16253.325000000001</v>
      </c>
      <c r="I300" s="28" t="s">
        <v>262</v>
      </c>
      <c r="J300" s="337">
        <v>1</v>
      </c>
      <c r="K300" s="46">
        <f t="shared" si="90"/>
        <v>17910</v>
      </c>
      <c r="L300" s="46">
        <f t="shared" si="91"/>
        <v>16253.325000000001</v>
      </c>
      <c r="M300" s="338">
        <f t="shared" si="92"/>
        <v>0</v>
      </c>
      <c r="N300" s="43" t="s">
        <v>669</v>
      </c>
      <c r="O300" s="339" t="s">
        <v>167</v>
      </c>
      <c r="P300" s="340" t="str">
        <f>IFERROR(VLOOKUP(O300,NCM!$A$3:$D$99,COLUMN(head_porNCM_IPI)-COLUMN(head_porNCM_NCM)+1,FALSE),"")</f>
        <v/>
      </c>
      <c r="Q300" s="43" t="s">
        <v>1879</v>
      </c>
      <c r="R300" s="78" t="s">
        <v>209</v>
      </c>
      <c r="S300" s="341"/>
      <c r="T300" s="28" t="s">
        <v>53</v>
      </c>
      <c r="U300" s="28" t="s">
        <v>2753</v>
      </c>
      <c r="V300" s="548">
        <v>45425</v>
      </c>
      <c r="W300" s="43"/>
      <c r="X300" s="342">
        <f t="shared" si="93"/>
        <v>0</v>
      </c>
      <c r="Y300" s="342">
        <f t="shared" si="94"/>
        <v>0</v>
      </c>
      <c r="Z300" s="46">
        <f t="shared" si="95"/>
        <v>295.51499999999999</v>
      </c>
      <c r="AA300" s="46">
        <f t="shared" si="96"/>
        <v>1361.1599999999999</v>
      </c>
      <c r="AB300" s="43"/>
      <c r="AC300" s="44">
        <v>17910</v>
      </c>
      <c r="AD300" s="31">
        <v>0</v>
      </c>
      <c r="AE300" s="31">
        <v>0</v>
      </c>
      <c r="AF300" s="31">
        <v>0</v>
      </c>
      <c r="AG300" s="28" t="s">
        <v>53</v>
      </c>
      <c r="AH300" s="46">
        <f t="shared" si="97"/>
        <v>17910</v>
      </c>
      <c r="AI300" s="43"/>
      <c r="AJ300" s="28"/>
      <c r="AK300" s="337"/>
      <c r="AL300" s="43"/>
      <c r="AM300" s="44">
        <f t="shared" si="98"/>
        <v>0</v>
      </c>
      <c r="AN300" s="43"/>
      <c r="AO300" s="28">
        <f t="shared" si="99"/>
        <v>0</v>
      </c>
      <c r="AP300" s="43"/>
      <c r="AQ300" s="323">
        <f t="shared" si="100"/>
        <v>0</v>
      </c>
      <c r="AR300" s="43"/>
      <c r="AS300" s="44">
        <f t="shared" si="101"/>
        <v>17910</v>
      </c>
    </row>
    <row r="301" spans="1:45" x14ac:dyDescent="0.25">
      <c r="A301" s="28"/>
      <c r="B301" s="43"/>
      <c r="C301" s="43"/>
      <c r="D301" s="43"/>
      <c r="E301" s="43" t="s">
        <v>2599</v>
      </c>
      <c r="F301" s="43" t="s">
        <v>2600</v>
      </c>
      <c r="G301" s="46">
        <f t="shared" si="88"/>
        <v>22360</v>
      </c>
      <c r="H301" s="46">
        <f t="shared" si="89"/>
        <v>20291.7</v>
      </c>
      <c r="I301" s="28" t="s">
        <v>262</v>
      </c>
      <c r="J301" s="337">
        <v>1</v>
      </c>
      <c r="K301" s="46">
        <f t="shared" si="90"/>
        <v>22360</v>
      </c>
      <c r="L301" s="46">
        <f t="shared" si="91"/>
        <v>20291.7</v>
      </c>
      <c r="M301" s="338">
        <f t="shared" si="92"/>
        <v>0</v>
      </c>
      <c r="N301" s="43" t="s">
        <v>669</v>
      </c>
      <c r="O301" s="339" t="s">
        <v>167</v>
      </c>
      <c r="P301" s="340" t="str">
        <f>IFERROR(VLOOKUP(O301,NCM!$A$3:$D$99,COLUMN(head_porNCM_IPI)-COLUMN(head_porNCM_NCM)+1,FALSE),"")</f>
        <v/>
      </c>
      <c r="Q301" s="43" t="s">
        <v>1879</v>
      </c>
      <c r="R301" s="78" t="s">
        <v>209</v>
      </c>
      <c r="S301" s="341"/>
      <c r="T301" s="28" t="s">
        <v>53</v>
      </c>
      <c r="U301" s="28" t="s">
        <v>2753</v>
      </c>
      <c r="V301" s="548">
        <v>45425</v>
      </c>
      <c r="W301" s="43"/>
      <c r="X301" s="342">
        <f t="shared" si="93"/>
        <v>0</v>
      </c>
      <c r="Y301" s="342">
        <f t="shared" si="94"/>
        <v>0</v>
      </c>
      <c r="Z301" s="46">
        <f t="shared" si="95"/>
        <v>368.94</v>
      </c>
      <c r="AA301" s="46">
        <f t="shared" si="96"/>
        <v>1699.36</v>
      </c>
      <c r="AB301" s="43"/>
      <c r="AC301" s="44">
        <v>22360</v>
      </c>
      <c r="AD301" s="31">
        <v>0</v>
      </c>
      <c r="AE301" s="31">
        <v>0</v>
      </c>
      <c r="AF301" s="31">
        <v>0</v>
      </c>
      <c r="AG301" s="28" t="s">
        <v>53</v>
      </c>
      <c r="AH301" s="46">
        <f t="shared" si="97"/>
        <v>22360</v>
      </c>
      <c r="AI301" s="43"/>
      <c r="AJ301" s="28"/>
      <c r="AK301" s="337"/>
      <c r="AL301" s="43"/>
      <c r="AM301" s="44">
        <f t="shared" si="98"/>
        <v>0</v>
      </c>
      <c r="AN301" s="43"/>
      <c r="AO301" s="28">
        <f t="shared" si="99"/>
        <v>0</v>
      </c>
      <c r="AP301" s="43"/>
      <c r="AQ301" s="323">
        <f t="shared" si="100"/>
        <v>0</v>
      </c>
      <c r="AR301" s="43"/>
      <c r="AS301" s="44">
        <f t="shared" si="101"/>
        <v>22360</v>
      </c>
    </row>
    <row r="302" spans="1:45" x14ac:dyDescent="0.25">
      <c r="A302" s="28"/>
      <c r="B302" s="43"/>
      <c r="C302" s="43"/>
      <c r="D302" s="43"/>
      <c r="E302" s="43" t="s">
        <v>2601</v>
      </c>
      <c r="F302" s="43" t="s">
        <v>2602</v>
      </c>
      <c r="G302" s="46">
        <f t="shared" si="88"/>
        <v>29100</v>
      </c>
      <c r="H302" s="46">
        <f t="shared" si="89"/>
        <v>26408.250000000004</v>
      </c>
      <c r="I302" s="28" t="s">
        <v>262</v>
      </c>
      <c r="J302" s="337">
        <v>1</v>
      </c>
      <c r="K302" s="46">
        <f t="shared" si="90"/>
        <v>29100</v>
      </c>
      <c r="L302" s="46">
        <f t="shared" si="91"/>
        <v>26408.250000000004</v>
      </c>
      <c r="M302" s="338">
        <f t="shared" si="92"/>
        <v>0</v>
      </c>
      <c r="N302" s="43" t="s">
        <v>669</v>
      </c>
      <c r="O302" s="339" t="s">
        <v>167</v>
      </c>
      <c r="P302" s="340" t="str">
        <f>IFERROR(VLOOKUP(O302,NCM!$A$3:$D$99,COLUMN(head_porNCM_IPI)-COLUMN(head_porNCM_NCM)+1,FALSE),"")</f>
        <v/>
      </c>
      <c r="Q302" s="43" t="s">
        <v>1879</v>
      </c>
      <c r="R302" s="78" t="s">
        <v>209</v>
      </c>
      <c r="S302" s="341"/>
      <c r="T302" s="28" t="s">
        <v>53</v>
      </c>
      <c r="U302" s="28" t="s">
        <v>2753</v>
      </c>
      <c r="V302" s="548">
        <v>45425</v>
      </c>
      <c r="W302" s="43"/>
      <c r="X302" s="342">
        <f t="shared" si="93"/>
        <v>0</v>
      </c>
      <c r="Y302" s="342">
        <f t="shared" si="94"/>
        <v>0</v>
      </c>
      <c r="Z302" s="46">
        <f t="shared" si="95"/>
        <v>480.15000000000003</v>
      </c>
      <c r="AA302" s="46">
        <f t="shared" si="96"/>
        <v>2211.6</v>
      </c>
      <c r="AB302" s="43"/>
      <c r="AC302" s="44">
        <v>29100</v>
      </c>
      <c r="AD302" s="31">
        <v>0</v>
      </c>
      <c r="AE302" s="31">
        <v>0</v>
      </c>
      <c r="AF302" s="31">
        <v>0</v>
      </c>
      <c r="AG302" s="28" t="s">
        <v>53</v>
      </c>
      <c r="AH302" s="46">
        <f t="shared" si="97"/>
        <v>29100</v>
      </c>
      <c r="AI302" s="43"/>
      <c r="AJ302" s="28"/>
      <c r="AK302" s="337"/>
      <c r="AL302" s="43"/>
      <c r="AM302" s="44">
        <f t="shared" si="98"/>
        <v>0</v>
      </c>
      <c r="AN302" s="43"/>
      <c r="AO302" s="28">
        <f t="shared" si="99"/>
        <v>0</v>
      </c>
      <c r="AP302" s="43"/>
      <c r="AQ302" s="323">
        <f t="shared" si="100"/>
        <v>0</v>
      </c>
      <c r="AR302" s="43"/>
      <c r="AS302" s="44">
        <f t="shared" si="101"/>
        <v>29100</v>
      </c>
    </row>
    <row r="303" spans="1:45" x14ac:dyDescent="0.25">
      <c r="A303" s="28"/>
      <c r="B303" s="43"/>
      <c r="C303" s="43"/>
      <c r="D303" s="43"/>
      <c r="E303" s="43" t="s">
        <v>2603</v>
      </c>
      <c r="F303" s="43" t="s">
        <v>2604</v>
      </c>
      <c r="G303" s="46">
        <f t="shared" si="88"/>
        <v>35390</v>
      </c>
      <c r="H303" s="46">
        <f t="shared" si="89"/>
        <v>32116.425000000003</v>
      </c>
      <c r="I303" s="28" t="s">
        <v>262</v>
      </c>
      <c r="J303" s="337">
        <v>1</v>
      </c>
      <c r="K303" s="46">
        <f t="shared" si="90"/>
        <v>35390</v>
      </c>
      <c r="L303" s="46">
        <f t="shared" si="91"/>
        <v>32116.425000000003</v>
      </c>
      <c r="M303" s="338">
        <f t="shared" si="92"/>
        <v>0</v>
      </c>
      <c r="N303" s="43" t="s">
        <v>669</v>
      </c>
      <c r="O303" s="339" t="s">
        <v>167</v>
      </c>
      <c r="P303" s="340" t="str">
        <f>IFERROR(VLOOKUP(O303,NCM!$A$3:$D$99,COLUMN(head_porNCM_IPI)-COLUMN(head_porNCM_NCM)+1,FALSE),"")</f>
        <v/>
      </c>
      <c r="Q303" s="43" t="s">
        <v>1879</v>
      </c>
      <c r="R303" s="78" t="s">
        <v>209</v>
      </c>
      <c r="S303" s="341"/>
      <c r="T303" s="28" t="s">
        <v>53</v>
      </c>
      <c r="U303" s="28" t="s">
        <v>2753</v>
      </c>
      <c r="V303" s="548">
        <v>45425</v>
      </c>
      <c r="W303" s="43"/>
      <c r="X303" s="342">
        <f t="shared" si="93"/>
        <v>0</v>
      </c>
      <c r="Y303" s="342">
        <f t="shared" si="94"/>
        <v>0</v>
      </c>
      <c r="Z303" s="46">
        <f t="shared" si="95"/>
        <v>583.93500000000006</v>
      </c>
      <c r="AA303" s="46">
        <f t="shared" si="96"/>
        <v>2689.64</v>
      </c>
      <c r="AB303" s="43"/>
      <c r="AC303" s="44">
        <v>35390</v>
      </c>
      <c r="AD303" s="31">
        <v>0</v>
      </c>
      <c r="AE303" s="31">
        <v>0</v>
      </c>
      <c r="AF303" s="31">
        <v>0</v>
      </c>
      <c r="AG303" s="28" t="s">
        <v>53</v>
      </c>
      <c r="AH303" s="46">
        <f t="shared" si="97"/>
        <v>35390</v>
      </c>
      <c r="AI303" s="43"/>
      <c r="AJ303" s="28"/>
      <c r="AK303" s="337"/>
      <c r="AL303" s="43"/>
      <c r="AM303" s="44">
        <f t="shared" si="98"/>
        <v>0</v>
      </c>
      <c r="AN303" s="43"/>
      <c r="AO303" s="28">
        <f t="shared" si="99"/>
        <v>0</v>
      </c>
      <c r="AP303" s="43"/>
      <c r="AQ303" s="323">
        <f t="shared" si="100"/>
        <v>0</v>
      </c>
      <c r="AR303" s="43"/>
      <c r="AS303" s="44">
        <f t="shared" si="101"/>
        <v>35390</v>
      </c>
    </row>
    <row r="304" spans="1:45" x14ac:dyDescent="0.25">
      <c r="A304" s="28"/>
      <c r="B304" s="43"/>
      <c r="C304" s="43"/>
      <c r="D304" s="43"/>
      <c r="E304" s="43" t="s">
        <v>2605</v>
      </c>
      <c r="F304" s="43" t="s">
        <v>2606</v>
      </c>
      <c r="G304" s="46">
        <f t="shared" si="88"/>
        <v>41590</v>
      </c>
      <c r="H304" s="46">
        <f t="shared" si="89"/>
        <v>37742.925000000003</v>
      </c>
      <c r="I304" s="28" t="s">
        <v>262</v>
      </c>
      <c r="J304" s="337">
        <v>1</v>
      </c>
      <c r="K304" s="46">
        <f t="shared" si="90"/>
        <v>41590</v>
      </c>
      <c r="L304" s="46">
        <f t="shared" si="91"/>
        <v>37742.925000000003</v>
      </c>
      <c r="M304" s="338">
        <f t="shared" si="92"/>
        <v>0</v>
      </c>
      <c r="N304" s="43" t="s">
        <v>669</v>
      </c>
      <c r="O304" s="339" t="s">
        <v>167</v>
      </c>
      <c r="P304" s="340" t="str">
        <f>IFERROR(VLOOKUP(O304,NCM!$A$3:$D$99,COLUMN(head_porNCM_IPI)-COLUMN(head_porNCM_NCM)+1,FALSE),"")</f>
        <v/>
      </c>
      <c r="Q304" s="43" t="s">
        <v>1879</v>
      </c>
      <c r="R304" s="78" t="s">
        <v>209</v>
      </c>
      <c r="S304" s="341"/>
      <c r="T304" s="28" t="s">
        <v>53</v>
      </c>
      <c r="U304" s="28" t="s">
        <v>2753</v>
      </c>
      <c r="V304" s="548">
        <v>45425</v>
      </c>
      <c r="W304" s="43"/>
      <c r="X304" s="342">
        <f t="shared" si="93"/>
        <v>0</v>
      </c>
      <c r="Y304" s="342">
        <f t="shared" si="94"/>
        <v>0</v>
      </c>
      <c r="Z304" s="46">
        <f t="shared" si="95"/>
        <v>686.23500000000001</v>
      </c>
      <c r="AA304" s="46">
        <f t="shared" si="96"/>
        <v>3160.84</v>
      </c>
      <c r="AB304" s="43"/>
      <c r="AC304" s="44">
        <v>41590</v>
      </c>
      <c r="AD304" s="31">
        <v>0</v>
      </c>
      <c r="AE304" s="31">
        <v>0</v>
      </c>
      <c r="AF304" s="31">
        <v>0</v>
      </c>
      <c r="AG304" s="28" t="s">
        <v>53</v>
      </c>
      <c r="AH304" s="46">
        <f t="shared" si="97"/>
        <v>41590</v>
      </c>
      <c r="AI304" s="43"/>
      <c r="AJ304" s="28"/>
      <c r="AK304" s="337"/>
      <c r="AL304" s="43"/>
      <c r="AM304" s="44">
        <f t="shared" si="98"/>
        <v>0</v>
      </c>
      <c r="AN304" s="43"/>
      <c r="AO304" s="28">
        <f t="shared" si="99"/>
        <v>0</v>
      </c>
      <c r="AP304" s="43"/>
      <c r="AQ304" s="323">
        <f t="shared" si="100"/>
        <v>0</v>
      </c>
      <c r="AR304" s="43"/>
      <c r="AS304" s="44">
        <f t="shared" si="101"/>
        <v>41590</v>
      </c>
    </row>
    <row r="305" spans="1:45" x14ac:dyDescent="0.25">
      <c r="A305" s="28"/>
      <c r="B305" s="43"/>
      <c r="C305" s="43"/>
      <c r="D305" s="43"/>
      <c r="E305" s="43" t="s">
        <v>2607</v>
      </c>
      <c r="F305" s="43" t="s">
        <v>2608</v>
      </c>
      <c r="G305" s="46">
        <f t="shared" si="88"/>
        <v>48290</v>
      </c>
      <c r="H305" s="46">
        <f t="shared" si="89"/>
        <v>43823.175000000003</v>
      </c>
      <c r="I305" s="28" t="s">
        <v>262</v>
      </c>
      <c r="J305" s="337">
        <v>1</v>
      </c>
      <c r="K305" s="46">
        <f t="shared" si="90"/>
        <v>48290</v>
      </c>
      <c r="L305" s="46">
        <f t="shared" si="91"/>
        <v>43823.175000000003</v>
      </c>
      <c r="M305" s="338">
        <f t="shared" si="92"/>
        <v>0</v>
      </c>
      <c r="N305" s="43" t="s">
        <v>669</v>
      </c>
      <c r="O305" s="339" t="s">
        <v>167</v>
      </c>
      <c r="P305" s="340" t="str">
        <f>IFERROR(VLOOKUP(O305,NCM!$A$3:$D$99,COLUMN(head_porNCM_IPI)-COLUMN(head_porNCM_NCM)+1,FALSE),"")</f>
        <v/>
      </c>
      <c r="Q305" s="43" t="s">
        <v>1879</v>
      </c>
      <c r="R305" s="78" t="s">
        <v>209</v>
      </c>
      <c r="S305" s="341"/>
      <c r="T305" s="28" t="s">
        <v>53</v>
      </c>
      <c r="U305" s="28" t="s">
        <v>2753</v>
      </c>
      <c r="V305" s="548">
        <v>45425</v>
      </c>
      <c r="W305" s="43"/>
      <c r="X305" s="342">
        <f t="shared" si="93"/>
        <v>0</v>
      </c>
      <c r="Y305" s="342">
        <f t="shared" si="94"/>
        <v>0</v>
      </c>
      <c r="Z305" s="46">
        <f t="shared" si="95"/>
        <v>796.78500000000008</v>
      </c>
      <c r="AA305" s="46">
        <f t="shared" si="96"/>
        <v>3670.04</v>
      </c>
      <c r="AB305" s="43"/>
      <c r="AC305" s="44">
        <v>48290</v>
      </c>
      <c r="AD305" s="31">
        <v>0</v>
      </c>
      <c r="AE305" s="31">
        <v>0</v>
      </c>
      <c r="AF305" s="31">
        <v>0</v>
      </c>
      <c r="AG305" s="28" t="s">
        <v>53</v>
      </c>
      <c r="AH305" s="46">
        <f t="shared" si="97"/>
        <v>48290</v>
      </c>
      <c r="AI305" s="43"/>
      <c r="AJ305" s="28"/>
      <c r="AK305" s="337"/>
      <c r="AL305" s="43"/>
      <c r="AM305" s="44">
        <f t="shared" si="98"/>
        <v>0</v>
      </c>
      <c r="AN305" s="43"/>
      <c r="AO305" s="28">
        <f t="shared" si="99"/>
        <v>0</v>
      </c>
      <c r="AP305" s="43"/>
      <c r="AQ305" s="323">
        <f t="shared" si="100"/>
        <v>0</v>
      </c>
      <c r="AR305" s="43"/>
      <c r="AS305" s="44">
        <f t="shared" si="101"/>
        <v>48290</v>
      </c>
    </row>
    <row r="306" spans="1:45" x14ac:dyDescent="0.25">
      <c r="A306" s="28"/>
      <c r="B306" s="43"/>
      <c r="C306" s="43"/>
      <c r="D306" s="43"/>
      <c r="E306" s="43" t="s">
        <v>2609</v>
      </c>
      <c r="F306" s="43" t="s">
        <v>2610</v>
      </c>
      <c r="G306" s="46">
        <f t="shared" si="88"/>
        <v>54810</v>
      </c>
      <c r="H306" s="46">
        <f t="shared" si="89"/>
        <v>49740.075000000004</v>
      </c>
      <c r="I306" s="28" t="s">
        <v>262</v>
      </c>
      <c r="J306" s="337">
        <v>1</v>
      </c>
      <c r="K306" s="46">
        <f t="shared" si="90"/>
        <v>54810</v>
      </c>
      <c r="L306" s="46">
        <f t="shared" si="91"/>
        <v>49740.075000000004</v>
      </c>
      <c r="M306" s="338">
        <f t="shared" si="92"/>
        <v>0</v>
      </c>
      <c r="N306" s="43" t="s">
        <v>669</v>
      </c>
      <c r="O306" s="339" t="s">
        <v>167</v>
      </c>
      <c r="P306" s="340" t="str">
        <f>IFERROR(VLOOKUP(O306,NCM!$A$3:$D$99,COLUMN(head_porNCM_IPI)-COLUMN(head_porNCM_NCM)+1,FALSE),"")</f>
        <v/>
      </c>
      <c r="Q306" s="43" t="s">
        <v>1879</v>
      </c>
      <c r="R306" s="78" t="s">
        <v>209</v>
      </c>
      <c r="S306" s="341"/>
      <c r="T306" s="28" t="s">
        <v>53</v>
      </c>
      <c r="U306" s="28" t="s">
        <v>2753</v>
      </c>
      <c r="V306" s="548">
        <v>45425</v>
      </c>
      <c r="W306" s="43"/>
      <c r="X306" s="342">
        <f t="shared" si="93"/>
        <v>0</v>
      </c>
      <c r="Y306" s="342">
        <f t="shared" si="94"/>
        <v>0</v>
      </c>
      <c r="Z306" s="46">
        <f t="shared" si="95"/>
        <v>904.36500000000001</v>
      </c>
      <c r="AA306" s="46">
        <f t="shared" si="96"/>
        <v>4165.5599999999995</v>
      </c>
      <c r="AB306" s="43"/>
      <c r="AC306" s="44">
        <v>54810</v>
      </c>
      <c r="AD306" s="31">
        <v>0</v>
      </c>
      <c r="AE306" s="31">
        <v>0</v>
      </c>
      <c r="AF306" s="31">
        <v>0</v>
      </c>
      <c r="AG306" s="28" t="s">
        <v>53</v>
      </c>
      <c r="AH306" s="46">
        <f t="shared" si="97"/>
        <v>54810</v>
      </c>
      <c r="AI306" s="43"/>
      <c r="AJ306" s="28"/>
      <c r="AK306" s="337"/>
      <c r="AL306" s="43"/>
      <c r="AM306" s="44">
        <f t="shared" si="98"/>
        <v>0</v>
      </c>
      <c r="AN306" s="43"/>
      <c r="AO306" s="28">
        <f t="shared" si="99"/>
        <v>0</v>
      </c>
      <c r="AP306" s="43"/>
      <c r="AQ306" s="323">
        <f t="shared" si="100"/>
        <v>0</v>
      </c>
      <c r="AR306" s="43"/>
      <c r="AS306" s="44">
        <f t="shared" si="101"/>
        <v>54810</v>
      </c>
    </row>
    <row r="307" spans="1:45" x14ac:dyDescent="0.25">
      <c r="A307" s="28"/>
      <c r="B307" s="43"/>
      <c r="C307" s="43"/>
      <c r="D307" s="43"/>
      <c r="E307" s="43" t="s">
        <v>2611</v>
      </c>
      <c r="F307" s="43" t="s">
        <v>2612</v>
      </c>
      <c r="G307" s="46">
        <f t="shared" si="88"/>
        <v>66490</v>
      </c>
      <c r="H307" s="46">
        <f t="shared" si="89"/>
        <v>60339.675000000003</v>
      </c>
      <c r="I307" s="28" t="s">
        <v>262</v>
      </c>
      <c r="J307" s="337">
        <v>1</v>
      </c>
      <c r="K307" s="46">
        <f t="shared" si="90"/>
        <v>66490</v>
      </c>
      <c r="L307" s="46">
        <f t="shared" si="91"/>
        <v>60339.675000000003</v>
      </c>
      <c r="M307" s="338">
        <f t="shared" si="92"/>
        <v>0</v>
      </c>
      <c r="N307" s="43" t="s">
        <v>669</v>
      </c>
      <c r="O307" s="339" t="s">
        <v>167</v>
      </c>
      <c r="P307" s="340" t="str">
        <f>IFERROR(VLOOKUP(O307,NCM!$A$3:$D$99,COLUMN(head_porNCM_IPI)-COLUMN(head_porNCM_NCM)+1,FALSE),"")</f>
        <v/>
      </c>
      <c r="Q307" s="43" t="s">
        <v>1879</v>
      </c>
      <c r="R307" s="78" t="s">
        <v>209</v>
      </c>
      <c r="S307" s="341"/>
      <c r="T307" s="28" t="s">
        <v>53</v>
      </c>
      <c r="U307" s="28" t="s">
        <v>2753</v>
      </c>
      <c r="V307" s="548">
        <v>45425</v>
      </c>
      <c r="W307" s="43"/>
      <c r="X307" s="342">
        <f t="shared" si="93"/>
        <v>0</v>
      </c>
      <c r="Y307" s="342">
        <f t="shared" si="94"/>
        <v>0</v>
      </c>
      <c r="Z307" s="46">
        <f t="shared" si="95"/>
        <v>1097.085</v>
      </c>
      <c r="AA307" s="46">
        <f t="shared" si="96"/>
        <v>5053.24</v>
      </c>
      <c r="AB307" s="43"/>
      <c r="AC307" s="44">
        <v>66490</v>
      </c>
      <c r="AD307" s="31">
        <v>0</v>
      </c>
      <c r="AE307" s="31">
        <v>0</v>
      </c>
      <c r="AF307" s="31">
        <v>0</v>
      </c>
      <c r="AG307" s="28" t="s">
        <v>53</v>
      </c>
      <c r="AH307" s="46">
        <f t="shared" si="97"/>
        <v>66490</v>
      </c>
      <c r="AI307" s="43"/>
      <c r="AJ307" s="28"/>
      <c r="AK307" s="337"/>
      <c r="AL307" s="43"/>
      <c r="AM307" s="44">
        <f t="shared" si="98"/>
        <v>0</v>
      </c>
      <c r="AN307" s="43"/>
      <c r="AO307" s="28">
        <f t="shared" si="99"/>
        <v>0</v>
      </c>
      <c r="AP307" s="43"/>
      <c r="AQ307" s="323">
        <f t="shared" si="100"/>
        <v>0</v>
      </c>
      <c r="AR307" s="43"/>
      <c r="AS307" s="44">
        <f t="shared" si="101"/>
        <v>66490</v>
      </c>
    </row>
    <row r="308" spans="1:45" x14ac:dyDescent="0.25">
      <c r="A308" s="28"/>
      <c r="B308" s="43"/>
      <c r="C308" s="43"/>
      <c r="D308" s="43"/>
      <c r="E308" s="43" t="s">
        <v>2613</v>
      </c>
      <c r="F308" s="43" t="s">
        <v>2614</v>
      </c>
      <c r="G308" s="46">
        <f t="shared" si="88"/>
        <v>79930</v>
      </c>
      <c r="H308" s="46">
        <f t="shared" si="89"/>
        <v>72536.475000000006</v>
      </c>
      <c r="I308" s="28" t="s">
        <v>262</v>
      </c>
      <c r="J308" s="337">
        <v>1</v>
      </c>
      <c r="K308" s="46">
        <f t="shared" si="90"/>
        <v>79930</v>
      </c>
      <c r="L308" s="46">
        <f t="shared" si="91"/>
        <v>72536.475000000006</v>
      </c>
      <c r="M308" s="338">
        <f t="shared" si="92"/>
        <v>0</v>
      </c>
      <c r="N308" s="43" t="s">
        <v>669</v>
      </c>
      <c r="O308" s="339" t="s">
        <v>167</v>
      </c>
      <c r="P308" s="340" t="str">
        <f>IFERROR(VLOOKUP(O308,NCM!$A$3:$D$99,COLUMN(head_porNCM_IPI)-COLUMN(head_porNCM_NCM)+1,FALSE),"")</f>
        <v/>
      </c>
      <c r="Q308" s="43" t="s">
        <v>1879</v>
      </c>
      <c r="R308" s="78" t="s">
        <v>209</v>
      </c>
      <c r="S308" s="341"/>
      <c r="T308" s="28" t="s">
        <v>53</v>
      </c>
      <c r="U308" s="28" t="s">
        <v>2753</v>
      </c>
      <c r="V308" s="548">
        <v>45425</v>
      </c>
      <c r="W308" s="43"/>
      <c r="X308" s="342">
        <f t="shared" si="93"/>
        <v>0</v>
      </c>
      <c r="Y308" s="342">
        <f t="shared" si="94"/>
        <v>0</v>
      </c>
      <c r="Z308" s="46">
        <f t="shared" si="95"/>
        <v>1318.845</v>
      </c>
      <c r="AA308" s="46">
        <f t="shared" si="96"/>
        <v>6074.68</v>
      </c>
      <c r="AB308" s="43"/>
      <c r="AC308" s="44">
        <v>79930</v>
      </c>
      <c r="AD308" s="31">
        <v>0</v>
      </c>
      <c r="AE308" s="31">
        <v>0</v>
      </c>
      <c r="AF308" s="31">
        <v>0</v>
      </c>
      <c r="AG308" s="28" t="s">
        <v>53</v>
      </c>
      <c r="AH308" s="46">
        <f t="shared" si="97"/>
        <v>79930</v>
      </c>
      <c r="AI308" s="43"/>
      <c r="AJ308" s="28"/>
      <c r="AK308" s="337"/>
      <c r="AL308" s="43"/>
      <c r="AM308" s="44">
        <f t="shared" si="98"/>
        <v>0</v>
      </c>
      <c r="AN308" s="43"/>
      <c r="AO308" s="28">
        <f t="shared" si="99"/>
        <v>0</v>
      </c>
      <c r="AP308" s="43"/>
      <c r="AQ308" s="323">
        <f t="shared" si="100"/>
        <v>0</v>
      </c>
      <c r="AR308" s="43"/>
      <c r="AS308" s="44">
        <f t="shared" si="101"/>
        <v>79930</v>
      </c>
    </row>
    <row r="309" spans="1:45" x14ac:dyDescent="0.25">
      <c r="A309" s="28"/>
      <c r="B309" s="43"/>
      <c r="C309" s="43"/>
      <c r="D309" s="43"/>
      <c r="E309" s="43" t="s">
        <v>2615</v>
      </c>
      <c r="F309" s="43" t="s">
        <v>2616</v>
      </c>
      <c r="G309" s="46">
        <f t="shared" si="88"/>
        <v>106710</v>
      </c>
      <c r="H309" s="46">
        <f t="shared" si="89"/>
        <v>96839.325000000012</v>
      </c>
      <c r="I309" s="28" t="s">
        <v>262</v>
      </c>
      <c r="J309" s="337">
        <v>1</v>
      </c>
      <c r="K309" s="46">
        <f t="shared" si="90"/>
        <v>106710</v>
      </c>
      <c r="L309" s="46">
        <f t="shared" si="91"/>
        <v>96839.325000000012</v>
      </c>
      <c r="M309" s="338">
        <f t="shared" si="92"/>
        <v>0</v>
      </c>
      <c r="N309" s="43" t="s">
        <v>669</v>
      </c>
      <c r="O309" s="339" t="s">
        <v>167</v>
      </c>
      <c r="P309" s="340" t="str">
        <f>IFERROR(VLOOKUP(O309,NCM!$A$3:$D$99,COLUMN(head_porNCM_IPI)-COLUMN(head_porNCM_NCM)+1,FALSE),"")</f>
        <v/>
      </c>
      <c r="Q309" s="43" t="s">
        <v>1879</v>
      </c>
      <c r="R309" s="78" t="s">
        <v>209</v>
      </c>
      <c r="S309" s="341"/>
      <c r="T309" s="28" t="s">
        <v>53</v>
      </c>
      <c r="U309" s="28" t="s">
        <v>2753</v>
      </c>
      <c r="V309" s="548">
        <v>45425</v>
      </c>
      <c r="W309" s="43"/>
      <c r="X309" s="342">
        <f t="shared" si="93"/>
        <v>0</v>
      </c>
      <c r="Y309" s="342">
        <f t="shared" si="94"/>
        <v>0</v>
      </c>
      <c r="Z309" s="46">
        <f t="shared" si="95"/>
        <v>1760.7150000000001</v>
      </c>
      <c r="AA309" s="46">
        <f t="shared" si="96"/>
        <v>8109.96</v>
      </c>
      <c r="AB309" s="43"/>
      <c r="AC309" s="44">
        <v>106710</v>
      </c>
      <c r="AD309" s="31">
        <v>0</v>
      </c>
      <c r="AE309" s="31">
        <v>0</v>
      </c>
      <c r="AF309" s="31">
        <v>0</v>
      </c>
      <c r="AG309" s="28" t="s">
        <v>53</v>
      </c>
      <c r="AH309" s="46">
        <f t="shared" si="97"/>
        <v>106710</v>
      </c>
      <c r="AI309" s="43"/>
      <c r="AJ309" s="28"/>
      <c r="AK309" s="337"/>
      <c r="AL309" s="43"/>
      <c r="AM309" s="44">
        <f t="shared" si="98"/>
        <v>0</v>
      </c>
      <c r="AN309" s="43"/>
      <c r="AO309" s="28">
        <f t="shared" si="99"/>
        <v>0</v>
      </c>
      <c r="AP309" s="43"/>
      <c r="AQ309" s="323">
        <f t="shared" si="100"/>
        <v>0</v>
      </c>
      <c r="AR309" s="43"/>
      <c r="AS309" s="44">
        <f t="shared" si="101"/>
        <v>106710</v>
      </c>
    </row>
    <row r="310" spans="1:45" x14ac:dyDescent="0.25">
      <c r="A310" s="28"/>
      <c r="B310" s="43"/>
      <c r="C310" s="43"/>
      <c r="D310" s="43"/>
      <c r="E310" s="43" t="s">
        <v>2617</v>
      </c>
      <c r="F310" s="43" t="s">
        <v>2618</v>
      </c>
      <c r="G310" s="46">
        <f t="shared" si="88"/>
        <v>133510</v>
      </c>
      <c r="H310" s="46">
        <f t="shared" si="89"/>
        <v>121160.32500000001</v>
      </c>
      <c r="I310" s="28" t="s">
        <v>262</v>
      </c>
      <c r="J310" s="337">
        <v>1</v>
      </c>
      <c r="K310" s="46">
        <f t="shared" si="90"/>
        <v>133510</v>
      </c>
      <c r="L310" s="46">
        <f t="shared" si="91"/>
        <v>121160.32500000001</v>
      </c>
      <c r="M310" s="338">
        <f t="shared" si="92"/>
        <v>0</v>
      </c>
      <c r="N310" s="43" t="s">
        <v>669</v>
      </c>
      <c r="O310" s="339" t="s">
        <v>167</v>
      </c>
      <c r="P310" s="340" t="str">
        <f>IFERROR(VLOOKUP(O310,NCM!$A$3:$D$99,COLUMN(head_porNCM_IPI)-COLUMN(head_porNCM_NCM)+1,FALSE),"")</f>
        <v/>
      </c>
      <c r="Q310" s="43" t="s">
        <v>1879</v>
      </c>
      <c r="R310" s="78" t="s">
        <v>209</v>
      </c>
      <c r="S310" s="341"/>
      <c r="T310" s="28" t="s">
        <v>53</v>
      </c>
      <c r="U310" s="28" t="s">
        <v>2753</v>
      </c>
      <c r="V310" s="548">
        <v>45425</v>
      </c>
      <c r="W310" s="43"/>
      <c r="X310" s="342">
        <f t="shared" si="93"/>
        <v>0</v>
      </c>
      <c r="Y310" s="342">
        <f t="shared" si="94"/>
        <v>0</v>
      </c>
      <c r="Z310" s="46">
        <f t="shared" si="95"/>
        <v>2202.915</v>
      </c>
      <c r="AA310" s="46">
        <f t="shared" si="96"/>
        <v>10146.76</v>
      </c>
      <c r="AB310" s="43"/>
      <c r="AC310" s="44">
        <v>133510</v>
      </c>
      <c r="AD310" s="31">
        <v>0</v>
      </c>
      <c r="AE310" s="31">
        <v>0</v>
      </c>
      <c r="AF310" s="31">
        <v>0</v>
      </c>
      <c r="AG310" s="28" t="s">
        <v>53</v>
      </c>
      <c r="AH310" s="46">
        <f t="shared" si="97"/>
        <v>133510</v>
      </c>
      <c r="AI310" s="43"/>
      <c r="AJ310" s="28"/>
      <c r="AK310" s="337"/>
      <c r="AL310" s="43"/>
      <c r="AM310" s="44">
        <f t="shared" si="98"/>
        <v>0</v>
      </c>
      <c r="AN310" s="43"/>
      <c r="AO310" s="28">
        <f t="shared" si="99"/>
        <v>0</v>
      </c>
      <c r="AP310" s="43"/>
      <c r="AQ310" s="323">
        <f t="shared" si="100"/>
        <v>0</v>
      </c>
      <c r="AR310" s="43"/>
      <c r="AS310" s="44">
        <f t="shared" si="101"/>
        <v>133510</v>
      </c>
    </row>
    <row r="311" spans="1:45" x14ac:dyDescent="0.25">
      <c r="A311" s="28"/>
      <c r="B311" s="43"/>
      <c r="C311" s="43"/>
      <c r="D311" s="43"/>
      <c r="E311" s="43" t="s">
        <v>2619</v>
      </c>
      <c r="F311" s="43" t="s">
        <v>2620</v>
      </c>
      <c r="G311" s="46">
        <f t="shared" si="88"/>
        <v>145480</v>
      </c>
      <c r="H311" s="46">
        <f t="shared" si="89"/>
        <v>132023.1</v>
      </c>
      <c r="I311" s="28" t="s">
        <v>262</v>
      </c>
      <c r="J311" s="337">
        <v>1</v>
      </c>
      <c r="K311" s="46">
        <f t="shared" si="90"/>
        <v>145480</v>
      </c>
      <c r="L311" s="46">
        <f t="shared" si="91"/>
        <v>132023.1</v>
      </c>
      <c r="M311" s="338">
        <f t="shared" si="92"/>
        <v>0</v>
      </c>
      <c r="N311" s="43" t="s">
        <v>669</v>
      </c>
      <c r="O311" s="339" t="s">
        <v>167</v>
      </c>
      <c r="P311" s="340" t="str">
        <f>IFERROR(VLOOKUP(O311,NCM!$A$3:$D$99,COLUMN(head_porNCM_IPI)-COLUMN(head_porNCM_NCM)+1,FALSE),"")</f>
        <v/>
      </c>
      <c r="Q311" s="43" t="s">
        <v>1879</v>
      </c>
      <c r="R311" s="78" t="s">
        <v>209</v>
      </c>
      <c r="S311" s="341"/>
      <c r="T311" s="28" t="s">
        <v>53</v>
      </c>
      <c r="U311" s="28" t="s">
        <v>2753</v>
      </c>
      <c r="V311" s="548">
        <v>45425</v>
      </c>
      <c r="W311" s="43"/>
      <c r="X311" s="342">
        <f t="shared" si="93"/>
        <v>0</v>
      </c>
      <c r="Y311" s="342">
        <f t="shared" si="94"/>
        <v>0</v>
      </c>
      <c r="Z311" s="46">
        <f t="shared" si="95"/>
        <v>2400.42</v>
      </c>
      <c r="AA311" s="46">
        <f t="shared" si="96"/>
        <v>11056.48</v>
      </c>
      <c r="AB311" s="43"/>
      <c r="AC311" s="44">
        <v>145480</v>
      </c>
      <c r="AD311" s="31">
        <v>0</v>
      </c>
      <c r="AE311" s="31">
        <v>0</v>
      </c>
      <c r="AF311" s="31">
        <v>0</v>
      </c>
      <c r="AG311" s="28" t="s">
        <v>53</v>
      </c>
      <c r="AH311" s="46">
        <f t="shared" si="97"/>
        <v>145480</v>
      </c>
      <c r="AI311" s="43"/>
      <c r="AJ311" s="28"/>
      <c r="AK311" s="337"/>
      <c r="AL311" s="43"/>
      <c r="AM311" s="44">
        <f t="shared" si="98"/>
        <v>0</v>
      </c>
      <c r="AN311" s="43"/>
      <c r="AO311" s="28">
        <f t="shared" si="99"/>
        <v>0</v>
      </c>
      <c r="AP311" s="43"/>
      <c r="AQ311" s="323">
        <f t="shared" si="100"/>
        <v>0</v>
      </c>
      <c r="AR311" s="43"/>
      <c r="AS311" s="44">
        <f t="shared" si="101"/>
        <v>145480</v>
      </c>
    </row>
    <row r="312" spans="1:45" x14ac:dyDescent="0.25">
      <c r="A312" s="28"/>
      <c r="B312" s="43"/>
      <c r="C312" s="43"/>
      <c r="D312" s="43"/>
      <c r="E312" s="43" t="s">
        <v>2621</v>
      </c>
      <c r="F312" s="43" t="s">
        <v>2622</v>
      </c>
      <c r="G312" s="46">
        <f t="shared" ref="G312:G375" si="102">AC312*(1-AD312)</f>
        <v>158520</v>
      </c>
      <c r="H312" s="46">
        <f t="shared" ref="H312:H375" si="103">AC312*(1-AD312-pis_naocum-cofins_naocum)</f>
        <v>143856.90000000002</v>
      </c>
      <c r="I312" s="28" t="s">
        <v>262</v>
      </c>
      <c r="J312" s="337">
        <v>1</v>
      </c>
      <c r="K312" s="46">
        <f t="shared" ref="K312:K375" si="104">IFERROR(G312*J312*VLOOKUP(I312,tbl_cambio,2,FALSE),"")</f>
        <v>158520</v>
      </c>
      <c r="L312" s="46">
        <f t="shared" ref="L312:L375" si="105">IFERROR(H312*J312*VLOOKUP(I312,tbl_cambio,2,FALSE),"")</f>
        <v>143856.90000000002</v>
      </c>
      <c r="M312" s="338">
        <f t="shared" ref="M312:M375" si="106">SUMIF(col_item,"="&amp;E312,col_qtd)</f>
        <v>0</v>
      </c>
      <c r="N312" s="43" t="s">
        <v>669</v>
      </c>
      <c r="O312" s="339" t="s">
        <v>167</v>
      </c>
      <c r="P312" s="340" t="str">
        <f>IFERROR(VLOOKUP(O312,NCM!$A$3:$D$99,COLUMN(head_porNCM_IPI)-COLUMN(head_porNCM_NCM)+1,FALSE),"")</f>
        <v/>
      </c>
      <c r="Q312" s="43" t="s">
        <v>1879</v>
      </c>
      <c r="R312" s="78" t="s">
        <v>209</v>
      </c>
      <c r="S312" s="341"/>
      <c r="T312" s="28" t="s">
        <v>53</v>
      </c>
      <c r="U312" s="28" t="s">
        <v>2753</v>
      </c>
      <c r="V312" s="548">
        <v>45425</v>
      </c>
      <c r="W312" s="43"/>
      <c r="X312" s="342">
        <f t="shared" ref="X312:X375" si="107">(AC312-Y312)*AD312</f>
        <v>0</v>
      </c>
      <c r="Y312" s="342">
        <f t="shared" ref="Y312:Y375" si="108">AC312-AC312/(1+AE312)</f>
        <v>0</v>
      </c>
      <c r="Z312" s="46">
        <f t="shared" ref="Z312:Z375" si="109">(AC312-Y312)*pis_naocum</f>
        <v>2615.58</v>
      </c>
      <c r="AA312" s="46">
        <f t="shared" ref="AA312:AA375" si="110">(AC312-Y312)*cofins_naocum</f>
        <v>12047.52</v>
      </c>
      <c r="AB312" s="43"/>
      <c r="AC312" s="44">
        <v>158520</v>
      </c>
      <c r="AD312" s="31">
        <v>0</v>
      </c>
      <c r="AE312" s="31">
        <v>0</v>
      </c>
      <c r="AF312" s="31">
        <v>0</v>
      </c>
      <c r="AG312" s="28" t="s">
        <v>53</v>
      </c>
      <c r="AH312" s="46">
        <f t="shared" ref="AH312:AH375" si="111">AC312*(1+AE312)</f>
        <v>158520</v>
      </c>
      <c r="AI312" s="43"/>
      <c r="AJ312" s="28"/>
      <c r="AK312" s="337"/>
      <c r="AL312" s="43"/>
      <c r="AM312" s="44">
        <f t="shared" ref="AM312:AM375" si="112">IF(AND(AJ312&lt;&gt;"",AK312&gt;0),AQ312*(VLOOKUP(AJ312,tbl_cambio,2,FALSE)/AK312-1),0)</f>
        <v>0</v>
      </c>
      <c r="AN312" s="43"/>
      <c r="AO312" s="28">
        <f t="shared" ref="AO312:AO375" si="113">IF(T312="Sim",ROUNDUP(M312*sobress_pc,0),0)</f>
        <v>0</v>
      </c>
      <c r="AP312" s="43"/>
      <c r="AQ312" s="323">
        <f t="shared" ref="AQ312:AQ375" si="114">SUMIFS(col_custoTotal,col_fatdir,"Não",col_item,E312)</f>
        <v>0</v>
      </c>
      <c r="AR312" s="43"/>
      <c r="AS312" s="44">
        <f t="shared" ref="AS312:AS375" si="115">IFERROR(AH312*VLOOKUP(I312,tbl_cambio,2,FALSE),0)</f>
        <v>158520</v>
      </c>
    </row>
    <row r="313" spans="1:45" x14ac:dyDescent="0.25">
      <c r="A313" s="28"/>
      <c r="B313" s="43"/>
      <c r="C313" s="43"/>
      <c r="D313" s="43"/>
      <c r="E313" s="43" t="s">
        <v>2623</v>
      </c>
      <c r="F313" s="43" t="s">
        <v>1271</v>
      </c>
      <c r="G313" s="46">
        <f t="shared" si="102"/>
        <v>1120</v>
      </c>
      <c r="H313" s="46">
        <f t="shared" si="103"/>
        <v>1016.4000000000001</v>
      </c>
      <c r="I313" s="28" t="s">
        <v>262</v>
      </c>
      <c r="J313" s="337">
        <v>1</v>
      </c>
      <c r="K313" s="46">
        <f t="shared" si="104"/>
        <v>1120</v>
      </c>
      <c r="L313" s="46">
        <f t="shared" si="105"/>
        <v>1016.4000000000001</v>
      </c>
      <c r="M313" s="338">
        <f t="shared" si="106"/>
        <v>0</v>
      </c>
      <c r="N313" s="43" t="s">
        <v>669</v>
      </c>
      <c r="O313" s="339" t="s">
        <v>167</v>
      </c>
      <c r="P313" s="340" t="str">
        <f>IFERROR(VLOOKUP(O313,NCM!$A$3:$D$99,COLUMN(head_porNCM_IPI)-COLUMN(head_porNCM_NCM)+1,FALSE),"")</f>
        <v/>
      </c>
      <c r="Q313" s="43" t="s">
        <v>1879</v>
      </c>
      <c r="R313" s="78" t="s">
        <v>209</v>
      </c>
      <c r="S313" s="341"/>
      <c r="T313" s="28" t="s">
        <v>53</v>
      </c>
      <c r="U313" s="28" t="s">
        <v>2753</v>
      </c>
      <c r="V313" s="548">
        <v>45425</v>
      </c>
      <c r="W313" s="43"/>
      <c r="X313" s="342">
        <f t="shared" si="107"/>
        <v>0</v>
      </c>
      <c r="Y313" s="342">
        <f t="shared" si="108"/>
        <v>0</v>
      </c>
      <c r="Z313" s="46">
        <f t="shared" si="109"/>
        <v>18.48</v>
      </c>
      <c r="AA313" s="46">
        <f t="shared" si="110"/>
        <v>85.12</v>
      </c>
      <c r="AB313" s="43"/>
      <c r="AC313" s="44">
        <v>1120</v>
      </c>
      <c r="AD313" s="31">
        <v>0</v>
      </c>
      <c r="AE313" s="31">
        <v>0</v>
      </c>
      <c r="AF313" s="31">
        <v>0</v>
      </c>
      <c r="AG313" s="28" t="s">
        <v>53</v>
      </c>
      <c r="AH313" s="46">
        <f t="shared" si="111"/>
        <v>1120</v>
      </c>
      <c r="AI313" s="43"/>
      <c r="AJ313" s="28"/>
      <c r="AK313" s="337"/>
      <c r="AL313" s="43"/>
      <c r="AM313" s="44">
        <f t="shared" si="112"/>
        <v>0</v>
      </c>
      <c r="AN313" s="43"/>
      <c r="AO313" s="28">
        <f t="shared" si="113"/>
        <v>0</v>
      </c>
      <c r="AP313" s="43"/>
      <c r="AQ313" s="323">
        <f t="shared" si="114"/>
        <v>0</v>
      </c>
      <c r="AR313" s="43"/>
      <c r="AS313" s="44">
        <f t="shared" si="115"/>
        <v>1120</v>
      </c>
    </row>
    <row r="314" spans="1:45" x14ac:dyDescent="0.25">
      <c r="A314" s="28"/>
      <c r="B314" s="43"/>
      <c r="C314" s="43"/>
      <c r="D314" s="43"/>
      <c r="E314" s="43" t="s">
        <v>2624</v>
      </c>
      <c r="F314" s="43" t="s">
        <v>1272</v>
      </c>
      <c r="G314" s="46">
        <f t="shared" si="102"/>
        <v>260</v>
      </c>
      <c r="H314" s="46">
        <f t="shared" si="103"/>
        <v>235.95000000000002</v>
      </c>
      <c r="I314" s="28" t="s">
        <v>262</v>
      </c>
      <c r="J314" s="337">
        <v>1</v>
      </c>
      <c r="K314" s="46">
        <f t="shared" si="104"/>
        <v>260</v>
      </c>
      <c r="L314" s="46">
        <f t="shared" si="105"/>
        <v>235.95000000000002</v>
      </c>
      <c r="M314" s="338">
        <f t="shared" si="106"/>
        <v>0</v>
      </c>
      <c r="N314" s="43" t="s">
        <v>669</v>
      </c>
      <c r="O314" s="339" t="s">
        <v>167</v>
      </c>
      <c r="P314" s="340" t="str">
        <f>IFERROR(VLOOKUP(O314,NCM!$A$3:$D$99,COLUMN(head_porNCM_IPI)-COLUMN(head_porNCM_NCM)+1,FALSE),"")</f>
        <v/>
      </c>
      <c r="Q314" s="43" t="s">
        <v>1879</v>
      </c>
      <c r="R314" s="78" t="s">
        <v>209</v>
      </c>
      <c r="S314" s="341"/>
      <c r="T314" s="28" t="s">
        <v>53</v>
      </c>
      <c r="U314" s="28" t="s">
        <v>2753</v>
      </c>
      <c r="V314" s="548">
        <v>45425</v>
      </c>
      <c r="W314" s="43"/>
      <c r="X314" s="342">
        <f t="shared" si="107"/>
        <v>0</v>
      </c>
      <c r="Y314" s="342">
        <f t="shared" si="108"/>
        <v>0</v>
      </c>
      <c r="Z314" s="46">
        <f t="shared" si="109"/>
        <v>4.29</v>
      </c>
      <c r="AA314" s="46">
        <f t="shared" si="110"/>
        <v>19.759999999999998</v>
      </c>
      <c r="AB314" s="43"/>
      <c r="AC314" s="44">
        <v>260</v>
      </c>
      <c r="AD314" s="31">
        <v>0</v>
      </c>
      <c r="AE314" s="31">
        <v>0</v>
      </c>
      <c r="AF314" s="31">
        <v>0</v>
      </c>
      <c r="AG314" s="28" t="s">
        <v>53</v>
      </c>
      <c r="AH314" s="46">
        <f t="shared" si="111"/>
        <v>260</v>
      </c>
      <c r="AI314" s="43"/>
      <c r="AJ314" s="28"/>
      <c r="AK314" s="337"/>
      <c r="AL314" s="43"/>
      <c r="AM314" s="44">
        <f t="shared" si="112"/>
        <v>0</v>
      </c>
      <c r="AN314" s="43"/>
      <c r="AO314" s="28">
        <f t="shared" si="113"/>
        <v>0</v>
      </c>
      <c r="AP314" s="43"/>
      <c r="AQ314" s="323">
        <f t="shared" si="114"/>
        <v>0</v>
      </c>
      <c r="AR314" s="43"/>
      <c r="AS314" s="44">
        <f t="shared" si="115"/>
        <v>260</v>
      </c>
    </row>
    <row r="315" spans="1:45" x14ac:dyDescent="0.25">
      <c r="A315" s="28"/>
      <c r="B315" s="43"/>
      <c r="C315" s="43"/>
      <c r="D315" s="43"/>
      <c r="E315" s="43" t="s">
        <v>940</v>
      </c>
      <c r="F315" s="43" t="s">
        <v>1264</v>
      </c>
      <c r="G315" s="46">
        <f t="shared" si="102"/>
        <v>5750</v>
      </c>
      <c r="H315" s="46">
        <f t="shared" si="103"/>
        <v>5218.1250000000009</v>
      </c>
      <c r="I315" s="28" t="s">
        <v>262</v>
      </c>
      <c r="J315" s="337">
        <v>1</v>
      </c>
      <c r="K315" s="46">
        <f t="shared" si="104"/>
        <v>5750</v>
      </c>
      <c r="L315" s="46">
        <f t="shared" si="105"/>
        <v>5218.1250000000009</v>
      </c>
      <c r="M315" s="338">
        <f t="shared" si="106"/>
        <v>0</v>
      </c>
      <c r="N315" s="43" t="s">
        <v>669</v>
      </c>
      <c r="O315" s="339" t="s">
        <v>167</v>
      </c>
      <c r="P315" s="340" t="str">
        <f>IFERROR(VLOOKUP(O315,NCM!$A$3:$D$99,COLUMN(head_porNCM_IPI)-COLUMN(head_porNCM_NCM)+1,FALSE),"")</f>
        <v/>
      </c>
      <c r="Q315" s="43" t="s">
        <v>1879</v>
      </c>
      <c r="R315" s="78" t="s">
        <v>209</v>
      </c>
      <c r="S315" s="341"/>
      <c r="T315" s="28" t="s">
        <v>53</v>
      </c>
      <c r="U315" s="28" t="s">
        <v>2753</v>
      </c>
      <c r="V315" s="548">
        <v>45425</v>
      </c>
      <c r="W315" s="43"/>
      <c r="X315" s="342">
        <f t="shared" si="107"/>
        <v>0</v>
      </c>
      <c r="Y315" s="342">
        <f t="shared" si="108"/>
        <v>0</v>
      </c>
      <c r="Z315" s="46">
        <f t="shared" si="109"/>
        <v>94.875</v>
      </c>
      <c r="AA315" s="46">
        <f t="shared" si="110"/>
        <v>437</v>
      </c>
      <c r="AB315" s="43"/>
      <c r="AC315" s="44">
        <v>5750</v>
      </c>
      <c r="AD315" s="31">
        <v>0</v>
      </c>
      <c r="AE315" s="31">
        <v>0</v>
      </c>
      <c r="AF315" s="31">
        <v>0</v>
      </c>
      <c r="AG315" s="28" t="s">
        <v>53</v>
      </c>
      <c r="AH315" s="46">
        <f t="shared" si="111"/>
        <v>5750</v>
      </c>
      <c r="AI315" s="43"/>
      <c r="AJ315" s="28"/>
      <c r="AK315" s="337"/>
      <c r="AL315" s="43"/>
      <c r="AM315" s="44">
        <f t="shared" si="112"/>
        <v>0</v>
      </c>
      <c r="AN315" s="43"/>
      <c r="AO315" s="28">
        <f t="shared" si="113"/>
        <v>0</v>
      </c>
      <c r="AP315" s="43"/>
      <c r="AQ315" s="323">
        <f t="shared" si="114"/>
        <v>0</v>
      </c>
      <c r="AR315" s="43"/>
      <c r="AS315" s="44">
        <f t="shared" si="115"/>
        <v>5750</v>
      </c>
    </row>
    <row r="316" spans="1:45" x14ac:dyDescent="0.25">
      <c r="A316" s="28"/>
      <c r="B316" s="43"/>
      <c r="C316" s="43"/>
      <c r="D316" s="43"/>
      <c r="E316" s="43" t="s">
        <v>1079</v>
      </c>
      <c r="F316" s="43" t="s">
        <v>1265</v>
      </c>
      <c r="G316" s="46">
        <f t="shared" si="102"/>
        <v>700</v>
      </c>
      <c r="H316" s="46">
        <f t="shared" si="103"/>
        <v>635.25000000000011</v>
      </c>
      <c r="I316" s="28" t="s">
        <v>262</v>
      </c>
      <c r="J316" s="337">
        <v>1</v>
      </c>
      <c r="K316" s="46">
        <f t="shared" si="104"/>
        <v>700</v>
      </c>
      <c r="L316" s="46">
        <f t="shared" si="105"/>
        <v>635.25000000000011</v>
      </c>
      <c r="M316" s="338">
        <f t="shared" si="106"/>
        <v>0</v>
      </c>
      <c r="N316" s="43" t="s">
        <v>669</v>
      </c>
      <c r="O316" s="339" t="s">
        <v>167</v>
      </c>
      <c r="P316" s="340" t="str">
        <f>IFERROR(VLOOKUP(O316,NCM!$A$3:$D$99,COLUMN(head_porNCM_IPI)-COLUMN(head_porNCM_NCM)+1,FALSE),"")</f>
        <v/>
      </c>
      <c r="Q316" s="43" t="s">
        <v>1879</v>
      </c>
      <c r="R316" s="78" t="s">
        <v>209</v>
      </c>
      <c r="S316" s="341"/>
      <c r="T316" s="28" t="s">
        <v>53</v>
      </c>
      <c r="U316" s="28" t="s">
        <v>2753</v>
      </c>
      <c r="V316" s="548">
        <v>45425</v>
      </c>
      <c r="W316" s="43"/>
      <c r="X316" s="342">
        <f t="shared" si="107"/>
        <v>0</v>
      </c>
      <c r="Y316" s="342">
        <f t="shared" si="108"/>
        <v>0</v>
      </c>
      <c r="Z316" s="46">
        <f t="shared" si="109"/>
        <v>11.55</v>
      </c>
      <c r="AA316" s="46">
        <f t="shared" si="110"/>
        <v>53.199999999999996</v>
      </c>
      <c r="AB316" s="43"/>
      <c r="AC316" s="44">
        <v>700</v>
      </c>
      <c r="AD316" s="31">
        <v>0</v>
      </c>
      <c r="AE316" s="31">
        <v>0</v>
      </c>
      <c r="AF316" s="31">
        <v>0</v>
      </c>
      <c r="AG316" s="28" t="s">
        <v>53</v>
      </c>
      <c r="AH316" s="46">
        <f t="shared" si="111"/>
        <v>700</v>
      </c>
      <c r="AI316" s="43"/>
      <c r="AJ316" s="28"/>
      <c r="AK316" s="337"/>
      <c r="AL316" s="43"/>
      <c r="AM316" s="44">
        <f t="shared" si="112"/>
        <v>0</v>
      </c>
      <c r="AN316" s="43"/>
      <c r="AO316" s="28">
        <f t="shared" si="113"/>
        <v>0</v>
      </c>
      <c r="AP316" s="43"/>
      <c r="AQ316" s="323">
        <f t="shared" si="114"/>
        <v>0</v>
      </c>
      <c r="AR316" s="43"/>
      <c r="AS316" s="44">
        <f t="shared" si="115"/>
        <v>700</v>
      </c>
    </row>
    <row r="317" spans="1:45" x14ac:dyDescent="0.25">
      <c r="A317" s="28"/>
      <c r="B317" s="43"/>
      <c r="C317" s="43"/>
      <c r="D317" s="43"/>
      <c r="E317" s="43" t="s">
        <v>800</v>
      </c>
      <c r="F317" s="43" t="s">
        <v>1267</v>
      </c>
      <c r="G317" s="46">
        <f t="shared" si="102"/>
        <v>5750</v>
      </c>
      <c r="H317" s="46">
        <f t="shared" si="103"/>
        <v>5218.1250000000009</v>
      </c>
      <c r="I317" s="28" t="s">
        <v>262</v>
      </c>
      <c r="J317" s="337">
        <v>1</v>
      </c>
      <c r="K317" s="46">
        <f t="shared" si="104"/>
        <v>5750</v>
      </c>
      <c r="L317" s="46">
        <f t="shared" si="105"/>
        <v>5218.1250000000009</v>
      </c>
      <c r="M317" s="338">
        <f t="shared" si="106"/>
        <v>0</v>
      </c>
      <c r="N317" s="43" t="s">
        <v>669</v>
      </c>
      <c r="O317" s="339" t="s">
        <v>167</v>
      </c>
      <c r="P317" s="340" t="str">
        <f>IFERROR(VLOOKUP(O317,NCM!$A$3:$D$99,COLUMN(head_porNCM_IPI)-COLUMN(head_porNCM_NCM)+1,FALSE),"")</f>
        <v/>
      </c>
      <c r="Q317" s="43" t="s">
        <v>1879</v>
      </c>
      <c r="R317" s="78" t="s">
        <v>209</v>
      </c>
      <c r="S317" s="341"/>
      <c r="T317" s="28" t="s">
        <v>53</v>
      </c>
      <c r="U317" s="28" t="s">
        <v>2753</v>
      </c>
      <c r="V317" s="548">
        <v>45425</v>
      </c>
      <c r="W317" s="43"/>
      <c r="X317" s="342">
        <f t="shared" si="107"/>
        <v>0</v>
      </c>
      <c r="Y317" s="342">
        <f t="shared" si="108"/>
        <v>0</v>
      </c>
      <c r="Z317" s="46">
        <f t="shared" si="109"/>
        <v>94.875</v>
      </c>
      <c r="AA317" s="46">
        <f t="shared" si="110"/>
        <v>437</v>
      </c>
      <c r="AB317" s="43"/>
      <c r="AC317" s="44">
        <v>5750</v>
      </c>
      <c r="AD317" s="31">
        <v>0</v>
      </c>
      <c r="AE317" s="31">
        <v>0</v>
      </c>
      <c r="AF317" s="31">
        <v>0</v>
      </c>
      <c r="AG317" s="28" t="s">
        <v>53</v>
      </c>
      <c r="AH317" s="46">
        <f t="shared" si="111"/>
        <v>5750</v>
      </c>
      <c r="AI317" s="43"/>
      <c r="AJ317" s="28"/>
      <c r="AK317" s="337"/>
      <c r="AL317" s="43"/>
      <c r="AM317" s="44">
        <f t="shared" si="112"/>
        <v>0</v>
      </c>
      <c r="AN317" s="43"/>
      <c r="AO317" s="28">
        <f t="shared" si="113"/>
        <v>0</v>
      </c>
      <c r="AP317" s="43"/>
      <c r="AQ317" s="323">
        <f t="shared" si="114"/>
        <v>0</v>
      </c>
      <c r="AR317" s="43"/>
      <c r="AS317" s="44">
        <f t="shared" si="115"/>
        <v>5750</v>
      </c>
    </row>
    <row r="318" spans="1:45" x14ac:dyDescent="0.25">
      <c r="A318" s="28"/>
      <c r="B318" s="43"/>
      <c r="C318" s="43"/>
      <c r="D318" s="43"/>
      <c r="E318" s="43" t="s">
        <v>801</v>
      </c>
      <c r="F318" s="43" t="s">
        <v>1268</v>
      </c>
      <c r="G318" s="46">
        <f t="shared" si="102"/>
        <v>700</v>
      </c>
      <c r="H318" s="46">
        <f t="shared" si="103"/>
        <v>635.25000000000011</v>
      </c>
      <c r="I318" s="28" t="s">
        <v>262</v>
      </c>
      <c r="J318" s="337">
        <v>1</v>
      </c>
      <c r="K318" s="46">
        <f t="shared" si="104"/>
        <v>700</v>
      </c>
      <c r="L318" s="46">
        <f t="shared" si="105"/>
        <v>635.25000000000011</v>
      </c>
      <c r="M318" s="338">
        <f t="shared" si="106"/>
        <v>0</v>
      </c>
      <c r="N318" s="43" t="s">
        <v>669</v>
      </c>
      <c r="O318" s="339" t="s">
        <v>167</v>
      </c>
      <c r="P318" s="340" t="str">
        <f>IFERROR(VLOOKUP(O318,NCM!$A$3:$D$99,COLUMN(head_porNCM_IPI)-COLUMN(head_porNCM_NCM)+1,FALSE),"")</f>
        <v/>
      </c>
      <c r="Q318" s="43" t="s">
        <v>1879</v>
      </c>
      <c r="R318" s="78" t="s">
        <v>209</v>
      </c>
      <c r="S318" s="341"/>
      <c r="T318" s="28" t="s">
        <v>53</v>
      </c>
      <c r="U318" s="28" t="s">
        <v>2753</v>
      </c>
      <c r="V318" s="548">
        <v>45425</v>
      </c>
      <c r="W318" s="43"/>
      <c r="X318" s="342">
        <f t="shared" si="107"/>
        <v>0</v>
      </c>
      <c r="Y318" s="342">
        <f t="shared" si="108"/>
        <v>0</v>
      </c>
      <c r="Z318" s="46">
        <f t="shared" si="109"/>
        <v>11.55</v>
      </c>
      <c r="AA318" s="46">
        <f t="shared" si="110"/>
        <v>53.199999999999996</v>
      </c>
      <c r="AB318" s="43"/>
      <c r="AC318" s="44">
        <v>700</v>
      </c>
      <c r="AD318" s="31">
        <v>0</v>
      </c>
      <c r="AE318" s="31">
        <v>0</v>
      </c>
      <c r="AF318" s="31">
        <v>0</v>
      </c>
      <c r="AG318" s="28" t="s">
        <v>53</v>
      </c>
      <c r="AH318" s="46">
        <f t="shared" si="111"/>
        <v>700</v>
      </c>
      <c r="AI318" s="43"/>
      <c r="AJ318" s="28"/>
      <c r="AK318" s="337"/>
      <c r="AL318" s="43"/>
      <c r="AM318" s="44">
        <f t="shared" si="112"/>
        <v>0</v>
      </c>
      <c r="AN318" s="43"/>
      <c r="AO318" s="28">
        <f t="shared" si="113"/>
        <v>0</v>
      </c>
      <c r="AP318" s="43"/>
      <c r="AQ318" s="323">
        <f t="shared" si="114"/>
        <v>0</v>
      </c>
      <c r="AR318" s="43"/>
      <c r="AS318" s="44">
        <f t="shared" si="115"/>
        <v>700</v>
      </c>
    </row>
    <row r="319" spans="1:45" x14ac:dyDescent="0.25">
      <c r="A319" s="28"/>
      <c r="B319" s="43"/>
      <c r="C319" s="43"/>
      <c r="D319" s="43"/>
      <c r="E319" s="43" t="s">
        <v>2625</v>
      </c>
      <c r="F319" s="43" t="s">
        <v>1269</v>
      </c>
      <c r="G319" s="46">
        <f t="shared" si="102"/>
        <v>5750</v>
      </c>
      <c r="H319" s="46">
        <f t="shared" si="103"/>
        <v>5218.1250000000009</v>
      </c>
      <c r="I319" s="28" t="s">
        <v>262</v>
      </c>
      <c r="J319" s="337">
        <v>1</v>
      </c>
      <c r="K319" s="46">
        <f t="shared" si="104"/>
        <v>5750</v>
      </c>
      <c r="L319" s="46">
        <f t="shared" si="105"/>
        <v>5218.1250000000009</v>
      </c>
      <c r="M319" s="338">
        <f t="shared" si="106"/>
        <v>0</v>
      </c>
      <c r="N319" s="43" t="s">
        <v>669</v>
      </c>
      <c r="O319" s="339" t="s">
        <v>167</v>
      </c>
      <c r="P319" s="340" t="str">
        <f>IFERROR(VLOOKUP(O319,NCM!$A$3:$D$99,COLUMN(head_porNCM_IPI)-COLUMN(head_porNCM_NCM)+1,FALSE),"")</f>
        <v/>
      </c>
      <c r="Q319" s="43" t="s">
        <v>1879</v>
      </c>
      <c r="R319" s="78" t="s">
        <v>209</v>
      </c>
      <c r="S319" s="341"/>
      <c r="T319" s="28" t="s">
        <v>53</v>
      </c>
      <c r="U319" s="28" t="s">
        <v>2753</v>
      </c>
      <c r="V319" s="548">
        <v>45425</v>
      </c>
      <c r="W319" s="43"/>
      <c r="X319" s="342">
        <f t="shared" si="107"/>
        <v>0</v>
      </c>
      <c r="Y319" s="342">
        <f t="shared" si="108"/>
        <v>0</v>
      </c>
      <c r="Z319" s="46">
        <f t="shared" si="109"/>
        <v>94.875</v>
      </c>
      <c r="AA319" s="46">
        <f t="shared" si="110"/>
        <v>437</v>
      </c>
      <c r="AB319" s="43"/>
      <c r="AC319" s="44">
        <v>5750</v>
      </c>
      <c r="AD319" s="31">
        <v>0</v>
      </c>
      <c r="AE319" s="31">
        <v>0</v>
      </c>
      <c r="AF319" s="31">
        <v>0</v>
      </c>
      <c r="AG319" s="28" t="s">
        <v>53</v>
      </c>
      <c r="AH319" s="46">
        <f t="shared" si="111"/>
        <v>5750</v>
      </c>
      <c r="AI319" s="43"/>
      <c r="AJ319" s="28"/>
      <c r="AK319" s="337"/>
      <c r="AL319" s="43"/>
      <c r="AM319" s="44">
        <f t="shared" si="112"/>
        <v>0</v>
      </c>
      <c r="AN319" s="43"/>
      <c r="AO319" s="28">
        <f t="shared" si="113"/>
        <v>0</v>
      </c>
      <c r="AP319" s="43"/>
      <c r="AQ319" s="323">
        <f t="shared" si="114"/>
        <v>0</v>
      </c>
      <c r="AR319" s="43"/>
      <c r="AS319" s="44">
        <f t="shared" si="115"/>
        <v>5750</v>
      </c>
    </row>
    <row r="320" spans="1:45" x14ac:dyDescent="0.25">
      <c r="A320" s="28"/>
      <c r="B320" s="43"/>
      <c r="C320" s="43"/>
      <c r="D320" s="43"/>
      <c r="E320" s="43" t="s">
        <v>2626</v>
      </c>
      <c r="F320" s="43" t="s">
        <v>1270</v>
      </c>
      <c r="G320" s="46">
        <f t="shared" si="102"/>
        <v>700</v>
      </c>
      <c r="H320" s="46">
        <f t="shared" si="103"/>
        <v>635.25000000000011</v>
      </c>
      <c r="I320" s="28" t="s">
        <v>262</v>
      </c>
      <c r="J320" s="337">
        <v>1</v>
      </c>
      <c r="K320" s="46">
        <f t="shared" si="104"/>
        <v>700</v>
      </c>
      <c r="L320" s="46">
        <f t="shared" si="105"/>
        <v>635.25000000000011</v>
      </c>
      <c r="M320" s="338">
        <f t="shared" si="106"/>
        <v>0</v>
      </c>
      <c r="N320" s="43" t="s">
        <v>669</v>
      </c>
      <c r="O320" s="339" t="s">
        <v>167</v>
      </c>
      <c r="P320" s="340" t="str">
        <f>IFERROR(VLOOKUP(O320,NCM!$A$3:$D$99,COLUMN(head_porNCM_IPI)-COLUMN(head_porNCM_NCM)+1,FALSE),"")</f>
        <v/>
      </c>
      <c r="Q320" s="43" t="s">
        <v>1879</v>
      </c>
      <c r="R320" s="78" t="s">
        <v>209</v>
      </c>
      <c r="S320" s="341"/>
      <c r="T320" s="28" t="s">
        <v>53</v>
      </c>
      <c r="U320" s="28" t="s">
        <v>2753</v>
      </c>
      <c r="V320" s="548">
        <v>45425</v>
      </c>
      <c r="W320" s="43"/>
      <c r="X320" s="342">
        <f t="shared" si="107"/>
        <v>0</v>
      </c>
      <c r="Y320" s="342">
        <f t="shared" si="108"/>
        <v>0</v>
      </c>
      <c r="Z320" s="46">
        <f t="shared" si="109"/>
        <v>11.55</v>
      </c>
      <c r="AA320" s="46">
        <f t="shared" si="110"/>
        <v>53.199999999999996</v>
      </c>
      <c r="AB320" s="43"/>
      <c r="AC320" s="44">
        <v>700</v>
      </c>
      <c r="AD320" s="31">
        <v>0</v>
      </c>
      <c r="AE320" s="31">
        <v>0</v>
      </c>
      <c r="AF320" s="31">
        <v>0</v>
      </c>
      <c r="AG320" s="28" t="s">
        <v>53</v>
      </c>
      <c r="AH320" s="46">
        <f t="shared" si="111"/>
        <v>700</v>
      </c>
      <c r="AI320" s="43"/>
      <c r="AJ320" s="28"/>
      <c r="AK320" s="337"/>
      <c r="AL320" s="43"/>
      <c r="AM320" s="44">
        <f t="shared" si="112"/>
        <v>0</v>
      </c>
      <c r="AN320" s="43"/>
      <c r="AO320" s="28">
        <f t="shared" si="113"/>
        <v>0</v>
      </c>
      <c r="AP320" s="43"/>
      <c r="AQ320" s="323">
        <f t="shared" si="114"/>
        <v>0</v>
      </c>
      <c r="AR320" s="43"/>
      <c r="AS320" s="44">
        <f t="shared" si="115"/>
        <v>700</v>
      </c>
    </row>
    <row r="321" spans="1:45" x14ac:dyDescent="0.25">
      <c r="A321" s="28"/>
      <c r="B321" s="43"/>
      <c r="C321" s="43"/>
      <c r="D321" s="43"/>
      <c r="E321" s="43" t="s">
        <v>798</v>
      </c>
      <c r="F321" s="43" t="s">
        <v>1266</v>
      </c>
      <c r="G321" s="46">
        <f t="shared" si="102"/>
        <v>5750</v>
      </c>
      <c r="H321" s="46">
        <f t="shared" si="103"/>
        <v>5218.1250000000009</v>
      </c>
      <c r="I321" s="28" t="s">
        <v>262</v>
      </c>
      <c r="J321" s="337">
        <v>1</v>
      </c>
      <c r="K321" s="46">
        <f t="shared" si="104"/>
        <v>5750</v>
      </c>
      <c r="L321" s="46">
        <f t="shared" si="105"/>
        <v>5218.1250000000009</v>
      </c>
      <c r="M321" s="338">
        <f t="shared" si="106"/>
        <v>0</v>
      </c>
      <c r="N321" s="43" t="s">
        <v>669</v>
      </c>
      <c r="O321" s="339" t="s">
        <v>167</v>
      </c>
      <c r="P321" s="340" t="str">
        <f>IFERROR(VLOOKUP(O321,NCM!$A$3:$D$99,COLUMN(head_porNCM_IPI)-COLUMN(head_porNCM_NCM)+1,FALSE),"")</f>
        <v/>
      </c>
      <c r="Q321" s="43" t="s">
        <v>1879</v>
      </c>
      <c r="R321" s="78" t="s">
        <v>209</v>
      </c>
      <c r="S321" s="341"/>
      <c r="T321" s="28" t="s">
        <v>53</v>
      </c>
      <c r="U321" s="28" t="s">
        <v>2753</v>
      </c>
      <c r="V321" s="548">
        <v>45425</v>
      </c>
      <c r="W321" s="43"/>
      <c r="X321" s="342">
        <f t="shared" si="107"/>
        <v>0</v>
      </c>
      <c r="Y321" s="342">
        <f t="shared" si="108"/>
        <v>0</v>
      </c>
      <c r="Z321" s="46">
        <f t="shared" si="109"/>
        <v>94.875</v>
      </c>
      <c r="AA321" s="46">
        <f t="shared" si="110"/>
        <v>437</v>
      </c>
      <c r="AB321" s="43"/>
      <c r="AC321" s="44">
        <v>5750</v>
      </c>
      <c r="AD321" s="31">
        <v>0</v>
      </c>
      <c r="AE321" s="31">
        <v>0</v>
      </c>
      <c r="AF321" s="31">
        <v>0</v>
      </c>
      <c r="AG321" s="28" t="s">
        <v>53</v>
      </c>
      <c r="AH321" s="46">
        <f t="shared" si="111"/>
        <v>5750</v>
      </c>
      <c r="AI321" s="43"/>
      <c r="AJ321" s="28"/>
      <c r="AK321" s="337"/>
      <c r="AL321" s="43"/>
      <c r="AM321" s="44">
        <f t="shared" si="112"/>
        <v>0</v>
      </c>
      <c r="AN321" s="43"/>
      <c r="AO321" s="28">
        <f t="shared" si="113"/>
        <v>0</v>
      </c>
      <c r="AP321" s="43"/>
      <c r="AQ321" s="323">
        <f t="shared" si="114"/>
        <v>0</v>
      </c>
      <c r="AR321" s="43"/>
      <c r="AS321" s="44">
        <f t="shared" si="115"/>
        <v>5750</v>
      </c>
    </row>
    <row r="322" spans="1:45" x14ac:dyDescent="0.25">
      <c r="A322" s="28"/>
      <c r="B322" s="43"/>
      <c r="C322" s="43"/>
      <c r="D322" s="43"/>
      <c r="E322" s="43" t="s">
        <v>2627</v>
      </c>
      <c r="F322" s="43" t="s">
        <v>2628</v>
      </c>
      <c r="G322" s="46">
        <f t="shared" si="102"/>
        <v>15730</v>
      </c>
      <c r="H322" s="46">
        <f t="shared" si="103"/>
        <v>14274.975000000002</v>
      </c>
      <c r="I322" s="28" t="s">
        <v>262</v>
      </c>
      <c r="J322" s="337">
        <v>1</v>
      </c>
      <c r="K322" s="46">
        <f t="shared" si="104"/>
        <v>15730</v>
      </c>
      <c r="L322" s="46">
        <f t="shared" si="105"/>
        <v>14274.975000000002</v>
      </c>
      <c r="M322" s="338">
        <f t="shared" si="106"/>
        <v>0</v>
      </c>
      <c r="N322" s="43" t="s">
        <v>669</v>
      </c>
      <c r="O322" s="339" t="s">
        <v>167</v>
      </c>
      <c r="P322" s="340" t="str">
        <f>IFERROR(VLOOKUP(O322,NCM!$A$3:$D$99,COLUMN(head_porNCM_IPI)-COLUMN(head_porNCM_NCM)+1,FALSE),"")</f>
        <v/>
      </c>
      <c r="Q322" s="43" t="s">
        <v>1879</v>
      </c>
      <c r="R322" s="78" t="s">
        <v>209</v>
      </c>
      <c r="S322" s="341"/>
      <c r="T322" s="28" t="s">
        <v>53</v>
      </c>
      <c r="U322" s="28" t="s">
        <v>2753</v>
      </c>
      <c r="V322" s="548">
        <v>45425</v>
      </c>
      <c r="W322" s="43"/>
      <c r="X322" s="342">
        <f t="shared" si="107"/>
        <v>0</v>
      </c>
      <c r="Y322" s="342">
        <f t="shared" si="108"/>
        <v>0</v>
      </c>
      <c r="Z322" s="46">
        <f t="shared" si="109"/>
        <v>259.54500000000002</v>
      </c>
      <c r="AA322" s="46">
        <f t="shared" si="110"/>
        <v>1195.48</v>
      </c>
      <c r="AB322" s="43"/>
      <c r="AC322" s="44">
        <v>15730</v>
      </c>
      <c r="AD322" s="31">
        <v>0</v>
      </c>
      <c r="AE322" s="31">
        <v>0</v>
      </c>
      <c r="AF322" s="31">
        <v>0</v>
      </c>
      <c r="AG322" s="28" t="s">
        <v>53</v>
      </c>
      <c r="AH322" s="46">
        <f t="shared" si="111"/>
        <v>15730</v>
      </c>
      <c r="AI322" s="43"/>
      <c r="AJ322" s="28"/>
      <c r="AK322" s="337"/>
      <c r="AL322" s="43"/>
      <c r="AM322" s="44">
        <f t="shared" si="112"/>
        <v>0</v>
      </c>
      <c r="AN322" s="43"/>
      <c r="AO322" s="28">
        <f t="shared" si="113"/>
        <v>0</v>
      </c>
      <c r="AP322" s="43"/>
      <c r="AQ322" s="323">
        <f t="shared" si="114"/>
        <v>0</v>
      </c>
      <c r="AR322" s="43"/>
      <c r="AS322" s="44">
        <f t="shared" si="115"/>
        <v>15730</v>
      </c>
    </row>
    <row r="323" spans="1:45" x14ac:dyDescent="0.25">
      <c r="A323" s="28"/>
      <c r="B323" s="43"/>
      <c r="C323" s="43"/>
      <c r="D323" s="43"/>
      <c r="E323" s="43" t="s">
        <v>1273</v>
      </c>
      <c r="F323" s="43" t="s">
        <v>1274</v>
      </c>
      <c r="G323" s="46">
        <f t="shared" si="102"/>
        <v>5750</v>
      </c>
      <c r="H323" s="46">
        <f t="shared" si="103"/>
        <v>5218.1250000000009</v>
      </c>
      <c r="I323" s="28" t="s">
        <v>262</v>
      </c>
      <c r="J323" s="337">
        <v>1</v>
      </c>
      <c r="K323" s="46">
        <f t="shared" si="104"/>
        <v>5750</v>
      </c>
      <c r="L323" s="46">
        <f t="shared" si="105"/>
        <v>5218.1250000000009</v>
      </c>
      <c r="M323" s="338">
        <f t="shared" si="106"/>
        <v>0</v>
      </c>
      <c r="N323" s="43" t="s">
        <v>669</v>
      </c>
      <c r="O323" s="339" t="s">
        <v>167</v>
      </c>
      <c r="P323" s="340" t="str">
        <f>IFERROR(VLOOKUP(O323,NCM!$A$3:$D$99,COLUMN(head_porNCM_IPI)-COLUMN(head_porNCM_NCM)+1,FALSE),"")</f>
        <v/>
      </c>
      <c r="Q323" s="43" t="s">
        <v>1879</v>
      </c>
      <c r="R323" s="78" t="s">
        <v>209</v>
      </c>
      <c r="S323" s="341"/>
      <c r="T323" s="28" t="s">
        <v>53</v>
      </c>
      <c r="U323" s="28" t="s">
        <v>2753</v>
      </c>
      <c r="V323" s="548">
        <v>45425</v>
      </c>
      <c r="W323" s="43"/>
      <c r="X323" s="342">
        <f t="shared" si="107"/>
        <v>0</v>
      </c>
      <c r="Y323" s="342">
        <f t="shared" si="108"/>
        <v>0</v>
      </c>
      <c r="Z323" s="46">
        <f t="shared" si="109"/>
        <v>94.875</v>
      </c>
      <c r="AA323" s="46">
        <f t="shared" si="110"/>
        <v>437</v>
      </c>
      <c r="AB323" s="43"/>
      <c r="AC323" s="44">
        <v>5750</v>
      </c>
      <c r="AD323" s="31">
        <v>0</v>
      </c>
      <c r="AE323" s="31">
        <v>0</v>
      </c>
      <c r="AF323" s="31">
        <v>0</v>
      </c>
      <c r="AG323" s="28" t="s">
        <v>53</v>
      </c>
      <c r="AH323" s="46">
        <f t="shared" si="111"/>
        <v>5750</v>
      </c>
      <c r="AI323" s="43"/>
      <c r="AJ323" s="28"/>
      <c r="AK323" s="337"/>
      <c r="AL323" s="43"/>
      <c r="AM323" s="44">
        <f t="shared" si="112"/>
        <v>0</v>
      </c>
      <c r="AN323" s="43"/>
      <c r="AO323" s="28">
        <f t="shared" si="113"/>
        <v>0</v>
      </c>
      <c r="AP323" s="43"/>
      <c r="AQ323" s="323">
        <f t="shared" si="114"/>
        <v>0</v>
      </c>
      <c r="AR323" s="43"/>
      <c r="AS323" s="44">
        <f t="shared" si="115"/>
        <v>5750</v>
      </c>
    </row>
    <row r="324" spans="1:45" x14ac:dyDescent="0.25">
      <c r="A324" s="28"/>
      <c r="B324" s="43"/>
      <c r="C324" s="43"/>
      <c r="D324" s="43"/>
      <c r="E324" s="43" t="s">
        <v>802</v>
      </c>
      <c r="F324" s="43" t="s">
        <v>1277</v>
      </c>
      <c r="G324" s="46">
        <f t="shared" si="102"/>
        <v>18520</v>
      </c>
      <c r="H324" s="46">
        <f t="shared" si="103"/>
        <v>16806.900000000001</v>
      </c>
      <c r="I324" s="28" t="s">
        <v>262</v>
      </c>
      <c r="J324" s="337">
        <v>1</v>
      </c>
      <c r="K324" s="46">
        <f t="shared" si="104"/>
        <v>18520</v>
      </c>
      <c r="L324" s="46">
        <f t="shared" si="105"/>
        <v>16806.900000000001</v>
      </c>
      <c r="M324" s="338">
        <f t="shared" si="106"/>
        <v>0</v>
      </c>
      <c r="N324" s="43" t="s">
        <v>669</v>
      </c>
      <c r="O324" s="339" t="s">
        <v>167</v>
      </c>
      <c r="P324" s="340" t="str">
        <f>IFERROR(VLOOKUP(O324,NCM!$A$3:$D$99,COLUMN(head_porNCM_IPI)-COLUMN(head_porNCM_NCM)+1,FALSE),"")</f>
        <v/>
      </c>
      <c r="Q324" s="43" t="s">
        <v>1879</v>
      </c>
      <c r="R324" s="78" t="s">
        <v>209</v>
      </c>
      <c r="S324" s="341"/>
      <c r="T324" s="28" t="s">
        <v>53</v>
      </c>
      <c r="U324" s="28" t="s">
        <v>2753</v>
      </c>
      <c r="V324" s="548">
        <v>45425</v>
      </c>
      <c r="W324" s="43"/>
      <c r="X324" s="342">
        <f t="shared" si="107"/>
        <v>0</v>
      </c>
      <c r="Y324" s="342">
        <f t="shared" si="108"/>
        <v>0</v>
      </c>
      <c r="Z324" s="46">
        <f t="shared" si="109"/>
        <v>305.58000000000004</v>
      </c>
      <c r="AA324" s="46">
        <f t="shared" si="110"/>
        <v>1407.52</v>
      </c>
      <c r="AB324" s="43"/>
      <c r="AC324" s="44">
        <v>18520</v>
      </c>
      <c r="AD324" s="31">
        <v>0</v>
      </c>
      <c r="AE324" s="31">
        <v>0</v>
      </c>
      <c r="AF324" s="31">
        <v>0</v>
      </c>
      <c r="AG324" s="28" t="s">
        <v>53</v>
      </c>
      <c r="AH324" s="46">
        <f t="shared" si="111"/>
        <v>18520</v>
      </c>
      <c r="AI324" s="43"/>
      <c r="AJ324" s="28"/>
      <c r="AK324" s="337"/>
      <c r="AL324" s="43"/>
      <c r="AM324" s="44">
        <f t="shared" si="112"/>
        <v>0</v>
      </c>
      <c r="AN324" s="43"/>
      <c r="AO324" s="28">
        <f t="shared" si="113"/>
        <v>0</v>
      </c>
      <c r="AP324" s="43"/>
      <c r="AQ324" s="323">
        <f t="shared" si="114"/>
        <v>0</v>
      </c>
      <c r="AR324" s="43"/>
      <c r="AS324" s="44">
        <f t="shared" si="115"/>
        <v>18520</v>
      </c>
    </row>
    <row r="325" spans="1:45" x14ac:dyDescent="0.25">
      <c r="A325" s="28"/>
      <c r="B325" s="43"/>
      <c r="C325" s="43"/>
      <c r="D325" s="43"/>
      <c r="E325" s="43" t="s">
        <v>2629</v>
      </c>
      <c r="F325" s="43" t="s">
        <v>2630</v>
      </c>
      <c r="G325" s="46">
        <f t="shared" si="102"/>
        <v>14710</v>
      </c>
      <c r="H325" s="46">
        <f t="shared" si="103"/>
        <v>13349.325000000001</v>
      </c>
      <c r="I325" s="28" t="s">
        <v>262</v>
      </c>
      <c r="J325" s="337">
        <v>1</v>
      </c>
      <c r="K325" s="46">
        <f t="shared" si="104"/>
        <v>14710</v>
      </c>
      <c r="L325" s="46">
        <f t="shared" si="105"/>
        <v>13349.325000000001</v>
      </c>
      <c r="M325" s="338">
        <f t="shared" si="106"/>
        <v>0</v>
      </c>
      <c r="N325" s="43" t="s">
        <v>669</v>
      </c>
      <c r="O325" s="339" t="s">
        <v>167</v>
      </c>
      <c r="P325" s="340" t="str">
        <f>IFERROR(VLOOKUP(O325,NCM!$A$3:$D$99,COLUMN(head_porNCM_IPI)-COLUMN(head_porNCM_NCM)+1,FALSE),"")</f>
        <v/>
      </c>
      <c r="Q325" s="43" t="s">
        <v>1879</v>
      </c>
      <c r="R325" s="78" t="s">
        <v>209</v>
      </c>
      <c r="S325" s="341"/>
      <c r="T325" s="28" t="s">
        <v>53</v>
      </c>
      <c r="U325" s="28" t="s">
        <v>2753</v>
      </c>
      <c r="V325" s="548">
        <v>45425</v>
      </c>
      <c r="W325" s="43"/>
      <c r="X325" s="342">
        <f t="shared" si="107"/>
        <v>0</v>
      </c>
      <c r="Y325" s="342">
        <f t="shared" si="108"/>
        <v>0</v>
      </c>
      <c r="Z325" s="46">
        <f t="shared" si="109"/>
        <v>242.715</v>
      </c>
      <c r="AA325" s="46">
        <f t="shared" si="110"/>
        <v>1117.96</v>
      </c>
      <c r="AB325" s="43"/>
      <c r="AC325" s="44">
        <v>14710</v>
      </c>
      <c r="AD325" s="31">
        <v>0</v>
      </c>
      <c r="AE325" s="31">
        <v>0</v>
      </c>
      <c r="AF325" s="31">
        <v>0</v>
      </c>
      <c r="AG325" s="28" t="s">
        <v>53</v>
      </c>
      <c r="AH325" s="46">
        <f t="shared" si="111"/>
        <v>14710</v>
      </c>
      <c r="AI325" s="43"/>
      <c r="AJ325" s="28"/>
      <c r="AK325" s="337"/>
      <c r="AL325" s="43"/>
      <c r="AM325" s="44">
        <f t="shared" si="112"/>
        <v>0</v>
      </c>
      <c r="AN325" s="43"/>
      <c r="AO325" s="28">
        <f t="shared" si="113"/>
        <v>0</v>
      </c>
      <c r="AP325" s="43"/>
      <c r="AQ325" s="323">
        <f t="shared" si="114"/>
        <v>0</v>
      </c>
      <c r="AR325" s="43"/>
      <c r="AS325" s="44">
        <f t="shared" si="115"/>
        <v>14710</v>
      </c>
    </row>
    <row r="326" spans="1:45" x14ac:dyDescent="0.25">
      <c r="A326" s="28"/>
      <c r="B326" s="43"/>
      <c r="C326" s="43"/>
      <c r="D326" s="43"/>
      <c r="E326" s="43" t="s">
        <v>2044</v>
      </c>
      <c r="F326" s="43" t="s">
        <v>2045</v>
      </c>
      <c r="G326" s="46">
        <f t="shared" si="102"/>
        <v>23150</v>
      </c>
      <c r="H326" s="46">
        <f t="shared" si="103"/>
        <v>21008.625000000004</v>
      </c>
      <c r="I326" s="28" t="s">
        <v>262</v>
      </c>
      <c r="J326" s="337">
        <v>1</v>
      </c>
      <c r="K326" s="46">
        <f t="shared" si="104"/>
        <v>23150</v>
      </c>
      <c r="L326" s="46">
        <f t="shared" si="105"/>
        <v>21008.625000000004</v>
      </c>
      <c r="M326" s="338">
        <f t="shared" si="106"/>
        <v>0</v>
      </c>
      <c r="N326" s="43" t="s">
        <v>669</v>
      </c>
      <c r="O326" s="339" t="s">
        <v>167</v>
      </c>
      <c r="P326" s="340" t="str">
        <f>IFERROR(VLOOKUP(O326,NCM!$A$3:$D$99,COLUMN(head_porNCM_IPI)-COLUMN(head_porNCM_NCM)+1,FALSE),"")</f>
        <v/>
      </c>
      <c r="Q326" s="43" t="s">
        <v>1879</v>
      </c>
      <c r="R326" s="78" t="s">
        <v>209</v>
      </c>
      <c r="S326" s="341"/>
      <c r="T326" s="28" t="s">
        <v>53</v>
      </c>
      <c r="U326" s="28" t="s">
        <v>2753</v>
      </c>
      <c r="V326" s="548">
        <v>45425</v>
      </c>
      <c r="W326" s="43"/>
      <c r="X326" s="342">
        <f t="shared" si="107"/>
        <v>0</v>
      </c>
      <c r="Y326" s="342">
        <f t="shared" si="108"/>
        <v>0</v>
      </c>
      <c r="Z326" s="46">
        <f t="shared" si="109"/>
        <v>381.97500000000002</v>
      </c>
      <c r="AA326" s="46">
        <f t="shared" si="110"/>
        <v>1759.3999999999999</v>
      </c>
      <c r="AB326" s="43"/>
      <c r="AC326" s="44">
        <v>23150</v>
      </c>
      <c r="AD326" s="31">
        <v>0</v>
      </c>
      <c r="AE326" s="31">
        <v>0</v>
      </c>
      <c r="AF326" s="31">
        <v>0</v>
      </c>
      <c r="AG326" s="28" t="s">
        <v>53</v>
      </c>
      <c r="AH326" s="46">
        <f t="shared" si="111"/>
        <v>23150</v>
      </c>
      <c r="AI326" s="43"/>
      <c r="AJ326" s="28"/>
      <c r="AK326" s="337"/>
      <c r="AL326" s="43"/>
      <c r="AM326" s="44">
        <f t="shared" si="112"/>
        <v>0</v>
      </c>
      <c r="AN326" s="43"/>
      <c r="AO326" s="28">
        <f t="shared" si="113"/>
        <v>0</v>
      </c>
      <c r="AP326" s="43"/>
      <c r="AQ326" s="323">
        <f t="shared" si="114"/>
        <v>0</v>
      </c>
      <c r="AR326" s="43"/>
      <c r="AS326" s="44">
        <f t="shared" si="115"/>
        <v>23150</v>
      </c>
    </row>
    <row r="327" spans="1:45" x14ac:dyDescent="0.25">
      <c r="A327" s="28"/>
      <c r="B327" s="43"/>
      <c r="C327" s="43"/>
      <c r="D327" s="43"/>
      <c r="E327" s="43" t="s">
        <v>2046</v>
      </c>
      <c r="F327" s="43" t="s">
        <v>2047</v>
      </c>
      <c r="G327" s="46">
        <f t="shared" si="102"/>
        <v>5750</v>
      </c>
      <c r="H327" s="46">
        <f t="shared" si="103"/>
        <v>5218.1250000000009</v>
      </c>
      <c r="I327" s="28" t="s">
        <v>262</v>
      </c>
      <c r="J327" s="337">
        <v>1</v>
      </c>
      <c r="K327" s="46">
        <f t="shared" si="104"/>
        <v>5750</v>
      </c>
      <c r="L327" s="46">
        <f t="shared" si="105"/>
        <v>5218.1250000000009</v>
      </c>
      <c r="M327" s="338">
        <f t="shared" si="106"/>
        <v>0</v>
      </c>
      <c r="N327" s="43" t="s">
        <v>669</v>
      </c>
      <c r="O327" s="339" t="s">
        <v>167</v>
      </c>
      <c r="P327" s="340" t="str">
        <f>IFERROR(VLOOKUP(O327,NCM!$A$3:$D$99,COLUMN(head_porNCM_IPI)-COLUMN(head_porNCM_NCM)+1,FALSE),"")</f>
        <v/>
      </c>
      <c r="Q327" s="43" t="s">
        <v>1879</v>
      </c>
      <c r="R327" s="78" t="s">
        <v>209</v>
      </c>
      <c r="S327" s="341"/>
      <c r="T327" s="28" t="s">
        <v>53</v>
      </c>
      <c r="U327" s="28" t="s">
        <v>2753</v>
      </c>
      <c r="V327" s="548">
        <v>45425</v>
      </c>
      <c r="W327" s="43"/>
      <c r="X327" s="342">
        <f t="shared" si="107"/>
        <v>0</v>
      </c>
      <c r="Y327" s="342">
        <f t="shared" si="108"/>
        <v>0</v>
      </c>
      <c r="Z327" s="46">
        <f t="shared" si="109"/>
        <v>94.875</v>
      </c>
      <c r="AA327" s="46">
        <f t="shared" si="110"/>
        <v>437</v>
      </c>
      <c r="AB327" s="43"/>
      <c r="AC327" s="44">
        <v>5750</v>
      </c>
      <c r="AD327" s="31">
        <v>0</v>
      </c>
      <c r="AE327" s="31">
        <v>0</v>
      </c>
      <c r="AF327" s="31">
        <v>0</v>
      </c>
      <c r="AG327" s="28" t="s">
        <v>53</v>
      </c>
      <c r="AH327" s="46">
        <f t="shared" si="111"/>
        <v>5750</v>
      </c>
      <c r="AI327" s="43"/>
      <c r="AJ327" s="28"/>
      <c r="AK327" s="337"/>
      <c r="AL327" s="43"/>
      <c r="AM327" s="44">
        <f t="shared" si="112"/>
        <v>0</v>
      </c>
      <c r="AN327" s="43"/>
      <c r="AO327" s="28">
        <f t="shared" si="113"/>
        <v>0</v>
      </c>
      <c r="AP327" s="43"/>
      <c r="AQ327" s="323">
        <f t="shared" si="114"/>
        <v>0</v>
      </c>
      <c r="AR327" s="43"/>
      <c r="AS327" s="44">
        <f t="shared" si="115"/>
        <v>5750</v>
      </c>
    </row>
    <row r="328" spans="1:45" x14ac:dyDescent="0.25">
      <c r="A328" s="28"/>
      <c r="B328" s="43"/>
      <c r="C328" s="43"/>
      <c r="D328" s="43"/>
      <c r="E328" s="43" t="s">
        <v>1275</v>
      </c>
      <c r="F328" s="43" t="s">
        <v>1276</v>
      </c>
      <c r="G328" s="46">
        <f t="shared" si="102"/>
        <v>30340.7</v>
      </c>
      <c r="H328" s="46">
        <f t="shared" si="103"/>
        <v>27534.185250000002</v>
      </c>
      <c r="I328" s="28" t="s">
        <v>262</v>
      </c>
      <c r="J328" s="337">
        <v>1</v>
      </c>
      <c r="K328" s="46">
        <f t="shared" si="104"/>
        <v>30340.7</v>
      </c>
      <c r="L328" s="46">
        <f t="shared" si="105"/>
        <v>27534.185250000002</v>
      </c>
      <c r="M328" s="338">
        <f t="shared" si="106"/>
        <v>0</v>
      </c>
      <c r="N328" s="43" t="s">
        <v>669</v>
      </c>
      <c r="O328" s="339" t="s">
        <v>167</v>
      </c>
      <c r="P328" s="340" t="str">
        <f>IFERROR(VLOOKUP(O328,NCM!$A$3:$D$99,COLUMN(head_porNCM_IPI)-COLUMN(head_porNCM_NCM)+1,FALSE),"")</f>
        <v/>
      </c>
      <c r="Q328" s="43" t="s">
        <v>1879</v>
      </c>
      <c r="R328" s="78" t="s">
        <v>209</v>
      </c>
      <c r="S328" s="341"/>
      <c r="T328" s="28" t="s">
        <v>53</v>
      </c>
      <c r="U328" s="28" t="s">
        <v>2283</v>
      </c>
      <c r="V328" s="548">
        <v>44725</v>
      </c>
      <c r="W328" s="43"/>
      <c r="X328" s="342">
        <f t="shared" si="107"/>
        <v>0</v>
      </c>
      <c r="Y328" s="342">
        <f t="shared" si="108"/>
        <v>0</v>
      </c>
      <c r="Z328" s="46">
        <f t="shared" si="109"/>
        <v>500.62155000000001</v>
      </c>
      <c r="AA328" s="46">
        <f t="shared" si="110"/>
        <v>2305.8932</v>
      </c>
      <c r="AB328" s="43"/>
      <c r="AC328" s="44">
        <v>30340.7</v>
      </c>
      <c r="AD328" s="31">
        <v>0</v>
      </c>
      <c r="AE328" s="31">
        <v>0</v>
      </c>
      <c r="AF328" s="31">
        <v>0</v>
      </c>
      <c r="AG328" s="28" t="s">
        <v>53</v>
      </c>
      <c r="AH328" s="46">
        <f t="shared" si="111"/>
        <v>30340.7</v>
      </c>
      <c r="AI328" s="43"/>
      <c r="AJ328" s="28"/>
      <c r="AK328" s="337"/>
      <c r="AL328" s="43"/>
      <c r="AM328" s="44">
        <f t="shared" si="112"/>
        <v>0</v>
      </c>
      <c r="AN328" s="43"/>
      <c r="AO328" s="28">
        <f t="shared" si="113"/>
        <v>0</v>
      </c>
      <c r="AP328" s="43"/>
      <c r="AQ328" s="323">
        <f t="shared" si="114"/>
        <v>0</v>
      </c>
      <c r="AR328" s="43"/>
      <c r="AS328" s="44">
        <f t="shared" si="115"/>
        <v>30340.7</v>
      </c>
    </row>
    <row r="329" spans="1:45" x14ac:dyDescent="0.25">
      <c r="A329" s="28"/>
      <c r="B329" s="43"/>
      <c r="C329" s="43"/>
      <c r="D329" s="43"/>
      <c r="E329" s="43" t="s">
        <v>2048</v>
      </c>
      <c r="F329" s="43" t="s">
        <v>2631</v>
      </c>
      <c r="G329" s="46">
        <f t="shared" si="102"/>
        <v>7990</v>
      </c>
      <c r="H329" s="46">
        <f t="shared" si="103"/>
        <v>7250.9250000000011</v>
      </c>
      <c r="I329" s="28" t="s">
        <v>262</v>
      </c>
      <c r="J329" s="337">
        <v>1</v>
      </c>
      <c r="K329" s="46">
        <f t="shared" si="104"/>
        <v>7990</v>
      </c>
      <c r="L329" s="46">
        <f t="shared" si="105"/>
        <v>7250.9250000000011</v>
      </c>
      <c r="M329" s="338">
        <f t="shared" si="106"/>
        <v>0</v>
      </c>
      <c r="N329" s="43" t="s">
        <v>669</v>
      </c>
      <c r="O329" s="339" t="s">
        <v>167</v>
      </c>
      <c r="P329" s="340" t="str">
        <f>IFERROR(VLOOKUP(O329,NCM!$A$3:$D$99,COLUMN(head_porNCM_IPI)-COLUMN(head_porNCM_NCM)+1,FALSE),"")</f>
        <v/>
      </c>
      <c r="Q329" s="43" t="s">
        <v>1879</v>
      </c>
      <c r="R329" s="78" t="s">
        <v>209</v>
      </c>
      <c r="S329" s="341"/>
      <c r="T329" s="28" t="s">
        <v>53</v>
      </c>
      <c r="U329" s="28" t="s">
        <v>2753</v>
      </c>
      <c r="V329" s="548">
        <v>45425</v>
      </c>
      <c r="W329" s="43"/>
      <c r="X329" s="342">
        <f t="shared" si="107"/>
        <v>0</v>
      </c>
      <c r="Y329" s="342">
        <f t="shared" si="108"/>
        <v>0</v>
      </c>
      <c r="Z329" s="46">
        <f t="shared" si="109"/>
        <v>131.83500000000001</v>
      </c>
      <c r="AA329" s="46">
        <f t="shared" si="110"/>
        <v>607.24</v>
      </c>
      <c r="AB329" s="43"/>
      <c r="AC329" s="44">
        <v>7990</v>
      </c>
      <c r="AD329" s="31">
        <v>0</v>
      </c>
      <c r="AE329" s="31">
        <v>0</v>
      </c>
      <c r="AF329" s="31">
        <v>0</v>
      </c>
      <c r="AG329" s="28" t="s">
        <v>53</v>
      </c>
      <c r="AH329" s="46">
        <f t="shared" si="111"/>
        <v>7990</v>
      </c>
      <c r="AI329" s="43"/>
      <c r="AJ329" s="28"/>
      <c r="AK329" s="337"/>
      <c r="AL329" s="43"/>
      <c r="AM329" s="44">
        <f t="shared" si="112"/>
        <v>0</v>
      </c>
      <c r="AN329" s="43"/>
      <c r="AO329" s="28">
        <f t="shared" si="113"/>
        <v>0</v>
      </c>
      <c r="AP329" s="43"/>
      <c r="AQ329" s="323">
        <f t="shared" si="114"/>
        <v>0</v>
      </c>
      <c r="AR329" s="43"/>
      <c r="AS329" s="44">
        <f t="shared" si="115"/>
        <v>7990</v>
      </c>
    </row>
    <row r="330" spans="1:45" x14ac:dyDescent="0.25">
      <c r="A330" s="28"/>
      <c r="B330" s="43"/>
      <c r="C330" s="43"/>
      <c r="D330" s="43"/>
      <c r="E330" s="43" t="s">
        <v>2632</v>
      </c>
      <c r="F330" s="43" t="s">
        <v>2633</v>
      </c>
      <c r="G330" s="46">
        <f t="shared" si="102"/>
        <v>4240</v>
      </c>
      <c r="H330" s="46">
        <f t="shared" si="103"/>
        <v>3847.8</v>
      </c>
      <c r="I330" s="28" t="s">
        <v>262</v>
      </c>
      <c r="J330" s="337">
        <v>1</v>
      </c>
      <c r="K330" s="46">
        <f t="shared" si="104"/>
        <v>4240</v>
      </c>
      <c r="L330" s="46">
        <f t="shared" si="105"/>
        <v>3847.8</v>
      </c>
      <c r="M330" s="338">
        <f t="shared" si="106"/>
        <v>0</v>
      </c>
      <c r="N330" s="43" t="s">
        <v>669</v>
      </c>
      <c r="O330" s="339" t="s">
        <v>167</v>
      </c>
      <c r="P330" s="340" t="str">
        <f>IFERROR(VLOOKUP(O330,NCM!$A$3:$D$99,COLUMN(head_porNCM_IPI)-COLUMN(head_porNCM_NCM)+1,FALSE),"")</f>
        <v/>
      </c>
      <c r="Q330" s="43" t="s">
        <v>1879</v>
      </c>
      <c r="R330" s="78" t="s">
        <v>209</v>
      </c>
      <c r="S330" s="341"/>
      <c r="T330" s="28" t="s">
        <v>53</v>
      </c>
      <c r="U330" s="28" t="s">
        <v>2753</v>
      </c>
      <c r="V330" s="548">
        <v>45425</v>
      </c>
      <c r="W330" s="43"/>
      <c r="X330" s="342">
        <f t="shared" si="107"/>
        <v>0</v>
      </c>
      <c r="Y330" s="342">
        <f t="shared" si="108"/>
        <v>0</v>
      </c>
      <c r="Z330" s="46">
        <f t="shared" si="109"/>
        <v>69.960000000000008</v>
      </c>
      <c r="AA330" s="46">
        <f t="shared" si="110"/>
        <v>322.24</v>
      </c>
      <c r="AB330" s="43"/>
      <c r="AC330" s="44">
        <v>4240</v>
      </c>
      <c r="AD330" s="31">
        <v>0</v>
      </c>
      <c r="AE330" s="31">
        <v>0</v>
      </c>
      <c r="AF330" s="31">
        <v>0</v>
      </c>
      <c r="AG330" s="28" t="s">
        <v>53</v>
      </c>
      <c r="AH330" s="46">
        <f t="shared" si="111"/>
        <v>4240</v>
      </c>
      <c r="AI330" s="43"/>
      <c r="AJ330" s="28"/>
      <c r="AK330" s="337"/>
      <c r="AL330" s="43"/>
      <c r="AM330" s="44">
        <f t="shared" si="112"/>
        <v>0</v>
      </c>
      <c r="AN330" s="43"/>
      <c r="AO330" s="28">
        <f t="shared" si="113"/>
        <v>0</v>
      </c>
      <c r="AP330" s="43"/>
      <c r="AQ330" s="323">
        <f t="shared" si="114"/>
        <v>0</v>
      </c>
      <c r="AR330" s="43"/>
      <c r="AS330" s="44">
        <f t="shared" si="115"/>
        <v>4240</v>
      </c>
    </row>
    <row r="331" spans="1:45" x14ac:dyDescent="0.25">
      <c r="A331" s="28"/>
      <c r="B331" s="43"/>
      <c r="C331" s="43"/>
      <c r="D331" s="43"/>
      <c r="E331" s="43" t="s">
        <v>2634</v>
      </c>
      <c r="F331" s="43" t="s">
        <v>2635</v>
      </c>
      <c r="G331" s="46">
        <f t="shared" si="102"/>
        <v>3210</v>
      </c>
      <c r="H331" s="46">
        <f t="shared" si="103"/>
        <v>2913.0750000000003</v>
      </c>
      <c r="I331" s="28" t="s">
        <v>262</v>
      </c>
      <c r="J331" s="337">
        <v>1</v>
      </c>
      <c r="K331" s="46">
        <f t="shared" si="104"/>
        <v>3210</v>
      </c>
      <c r="L331" s="46">
        <f t="shared" si="105"/>
        <v>2913.0750000000003</v>
      </c>
      <c r="M331" s="338">
        <f t="shared" si="106"/>
        <v>0</v>
      </c>
      <c r="N331" s="43" t="s">
        <v>669</v>
      </c>
      <c r="O331" s="339" t="s">
        <v>167</v>
      </c>
      <c r="P331" s="340" t="str">
        <f>IFERROR(VLOOKUP(O331,NCM!$A$3:$D$99,COLUMN(head_porNCM_IPI)-COLUMN(head_porNCM_NCM)+1,FALSE),"")</f>
        <v/>
      </c>
      <c r="Q331" s="43" t="s">
        <v>1879</v>
      </c>
      <c r="R331" s="78" t="s">
        <v>209</v>
      </c>
      <c r="S331" s="341"/>
      <c r="T331" s="28" t="s">
        <v>53</v>
      </c>
      <c r="U331" s="28" t="s">
        <v>2753</v>
      </c>
      <c r="V331" s="548">
        <v>45425</v>
      </c>
      <c r="W331" s="43"/>
      <c r="X331" s="342">
        <f t="shared" si="107"/>
        <v>0</v>
      </c>
      <c r="Y331" s="342">
        <f t="shared" si="108"/>
        <v>0</v>
      </c>
      <c r="Z331" s="46">
        <f t="shared" si="109"/>
        <v>52.965000000000003</v>
      </c>
      <c r="AA331" s="46">
        <f t="shared" si="110"/>
        <v>243.96</v>
      </c>
      <c r="AB331" s="43"/>
      <c r="AC331" s="44">
        <v>3210</v>
      </c>
      <c r="AD331" s="31">
        <v>0</v>
      </c>
      <c r="AE331" s="31">
        <v>0</v>
      </c>
      <c r="AF331" s="31">
        <v>0</v>
      </c>
      <c r="AG331" s="28" t="s">
        <v>53</v>
      </c>
      <c r="AH331" s="46">
        <f t="shared" si="111"/>
        <v>3210</v>
      </c>
      <c r="AI331" s="43"/>
      <c r="AJ331" s="28"/>
      <c r="AK331" s="337"/>
      <c r="AL331" s="43"/>
      <c r="AM331" s="44">
        <f t="shared" si="112"/>
        <v>0</v>
      </c>
      <c r="AN331" s="43"/>
      <c r="AO331" s="28">
        <f t="shared" si="113"/>
        <v>0</v>
      </c>
      <c r="AP331" s="43"/>
      <c r="AQ331" s="323">
        <f t="shared" si="114"/>
        <v>0</v>
      </c>
      <c r="AR331" s="43"/>
      <c r="AS331" s="44">
        <f t="shared" si="115"/>
        <v>3210</v>
      </c>
    </row>
    <row r="332" spans="1:45" x14ac:dyDescent="0.25">
      <c r="A332" s="28"/>
      <c r="B332" s="43"/>
      <c r="C332" s="43"/>
      <c r="D332" s="43"/>
      <c r="E332" s="43" t="s">
        <v>2636</v>
      </c>
      <c r="F332" s="43" t="s">
        <v>2637</v>
      </c>
      <c r="G332" s="46">
        <f t="shared" si="102"/>
        <v>23150</v>
      </c>
      <c r="H332" s="46">
        <f t="shared" si="103"/>
        <v>21008.625000000004</v>
      </c>
      <c r="I332" s="28" t="s">
        <v>262</v>
      </c>
      <c r="J332" s="337">
        <v>1</v>
      </c>
      <c r="K332" s="46">
        <f t="shared" si="104"/>
        <v>23150</v>
      </c>
      <c r="L332" s="46">
        <f t="shared" si="105"/>
        <v>21008.625000000004</v>
      </c>
      <c r="M332" s="338">
        <f t="shared" si="106"/>
        <v>0</v>
      </c>
      <c r="N332" s="43" t="s">
        <v>669</v>
      </c>
      <c r="O332" s="339" t="s">
        <v>167</v>
      </c>
      <c r="P332" s="340" t="str">
        <f>IFERROR(VLOOKUP(O332,NCM!$A$3:$D$99,COLUMN(head_porNCM_IPI)-COLUMN(head_porNCM_NCM)+1,FALSE),"")</f>
        <v/>
      </c>
      <c r="Q332" s="43" t="s">
        <v>1879</v>
      </c>
      <c r="R332" s="78" t="s">
        <v>209</v>
      </c>
      <c r="S332" s="341"/>
      <c r="T332" s="28" t="s">
        <v>53</v>
      </c>
      <c r="U332" s="28" t="s">
        <v>2753</v>
      </c>
      <c r="V332" s="548">
        <v>45425</v>
      </c>
      <c r="W332" s="43"/>
      <c r="X332" s="342">
        <f t="shared" si="107"/>
        <v>0</v>
      </c>
      <c r="Y332" s="342">
        <f t="shared" si="108"/>
        <v>0</v>
      </c>
      <c r="Z332" s="46">
        <f t="shared" si="109"/>
        <v>381.97500000000002</v>
      </c>
      <c r="AA332" s="46">
        <f t="shared" si="110"/>
        <v>1759.3999999999999</v>
      </c>
      <c r="AB332" s="43"/>
      <c r="AC332" s="44">
        <v>23150</v>
      </c>
      <c r="AD332" s="31">
        <v>0</v>
      </c>
      <c r="AE332" s="31">
        <v>0</v>
      </c>
      <c r="AF332" s="31">
        <v>0</v>
      </c>
      <c r="AG332" s="28" t="s">
        <v>53</v>
      </c>
      <c r="AH332" s="46">
        <f t="shared" si="111"/>
        <v>23150</v>
      </c>
      <c r="AI332" s="43"/>
      <c r="AJ332" s="28"/>
      <c r="AK332" s="337"/>
      <c r="AL332" s="43"/>
      <c r="AM332" s="44">
        <f t="shared" si="112"/>
        <v>0</v>
      </c>
      <c r="AN332" s="43"/>
      <c r="AO332" s="28">
        <f t="shared" si="113"/>
        <v>0</v>
      </c>
      <c r="AP332" s="43"/>
      <c r="AQ332" s="323">
        <f t="shared" si="114"/>
        <v>0</v>
      </c>
      <c r="AR332" s="43"/>
      <c r="AS332" s="44">
        <f t="shared" si="115"/>
        <v>23150</v>
      </c>
    </row>
    <row r="333" spans="1:45" x14ac:dyDescent="0.25">
      <c r="A333" s="28"/>
      <c r="B333" s="43"/>
      <c r="C333" s="43"/>
      <c r="D333" s="43" t="s">
        <v>695</v>
      </c>
      <c r="E333" s="43"/>
      <c r="F333" s="43"/>
      <c r="G333" s="46">
        <f t="shared" si="102"/>
        <v>0</v>
      </c>
      <c r="H333" s="46">
        <f t="shared" si="103"/>
        <v>0</v>
      </c>
      <c r="I333" s="28"/>
      <c r="J333" s="337"/>
      <c r="K333" s="46" t="str">
        <f t="shared" si="104"/>
        <v/>
      </c>
      <c r="L333" s="46" t="str">
        <f t="shared" si="105"/>
        <v/>
      </c>
      <c r="M333" s="338">
        <f t="shared" si="106"/>
        <v>0</v>
      </c>
      <c r="N333" s="43"/>
      <c r="O333" s="339"/>
      <c r="P333" s="340" t="str">
        <f>IFERROR(VLOOKUP(O333,NCM!$A$3:$D$99,COLUMN(head_porNCM_IPI)-COLUMN(head_porNCM_NCM)+1,FALSE),"")</f>
        <v/>
      </c>
      <c r="Q333" s="43"/>
      <c r="R333" s="78"/>
      <c r="S333" s="341"/>
      <c r="T333" s="28"/>
      <c r="U333" s="28"/>
      <c r="V333" s="28"/>
      <c r="W333" s="43"/>
      <c r="X333" s="342">
        <f t="shared" si="107"/>
        <v>0</v>
      </c>
      <c r="Y333" s="342">
        <f t="shared" si="108"/>
        <v>0</v>
      </c>
      <c r="Z333" s="46">
        <f t="shared" si="109"/>
        <v>0</v>
      </c>
      <c r="AA333" s="46">
        <f t="shared" si="110"/>
        <v>0</v>
      </c>
      <c r="AB333" s="43"/>
      <c r="AC333" s="44">
        <v>0</v>
      </c>
      <c r="AD333" s="31"/>
      <c r="AE333" s="31"/>
      <c r="AF333" s="31"/>
      <c r="AG333" s="28"/>
      <c r="AH333" s="46">
        <f t="shared" si="111"/>
        <v>0</v>
      </c>
      <c r="AI333" s="43"/>
      <c r="AJ333" s="28"/>
      <c r="AK333" s="337"/>
      <c r="AL333" s="43"/>
      <c r="AM333" s="44">
        <f t="shared" si="112"/>
        <v>0</v>
      </c>
      <c r="AN333" s="43"/>
      <c r="AO333" s="28">
        <f t="shared" si="113"/>
        <v>0</v>
      </c>
      <c r="AP333" s="43"/>
      <c r="AQ333" s="323">
        <f t="shared" si="114"/>
        <v>0</v>
      </c>
      <c r="AR333" s="43"/>
      <c r="AS333" s="44">
        <f t="shared" si="115"/>
        <v>0</v>
      </c>
    </row>
    <row r="334" spans="1:45" x14ac:dyDescent="0.25">
      <c r="A334" s="28"/>
      <c r="B334" s="43"/>
      <c r="C334" s="43"/>
      <c r="D334" s="43"/>
      <c r="E334" s="43" t="s">
        <v>696</v>
      </c>
      <c r="F334" s="43" t="s">
        <v>697</v>
      </c>
      <c r="G334" s="46">
        <f t="shared" si="102"/>
        <v>35800</v>
      </c>
      <c r="H334" s="46">
        <f t="shared" si="103"/>
        <v>32488.500000000004</v>
      </c>
      <c r="I334" s="28" t="s">
        <v>262</v>
      </c>
      <c r="J334" s="337">
        <v>1</v>
      </c>
      <c r="K334" s="46">
        <f t="shared" si="104"/>
        <v>35800</v>
      </c>
      <c r="L334" s="46">
        <f t="shared" si="105"/>
        <v>32488.500000000004</v>
      </c>
      <c r="M334" s="338">
        <f t="shared" si="106"/>
        <v>2</v>
      </c>
      <c r="N334" s="43" t="s">
        <v>669</v>
      </c>
      <c r="O334" s="339" t="s">
        <v>167</v>
      </c>
      <c r="P334" s="340" t="str">
        <f>IFERROR(VLOOKUP(O334,NCM!$A$3:$D$99,COLUMN(head_porNCM_IPI)-COLUMN(head_porNCM_NCM)+1,FALSE),"")</f>
        <v/>
      </c>
      <c r="Q334" s="43" t="s">
        <v>720</v>
      </c>
      <c r="R334" s="78" t="s">
        <v>209</v>
      </c>
      <c r="S334" s="341"/>
      <c r="T334" s="28" t="s">
        <v>53</v>
      </c>
      <c r="U334" s="28" t="s">
        <v>2754</v>
      </c>
      <c r="V334" s="548">
        <v>45064</v>
      </c>
      <c r="W334" s="43"/>
      <c r="X334" s="342">
        <f t="shared" si="107"/>
        <v>0</v>
      </c>
      <c r="Y334" s="342">
        <f t="shared" si="108"/>
        <v>0</v>
      </c>
      <c r="Z334" s="46">
        <f t="shared" si="109"/>
        <v>590.70000000000005</v>
      </c>
      <c r="AA334" s="46">
        <f t="shared" si="110"/>
        <v>2720.7999999999997</v>
      </c>
      <c r="AB334" s="43"/>
      <c r="AC334" s="44">
        <v>35800</v>
      </c>
      <c r="AD334" s="31">
        <v>0</v>
      </c>
      <c r="AE334" s="31">
        <v>0</v>
      </c>
      <c r="AF334" s="31">
        <v>0</v>
      </c>
      <c r="AG334" s="28" t="s">
        <v>53</v>
      </c>
      <c r="AH334" s="46">
        <f t="shared" si="111"/>
        <v>35800</v>
      </c>
      <c r="AI334" s="43"/>
      <c r="AJ334" s="28"/>
      <c r="AK334" s="337"/>
      <c r="AL334" s="43"/>
      <c r="AM334" s="44">
        <f t="shared" si="112"/>
        <v>0</v>
      </c>
      <c r="AN334" s="43"/>
      <c r="AO334" s="28">
        <f t="shared" si="113"/>
        <v>0</v>
      </c>
      <c r="AP334" s="43"/>
      <c r="AQ334" s="323">
        <f t="shared" si="114"/>
        <v>64977.000000000007</v>
      </c>
      <c r="AR334" s="43"/>
      <c r="AS334" s="44">
        <f t="shared" si="115"/>
        <v>35800</v>
      </c>
    </row>
    <row r="335" spans="1:45" x14ac:dyDescent="0.25">
      <c r="A335" s="28"/>
      <c r="B335" s="43"/>
      <c r="C335" s="43"/>
      <c r="D335" s="43"/>
      <c r="E335" s="43" t="s">
        <v>698</v>
      </c>
      <c r="F335" s="43" t="s">
        <v>699</v>
      </c>
      <c r="G335" s="46">
        <f t="shared" si="102"/>
        <v>8100</v>
      </c>
      <c r="H335" s="46">
        <f t="shared" si="103"/>
        <v>7350.7500000000009</v>
      </c>
      <c r="I335" s="28" t="s">
        <v>262</v>
      </c>
      <c r="J335" s="337">
        <v>1</v>
      </c>
      <c r="K335" s="46">
        <f t="shared" si="104"/>
        <v>8100</v>
      </c>
      <c r="L335" s="46">
        <f t="shared" si="105"/>
        <v>7350.7500000000009</v>
      </c>
      <c r="M335" s="338">
        <f t="shared" si="106"/>
        <v>2</v>
      </c>
      <c r="N335" s="43" t="s">
        <v>669</v>
      </c>
      <c r="O335" s="339" t="s">
        <v>167</v>
      </c>
      <c r="P335" s="340" t="str">
        <f>IFERROR(VLOOKUP(O335,NCM!$A$3:$D$99,COLUMN(head_porNCM_IPI)-COLUMN(head_porNCM_NCM)+1,FALSE),"")</f>
        <v/>
      </c>
      <c r="Q335" s="43" t="s">
        <v>720</v>
      </c>
      <c r="R335" s="78" t="s">
        <v>209</v>
      </c>
      <c r="S335" s="341"/>
      <c r="T335" s="28" t="s">
        <v>53</v>
      </c>
      <c r="U335" s="28" t="s">
        <v>2754</v>
      </c>
      <c r="V335" s="548">
        <v>45064</v>
      </c>
      <c r="W335" s="43"/>
      <c r="X335" s="342">
        <f t="shared" si="107"/>
        <v>0</v>
      </c>
      <c r="Y335" s="342">
        <f t="shared" si="108"/>
        <v>0</v>
      </c>
      <c r="Z335" s="46">
        <f t="shared" si="109"/>
        <v>133.65</v>
      </c>
      <c r="AA335" s="46">
        <f t="shared" si="110"/>
        <v>615.6</v>
      </c>
      <c r="AB335" s="43"/>
      <c r="AC335" s="44">
        <v>8100</v>
      </c>
      <c r="AD335" s="31">
        <v>0</v>
      </c>
      <c r="AE335" s="31">
        <v>0</v>
      </c>
      <c r="AF335" s="31">
        <v>0</v>
      </c>
      <c r="AG335" s="28" t="s">
        <v>53</v>
      </c>
      <c r="AH335" s="46">
        <f t="shared" si="111"/>
        <v>8100</v>
      </c>
      <c r="AI335" s="43"/>
      <c r="AJ335" s="28"/>
      <c r="AK335" s="337"/>
      <c r="AL335" s="43"/>
      <c r="AM335" s="44">
        <f t="shared" si="112"/>
        <v>0</v>
      </c>
      <c r="AN335" s="43"/>
      <c r="AO335" s="28">
        <f t="shared" si="113"/>
        <v>0</v>
      </c>
      <c r="AP335" s="43"/>
      <c r="AQ335" s="323">
        <f t="shared" si="114"/>
        <v>14701.500000000002</v>
      </c>
      <c r="AR335" s="43"/>
      <c r="AS335" s="44">
        <f t="shared" si="115"/>
        <v>8100</v>
      </c>
    </row>
    <row r="336" spans="1:45" x14ac:dyDescent="0.25">
      <c r="A336" s="28"/>
      <c r="B336" s="43"/>
      <c r="C336" s="43"/>
      <c r="D336" s="43"/>
      <c r="E336" s="43" t="s">
        <v>702</v>
      </c>
      <c r="F336" s="43" t="s">
        <v>703</v>
      </c>
      <c r="G336" s="46">
        <f t="shared" si="102"/>
        <v>8100</v>
      </c>
      <c r="H336" s="46">
        <f t="shared" si="103"/>
        <v>7350.7500000000009</v>
      </c>
      <c r="I336" s="28" t="s">
        <v>262</v>
      </c>
      <c r="J336" s="337">
        <v>1</v>
      </c>
      <c r="K336" s="46">
        <f t="shared" si="104"/>
        <v>8100</v>
      </c>
      <c r="L336" s="46">
        <f t="shared" si="105"/>
        <v>7350.7500000000009</v>
      </c>
      <c r="M336" s="338">
        <f t="shared" si="106"/>
        <v>2</v>
      </c>
      <c r="N336" s="43" t="s">
        <v>669</v>
      </c>
      <c r="O336" s="339" t="s">
        <v>167</v>
      </c>
      <c r="P336" s="340" t="str">
        <f>IFERROR(VLOOKUP(O336,NCM!$A$3:$D$99,COLUMN(head_porNCM_IPI)-COLUMN(head_porNCM_NCM)+1,FALSE),"")</f>
        <v/>
      </c>
      <c r="Q336" s="43" t="s">
        <v>720</v>
      </c>
      <c r="R336" s="78" t="s">
        <v>209</v>
      </c>
      <c r="S336" s="341"/>
      <c r="T336" s="28" t="s">
        <v>53</v>
      </c>
      <c r="U336" s="28" t="s">
        <v>2754</v>
      </c>
      <c r="V336" s="548">
        <v>45064</v>
      </c>
      <c r="W336" s="43"/>
      <c r="X336" s="342">
        <f t="shared" si="107"/>
        <v>0</v>
      </c>
      <c r="Y336" s="342">
        <f t="shared" si="108"/>
        <v>0</v>
      </c>
      <c r="Z336" s="46">
        <f t="shared" si="109"/>
        <v>133.65</v>
      </c>
      <c r="AA336" s="46">
        <f t="shared" si="110"/>
        <v>615.6</v>
      </c>
      <c r="AB336" s="43"/>
      <c r="AC336" s="44">
        <v>8100</v>
      </c>
      <c r="AD336" s="31">
        <v>0</v>
      </c>
      <c r="AE336" s="31">
        <v>0</v>
      </c>
      <c r="AF336" s="31">
        <v>0</v>
      </c>
      <c r="AG336" s="28" t="s">
        <v>53</v>
      </c>
      <c r="AH336" s="46">
        <f t="shared" si="111"/>
        <v>8100</v>
      </c>
      <c r="AI336" s="43"/>
      <c r="AJ336" s="28"/>
      <c r="AK336" s="337"/>
      <c r="AL336" s="43"/>
      <c r="AM336" s="44">
        <f t="shared" si="112"/>
        <v>0</v>
      </c>
      <c r="AN336" s="43"/>
      <c r="AO336" s="28">
        <f t="shared" si="113"/>
        <v>0</v>
      </c>
      <c r="AP336" s="43"/>
      <c r="AQ336" s="323">
        <f t="shared" si="114"/>
        <v>14701.500000000002</v>
      </c>
      <c r="AR336" s="43"/>
      <c r="AS336" s="44">
        <f t="shared" si="115"/>
        <v>8100</v>
      </c>
    </row>
    <row r="337" spans="1:45" x14ac:dyDescent="0.25">
      <c r="A337" s="28"/>
      <c r="B337" s="43"/>
      <c r="C337" s="43"/>
      <c r="D337" s="43"/>
      <c r="E337" s="43" t="s">
        <v>1146</v>
      </c>
      <c r="F337" s="43" t="s">
        <v>1147</v>
      </c>
      <c r="G337" s="46">
        <f t="shared" si="102"/>
        <v>8100</v>
      </c>
      <c r="H337" s="46">
        <f t="shared" si="103"/>
        <v>7350.7500000000009</v>
      </c>
      <c r="I337" s="28" t="s">
        <v>262</v>
      </c>
      <c r="J337" s="337">
        <v>1</v>
      </c>
      <c r="K337" s="46">
        <f t="shared" si="104"/>
        <v>8100</v>
      </c>
      <c r="L337" s="46">
        <f t="shared" si="105"/>
        <v>7350.7500000000009</v>
      </c>
      <c r="M337" s="338">
        <f t="shared" si="106"/>
        <v>0</v>
      </c>
      <c r="N337" s="43" t="s">
        <v>669</v>
      </c>
      <c r="O337" s="339" t="s">
        <v>167</v>
      </c>
      <c r="P337" s="340" t="str">
        <f>IFERROR(VLOOKUP(O337,NCM!$A$3:$D$99,COLUMN(head_porNCM_IPI)-COLUMN(head_porNCM_NCM)+1,FALSE),"")</f>
        <v/>
      </c>
      <c r="Q337" s="43" t="s">
        <v>720</v>
      </c>
      <c r="R337" s="78" t="s">
        <v>209</v>
      </c>
      <c r="S337" s="341"/>
      <c r="T337" s="28" t="s">
        <v>53</v>
      </c>
      <c r="U337" s="28" t="s">
        <v>2754</v>
      </c>
      <c r="V337" s="548">
        <v>45064</v>
      </c>
      <c r="W337" s="43"/>
      <c r="X337" s="342">
        <f t="shared" si="107"/>
        <v>0</v>
      </c>
      <c r="Y337" s="342">
        <f t="shared" si="108"/>
        <v>0</v>
      </c>
      <c r="Z337" s="46">
        <f t="shared" si="109"/>
        <v>133.65</v>
      </c>
      <c r="AA337" s="46">
        <f t="shared" si="110"/>
        <v>615.6</v>
      </c>
      <c r="AB337" s="43"/>
      <c r="AC337" s="44">
        <v>8100</v>
      </c>
      <c r="AD337" s="31">
        <v>0</v>
      </c>
      <c r="AE337" s="31">
        <v>0</v>
      </c>
      <c r="AF337" s="31">
        <v>0</v>
      </c>
      <c r="AG337" s="28" t="s">
        <v>53</v>
      </c>
      <c r="AH337" s="46">
        <f t="shared" si="111"/>
        <v>8100</v>
      </c>
      <c r="AI337" s="43"/>
      <c r="AJ337" s="28"/>
      <c r="AK337" s="337"/>
      <c r="AL337" s="43"/>
      <c r="AM337" s="44">
        <f t="shared" si="112"/>
        <v>0</v>
      </c>
      <c r="AN337" s="43"/>
      <c r="AO337" s="28">
        <f t="shared" si="113"/>
        <v>0</v>
      </c>
      <c r="AP337" s="43"/>
      <c r="AQ337" s="323">
        <f t="shared" si="114"/>
        <v>0</v>
      </c>
      <c r="AR337" s="43"/>
      <c r="AS337" s="44">
        <f t="shared" si="115"/>
        <v>8100</v>
      </c>
    </row>
    <row r="338" spans="1:45" x14ac:dyDescent="0.25">
      <c r="A338" s="28"/>
      <c r="B338" s="43"/>
      <c r="C338" s="43"/>
      <c r="D338" s="43"/>
      <c r="E338" s="43" t="s">
        <v>1917</v>
      </c>
      <c r="F338" s="43" t="s">
        <v>1918</v>
      </c>
      <c r="G338" s="46">
        <f t="shared" si="102"/>
        <v>6492.3664122137407</v>
      </c>
      <c r="H338" s="46">
        <f t="shared" si="103"/>
        <v>5891.8225190839703</v>
      </c>
      <c r="I338" s="28" t="s">
        <v>262</v>
      </c>
      <c r="J338" s="337">
        <v>1</v>
      </c>
      <c r="K338" s="46">
        <f t="shared" si="104"/>
        <v>6492.3664122137407</v>
      </c>
      <c r="L338" s="46">
        <f t="shared" si="105"/>
        <v>5891.8225190839703</v>
      </c>
      <c r="M338" s="338">
        <f t="shared" si="106"/>
        <v>0</v>
      </c>
      <c r="N338" s="43" t="s">
        <v>669</v>
      </c>
      <c r="O338" s="339" t="s">
        <v>167</v>
      </c>
      <c r="P338" s="340" t="str">
        <f>IFERROR(VLOOKUP(O338,NCM!$A$3:$D$99,COLUMN(head_porNCM_IPI)-COLUMN(head_porNCM_NCM)+1,FALSE),"")</f>
        <v/>
      </c>
      <c r="Q338" s="43" t="s">
        <v>720</v>
      </c>
      <c r="R338" s="78" t="s">
        <v>209</v>
      </c>
      <c r="S338" s="341"/>
      <c r="T338" s="28" t="s">
        <v>53</v>
      </c>
      <c r="U338" s="28"/>
      <c r="V338" s="28"/>
      <c r="W338" s="43"/>
      <c r="X338" s="342">
        <f t="shared" si="107"/>
        <v>0</v>
      </c>
      <c r="Y338" s="342">
        <f t="shared" si="108"/>
        <v>0</v>
      </c>
      <c r="Z338" s="46">
        <f t="shared" si="109"/>
        <v>107.12404580152672</v>
      </c>
      <c r="AA338" s="46">
        <f t="shared" si="110"/>
        <v>493.41984732824426</v>
      </c>
      <c r="AB338" s="43"/>
      <c r="AC338" s="44">
        <v>6492.3664122137407</v>
      </c>
      <c r="AD338" s="31">
        <v>0</v>
      </c>
      <c r="AE338" s="31">
        <v>0</v>
      </c>
      <c r="AF338" s="31">
        <v>0</v>
      </c>
      <c r="AG338" s="28" t="s">
        <v>53</v>
      </c>
      <c r="AH338" s="46">
        <f t="shared" si="111"/>
        <v>6492.3664122137407</v>
      </c>
      <c r="AI338" s="43"/>
      <c r="AJ338" s="28"/>
      <c r="AK338" s="337"/>
      <c r="AL338" s="43"/>
      <c r="AM338" s="44">
        <f t="shared" si="112"/>
        <v>0</v>
      </c>
      <c r="AN338" s="43"/>
      <c r="AO338" s="28">
        <f t="shared" si="113"/>
        <v>0</v>
      </c>
      <c r="AP338" s="43"/>
      <c r="AQ338" s="323">
        <f t="shared" si="114"/>
        <v>0</v>
      </c>
      <c r="AR338" s="43"/>
      <c r="AS338" s="44">
        <f t="shared" si="115"/>
        <v>6492.3664122137407</v>
      </c>
    </row>
    <row r="339" spans="1:45" x14ac:dyDescent="0.25">
      <c r="A339" s="28"/>
      <c r="B339" s="43"/>
      <c r="C339" s="43"/>
      <c r="D339" s="43"/>
      <c r="E339" s="43" t="s">
        <v>700</v>
      </c>
      <c r="F339" s="43" t="s">
        <v>701</v>
      </c>
      <c r="G339" s="46">
        <f t="shared" si="102"/>
        <v>8100</v>
      </c>
      <c r="H339" s="46">
        <f t="shared" si="103"/>
        <v>7350.7500000000009</v>
      </c>
      <c r="I339" s="28" t="s">
        <v>262</v>
      </c>
      <c r="J339" s="337">
        <v>1</v>
      </c>
      <c r="K339" s="46">
        <f t="shared" si="104"/>
        <v>8100</v>
      </c>
      <c r="L339" s="46">
        <f t="shared" si="105"/>
        <v>7350.7500000000009</v>
      </c>
      <c r="M339" s="338">
        <f t="shared" si="106"/>
        <v>0</v>
      </c>
      <c r="N339" s="43" t="s">
        <v>669</v>
      </c>
      <c r="O339" s="339" t="s">
        <v>167</v>
      </c>
      <c r="P339" s="340" t="str">
        <f>IFERROR(VLOOKUP(O339,NCM!$A$3:$D$99,COLUMN(head_porNCM_IPI)-COLUMN(head_porNCM_NCM)+1,FALSE),"")</f>
        <v/>
      </c>
      <c r="Q339" s="43" t="s">
        <v>720</v>
      </c>
      <c r="R339" s="78" t="s">
        <v>209</v>
      </c>
      <c r="S339" s="341"/>
      <c r="T339" s="28" t="s">
        <v>53</v>
      </c>
      <c r="U339" s="28"/>
      <c r="V339" s="28"/>
      <c r="W339" s="43"/>
      <c r="X339" s="342">
        <f t="shared" si="107"/>
        <v>0</v>
      </c>
      <c r="Y339" s="342">
        <f t="shared" si="108"/>
        <v>0</v>
      </c>
      <c r="Z339" s="46">
        <f t="shared" si="109"/>
        <v>133.65</v>
      </c>
      <c r="AA339" s="46">
        <f t="shared" si="110"/>
        <v>615.6</v>
      </c>
      <c r="AB339" s="43"/>
      <c r="AC339" s="44">
        <v>8100</v>
      </c>
      <c r="AD339" s="31">
        <v>0</v>
      </c>
      <c r="AE339" s="31">
        <v>0</v>
      </c>
      <c r="AF339" s="31">
        <v>0</v>
      </c>
      <c r="AG339" s="28" t="s">
        <v>53</v>
      </c>
      <c r="AH339" s="46">
        <f t="shared" si="111"/>
        <v>8100</v>
      </c>
      <c r="AI339" s="43"/>
      <c r="AJ339" s="28"/>
      <c r="AK339" s="337"/>
      <c r="AL339" s="43"/>
      <c r="AM339" s="44">
        <f t="shared" si="112"/>
        <v>0</v>
      </c>
      <c r="AN339" s="43"/>
      <c r="AO339" s="28">
        <f t="shared" si="113"/>
        <v>0</v>
      </c>
      <c r="AP339" s="43"/>
      <c r="AQ339" s="323">
        <f t="shared" si="114"/>
        <v>0</v>
      </c>
      <c r="AR339" s="43"/>
      <c r="AS339" s="44">
        <f t="shared" si="115"/>
        <v>8100</v>
      </c>
    </row>
    <row r="340" spans="1:45" x14ac:dyDescent="0.25">
      <c r="A340" s="28"/>
      <c r="B340" s="43"/>
      <c r="C340" s="43"/>
      <c r="D340" s="43" t="s">
        <v>279</v>
      </c>
      <c r="E340" s="43"/>
      <c r="F340" s="43"/>
      <c r="G340" s="46">
        <f t="shared" si="102"/>
        <v>0</v>
      </c>
      <c r="H340" s="46">
        <f t="shared" si="103"/>
        <v>0</v>
      </c>
      <c r="I340" s="28"/>
      <c r="J340" s="337"/>
      <c r="K340" s="46" t="str">
        <f t="shared" si="104"/>
        <v/>
      </c>
      <c r="L340" s="46" t="str">
        <f t="shared" si="105"/>
        <v/>
      </c>
      <c r="M340" s="338">
        <f t="shared" si="106"/>
        <v>0</v>
      </c>
      <c r="N340" s="43"/>
      <c r="O340" s="339"/>
      <c r="P340" s="340" t="str">
        <f>IFERROR(VLOOKUP(O340,NCM!$A$3:$D$99,COLUMN(head_porNCM_IPI)-COLUMN(head_porNCM_NCM)+1,FALSE),"")</f>
        <v/>
      </c>
      <c r="Q340" s="43"/>
      <c r="R340" s="78"/>
      <c r="S340" s="341"/>
      <c r="T340" s="28"/>
      <c r="U340" s="28"/>
      <c r="V340" s="28"/>
      <c r="W340" s="43"/>
      <c r="X340" s="342">
        <f t="shared" si="107"/>
        <v>0</v>
      </c>
      <c r="Y340" s="342">
        <f t="shared" si="108"/>
        <v>0</v>
      </c>
      <c r="Z340" s="46">
        <f t="shared" si="109"/>
        <v>0</v>
      </c>
      <c r="AA340" s="46">
        <f t="shared" si="110"/>
        <v>0</v>
      </c>
      <c r="AB340" s="43"/>
      <c r="AC340" s="44">
        <v>0</v>
      </c>
      <c r="AD340" s="31"/>
      <c r="AE340" s="31"/>
      <c r="AF340" s="31"/>
      <c r="AG340" s="28"/>
      <c r="AH340" s="46">
        <f t="shared" si="111"/>
        <v>0</v>
      </c>
      <c r="AI340" s="43"/>
      <c r="AJ340" s="28"/>
      <c r="AK340" s="337"/>
      <c r="AL340" s="43"/>
      <c r="AM340" s="44">
        <f t="shared" si="112"/>
        <v>0</v>
      </c>
      <c r="AN340" s="43"/>
      <c r="AO340" s="28">
        <f t="shared" si="113"/>
        <v>0</v>
      </c>
      <c r="AP340" s="43"/>
      <c r="AQ340" s="323">
        <f t="shared" si="114"/>
        <v>0</v>
      </c>
      <c r="AR340" s="43"/>
      <c r="AS340" s="44">
        <f t="shared" si="115"/>
        <v>0</v>
      </c>
    </row>
    <row r="341" spans="1:45" x14ac:dyDescent="0.25">
      <c r="A341" s="28"/>
      <c r="B341" s="43"/>
      <c r="C341" s="43"/>
      <c r="D341" s="43" t="s">
        <v>1278</v>
      </c>
      <c r="E341" s="43"/>
      <c r="F341" s="43"/>
      <c r="G341" s="46">
        <f t="shared" si="102"/>
        <v>0</v>
      </c>
      <c r="H341" s="46">
        <f t="shared" si="103"/>
        <v>0</v>
      </c>
      <c r="I341" s="28"/>
      <c r="J341" s="337"/>
      <c r="K341" s="46" t="str">
        <f t="shared" si="104"/>
        <v/>
      </c>
      <c r="L341" s="46" t="str">
        <f t="shared" si="105"/>
        <v/>
      </c>
      <c r="M341" s="338">
        <f t="shared" si="106"/>
        <v>0</v>
      </c>
      <c r="N341" s="43"/>
      <c r="O341" s="339"/>
      <c r="P341" s="340" t="str">
        <f>IFERROR(VLOOKUP(O341,NCM!$A$3:$D$99,COLUMN(head_porNCM_IPI)-COLUMN(head_porNCM_NCM)+1,FALSE),"")</f>
        <v/>
      </c>
      <c r="Q341" s="43"/>
      <c r="R341" s="78"/>
      <c r="S341" s="341"/>
      <c r="T341" s="28"/>
      <c r="U341" s="28"/>
      <c r="V341" s="28"/>
      <c r="W341" s="43"/>
      <c r="X341" s="342">
        <f t="shared" si="107"/>
        <v>0</v>
      </c>
      <c r="Y341" s="342">
        <f t="shared" si="108"/>
        <v>0</v>
      </c>
      <c r="Z341" s="46">
        <f t="shared" si="109"/>
        <v>0</v>
      </c>
      <c r="AA341" s="46">
        <f t="shared" si="110"/>
        <v>0</v>
      </c>
      <c r="AB341" s="43"/>
      <c r="AC341" s="44">
        <v>0</v>
      </c>
      <c r="AD341" s="31"/>
      <c r="AE341" s="31"/>
      <c r="AF341" s="31"/>
      <c r="AG341" s="28"/>
      <c r="AH341" s="46">
        <f t="shared" si="111"/>
        <v>0</v>
      </c>
      <c r="AI341" s="43"/>
      <c r="AJ341" s="28"/>
      <c r="AK341" s="337"/>
      <c r="AL341" s="43"/>
      <c r="AM341" s="44">
        <f t="shared" si="112"/>
        <v>0</v>
      </c>
      <c r="AN341" s="43"/>
      <c r="AO341" s="28">
        <f t="shared" si="113"/>
        <v>0</v>
      </c>
      <c r="AP341" s="43"/>
      <c r="AQ341" s="323">
        <f t="shared" si="114"/>
        <v>0</v>
      </c>
      <c r="AR341" s="43"/>
      <c r="AS341" s="44">
        <f t="shared" si="115"/>
        <v>0</v>
      </c>
    </row>
    <row r="342" spans="1:45" x14ac:dyDescent="0.25">
      <c r="A342" s="28"/>
      <c r="B342" s="43"/>
      <c r="C342" s="43"/>
      <c r="D342" s="43"/>
      <c r="E342" s="43" t="s">
        <v>1279</v>
      </c>
      <c r="F342" s="43" t="s">
        <v>1280</v>
      </c>
      <c r="G342" s="46">
        <f t="shared" si="102"/>
        <v>1600.5</v>
      </c>
      <c r="H342" s="46">
        <f t="shared" si="103"/>
        <v>1447.875</v>
      </c>
      <c r="I342" s="28" t="s">
        <v>262</v>
      </c>
      <c r="J342" s="337">
        <v>1</v>
      </c>
      <c r="K342" s="46">
        <f t="shared" si="104"/>
        <v>1600.5</v>
      </c>
      <c r="L342" s="46">
        <f t="shared" si="105"/>
        <v>1447.875</v>
      </c>
      <c r="M342" s="338">
        <f t="shared" si="106"/>
        <v>0</v>
      </c>
      <c r="N342" s="43" t="s">
        <v>36</v>
      </c>
      <c r="O342" s="339">
        <v>85389090</v>
      </c>
      <c r="P342" s="340">
        <f>IFERROR(VLOOKUP(O342,NCM!$A$3:$D$99,COLUMN(head_porNCM_IPI)-COLUMN(head_porNCM_NCM)+1,FALSE),"")</f>
        <v>0.15</v>
      </c>
      <c r="Q342" s="43" t="s">
        <v>1278</v>
      </c>
      <c r="R342" s="78" t="s">
        <v>210</v>
      </c>
      <c r="S342" s="341"/>
      <c r="T342" s="28" t="s">
        <v>52</v>
      </c>
      <c r="U342" s="28" t="s">
        <v>2755</v>
      </c>
      <c r="V342" s="548">
        <v>44847</v>
      </c>
      <c r="W342" s="43"/>
      <c r="X342" s="342">
        <f t="shared" si="107"/>
        <v>49.5</v>
      </c>
      <c r="Y342" s="342">
        <f t="shared" si="108"/>
        <v>0</v>
      </c>
      <c r="Z342" s="46">
        <f t="shared" si="109"/>
        <v>27.225000000000001</v>
      </c>
      <c r="AA342" s="46">
        <f t="shared" si="110"/>
        <v>125.39999999999999</v>
      </c>
      <c r="AB342" s="43"/>
      <c r="AC342" s="44">
        <v>1650</v>
      </c>
      <c r="AD342" s="31">
        <v>0.03</v>
      </c>
      <c r="AE342" s="31">
        <v>0</v>
      </c>
      <c r="AF342" s="31">
        <v>0</v>
      </c>
      <c r="AG342" s="28" t="s">
        <v>53</v>
      </c>
      <c r="AH342" s="46">
        <f t="shared" si="111"/>
        <v>1650</v>
      </c>
      <c r="AI342" s="43"/>
      <c r="AJ342" s="28" t="s">
        <v>264</v>
      </c>
      <c r="AK342" s="337"/>
      <c r="AL342" s="43"/>
      <c r="AM342" s="44">
        <f t="shared" si="112"/>
        <v>0</v>
      </c>
      <c r="AN342" s="43"/>
      <c r="AO342" s="28">
        <f t="shared" si="113"/>
        <v>0</v>
      </c>
      <c r="AP342" s="43"/>
      <c r="AQ342" s="323">
        <f t="shared" si="114"/>
        <v>0</v>
      </c>
      <c r="AR342" s="43"/>
      <c r="AS342" s="44">
        <f t="shared" si="115"/>
        <v>1650</v>
      </c>
    </row>
    <row r="343" spans="1:45" x14ac:dyDescent="0.25">
      <c r="A343" s="28"/>
      <c r="B343" s="43"/>
      <c r="C343" s="43"/>
      <c r="D343" s="43"/>
      <c r="E343" s="43" t="s">
        <v>1281</v>
      </c>
      <c r="F343" s="43" t="s">
        <v>1282</v>
      </c>
      <c r="G343" s="46">
        <f t="shared" si="102"/>
        <v>1697.5</v>
      </c>
      <c r="H343" s="46">
        <f t="shared" si="103"/>
        <v>1535.625</v>
      </c>
      <c r="I343" s="28" t="s">
        <v>262</v>
      </c>
      <c r="J343" s="337">
        <v>1</v>
      </c>
      <c r="K343" s="46">
        <f t="shared" si="104"/>
        <v>1697.5</v>
      </c>
      <c r="L343" s="46">
        <f t="shared" si="105"/>
        <v>1535.625</v>
      </c>
      <c r="M343" s="338">
        <f t="shared" si="106"/>
        <v>0</v>
      </c>
      <c r="N343" s="43" t="s">
        <v>36</v>
      </c>
      <c r="O343" s="339">
        <v>85364900</v>
      </c>
      <c r="P343" s="340">
        <f>IFERROR(VLOOKUP(O343,NCM!$A$3:$D$99,COLUMN(head_porNCM_IPI)-COLUMN(head_porNCM_NCM)+1,FALSE),"")</f>
        <v>3.2500000000000001E-2</v>
      </c>
      <c r="Q343" s="43" t="s">
        <v>1278</v>
      </c>
      <c r="R343" s="78" t="s">
        <v>210</v>
      </c>
      <c r="S343" s="341"/>
      <c r="T343" s="28" t="s">
        <v>52</v>
      </c>
      <c r="U343" s="28" t="s">
        <v>2755</v>
      </c>
      <c r="V343" s="548">
        <v>44847</v>
      </c>
      <c r="W343" s="43"/>
      <c r="X343" s="342">
        <f t="shared" si="107"/>
        <v>52.5</v>
      </c>
      <c r="Y343" s="342">
        <f t="shared" si="108"/>
        <v>0</v>
      </c>
      <c r="Z343" s="46">
        <f t="shared" si="109"/>
        <v>28.875</v>
      </c>
      <c r="AA343" s="46">
        <f t="shared" si="110"/>
        <v>133</v>
      </c>
      <c r="AB343" s="43"/>
      <c r="AC343" s="44">
        <v>1750</v>
      </c>
      <c r="AD343" s="31">
        <v>0.03</v>
      </c>
      <c r="AE343" s="31">
        <v>0</v>
      </c>
      <c r="AF343" s="31">
        <v>0</v>
      </c>
      <c r="AG343" s="28" t="s">
        <v>53</v>
      </c>
      <c r="AH343" s="46">
        <f t="shared" si="111"/>
        <v>1750</v>
      </c>
      <c r="AI343" s="43"/>
      <c r="AJ343" s="28" t="s">
        <v>264</v>
      </c>
      <c r="AK343" s="337"/>
      <c r="AL343" s="43"/>
      <c r="AM343" s="44">
        <f t="shared" si="112"/>
        <v>0</v>
      </c>
      <c r="AN343" s="43"/>
      <c r="AO343" s="28">
        <f t="shared" si="113"/>
        <v>0</v>
      </c>
      <c r="AP343" s="43"/>
      <c r="AQ343" s="323">
        <f t="shared" si="114"/>
        <v>0</v>
      </c>
      <c r="AR343" s="43"/>
      <c r="AS343" s="44">
        <f t="shared" si="115"/>
        <v>1750</v>
      </c>
    </row>
    <row r="344" spans="1:45" x14ac:dyDescent="0.25">
      <c r="A344" s="28"/>
      <c r="B344" s="43"/>
      <c r="C344" s="43"/>
      <c r="D344" s="43" t="s">
        <v>806</v>
      </c>
      <c r="E344" s="43"/>
      <c r="F344" s="43"/>
      <c r="G344" s="46">
        <f t="shared" si="102"/>
        <v>0</v>
      </c>
      <c r="H344" s="46">
        <f t="shared" si="103"/>
        <v>0</v>
      </c>
      <c r="I344" s="28"/>
      <c r="J344" s="337"/>
      <c r="K344" s="46" t="str">
        <f t="shared" si="104"/>
        <v/>
      </c>
      <c r="L344" s="46" t="str">
        <f t="shared" si="105"/>
        <v/>
      </c>
      <c r="M344" s="338">
        <f t="shared" si="106"/>
        <v>0</v>
      </c>
      <c r="N344" s="43"/>
      <c r="O344" s="339"/>
      <c r="P344" s="340" t="str">
        <f>IFERROR(VLOOKUP(O344,NCM!$A$3:$D$99,COLUMN(head_porNCM_IPI)-COLUMN(head_porNCM_NCM)+1,FALSE),"")</f>
        <v/>
      </c>
      <c r="Q344" s="43"/>
      <c r="R344" s="78"/>
      <c r="S344" s="341"/>
      <c r="T344" s="28"/>
      <c r="U344" s="28"/>
      <c r="V344" s="28"/>
      <c r="W344" s="43"/>
      <c r="X344" s="342">
        <f t="shared" si="107"/>
        <v>0</v>
      </c>
      <c r="Y344" s="342">
        <f t="shared" si="108"/>
        <v>0</v>
      </c>
      <c r="Z344" s="46">
        <f t="shared" si="109"/>
        <v>0</v>
      </c>
      <c r="AA344" s="46">
        <f t="shared" si="110"/>
        <v>0</v>
      </c>
      <c r="AB344" s="43"/>
      <c r="AC344" s="44">
        <v>0</v>
      </c>
      <c r="AD344" s="31"/>
      <c r="AE344" s="31"/>
      <c r="AF344" s="31"/>
      <c r="AG344" s="28"/>
      <c r="AH344" s="46">
        <f t="shared" si="111"/>
        <v>0</v>
      </c>
      <c r="AI344" s="43"/>
      <c r="AJ344" s="28"/>
      <c r="AK344" s="337"/>
      <c r="AL344" s="43"/>
      <c r="AM344" s="44">
        <f t="shared" si="112"/>
        <v>0</v>
      </c>
      <c r="AN344" s="43"/>
      <c r="AO344" s="28">
        <f t="shared" si="113"/>
        <v>0</v>
      </c>
      <c r="AP344" s="43"/>
      <c r="AQ344" s="323">
        <f t="shared" si="114"/>
        <v>0</v>
      </c>
      <c r="AR344" s="43"/>
      <c r="AS344" s="44">
        <f t="shared" si="115"/>
        <v>0</v>
      </c>
    </row>
    <row r="345" spans="1:45" x14ac:dyDescent="0.25">
      <c r="A345" s="28"/>
      <c r="B345" s="43"/>
      <c r="C345" s="43"/>
      <c r="D345" s="43"/>
      <c r="E345" s="43" t="s">
        <v>1283</v>
      </c>
      <c r="F345" s="43" t="s">
        <v>1284</v>
      </c>
      <c r="G345" s="46">
        <f t="shared" si="102"/>
        <v>57.957600000000006</v>
      </c>
      <c r="H345" s="46">
        <f t="shared" si="103"/>
        <v>51.419700000000013</v>
      </c>
      <c r="I345" s="28" t="s">
        <v>262</v>
      </c>
      <c r="J345" s="337">
        <v>0.35</v>
      </c>
      <c r="K345" s="46">
        <f t="shared" si="104"/>
        <v>20.285160000000001</v>
      </c>
      <c r="L345" s="46">
        <f t="shared" si="105"/>
        <v>17.996895000000002</v>
      </c>
      <c r="M345" s="338">
        <f t="shared" si="106"/>
        <v>0</v>
      </c>
      <c r="N345" s="43" t="s">
        <v>36</v>
      </c>
      <c r="O345" s="339">
        <v>85389090</v>
      </c>
      <c r="P345" s="340">
        <f>IFERROR(VLOOKUP(O345,NCM!$A$3:$D$99,COLUMN(head_porNCM_IPI)-COLUMN(head_porNCM_NCM)+1,FALSE),"")</f>
        <v>0.15</v>
      </c>
      <c r="Q345" s="43" t="s">
        <v>806</v>
      </c>
      <c r="R345" s="78" t="s">
        <v>210</v>
      </c>
      <c r="S345" s="341"/>
      <c r="T345" s="28" t="s">
        <v>52</v>
      </c>
      <c r="U345" s="28" t="s">
        <v>3113</v>
      </c>
      <c r="V345" s="548">
        <v>45469</v>
      </c>
      <c r="W345" s="43"/>
      <c r="X345" s="342">
        <f t="shared" si="107"/>
        <v>11.592164009111618</v>
      </c>
      <c r="Y345" s="342">
        <f t="shared" si="108"/>
        <v>6.2790888382687911</v>
      </c>
      <c r="Z345" s="46">
        <f t="shared" si="109"/>
        <v>1.0626150341685652</v>
      </c>
      <c r="AA345" s="46">
        <f t="shared" si="110"/>
        <v>4.8944692482915721</v>
      </c>
      <c r="AB345" s="43"/>
      <c r="AC345" s="44">
        <v>70.680000000000007</v>
      </c>
      <c r="AD345" s="31">
        <v>0.18</v>
      </c>
      <c r="AE345" s="31">
        <v>9.7500000000000003E-2</v>
      </c>
      <c r="AF345" s="31">
        <v>0</v>
      </c>
      <c r="AG345" s="28" t="s">
        <v>53</v>
      </c>
      <c r="AH345" s="46">
        <f t="shared" si="111"/>
        <v>77.571300000000008</v>
      </c>
      <c r="AI345" s="43"/>
      <c r="AJ345" s="28" t="s">
        <v>264</v>
      </c>
      <c r="AK345" s="337"/>
      <c r="AL345" s="43"/>
      <c r="AM345" s="44">
        <f t="shared" si="112"/>
        <v>0</v>
      </c>
      <c r="AN345" s="43"/>
      <c r="AO345" s="28">
        <f t="shared" si="113"/>
        <v>0</v>
      </c>
      <c r="AP345" s="43"/>
      <c r="AQ345" s="323">
        <f t="shared" si="114"/>
        <v>0</v>
      </c>
      <c r="AR345" s="43"/>
      <c r="AS345" s="44">
        <f t="shared" si="115"/>
        <v>77.571300000000008</v>
      </c>
    </row>
    <row r="346" spans="1:45" x14ac:dyDescent="0.25">
      <c r="A346" s="28"/>
      <c r="B346" s="43"/>
      <c r="C346" s="43"/>
      <c r="D346" s="43"/>
      <c r="E346" s="43" t="s">
        <v>1285</v>
      </c>
      <c r="F346" s="43" t="s">
        <v>1282</v>
      </c>
      <c r="G346" s="46">
        <f t="shared" si="102"/>
        <v>87.649800000000013</v>
      </c>
      <c r="H346" s="46">
        <f t="shared" si="103"/>
        <v>77.762475000000009</v>
      </c>
      <c r="I346" s="28" t="s">
        <v>262</v>
      </c>
      <c r="J346" s="337">
        <v>0.35</v>
      </c>
      <c r="K346" s="46">
        <f t="shared" si="104"/>
        <v>30.677430000000001</v>
      </c>
      <c r="L346" s="46">
        <f t="shared" si="105"/>
        <v>27.216866250000002</v>
      </c>
      <c r="M346" s="338">
        <f t="shared" si="106"/>
        <v>0</v>
      </c>
      <c r="N346" s="43" t="s">
        <v>36</v>
      </c>
      <c r="O346" s="339">
        <v>85364900</v>
      </c>
      <c r="P346" s="340">
        <f>IFERROR(VLOOKUP(O346,NCM!$A$3:$D$99,COLUMN(head_porNCM_IPI)-COLUMN(head_porNCM_NCM)+1,FALSE),"")</f>
        <v>3.2500000000000001E-2</v>
      </c>
      <c r="Q346" s="43" t="s">
        <v>806</v>
      </c>
      <c r="R346" s="78" t="s">
        <v>210</v>
      </c>
      <c r="S346" s="341"/>
      <c r="T346" s="28" t="s">
        <v>52</v>
      </c>
      <c r="U346" s="28" t="s">
        <v>3113</v>
      </c>
      <c r="V346" s="548">
        <v>45469</v>
      </c>
      <c r="W346" s="43"/>
      <c r="X346" s="342">
        <f t="shared" si="107"/>
        <v>18.63457627118644</v>
      </c>
      <c r="Y346" s="342">
        <f t="shared" si="108"/>
        <v>3.3645762711864364</v>
      </c>
      <c r="Z346" s="46">
        <f t="shared" si="109"/>
        <v>1.708169491525424</v>
      </c>
      <c r="AA346" s="46">
        <f t="shared" si="110"/>
        <v>7.8679322033898309</v>
      </c>
      <c r="AB346" s="43"/>
      <c r="AC346" s="44">
        <v>106.89</v>
      </c>
      <c r="AD346" s="31">
        <v>0.18</v>
      </c>
      <c r="AE346" s="31">
        <v>3.2500000000000001E-2</v>
      </c>
      <c r="AF346" s="31">
        <v>0</v>
      </c>
      <c r="AG346" s="28" t="s">
        <v>53</v>
      </c>
      <c r="AH346" s="46">
        <f t="shared" si="111"/>
        <v>110.36392499999999</v>
      </c>
      <c r="AI346" s="43"/>
      <c r="AJ346" s="28" t="s">
        <v>264</v>
      </c>
      <c r="AK346" s="337"/>
      <c r="AL346" s="43"/>
      <c r="AM346" s="44">
        <f t="shared" si="112"/>
        <v>0</v>
      </c>
      <c r="AN346" s="43"/>
      <c r="AO346" s="28">
        <f t="shared" si="113"/>
        <v>0</v>
      </c>
      <c r="AP346" s="43"/>
      <c r="AQ346" s="323">
        <f t="shared" si="114"/>
        <v>0</v>
      </c>
      <c r="AR346" s="43"/>
      <c r="AS346" s="44">
        <f t="shared" si="115"/>
        <v>110.36392499999999</v>
      </c>
    </row>
    <row r="347" spans="1:45" x14ac:dyDescent="0.25">
      <c r="A347" s="28"/>
      <c r="B347" s="43"/>
      <c r="C347" s="43"/>
      <c r="D347" s="43" t="s">
        <v>597</v>
      </c>
      <c r="E347" s="43"/>
      <c r="F347" s="43"/>
      <c r="G347" s="46">
        <f t="shared" si="102"/>
        <v>0</v>
      </c>
      <c r="H347" s="46">
        <f t="shared" si="103"/>
        <v>0</v>
      </c>
      <c r="I347" s="28"/>
      <c r="J347" s="337"/>
      <c r="K347" s="46" t="str">
        <f t="shared" si="104"/>
        <v/>
      </c>
      <c r="L347" s="46" t="str">
        <f t="shared" si="105"/>
        <v/>
      </c>
      <c r="M347" s="338">
        <f t="shared" si="106"/>
        <v>0</v>
      </c>
      <c r="N347" s="43"/>
      <c r="O347" s="339"/>
      <c r="P347" s="340" t="str">
        <f>IFERROR(VLOOKUP(O347,NCM!$A$3:$D$99,COLUMN(head_porNCM_IPI)-COLUMN(head_porNCM_NCM)+1,FALSE),"")</f>
        <v/>
      </c>
      <c r="Q347" s="43"/>
      <c r="R347" s="78"/>
      <c r="S347" s="341"/>
      <c r="T347" s="28"/>
      <c r="U347" s="28"/>
      <c r="V347" s="28"/>
      <c r="W347" s="43"/>
      <c r="X347" s="342">
        <f t="shared" si="107"/>
        <v>0</v>
      </c>
      <c r="Y347" s="342">
        <f t="shared" si="108"/>
        <v>0</v>
      </c>
      <c r="Z347" s="46">
        <f t="shared" si="109"/>
        <v>0</v>
      </c>
      <c r="AA347" s="46">
        <f t="shared" si="110"/>
        <v>0</v>
      </c>
      <c r="AB347" s="43"/>
      <c r="AC347" s="44">
        <v>0</v>
      </c>
      <c r="AD347" s="31"/>
      <c r="AE347" s="31"/>
      <c r="AF347" s="31"/>
      <c r="AG347" s="28"/>
      <c r="AH347" s="46">
        <f t="shared" si="111"/>
        <v>0</v>
      </c>
      <c r="AI347" s="43"/>
      <c r="AJ347" s="28"/>
      <c r="AK347" s="337"/>
      <c r="AL347" s="43"/>
      <c r="AM347" s="44">
        <f t="shared" si="112"/>
        <v>0</v>
      </c>
      <c r="AN347" s="43"/>
      <c r="AO347" s="28">
        <f t="shared" si="113"/>
        <v>0</v>
      </c>
      <c r="AP347" s="43"/>
      <c r="AQ347" s="323">
        <f t="shared" si="114"/>
        <v>0</v>
      </c>
      <c r="AR347" s="43"/>
      <c r="AS347" s="44">
        <f t="shared" si="115"/>
        <v>0</v>
      </c>
    </row>
    <row r="348" spans="1:45" x14ac:dyDescent="0.25">
      <c r="A348" s="28"/>
      <c r="B348" s="43"/>
      <c r="C348" s="43"/>
      <c r="D348" s="43"/>
      <c r="E348" s="43" t="s">
        <v>2363</v>
      </c>
      <c r="F348" s="43" t="s">
        <v>2364</v>
      </c>
      <c r="G348" s="46">
        <f t="shared" si="102"/>
        <v>72.570000000000007</v>
      </c>
      <c r="H348" s="46">
        <f t="shared" si="103"/>
        <v>64.383750000000006</v>
      </c>
      <c r="I348" s="28" t="s">
        <v>262</v>
      </c>
      <c r="J348" s="337">
        <v>1</v>
      </c>
      <c r="K348" s="46">
        <f t="shared" si="104"/>
        <v>72.570000000000007</v>
      </c>
      <c r="L348" s="46">
        <f t="shared" si="105"/>
        <v>64.383750000000006</v>
      </c>
      <c r="M348" s="338">
        <f t="shared" si="106"/>
        <v>0</v>
      </c>
      <c r="N348" s="43" t="s">
        <v>60</v>
      </c>
      <c r="O348" s="339">
        <v>85364900</v>
      </c>
      <c r="P348" s="340">
        <f>IFERROR(VLOOKUP(O348,NCM!$A$3:$D$99,COLUMN(head_porNCM_IPI)-COLUMN(head_porNCM_NCM)+1,FALSE),"")</f>
        <v>3.2500000000000001E-2</v>
      </c>
      <c r="Q348" s="43" t="s">
        <v>597</v>
      </c>
      <c r="R348" s="78" t="s">
        <v>209</v>
      </c>
      <c r="S348" s="341"/>
      <c r="T348" s="28" t="s">
        <v>52</v>
      </c>
      <c r="U348" s="28" t="s">
        <v>2372</v>
      </c>
      <c r="V348" s="548">
        <v>45035</v>
      </c>
      <c r="W348" s="43"/>
      <c r="X348" s="342">
        <f t="shared" si="107"/>
        <v>15.428571428571429</v>
      </c>
      <c r="Y348" s="342">
        <f t="shared" si="108"/>
        <v>2.7857142857142776</v>
      </c>
      <c r="Z348" s="46">
        <f t="shared" si="109"/>
        <v>1.4142857142857146</v>
      </c>
      <c r="AA348" s="46">
        <f t="shared" si="110"/>
        <v>6.5142857142857151</v>
      </c>
      <c r="AB348" s="43"/>
      <c r="AC348" s="44">
        <v>88.5</v>
      </c>
      <c r="AD348" s="31">
        <v>0.18</v>
      </c>
      <c r="AE348" s="31">
        <v>3.2500000000000001E-2</v>
      </c>
      <c r="AF348" s="31">
        <v>0</v>
      </c>
      <c r="AG348" s="28" t="s">
        <v>53</v>
      </c>
      <c r="AH348" s="46">
        <f t="shared" si="111"/>
        <v>91.376249999999999</v>
      </c>
      <c r="AI348" s="43"/>
      <c r="AJ348" s="28"/>
      <c r="AK348" s="337"/>
      <c r="AL348" s="43"/>
      <c r="AM348" s="44">
        <f t="shared" si="112"/>
        <v>0</v>
      </c>
      <c r="AN348" s="43"/>
      <c r="AO348" s="28">
        <f t="shared" si="113"/>
        <v>0</v>
      </c>
      <c r="AP348" s="43"/>
      <c r="AQ348" s="323">
        <f t="shared" si="114"/>
        <v>0</v>
      </c>
      <c r="AR348" s="43"/>
      <c r="AS348" s="44">
        <f t="shared" si="115"/>
        <v>91.376249999999999</v>
      </c>
    </row>
    <row r="349" spans="1:45" x14ac:dyDescent="0.25">
      <c r="A349" s="28"/>
      <c r="B349" s="43"/>
      <c r="C349" s="43"/>
      <c r="D349" s="43"/>
      <c r="E349" s="43" t="s">
        <v>2365</v>
      </c>
      <c r="F349" s="43" t="s">
        <v>2366</v>
      </c>
      <c r="G349" s="46">
        <f t="shared" si="102"/>
        <v>349.50860000000006</v>
      </c>
      <c r="H349" s="46">
        <f t="shared" si="103"/>
        <v>310.08232500000008</v>
      </c>
      <c r="I349" s="28" t="s">
        <v>262</v>
      </c>
      <c r="J349" s="337">
        <v>1</v>
      </c>
      <c r="K349" s="46">
        <f t="shared" si="104"/>
        <v>349.50860000000006</v>
      </c>
      <c r="L349" s="46">
        <f t="shared" si="105"/>
        <v>310.08232500000008</v>
      </c>
      <c r="M349" s="338">
        <f t="shared" si="106"/>
        <v>0</v>
      </c>
      <c r="N349" s="43" t="s">
        <v>60</v>
      </c>
      <c r="O349" s="339">
        <v>85364900</v>
      </c>
      <c r="P349" s="340">
        <f>IFERROR(VLOOKUP(O349,NCM!$A$3:$D$99,COLUMN(head_porNCM_IPI)-COLUMN(head_porNCM_NCM)+1,FALSE),"")</f>
        <v>3.2500000000000001E-2</v>
      </c>
      <c r="Q349" s="43" t="s">
        <v>597</v>
      </c>
      <c r="R349" s="78" t="s">
        <v>209</v>
      </c>
      <c r="S349" s="341"/>
      <c r="T349" s="28" t="s">
        <v>52</v>
      </c>
      <c r="U349" s="28" t="s">
        <v>2372</v>
      </c>
      <c r="V349" s="548">
        <v>45035</v>
      </c>
      <c r="W349" s="43"/>
      <c r="X349" s="342">
        <f t="shared" si="107"/>
        <v>74.306440677966108</v>
      </c>
      <c r="Y349" s="342">
        <f t="shared" si="108"/>
        <v>13.416440677966079</v>
      </c>
      <c r="Z349" s="46">
        <f t="shared" si="109"/>
        <v>6.8114237288135602</v>
      </c>
      <c r="AA349" s="46">
        <f t="shared" si="110"/>
        <v>31.37383050847458</v>
      </c>
      <c r="AB349" s="43"/>
      <c r="AC349" s="44">
        <v>426.23</v>
      </c>
      <c r="AD349" s="31">
        <v>0.18</v>
      </c>
      <c r="AE349" s="31">
        <v>3.2500000000000001E-2</v>
      </c>
      <c r="AF349" s="31">
        <v>0</v>
      </c>
      <c r="AG349" s="28" t="s">
        <v>53</v>
      </c>
      <c r="AH349" s="46">
        <f t="shared" si="111"/>
        <v>440.08247499999999</v>
      </c>
      <c r="AI349" s="43"/>
      <c r="AJ349" s="28"/>
      <c r="AK349" s="337"/>
      <c r="AL349" s="43"/>
      <c r="AM349" s="44">
        <f t="shared" si="112"/>
        <v>0</v>
      </c>
      <c r="AN349" s="43"/>
      <c r="AO349" s="28">
        <f t="shared" si="113"/>
        <v>0</v>
      </c>
      <c r="AP349" s="43"/>
      <c r="AQ349" s="323">
        <f t="shared" si="114"/>
        <v>0</v>
      </c>
      <c r="AR349" s="43"/>
      <c r="AS349" s="44">
        <f t="shared" si="115"/>
        <v>440.08247499999999</v>
      </c>
    </row>
    <row r="350" spans="1:45" x14ac:dyDescent="0.25">
      <c r="A350" s="28"/>
      <c r="B350" s="43"/>
      <c r="C350" s="43"/>
      <c r="D350" s="43"/>
      <c r="E350" s="43" t="s">
        <v>598</v>
      </c>
      <c r="F350" s="43" t="s">
        <v>599</v>
      </c>
      <c r="G350" s="46">
        <f t="shared" si="102"/>
        <v>89.535800000000009</v>
      </c>
      <c r="H350" s="46">
        <f t="shared" si="103"/>
        <v>79.435725000000019</v>
      </c>
      <c r="I350" s="28" t="s">
        <v>262</v>
      </c>
      <c r="J350" s="337">
        <v>1</v>
      </c>
      <c r="K350" s="46">
        <f t="shared" si="104"/>
        <v>89.535800000000009</v>
      </c>
      <c r="L350" s="46">
        <f t="shared" si="105"/>
        <v>79.435725000000019</v>
      </c>
      <c r="M350" s="338">
        <f t="shared" si="106"/>
        <v>0</v>
      </c>
      <c r="N350" s="43" t="s">
        <v>60</v>
      </c>
      <c r="O350" s="339">
        <v>85364900</v>
      </c>
      <c r="P350" s="340">
        <f>IFERROR(VLOOKUP(O350,NCM!$A$3:$D$99,COLUMN(head_porNCM_IPI)-COLUMN(head_porNCM_NCM)+1,FALSE),"")</f>
        <v>3.2500000000000001E-2</v>
      </c>
      <c r="Q350" s="43" t="s">
        <v>597</v>
      </c>
      <c r="R350" s="78" t="s">
        <v>209</v>
      </c>
      <c r="S350" s="341"/>
      <c r="T350" s="28" t="s">
        <v>52</v>
      </c>
      <c r="U350" s="28" t="s">
        <v>2372</v>
      </c>
      <c r="V350" s="548">
        <v>45035</v>
      </c>
      <c r="W350" s="43"/>
      <c r="X350" s="342">
        <f t="shared" si="107"/>
        <v>19.035544794188862</v>
      </c>
      <c r="Y350" s="342">
        <f t="shared" si="108"/>
        <v>3.4369733656174333</v>
      </c>
      <c r="Z350" s="46">
        <f t="shared" si="109"/>
        <v>1.7449249394673123</v>
      </c>
      <c r="AA350" s="46">
        <f t="shared" si="110"/>
        <v>8.0372300242130752</v>
      </c>
      <c r="AB350" s="43"/>
      <c r="AC350" s="44">
        <v>109.19</v>
      </c>
      <c r="AD350" s="31">
        <v>0.18</v>
      </c>
      <c r="AE350" s="31">
        <v>3.2500000000000001E-2</v>
      </c>
      <c r="AF350" s="31">
        <v>0</v>
      </c>
      <c r="AG350" s="28" t="s">
        <v>53</v>
      </c>
      <c r="AH350" s="46">
        <f t="shared" si="111"/>
        <v>112.738675</v>
      </c>
      <c r="AI350" s="43"/>
      <c r="AJ350" s="28"/>
      <c r="AK350" s="337"/>
      <c r="AL350" s="43"/>
      <c r="AM350" s="44">
        <f t="shared" si="112"/>
        <v>0</v>
      </c>
      <c r="AN350" s="43"/>
      <c r="AO350" s="28">
        <f t="shared" si="113"/>
        <v>0</v>
      </c>
      <c r="AP350" s="43"/>
      <c r="AQ350" s="323">
        <f t="shared" si="114"/>
        <v>0</v>
      </c>
      <c r="AR350" s="43"/>
      <c r="AS350" s="44">
        <f t="shared" si="115"/>
        <v>112.738675</v>
      </c>
    </row>
    <row r="351" spans="1:45" x14ac:dyDescent="0.25">
      <c r="A351" s="28"/>
      <c r="B351" s="43"/>
      <c r="C351" s="43"/>
      <c r="D351" s="43"/>
      <c r="E351" s="43" t="s">
        <v>1286</v>
      </c>
      <c r="F351" s="43" t="s">
        <v>1287</v>
      </c>
      <c r="G351" s="46">
        <f t="shared" si="102"/>
        <v>51.455000000000005</v>
      </c>
      <c r="H351" s="46">
        <f t="shared" si="103"/>
        <v>45.650625000000012</v>
      </c>
      <c r="I351" s="28" t="s">
        <v>262</v>
      </c>
      <c r="J351" s="337">
        <v>1</v>
      </c>
      <c r="K351" s="46">
        <f t="shared" si="104"/>
        <v>51.455000000000005</v>
      </c>
      <c r="L351" s="46">
        <f t="shared" si="105"/>
        <v>45.650625000000012</v>
      </c>
      <c r="M351" s="338">
        <f t="shared" si="106"/>
        <v>0</v>
      </c>
      <c r="N351" s="43" t="s">
        <v>60</v>
      </c>
      <c r="O351" s="339">
        <v>85364900</v>
      </c>
      <c r="P351" s="340">
        <f>IFERROR(VLOOKUP(O351,NCM!$A$3:$D$99,COLUMN(head_porNCM_IPI)-COLUMN(head_porNCM_NCM)+1,FALSE),"")</f>
        <v>3.2500000000000001E-2</v>
      </c>
      <c r="Q351" s="43" t="s">
        <v>597</v>
      </c>
      <c r="R351" s="78" t="s">
        <v>209</v>
      </c>
      <c r="S351" s="341"/>
      <c r="T351" s="28" t="s">
        <v>52</v>
      </c>
      <c r="U351" s="28" t="s">
        <v>2372</v>
      </c>
      <c r="V351" s="548">
        <v>45035</v>
      </c>
      <c r="W351" s="43"/>
      <c r="X351" s="342">
        <f t="shared" si="107"/>
        <v>10.939467312348668</v>
      </c>
      <c r="Y351" s="342">
        <f t="shared" si="108"/>
        <v>1.975181598062953</v>
      </c>
      <c r="Z351" s="46">
        <f t="shared" si="109"/>
        <v>1.0027845036319614</v>
      </c>
      <c r="AA351" s="46">
        <f t="shared" si="110"/>
        <v>4.6188861985472158</v>
      </c>
      <c r="AB351" s="43"/>
      <c r="AC351" s="44">
        <v>62.75</v>
      </c>
      <c r="AD351" s="31">
        <v>0.18</v>
      </c>
      <c r="AE351" s="31">
        <v>3.2500000000000001E-2</v>
      </c>
      <c r="AF351" s="31">
        <v>0</v>
      </c>
      <c r="AG351" s="28" t="s">
        <v>53</v>
      </c>
      <c r="AH351" s="46">
        <f t="shared" si="111"/>
        <v>64.789374999999993</v>
      </c>
      <c r="AI351" s="43"/>
      <c r="AJ351" s="28"/>
      <c r="AK351" s="337"/>
      <c r="AL351" s="43"/>
      <c r="AM351" s="44">
        <f t="shared" si="112"/>
        <v>0</v>
      </c>
      <c r="AN351" s="43"/>
      <c r="AO351" s="28">
        <f t="shared" si="113"/>
        <v>0</v>
      </c>
      <c r="AP351" s="43"/>
      <c r="AQ351" s="323">
        <f t="shared" si="114"/>
        <v>0</v>
      </c>
      <c r="AR351" s="43"/>
      <c r="AS351" s="44">
        <f t="shared" si="115"/>
        <v>64.789374999999993</v>
      </c>
    </row>
    <row r="352" spans="1:45" x14ac:dyDescent="0.25">
      <c r="A352" s="28"/>
      <c r="B352" s="43"/>
      <c r="C352" s="43"/>
      <c r="D352" s="43"/>
      <c r="E352" s="43" t="s">
        <v>1288</v>
      </c>
      <c r="F352" s="43" t="s">
        <v>1289</v>
      </c>
      <c r="G352" s="46">
        <f t="shared" si="102"/>
        <v>68.839000000000013</v>
      </c>
      <c r="H352" s="46">
        <f t="shared" si="103"/>
        <v>61.073625000000014</v>
      </c>
      <c r="I352" s="28" t="s">
        <v>262</v>
      </c>
      <c r="J352" s="337">
        <v>1</v>
      </c>
      <c r="K352" s="46">
        <f t="shared" si="104"/>
        <v>68.839000000000013</v>
      </c>
      <c r="L352" s="46">
        <f t="shared" si="105"/>
        <v>61.073625000000014</v>
      </c>
      <c r="M352" s="338">
        <f t="shared" si="106"/>
        <v>0</v>
      </c>
      <c r="N352" s="43" t="s">
        <v>60</v>
      </c>
      <c r="O352" s="339">
        <v>85364900</v>
      </c>
      <c r="P352" s="340">
        <f>IFERROR(VLOOKUP(O352,NCM!$A$3:$D$99,COLUMN(head_porNCM_IPI)-COLUMN(head_porNCM_NCM)+1,FALSE),"")</f>
        <v>3.2500000000000001E-2</v>
      </c>
      <c r="Q352" s="43" t="s">
        <v>597</v>
      </c>
      <c r="R352" s="78" t="s">
        <v>209</v>
      </c>
      <c r="S352" s="341"/>
      <c r="T352" s="28" t="s">
        <v>52</v>
      </c>
      <c r="U352" s="28" t="s">
        <v>2372</v>
      </c>
      <c r="V352" s="548">
        <v>45035</v>
      </c>
      <c r="W352" s="43"/>
      <c r="X352" s="342">
        <f t="shared" si="107"/>
        <v>14.635351089588378</v>
      </c>
      <c r="Y352" s="342">
        <f t="shared" si="108"/>
        <v>2.6424939467312356</v>
      </c>
      <c r="Z352" s="46">
        <f t="shared" si="109"/>
        <v>1.3415738498789347</v>
      </c>
      <c r="AA352" s="46">
        <f t="shared" si="110"/>
        <v>6.1793704600484265</v>
      </c>
      <c r="AB352" s="43"/>
      <c r="AC352" s="44">
        <v>83.95</v>
      </c>
      <c r="AD352" s="31">
        <v>0.18</v>
      </c>
      <c r="AE352" s="31">
        <v>3.2500000000000001E-2</v>
      </c>
      <c r="AF352" s="31">
        <v>0</v>
      </c>
      <c r="AG352" s="28" t="s">
        <v>53</v>
      </c>
      <c r="AH352" s="46">
        <f t="shared" si="111"/>
        <v>86.678375000000003</v>
      </c>
      <c r="AI352" s="43"/>
      <c r="AJ352" s="28"/>
      <c r="AK352" s="337"/>
      <c r="AL352" s="43"/>
      <c r="AM352" s="44">
        <f t="shared" si="112"/>
        <v>0</v>
      </c>
      <c r="AN352" s="43"/>
      <c r="AO352" s="28">
        <f t="shared" si="113"/>
        <v>0</v>
      </c>
      <c r="AP352" s="43"/>
      <c r="AQ352" s="323">
        <f t="shared" si="114"/>
        <v>0</v>
      </c>
      <c r="AR352" s="43"/>
      <c r="AS352" s="44">
        <f t="shared" si="115"/>
        <v>86.678375000000003</v>
      </c>
    </row>
    <row r="353" spans="1:45" x14ac:dyDescent="0.25">
      <c r="A353" s="28"/>
      <c r="B353" s="43"/>
      <c r="C353" s="43"/>
      <c r="D353" s="43"/>
      <c r="E353" s="43" t="s">
        <v>600</v>
      </c>
      <c r="F353" s="43" t="s">
        <v>1290</v>
      </c>
      <c r="G353" s="46">
        <f t="shared" si="102"/>
        <v>58.179000000000009</v>
      </c>
      <c r="H353" s="46">
        <f t="shared" si="103"/>
        <v>51.616125000000011</v>
      </c>
      <c r="I353" s="28" t="s">
        <v>262</v>
      </c>
      <c r="J353" s="337">
        <v>1</v>
      </c>
      <c r="K353" s="46">
        <f t="shared" si="104"/>
        <v>58.179000000000009</v>
      </c>
      <c r="L353" s="46">
        <f t="shared" si="105"/>
        <v>51.616125000000011</v>
      </c>
      <c r="M353" s="338">
        <f t="shared" si="106"/>
        <v>0</v>
      </c>
      <c r="N353" s="43" t="s">
        <v>60</v>
      </c>
      <c r="O353" s="339">
        <v>85364900</v>
      </c>
      <c r="P353" s="340">
        <f>IFERROR(VLOOKUP(O353,NCM!$A$3:$D$99,COLUMN(head_porNCM_IPI)-COLUMN(head_porNCM_NCM)+1,FALSE),"")</f>
        <v>3.2500000000000001E-2</v>
      </c>
      <c r="Q353" s="43" t="s">
        <v>597</v>
      </c>
      <c r="R353" s="78" t="s">
        <v>209</v>
      </c>
      <c r="S353" s="341"/>
      <c r="T353" s="28" t="s">
        <v>52</v>
      </c>
      <c r="U353" s="28" t="s">
        <v>2372</v>
      </c>
      <c r="V353" s="548">
        <v>45035</v>
      </c>
      <c r="W353" s="43"/>
      <c r="X353" s="342">
        <f t="shared" si="107"/>
        <v>12.369007263922519</v>
      </c>
      <c r="Y353" s="342">
        <f t="shared" si="108"/>
        <v>2.233292978208226</v>
      </c>
      <c r="Z353" s="46">
        <f t="shared" si="109"/>
        <v>1.1338256658595645</v>
      </c>
      <c r="AA353" s="46">
        <f t="shared" si="110"/>
        <v>5.2224697336561752</v>
      </c>
      <c r="AB353" s="43"/>
      <c r="AC353" s="44">
        <v>70.95</v>
      </c>
      <c r="AD353" s="31">
        <v>0.18</v>
      </c>
      <c r="AE353" s="31">
        <v>3.2500000000000001E-2</v>
      </c>
      <c r="AF353" s="31">
        <v>0</v>
      </c>
      <c r="AG353" s="28" t="s">
        <v>53</v>
      </c>
      <c r="AH353" s="46">
        <f t="shared" si="111"/>
        <v>73.255875000000003</v>
      </c>
      <c r="AI353" s="43"/>
      <c r="AJ353" s="28"/>
      <c r="AK353" s="337"/>
      <c r="AL353" s="43"/>
      <c r="AM353" s="44">
        <f t="shared" si="112"/>
        <v>0</v>
      </c>
      <c r="AN353" s="43"/>
      <c r="AO353" s="28">
        <f t="shared" si="113"/>
        <v>0</v>
      </c>
      <c r="AP353" s="43"/>
      <c r="AQ353" s="323">
        <f t="shared" si="114"/>
        <v>0</v>
      </c>
      <c r="AR353" s="43"/>
      <c r="AS353" s="44">
        <f t="shared" si="115"/>
        <v>73.255875000000003</v>
      </c>
    </row>
    <row r="354" spans="1:45" x14ac:dyDescent="0.25">
      <c r="A354" s="28"/>
      <c r="B354" s="43"/>
      <c r="C354" s="43"/>
      <c r="D354" s="43"/>
      <c r="E354" s="43" t="s">
        <v>1114</v>
      </c>
      <c r="F354" s="43" t="s">
        <v>1115</v>
      </c>
      <c r="G354" s="46">
        <f t="shared" si="102"/>
        <v>51.1434</v>
      </c>
      <c r="H354" s="46">
        <f t="shared" si="103"/>
        <v>45.374175000000008</v>
      </c>
      <c r="I354" s="28" t="s">
        <v>262</v>
      </c>
      <c r="J354" s="337">
        <v>1</v>
      </c>
      <c r="K354" s="46">
        <f t="shared" si="104"/>
        <v>51.1434</v>
      </c>
      <c r="L354" s="46">
        <f t="shared" si="105"/>
        <v>45.374175000000008</v>
      </c>
      <c r="M354" s="338">
        <f t="shared" si="106"/>
        <v>0</v>
      </c>
      <c r="N354" s="43" t="s">
        <v>60</v>
      </c>
      <c r="O354" s="339">
        <v>85364900</v>
      </c>
      <c r="P354" s="340">
        <f>IFERROR(VLOOKUP(O354,NCM!$A$3:$D$99,COLUMN(head_porNCM_IPI)-COLUMN(head_porNCM_NCM)+1,FALSE),"")</f>
        <v>3.2500000000000001E-2</v>
      </c>
      <c r="Q354" s="43" t="s">
        <v>597</v>
      </c>
      <c r="R354" s="78" t="s">
        <v>209</v>
      </c>
      <c r="S354" s="341"/>
      <c r="T354" s="28" t="s">
        <v>52</v>
      </c>
      <c r="U354" s="28" t="s">
        <v>2372</v>
      </c>
      <c r="V354" s="548">
        <v>45035</v>
      </c>
      <c r="W354" s="43"/>
      <c r="X354" s="342">
        <f t="shared" si="107"/>
        <v>10.87322033898305</v>
      </c>
      <c r="Y354" s="342">
        <f t="shared" si="108"/>
        <v>1.9632203389830494</v>
      </c>
      <c r="Z354" s="46">
        <f t="shared" si="109"/>
        <v>0.99671186440677972</v>
      </c>
      <c r="AA354" s="46">
        <f t="shared" si="110"/>
        <v>4.590915254237288</v>
      </c>
      <c r="AB354" s="43"/>
      <c r="AC354" s="44">
        <v>62.37</v>
      </c>
      <c r="AD354" s="31">
        <v>0.18</v>
      </c>
      <c r="AE354" s="31">
        <v>3.2500000000000001E-2</v>
      </c>
      <c r="AF354" s="31">
        <v>0</v>
      </c>
      <c r="AG354" s="28" t="s">
        <v>53</v>
      </c>
      <c r="AH354" s="46">
        <f t="shared" si="111"/>
        <v>64.397024999999999</v>
      </c>
      <c r="AI354" s="43"/>
      <c r="AJ354" s="28"/>
      <c r="AK354" s="337"/>
      <c r="AL354" s="43"/>
      <c r="AM354" s="44">
        <f t="shared" si="112"/>
        <v>0</v>
      </c>
      <c r="AN354" s="43"/>
      <c r="AO354" s="28">
        <f t="shared" si="113"/>
        <v>0</v>
      </c>
      <c r="AP354" s="43"/>
      <c r="AQ354" s="323">
        <f t="shared" si="114"/>
        <v>0</v>
      </c>
      <c r="AR354" s="43"/>
      <c r="AS354" s="44">
        <f t="shared" si="115"/>
        <v>64.397024999999999</v>
      </c>
    </row>
    <row r="355" spans="1:45" x14ac:dyDescent="0.25">
      <c r="A355" s="28"/>
      <c r="B355" s="43"/>
      <c r="C355" s="43"/>
      <c r="D355" s="43"/>
      <c r="E355" s="43" t="s">
        <v>601</v>
      </c>
      <c r="F355" s="43" t="s">
        <v>602</v>
      </c>
      <c r="G355" s="46">
        <f t="shared" si="102"/>
        <v>43.516000000000005</v>
      </c>
      <c r="H355" s="46">
        <f t="shared" si="103"/>
        <v>38.941875000000003</v>
      </c>
      <c r="I355" s="28" t="s">
        <v>262</v>
      </c>
      <c r="J355" s="337">
        <v>1</v>
      </c>
      <c r="K355" s="46">
        <f t="shared" si="104"/>
        <v>43.516000000000005</v>
      </c>
      <c r="L355" s="46">
        <f t="shared" si="105"/>
        <v>38.941875000000003</v>
      </c>
      <c r="M355" s="338">
        <f t="shared" si="106"/>
        <v>0</v>
      </c>
      <c r="N355" s="43" t="s">
        <v>60</v>
      </c>
      <c r="O355" s="339">
        <v>90321090</v>
      </c>
      <c r="P355" s="340">
        <f>IFERROR(VLOOKUP(O355,NCM!$A$3:$D$99,COLUMN(head_porNCM_IPI)-COLUMN(head_porNCM_NCM)+1,FALSE),"")</f>
        <v>0.15</v>
      </c>
      <c r="Q355" s="43" t="s">
        <v>597</v>
      </c>
      <c r="R355" s="78" t="s">
        <v>209</v>
      </c>
      <c r="S355" s="341"/>
      <c r="T355" s="28" t="s">
        <v>52</v>
      </c>
      <c r="U355" s="28" t="s">
        <v>2372</v>
      </c>
      <c r="V355" s="548">
        <v>45035</v>
      </c>
      <c r="W355" s="43"/>
      <c r="X355" s="342">
        <f t="shared" si="107"/>
        <v>5.4068337129840547</v>
      </c>
      <c r="Y355" s="342">
        <f t="shared" si="108"/>
        <v>4.393052391799543</v>
      </c>
      <c r="Z355" s="46">
        <f t="shared" si="109"/>
        <v>0.74343963553530767</v>
      </c>
      <c r="AA355" s="46">
        <f t="shared" si="110"/>
        <v>3.424328018223235</v>
      </c>
      <c r="AB355" s="43"/>
      <c r="AC355" s="44">
        <v>49.45</v>
      </c>
      <c r="AD355" s="31">
        <v>0.12</v>
      </c>
      <c r="AE355" s="31">
        <v>9.7500000000000003E-2</v>
      </c>
      <c r="AF355" s="31">
        <v>0</v>
      </c>
      <c r="AG355" s="28" t="s">
        <v>53</v>
      </c>
      <c r="AH355" s="46">
        <f t="shared" si="111"/>
        <v>54.271374999999999</v>
      </c>
      <c r="AI355" s="43"/>
      <c r="AJ355" s="28"/>
      <c r="AK355" s="337"/>
      <c r="AL355" s="43"/>
      <c r="AM355" s="44">
        <f t="shared" si="112"/>
        <v>0</v>
      </c>
      <c r="AN355" s="43"/>
      <c r="AO355" s="28">
        <f t="shared" si="113"/>
        <v>0</v>
      </c>
      <c r="AP355" s="43"/>
      <c r="AQ355" s="323">
        <f t="shared" si="114"/>
        <v>0</v>
      </c>
      <c r="AR355" s="43"/>
      <c r="AS355" s="44">
        <f t="shared" si="115"/>
        <v>54.271374999999999</v>
      </c>
    </row>
    <row r="356" spans="1:45" x14ac:dyDescent="0.25">
      <c r="A356" s="28"/>
      <c r="B356" s="43"/>
      <c r="C356" s="43"/>
      <c r="D356" s="43"/>
      <c r="E356" s="43" t="s">
        <v>603</v>
      </c>
      <c r="F356" s="43" t="s">
        <v>604</v>
      </c>
      <c r="G356" s="46">
        <f t="shared" si="102"/>
        <v>185.96780000000001</v>
      </c>
      <c r="H356" s="46">
        <f t="shared" si="103"/>
        <v>164.98972500000002</v>
      </c>
      <c r="I356" s="28" t="s">
        <v>262</v>
      </c>
      <c r="J356" s="337">
        <v>1</v>
      </c>
      <c r="K356" s="46">
        <f t="shared" si="104"/>
        <v>185.96780000000001</v>
      </c>
      <c r="L356" s="46">
        <f t="shared" si="105"/>
        <v>164.98972500000002</v>
      </c>
      <c r="M356" s="338">
        <f t="shared" si="106"/>
        <v>0</v>
      </c>
      <c r="N356" s="43" t="s">
        <v>60</v>
      </c>
      <c r="O356" s="339">
        <v>85363090</v>
      </c>
      <c r="P356" s="340">
        <f>IFERROR(VLOOKUP(O356,NCM!$A$3:$D$99,COLUMN(head_porNCM_IPI)-COLUMN(head_porNCM_NCM)+1,FALSE),"")</f>
        <v>0.15</v>
      </c>
      <c r="Q356" s="43" t="s">
        <v>597</v>
      </c>
      <c r="R356" s="78" t="s">
        <v>209</v>
      </c>
      <c r="S356" s="341"/>
      <c r="T356" s="28" t="s">
        <v>52</v>
      </c>
      <c r="U356" s="28" t="s">
        <v>2372</v>
      </c>
      <c r="V356" s="548">
        <v>45035</v>
      </c>
      <c r="W356" s="43"/>
      <c r="X356" s="342">
        <f t="shared" si="107"/>
        <v>37.195626423690207</v>
      </c>
      <c r="Y356" s="342">
        <f t="shared" si="108"/>
        <v>20.147630979498842</v>
      </c>
      <c r="Z356" s="46">
        <f t="shared" si="109"/>
        <v>3.4095990888382692</v>
      </c>
      <c r="AA356" s="46">
        <f t="shared" si="110"/>
        <v>15.704820045558087</v>
      </c>
      <c r="AB356" s="43"/>
      <c r="AC356" s="44">
        <v>226.79</v>
      </c>
      <c r="AD356" s="31">
        <v>0.18</v>
      </c>
      <c r="AE356" s="31">
        <v>9.7500000000000003E-2</v>
      </c>
      <c r="AF356" s="31">
        <v>0</v>
      </c>
      <c r="AG356" s="28" t="s">
        <v>53</v>
      </c>
      <c r="AH356" s="46">
        <f t="shared" si="111"/>
        <v>248.90202499999998</v>
      </c>
      <c r="AI356" s="43"/>
      <c r="AJ356" s="28"/>
      <c r="AK356" s="337"/>
      <c r="AL356" s="43"/>
      <c r="AM356" s="44">
        <f t="shared" si="112"/>
        <v>0</v>
      </c>
      <c r="AN356" s="43"/>
      <c r="AO356" s="28">
        <f t="shared" si="113"/>
        <v>0</v>
      </c>
      <c r="AP356" s="43"/>
      <c r="AQ356" s="323">
        <f t="shared" si="114"/>
        <v>0</v>
      </c>
      <c r="AR356" s="43"/>
      <c r="AS356" s="44">
        <f t="shared" si="115"/>
        <v>248.90202499999998</v>
      </c>
    </row>
    <row r="357" spans="1:45" x14ac:dyDescent="0.25">
      <c r="A357" s="28"/>
      <c r="B357" s="43"/>
      <c r="C357" s="43"/>
      <c r="D357" s="43"/>
      <c r="E357" s="43" t="s">
        <v>605</v>
      </c>
      <c r="F357" s="43" t="s">
        <v>606</v>
      </c>
      <c r="G357" s="46">
        <f t="shared" si="102"/>
        <v>359.38139999999999</v>
      </c>
      <c r="H357" s="46">
        <f t="shared" si="103"/>
        <v>318.84142500000007</v>
      </c>
      <c r="I357" s="28" t="s">
        <v>262</v>
      </c>
      <c r="J357" s="337">
        <v>1</v>
      </c>
      <c r="K357" s="46">
        <f t="shared" si="104"/>
        <v>359.38139999999999</v>
      </c>
      <c r="L357" s="46">
        <f t="shared" si="105"/>
        <v>318.84142500000007</v>
      </c>
      <c r="M357" s="338">
        <f t="shared" si="106"/>
        <v>0</v>
      </c>
      <c r="N357" s="43" t="s">
        <v>60</v>
      </c>
      <c r="O357" s="339">
        <v>85364900</v>
      </c>
      <c r="P357" s="340">
        <f>IFERROR(VLOOKUP(O357,NCM!$A$3:$D$99,COLUMN(head_porNCM_IPI)-COLUMN(head_porNCM_NCM)+1,FALSE),"")</f>
        <v>3.2500000000000001E-2</v>
      </c>
      <c r="Q357" s="43" t="s">
        <v>597</v>
      </c>
      <c r="R357" s="78" t="s">
        <v>209</v>
      </c>
      <c r="S357" s="341"/>
      <c r="T357" s="28" t="s">
        <v>52</v>
      </c>
      <c r="U357" s="28" t="s">
        <v>2372</v>
      </c>
      <c r="V357" s="548">
        <v>45035</v>
      </c>
      <c r="W357" s="43"/>
      <c r="X357" s="342">
        <f t="shared" si="107"/>
        <v>76.40542372881356</v>
      </c>
      <c r="Y357" s="342">
        <f t="shared" si="108"/>
        <v>13.795423728813546</v>
      </c>
      <c r="Z357" s="46">
        <f t="shared" si="109"/>
        <v>7.0038305084745769</v>
      </c>
      <c r="AA357" s="46">
        <f t="shared" si="110"/>
        <v>32.260067796610166</v>
      </c>
      <c r="AB357" s="43"/>
      <c r="AC357" s="44">
        <v>438.27</v>
      </c>
      <c r="AD357" s="31">
        <v>0.18</v>
      </c>
      <c r="AE357" s="31">
        <v>3.2500000000000001E-2</v>
      </c>
      <c r="AF357" s="31">
        <v>0</v>
      </c>
      <c r="AG357" s="28" t="s">
        <v>53</v>
      </c>
      <c r="AH357" s="46">
        <f t="shared" si="111"/>
        <v>452.51377499999995</v>
      </c>
      <c r="AI357" s="43"/>
      <c r="AJ357" s="28"/>
      <c r="AK357" s="337"/>
      <c r="AL357" s="43"/>
      <c r="AM357" s="44">
        <f t="shared" si="112"/>
        <v>0</v>
      </c>
      <c r="AN357" s="43"/>
      <c r="AO357" s="28">
        <f t="shared" si="113"/>
        <v>0</v>
      </c>
      <c r="AP357" s="43"/>
      <c r="AQ357" s="323">
        <f t="shared" si="114"/>
        <v>0</v>
      </c>
      <c r="AR357" s="43"/>
      <c r="AS357" s="44">
        <f t="shared" si="115"/>
        <v>452.51377499999995</v>
      </c>
    </row>
    <row r="358" spans="1:45" x14ac:dyDescent="0.25">
      <c r="A358" s="28"/>
      <c r="B358" s="43"/>
      <c r="C358" s="43"/>
      <c r="D358" s="43"/>
      <c r="E358" s="43" t="s">
        <v>607</v>
      </c>
      <c r="F358" s="43" t="s">
        <v>608</v>
      </c>
      <c r="G358" s="46">
        <f t="shared" si="102"/>
        <v>505.12000000000006</v>
      </c>
      <c r="H358" s="46">
        <f t="shared" si="103"/>
        <v>448.1400000000001</v>
      </c>
      <c r="I358" s="28" t="s">
        <v>262</v>
      </c>
      <c r="J358" s="337">
        <v>1</v>
      </c>
      <c r="K358" s="46">
        <f t="shared" si="104"/>
        <v>505.12000000000006</v>
      </c>
      <c r="L358" s="46">
        <f t="shared" si="105"/>
        <v>448.1400000000001</v>
      </c>
      <c r="M358" s="338">
        <f t="shared" si="106"/>
        <v>0</v>
      </c>
      <c r="N358" s="43" t="s">
        <v>60</v>
      </c>
      <c r="O358" s="339">
        <v>85364900</v>
      </c>
      <c r="P358" s="340">
        <f>IFERROR(VLOOKUP(O358,NCM!$A$3:$D$99,COLUMN(head_porNCM_IPI)-COLUMN(head_porNCM_NCM)+1,FALSE),"")</f>
        <v>3.2500000000000001E-2</v>
      </c>
      <c r="Q358" s="43" t="s">
        <v>597</v>
      </c>
      <c r="R358" s="78" t="s">
        <v>209</v>
      </c>
      <c r="S358" s="341"/>
      <c r="T358" s="28" t="s">
        <v>52</v>
      </c>
      <c r="U358" s="28" t="s">
        <v>2372</v>
      </c>
      <c r="V358" s="548">
        <v>45035</v>
      </c>
      <c r="W358" s="43"/>
      <c r="X358" s="342">
        <f t="shared" si="107"/>
        <v>107.38983050847457</v>
      </c>
      <c r="Y358" s="342">
        <f t="shared" si="108"/>
        <v>19.389830508474574</v>
      </c>
      <c r="Z358" s="46">
        <f t="shared" si="109"/>
        <v>9.8440677966101706</v>
      </c>
      <c r="AA358" s="46">
        <f t="shared" si="110"/>
        <v>45.342372881355928</v>
      </c>
      <c r="AB358" s="43"/>
      <c r="AC358" s="44">
        <v>616</v>
      </c>
      <c r="AD358" s="31">
        <v>0.18</v>
      </c>
      <c r="AE358" s="31">
        <v>3.2500000000000001E-2</v>
      </c>
      <c r="AF358" s="31">
        <v>0</v>
      </c>
      <c r="AG358" s="28" t="s">
        <v>53</v>
      </c>
      <c r="AH358" s="46">
        <f t="shared" si="111"/>
        <v>636.02</v>
      </c>
      <c r="AI358" s="43"/>
      <c r="AJ358" s="28"/>
      <c r="AK358" s="337"/>
      <c r="AL358" s="43"/>
      <c r="AM358" s="44">
        <f t="shared" si="112"/>
        <v>0</v>
      </c>
      <c r="AN358" s="43"/>
      <c r="AO358" s="28">
        <f t="shared" si="113"/>
        <v>0</v>
      </c>
      <c r="AP358" s="43"/>
      <c r="AQ358" s="323">
        <f t="shared" si="114"/>
        <v>0</v>
      </c>
      <c r="AR358" s="43"/>
      <c r="AS358" s="44">
        <f t="shared" si="115"/>
        <v>636.02</v>
      </c>
    </row>
    <row r="359" spans="1:45" x14ac:dyDescent="0.25">
      <c r="A359" s="28"/>
      <c r="B359" s="43"/>
      <c r="C359" s="43"/>
      <c r="D359" s="43"/>
      <c r="E359" s="43" t="s">
        <v>803</v>
      </c>
      <c r="F359" s="43" t="s">
        <v>609</v>
      </c>
      <c r="G359" s="46">
        <f t="shared" si="102"/>
        <v>360.964</v>
      </c>
      <c r="H359" s="46">
        <f t="shared" si="103"/>
        <v>320.24550000000005</v>
      </c>
      <c r="I359" s="28" t="s">
        <v>262</v>
      </c>
      <c r="J359" s="337">
        <v>1</v>
      </c>
      <c r="K359" s="46">
        <f t="shared" si="104"/>
        <v>360.964</v>
      </c>
      <c r="L359" s="46">
        <f t="shared" si="105"/>
        <v>320.24550000000005</v>
      </c>
      <c r="M359" s="338">
        <f t="shared" si="106"/>
        <v>0</v>
      </c>
      <c r="N359" s="43" t="s">
        <v>60</v>
      </c>
      <c r="O359" s="339">
        <v>85364900</v>
      </c>
      <c r="P359" s="340">
        <f>IFERROR(VLOOKUP(O359,NCM!$A$3:$D$99,COLUMN(head_porNCM_IPI)-COLUMN(head_porNCM_NCM)+1,FALSE),"")</f>
        <v>3.2500000000000001E-2</v>
      </c>
      <c r="Q359" s="43" t="s">
        <v>597</v>
      </c>
      <c r="R359" s="78" t="s">
        <v>209</v>
      </c>
      <c r="S359" s="341"/>
      <c r="T359" s="28" t="s">
        <v>52</v>
      </c>
      <c r="U359" s="28" t="s">
        <v>2372</v>
      </c>
      <c r="V359" s="548">
        <v>45035</v>
      </c>
      <c r="W359" s="43"/>
      <c r="X359" s="342">
        <f t="shared" si="107"/>
        <v>76.74188861985472</v>
      </c>
      <c r="Y359" s="342">
        <f t="shared" si="108"/>
        <v>13.856174334140405</v>
      </c>
      <c r="Z359" s="46">
        <f t="shared" si="109"/>
        <v>7.0346731234866837</v>
      </c>
      <c r="AA359" s="46">
        <f t="shared" si="110"/>
        <v>32.40213075060533</v>
      </c>
      <c r="AB359" s="43"/>
      <c r="AC359" s="44">
        <v>440.2</v>
      </c>
      <c r="AD359" s="31">
        <v>0.18</v>
      </c>
      <c r="AE359" s="31">
        <v>3.2500000000000001E-2</v>
      </c>
      <c r="AF359" s="31">
        <v>0</v>
      </c>
      <c r="AG359" s="28" t="s">
        <v>53</v>
      </c>
      <c r="AH359" s="46">
        <f t="shared" si="111"/>
        <v>454.50649999999996</v>
      </c>
      <c r="AI359" s="43"/>
      <c r="AJ359" s="28"/>
      <c r="AK359" s="337"/>
      <c r="AL359" s="43"/>
      <c r="AM359" s="44">
        <f t="shared" si="112"/>
        <v>0</v>
      </c>
      <c r="AN359" s="43"/>
      <c r="AO359" s="28">
        <f t="shared" si="113"/>
        <v>0</v>
      </c>
      <c r="AP359" s="43"/>
      <c r="AQ359" s="323">
        <f t="shared" si="114"/>
        <v>0</v>
      </c>
      <c r="AR359" s="43"/>
      <c r="AS359" s="44">
        <f t="shared" si="115"/>
        <v>454.50649999999996</v>
      </c>
    </row>
    <row r="360" spans="1:45" x14ac:dyDescent="0.25">
      <c r="A360" s="28"/>
      <c r="B360" s="43"/>
      <c r="C360" s="43"/>
      <c r="D360" s="43"/>
      <c r="E360" s="43" t="s">
        <v>610</v>
      </c>
      <c r="F360" s="43" t="s">
        <v>611</v>
      </c>
      <c r="G360" s="46">
        <f t="shared" si="102"/>
        <v>535.36980000000005</v>
      </c>
      <c r="H360" s="46">
        <f t="shared" si="103"/>
        <v>474.97747500000008</v>
      </c>
      <c r="I360" s="28" t="s">
        <v>262</v>
      </c>
      <c r="J360" s="337">
        <v>1</v>
      </c>
      <c r="K360" s="46">
        <f t="shared" si="104"/>
        <v>535.36980000000005</v>
      </c>
      <c r="L360" s="46">
        <f t="shared" si="105"/>
        <v>474.97747500000008</v>
      </c>
      <c r="M360" s="338">
        <f t="shared" si="106"/>
        <v>0</v>
      </c>
      <c r="N360" s="43" t="s">
        <v>60</v>
      </c>
      <c r="O360" s="339">
        <v>85364900</v>
      </c>
      <c r="P360" s="340">
        <f>IFERROR(VLOOKUP(O360,NCM!$A$3:$D$99,COLUMN(head_porNCM_IPI)-COLUMN(head_porNCM_NCM)+1,FALSE),"")</f>
        <v>3.2500000000000001E-2</v>
      </c>
      <c r="Q360" s="43" t="s">
        <v>597</v>
      </c>
      <c r="R360" s="78" t="s">
        <v>209</v>
      </c>
      <c r="S360" s="341"/>
      <c r="T360" s="28" t="s">
        <v>52</v>
      </c>
      <c r="U360" s="28" t="s">
        <v>2372</v>
      </c>
      <c r="V360" s="548">
        <v>45035</v>
      </c>
      <c r="W360" s="43"/>
      <c r="X360" s="342">
        <f t="shared" si="107"/>
        <v>113.82101694915254</v>
      </c>
      <c r="Y360" s="342">
        <f t="shared" si="108"/>
        <v>20.55101694915254</v>
      </c>
      <c r="Z360" s="46">
        <f t="shared" si="109"/>
        <v>10.433593220338983</v>
      </c>
      <c r="AA360" s="46">
        <f t="shared" si="110"/>
        <v>48.057762711864406</v>
      </c>
      <c r="AB360" s="43"/>
      <c r="AC360" s="44">
        <v>652.89</v>
      </c>
      <c r="AD360" s="31">
        <v>0.18</v>
      </c>
      <c r="AE360" s="31">
        <v>3.2500000000000001E-2</v>
      </c>
      <c r="AF360" s="31">
        <v>0</v>
      </c>
      <c r="AG360" s="28" t="s">
        <v>53</v>
      </c>
      <c r="AH360" s="46">
        <f t="shared" si="111"/>
        <v>674.108925</v>
      </c>
      <c r="AI360" s="43"/>
      <c r="AJ360" s="28"/>
      <c r="AK360" s="337"/>
      <c r="AL360" s="43"/>
      <c r="AM360" s="44">
        <f t="shared" si="112"/>
        <v>0</v>
      </c>
      <c r="AN360" s="43"/>
      <c r="AO360" s="28">
        <f t="shared" si="113"/>
        <v>0</v>
      </c>
      <c r="AP360" s="43"/>
      <c r="AQ360" s="323">
        <f t="shared" si="114"/>
        <v>0</v>
      </c>
      <c r="AR360" s="43"/>
      <c r="AS360" s="44">
        <f t="shared" si="115"/>
        <v>674.108925</v>
      </c>
    </row>
    <row r="361" spans="1:45" x14ac:dyDescent="0.25">
      <c r="A361" s="28"/>
      <c r="B361" s="43"/>
      <c r="C361" s="43"/>
      <c r="D361" s="43"/>
      <c r="E361" s="43" t="s">
        <v>612</v>
      </c>
      <c r="F361" s="43" t="s">
        <v>613</v>
      </c>
      <c r="G361" s="46">
        <f t="shared" si="102"/>
        <v>610.17840000000001</v>
      </c>
      <c r="H361" s="46">
        <f t="shared" si="103"/>
        <v>541.34730000000013</v>
      </c>
      <c r="I361" s="28" t="s">
        <v>262</v>
      </c>
      <c r="J361" s="337">
        <v>1</v>
      </c>
      <c r="K361" s="46">
        <f t="shared" si="104"/>
        <v>610.17840000000001</v>
      </c>
      <c r="L361" s="46">
        <f t="shared" si="105"/>
        <v>541.34730000000013</v>
      </c>
      <c r="M361" s="338">
        <f t="shared" si="106"/>
        <v>0</v>
      </c>
      <c r="N361" s="43" t="s">
        <v>60</v>
      </c>
      <c r="O361" s="339">
        <v>85364900</v>
      </c>
      <c r="P361" s="340">
        <f>IFERROR(VLOOKUP(O361,NCM!$A$3:$D$99,COLUMN(head_porNCM_IPI)-COLUMN(head_porNCM_NCM)+1,FALSE),"")</f>
        <v>3.2500000000000001E-2</v>
      </c>
      <c r="Q361" s="43" t="s">
        <v>597</v>
      </c>
      <c r="R361" s="78" t="s">
        <v>209</v>
      </c>
      <c r="S361" s="341"/>
      <c r="T361" s="28" t="s">
        <v>52</v>
      </c>
      <c r="U361" s="28" t="s">
        <v>2372</v>
      </c>
      <c r="V361" s="548">
        <v>45035</v>
      </c>
      <c r="W361" s="43"/>
      <c r="X361" s="342">
        <f t="shared" si="107"/>
        <v>129.72552058111378</v>
      </c>
      <c r="Y361" s="342">
        <f t="shared" si="108"/>
        <v>23.422663438256677</v>
      </c>
      <c r="Z361" s="46">
        <f t="shared" si="109"/>
        <v>11.891506053268765</v>
      </c>
      <c r="AA361" s="46">
        <f t="shared" si="110"/>
        <v>54.77299757869249</v>
      </c>
      <c r="AB361" s="43"/>
      <c r="AC361" s="44">
        <v>744.12</v>
      </c>
      <c r="AD361" s="31">
        <v>0.18</v>
      </c>
      <c r="AE361" s="31">
        <v>3.2500000000000001E-2</v>
      </c>
      <c r="AF361" s="31">
        <v>0</v>
      </c>
      <c r="AG361" s="28" t="s">
        <v>53</v>
      </c>
      <c r="AH361" s="46">
        <f t="shared" si="111"/>
        <v>768.3039</v>
      </c>
      <c r="AI361" s="43"/>
      <c r="AJ361" s="28"/>
      <c r="AK361" s="337"/>
      <c r="AL361" s="43"/>
      <c r="AM361" s="44">
        <f t="shared" si="112"/>
        <v>0</v>
      </c>
      <c r="AN361" s="43"/>
      <c r="AO361" s="28">
        <f t="shared" si="113"/>
        <v>0</v>
      </c>
      <c r="AP361" s="43"/>
      <c r="AQ361" s="323">
        <f t="shared" si="114"/>
        <v>0</v>
      </c>
      <c r="AR361" s="43"/>
      <c r="AS361" s="44">
        <f t="shared" si="115"/>
        <v>768.3039</v>
      </c>
    </row>
    <row r="362" spans="1:45" x14ac:dyDescent="0.25">
      <c r="A362" s="28"/>
      <c r="B362" s="43"/>
      <c r="C362" s="43"/>
      <c r="D362" s="43"/>
      <c r="E362" s="43" t="s">
        <v>614</v>
      </c>
      <c r="F362" s="43" t="s">
        <v>615</v>
      </c>
      <c r="G362" s="46">
        <f t="shared" si="102"/>
        <v>501.471</v>
      </c>
      <c r="H362" s="46">
        <f t="shared" si="103"/>
        <v>444.90262500000006</v>
      </c>
      <c r="I362" s="28" t="s">
        <v>262</v>
      </c>
      <c r="J362" s="337">
        <v>1</v>
      </c>
      <c r="K362" s="46">
        <f t="shared" si="104"/>
        <v>501.471</v>
      </c>
      <c r="L362" s="46">
        <f t="shared" si="105"/>
        <v>444.90262500000006</v>
      </c>
      <c r="M362" s="338">
        <f t="shared" si="106"/>
        <v>0</v>
      </c>
      <c r="N362" s="43" t="s">
        <v>60</v>
      </c>
      <c r="O362" s="339">
        <v>85364900</v>
      </c>
      <c r="P362" s="340">
        <f>IFERROR(VLOOKUP(O362,NCM!$A$3:$D$99,COLUMN(head_porNCM_IPI)-COLUMN(head_porNCM_NCM)+1,FALSE),"")</f>
        <v>3.2500000000000001E-2</v>
      </c>
      <c r="Q362" s="43" t="s">
        <v>597</v>
      </c>
      <c r="R362" s="78" t="s">
        <v>209</v>
      </c>
      <c r="S362" s="341"/>
      <c r="T362" s="28" t="s">
        <v>52</v>
      </c>
      <c r="U362" s="28" t="s">
        <v>2372</v>
      </c>
      <c r="V362" s="548">
        <v>45035</v>
      </c>
      <c r="W362" s="43"/>
      <c r="X362" s="342">
        <f t="shared" si="107"/>
        <v>106.61404358353509</v>
      </c>
      <c r="Y362" s="342">
        <f t="shared" si="108"/>
        <v>19.249757869249379</v>
      </c>
      <c r="Z362" s="46">
        <f t="shared" si="109"/>
        <v>9.7729539951573852</v>
      </c>
      <c r="AA362" s="46">
        <f t="shared" si="110"/>
        <v>45.014818401937042</v>
      </c>
      <c r="AB362" s="43"/>
      <c r="AC362" s="44">
        <v>611.54999999999995</v>
      </c>
      <c r="AD362" s="31">
        <v>0.18</v>
      </c>
      <c r="AE362" s="31">
        <v>3.2500000000000001E-2</v>
      </c>
      <c r="AF362" s="31">
        <v>0</v>
      </c>
      <c r="AG362" s="28" t="s">
        <v>53</v>
      </c>
      <c r="AH362" s="46">
        <f t="shared" si="111"/>
        <v>631.42537499999992</v>
      </c>
      <c r="AI362" s="43"/>
      <c r="AJ362" s="28"/>
      <c r="AK362" s="337"/>
      <c r="AL362" s="43"/>
      <c r="AM362" s="44">
        <f t="shared" si="112"/>
        <v>0</v>
      </c>
      <c r="AN362" s="43"/>
      <c r="AO362" s="28">
        <f t="shared" si="113"/>
        <v>0</v>
      </c>
      <c r="AP362" s="43"/>
      <c r="AQ362" s="323">
        <f t="shared" si="114"/>
        <v>0</v>
      </c>
      <c r="AR362" s="43"/>
      <c r="AS362" s="44">
        <f t="shared" si="115"/>
        <v>631.42537499999992</v>
      </c>
    </row>
    <row r="363" spans="1:45" x14ac:dyDescent="0.25">
      <c r="A363" s="28"/>
      <c r="B363" s="43"/>
      <c r="C363" s="43"/>
      <c r="D363" s="43" t="s">
        <v>616</v>
      </c>
      <c r="E363" s="43"/>
      <c r="F363" s="43"/>
      <c r="G363" s="46">
        <f t="shared" si="102"/>
        <v>0</v>
      </c>
      <c r="H363" s="46">
        <f t="shared" si="103"/>
        <v>0</v>
      </c>
      <c r="I363" s="28"/>
      <c r="J363" s="337"/>
      <c r="K363" s="46" t="str">
        <f t="shared" si="104"/>
        <v/>
      </c>
      <c r="L363" s="46" t="str">
        <f t="shared" si="105"/>
        <v/>
      </c>
      <c r="M363" s="338">
        <f t="shared" si="106"/>
        <v>0</v>
      </c>
      <c r="N363" s="43"/>
      <c r="O363" s="339"/>
      <c r="P363" s="340" t="str">
        <f>IFERROR(VLOOKUP(O363,NCM!$A$3:$D$99,COLUMN(head_porNCM_IPI)-COLUMN(head_porNCM_NCM)+1,FALSE),"")</f>
        <v/>
      </c>
      <c r="Q363" s="43"/>
      <c r="R363" s="78"/>
      <c r="S363" s="341"/>
      <c r="T363" s="28"/>
      <c r="U363" s="28"/>
      <c r="V363" s="28"/>
      <c r="W363" s="43"/>
      <c r="X363" s="342">
        <f t="shared" si="107"/>
        <v>0</v>
      </c>
      <c r="Y363" s="342">
        <f t="shared" si="108"/>
        <v>0</v>
      </c>
      <c r="Z363" s="46">
        <f t="shared" si="109"/>
        <v>0</v>
      </c>
      <c r="AA363" s="46">
        <f t="shared" si="110"/>
        <v>0</v>
      </c>
      <c r="AB363" s="43"/>
      <c r="AC363" s="44">
        <v>0</v>
      </c>
      <c r="AD363" s="31"/>
      <c r="AE363" s="31"/>
      <c r="AF363" s="31"/>
      <c r="AG363" s="28"/>
      <c r="AH363" s="46">
        <f t="shared" si="111"/>
        <v>0</v>
      </c>
      <c r="AI363" s="43"/>
      <c r="AJ363" s="28"/>
      <c r="AK363" s="337"/>
      <c r="AL363" s="43"/>
      <c r="AM363" s="44">
        <f t="shared" si="112"/>
        <v>0</v>
      </c>
      <c r="AN363" s="43"/>
      <c r="AO363" s="28">
        <f t="shared" si="113"/>
        <v>0</v>
      </c>
      <c r="AP363" s="43"/>
      <c r="AQ363" s="323">
        <f t="shared" si="114"/>
        <v>0</v>
      </c>
      <c r="AR363" s="43"/>
      <c r="AS363" s="44">
        <f t="shared" si="115"/>
        <v>0</v>
      </c>
    </row>
    <row r="364" spans="1:45" x14ac:dyDescent="0.25">
      <c r="A364" s="28"/>
      <c r="B364" s="43"/>
      <c r="C364" s="43"/>
      <c r="D364" s="43"/>
      <c r="E364" s="43" t="s">
        <v>1921</v>
      </c>
      <c r="F364" s="43" t="s">
        <v>2367</v>
      </c>
      <c r="G364" s="46">
        <f t="shared" si="102"/>
        <v>137.904</v>
      </c>
      <c r="H364" s="46">
        <f t="shared" si="103"/>
        <v>124.61637500000001</v>
      </c>
      <c r="I364" s="28" t="s">
        <v>262</v>
      </c>
      <c r="J364" s="337">
        <v>1</v>
      </c>
      <c r="K364" s="46">
        <f t="shared" si="104"/>
        <v>137.904</v>
      </c>
      <c r="L364" s="46">
        <f t="shared" si="105"/>
        <v>124.61637500000001</v>
      </c>
      <c r="M364" s="338">
        <f t="shared" si="106"/>
        <v>0</v>
      </c>
      <c r="N364" s="43" t="s">
        <v>60</v>
      </c>
      <c r="O364" s="339">
        <v>85389090</v>
      </c>
      <c r="P364" s="340">
        <f>IFERROR(VLOOKUP(O364,NCM!$A$3:$D$99,COLUMN(head_porNCM_IPI)-COLUMN(head_porNCM_NCM)+1,FALSE),"")</f>
        <v>0.15</v>
      </c>
      <c r="Q364" s="43" t="s">
        <v>616</v>
      </c>
      <c r="R364" s="78" t="s">
        <v>210</v>
      </c>
      <c r="S364" s="341"/>
      <c r="T364" s="28" t="s">
        <v>52</v>
      </c>
      <c r="U364" s="28" t="s">
        <v>2756</v>
      </c>
      <c r="V364" s="548">
        <v>45352</v>
      </c>
      <c r="W364" s="43"/>
      <c r="X364" s="342">
        <f t="shared" si="107"/>
        <v>5.2355353075170852</v>
      </c>
      <c r="Y364" s="342">
        <f t="shared" si="108"/>
        <v>12.761617312072872</v>
      </c>
      <c r="Z364" s="46">
        <f t="shared" si="109"/>
        <v>2.1596583143507977</v>
      </c>
      <c r="AA364" s="46">
        <f t="shared" si="110"/>
        <v>9.9475170842824614</v>
      </c>
      <c r="AB364" s="43"/>
      <c r="AC364" s="44">
        <v>143.65</v>
      </c>
      <c r="AD364" s="31">
        <v>0.04</v>
      </c>
      <c r="AE364" s="31">
        <v>9.7500000000000003E-2</v>
      </c>
      <c r="AF364" s="31">
        <v>0</v>
      </c>
      <c r="AG364" s="28" t="s">
        <v>53</v>
      </c>
      <c r="AH364" s="46">
        <f t="shared" si="111"/>
        <v>157.65587500000001</v>
      </c>
      <c r="AI364" s="43"/>
      <c r="AJ364" s="28" t="s">
        <v>264</v>
      </c>
      <c r="AK364" s="337">
        <v>6.37</v>
      </c>
      <c r="AL364" s="43"/>
      <c r="AM364" s="44">
        <f t="shared" si="112"/>
        <v>0</v>
      </c>
      <c r="AN364" s="43"/>
      <c r="AO364" s="28">
        <f t="shared" si="113"/>
        <v>0</v>
      </c>
      <c r="AP364" s="43"/>
      <c r="AQ364" s="323">
        <f t="shared" si="114"/>
        <v>0</v>
      </c>
      <c r="AR364" s="43"/>
      <c r="AS364" s="44">
        <f t="shared" si="115"/>
        <v>157.65587500000001</v>
      </c>
    </row>
    <row r="365" spans="1:45" x14ac:dyDescent="0.25">
      <c r="A365" s="28"/>
      <c r="B365" s="43"/>
      <c r="C365" s="43"/>
      <c r="D365" s="43"/>
      <c r="E365" s="43" t="s">
        <v>1922</v>
      </c>
      <c r="F365" s="43" t="s">
        <v>2368</v>
      </c>
      <c r="G365" s="46">
        <f t="shared" si="102"/>
        <v>276.02879999999999</v>
      </c>
      <c r="H365" s="46">
        <f t="shared" si="103"/>
        <v>249.432275</v>
      </c>
      <c r="I365" s="28" t="s">
        <v>262</v>
      </c>
      <c r="J365" s="337">
        <v>1</v>
      </c>
      <c r="K365" s="46">
        <f t="shared" si="104"/>
        <v>276.02879999999999</v>
      </c>
      <c r="L365" s="46">
        <f t="shared" si="105"/>
        <v>249.432275</v>
      </c>
      <c r="M365" s="338">
        <f t="shared" si="106"/>
        <v>0</v>
      </c>
      <c r="N365" s="43" t="s">
        <v>60</v>
      </c>
      <c r="O365" s="339">
        <v>85389090</v>
      </c>
      <c r="P365" s="340">
        <f>IFERROR(VLOOKUP(O365,NCM!$A$3:$D$99,COLUMN(head_porNCM_IPI)-COLUMN(head_porNCM_NCM)+1,FALSE),"")</f>
        <v>0.15</v>
      </c>
      <c r="Q365" s="43" t="s">
        <v>616</v>
      </c>
      <c r="R365" s="78" t="s">
        <v>210</v>
      </c>
      <c r="S365" s="341"/>
      <c r="T365" s="28" t="s">
        <v>52</v>
      </c>
      <c r="U365" s="28" t="s">
        <v>2756</v>
      </c>
      <c r="V365" s="548">
        <v>45352</v>
      </c>
      <c r="W365" s="43"/>
      <c r="X365" s="342">
        <f t="shared" si="107"/>
        <v>10.479453302961277</v>
      </c>
      <c r="Y365" s="342">
        <f t="shared" si="108"/>
        <v>25.543667425968067</v>
      </c>
      <c r="Z365" s="46">
        <f t="shared" si="109"/>
        <v>4.322774487471527</v>
      </c>
      <c r="AA365" s="46">
        <f t="shared" si="110"/>
        <v>19.910961275626423</v>
      </c>
      <c r="AB365" s="43"/>
      <c r="AC365" s="44">
        <v>287.52999999999997</v>
      </c>
      <c r="AD365" s="31">
        <v>0.04</v>
      </c>
      <c r="AE365" s="31">
        <v>9.7500000000000003E-2</v>
      </c>
      <c r="AF365" s="31">
        <v>0</v>
      </c>
      <c r="AG365" s="28" t="s">
        <v>53</v>
      </c>
      <c r="AH365" s="46">
        <f t="shared" si="111"/>
        <v>315.56417499999992</v>
      </c>
      <c r="AI365" s="43"/>
      <c r="AJ365" s="28" t="s">
        <v>264</v>
      </c>
      <c r="AK365" s="337">
        <v>6.37</v>
      </c>
      <c r="AL365" s="43"/>
      <c r="AM365" s="44">
        <f t="shared" si="112"/>
        <v>0</v>
      </c>
      <c r="AN365" s="43"/>
      <c r="AO365" s="28">
        <f t="shared" si="113"/>
        <v>0</v>
      </c>
      <c r="AP365" s="43"/>
      <c r="AQ365" s="323">
        <f t="shared" si="114"/>
        <v>0</v>
      </c>
      <c r="AR365" s="43"/>
      <c r="AS365" s="44">
        <f t="shared" si="115"/>
        <v>315.56417499999992</v>
      </c>
    </row>
    <row r="366" spans="1:45" x14ac:dyDescent="0.25">
      <c r="A366" s="28"/>
      <c r="B366" s="43"/>
      <c r="C366" s="43"/>
      <c r="D366" s="43"/>
      <c r="E366" s="43" t="s">
        <v>956</v>
      </c>
      <c r="F366" s="43" t="s">
        <v>957</v>
      </c>
      <c r="G366" s="46">
        <f t="shared" si="102"/>
        <v>747.55199999999991</v>
      </c>
      <c r="H366" s="46">
        <f t="shared" si="103"/>
        <v>675.52224999999999</v>
      </c>
      <c r="I366" s="28" t="s">
        <v>262</v>
      </c>
      <c r="J366" s="337">
        <v>1</v>
      </c>
      <c r="K366" s="46">
        <f t="shared" si="104"/>
        <v>747.55199999999991</v>
      </c>
      <c r="L366" s="46">
        <f t="shared" si="105"/>
        <v>675.52224999999999</v>
      </c>
      <c r="M366" s="338">
        <f t="shared" si="106"/>
        <v>0</v>
      </c>
      <c r="N366" s="43" t="s">
        <v>60</v>
      </c>
      <c r="O366" s="339">
        <v>85364900</v>
      </c>
      <c r="P366" s="340">
        <f>IFERROR(VLOOKUP(O366,NCM!$A$3:$D$99,COLUMN(head_porNCM_IPI)-COLUMN(head_porNCM_NCM)+1,FALSE),"")</f>
        <v>3.2500000000000001E-2</v>
      </c>
      <c r="Q366" s="43" t="s">
        <v>616</v>
      </c>
      <c r="R366" s="78" t="s">
        <v>210</v>
      </c>
      <c r="S366" s="341"/>
      <c r="T366" s="28" t="s">
        <v>52</v>
      </c>
      <c r="U366" s="28" t="s">
        <v>2756</v>
      </c>
      <c r="V366" s="548">
        <v>45352</v>
      </c>
      <c r="W366" s="43"/>
      <c r="X366" s="342">
        <f t="shared" si="107"/>
        <v>30.167554479418886</v>
      </c>
      <c r="Y366" s="342">
        <f t="shared" si="108"/>
        <v>24.511138014527774</v>
      </c>
      <c r="Z366" s="46">
        <f t="shared" si="109"/>
        <v>12.444116222760291</v>
      </c>
      <c r="AA366" s="46">
        <f t="shared" si="110"/>
        <v>57.318353510895882</v>
      </c>
      <c r="AB366" s="43"/>
      <c r="AC366" s="44">
        <v>778.69999999999993</v>
      </c>
      <c r="AD366" s="31">
        <v>0.04</v>
      </c>
      <c r="AE366" s="31">
        <v>3.2500000000000001E-2</v>
      </c>
      <c r="AF366" s="31">
        <v>0</v>
      </c>
      <c r="AG366" s="28" t="s">
        <v>53</v>
      </c>
      <c r="AH366" s="46">
        <f t="shared" si="111"/>
        <v>804.00774999999987</v>
      </c>
      <c r="AI366" s="43"/>
      <c r="AJ366" s="28" t="s">
        <v>264</v>
      </c>
      <c r="AK366" s="337">
        <v>6.37</v>
      </c>
      <c r="AL366" s="43"/>
      <c r="AM366" s="44">
        <f t="shared" si="112"/>
        <v>0</v>
      </c>
      <c r="AN366" s="43"/>
      <c r="AO366" s="28">
        <f t="shared" si="113"/>
        <v>0</v>
      </c>
      <c r="AP366" s="43"/>
      <c r="AQ366" s="323">
        <f t="shared" si="114"/>
        <v>0</v>
      </c>
      <c r="AR366" s="43"/>
      <c r="AS366" s="44">
        <f t="shared" si="115"/>
        <v>804.00774999999987</v>
      </c>
    </row>
    <row r="367" spans="1:45" x14ac:dyDescent="0.25">
      <c r="A367" s="28"/>
      <c r="B367" s="43"/>
      <c r="C367" s="43"/>
      <c r="D367" s="43"/>
      <c r="E367" s="43" t="s">
        <v>958</v>
      </c>
      <c r="F367" s="43" t="s">
        <v>957</v>
      </c>
      <c r="G367" s="46">
        <f t="shared" si="102"/>
        <v>951.55199999999991</v>
      </c>
      <c r="H367" s="46">
        <f t="shared" si="103"/>
        <v>859.86599999999999</v>
      </c>
      <c r="I367" s="28" t="s">
        <v>262</v>
      </c>
      <c r="J367" s="337">
        <v>1</v>
      </c>
      <c r="K367" s="46">
        <f t="shared" si="104"/>
        <v>951.55199999999991</v>
      </c>
      <c r="L367" s="46">
        <f t="shared" si="105"/>
        <v>859.86599999999999</v>
      </c>
      <c r="M367" s="338">
        <f t="shared" si="106"/>
        <v>0</v>
      </c>
      <c r="N367" s="43" t="s">
        <v>60</v>
      </c>
      <c r="O367" s="339">
        <v>85364900</v>
      </c>
      <c r="P367" s="340">
        <f>IFERROR(VLOOKUP(O367,NCM!$A$3:$D$99,COLUMN(head_porNCM_IPI)-COLUMN(head_porNCM_NCM)+1,FALSE),"")</f>
        <v>3.2500000000000001E-2</v>
      </c>
      <c r="Q367" s="43" t="s">
        <v>616</v>
      </c>
      <c r="R367" s="78" t="s">
        <v>210</v>
      </c>
      <c r="S367" s="341"/>
      <c r="T367" s="28" t="s">
        <v>52</v>
      </c>
      <c r="U367" s="28" t="s">
        <v>2756</v>
      </c>
      <c r="V367" s="548">
        <v>45352</v>
      </c>
      <c r="W367" s="43"/>
      <c r="X367" s="342">
        <f t="shared" si="107"/>
        <v>38.4</v>
      </c>
      <c r="Y367" s="342">
        <f t="shared" si="108"/>
        <v>31.199999999999932</v>
      </c>
      <c r="Z367" s="46">
        <f t="shared" si="109"/>
        <v>15.84</v>
      </c>
      <c r="AA367" s="46">
        <f t="shared" si="110"/>
        <v>72.959999999999994</v>
      </c>
      <c r="AB367" s="43"/>
      <c r="AC367" s="44">
        <v>991.19999999999993</v>
      </c>
      <c r="AD367" s="31">
        <v>0.04</v>
      </c>
      <c r="AE367" s="31">
        <v>3.2500000000000001E-2</v>
      </c>
      <c r="AF367" s="31">
        <v>0</v>
      </c>
      <c r="AG367" s="28" t="s">
        <v>53</v>
      </c>
      <c r="AH367" s="46">
        <f t="shared" si="111"/>
        <v>1023.4139999999999</v>
      </c>
      <c r="AI367" s="43"/>
      <c r="AJ367" s="28" t="s">
        <v>264</v>
      </c>
      <c r="AK367" s="337">
        <v>6.37</v>
      </c>
      <c r="AL367" s="43"/>
      <c r="AM367" s="44">
        <f t="shared" si="112"/>
        <v>0</v>
      </c>
      <c r="AN367" s="43"/>
      <c r="AO367" s="28">
        <f t="shared" si="113"/>
        <v>0</v>
      </c>
      <c r="AP367" s="43"/>
      <c r="AQ367" s="323">
        <f t="shared" si="114"/>
        <v>0</v>
      </c>
      <c r="AR367" s="43"/>
      <c r="AS367" s="44">
        <f t="shared" si="115"/>
        <v>1023.4139999999999</v>
      </c>
    </row>
    <row r="368" spans="1:45" x14ac:dyDescent="0.25">
      <c r="A368" s="28"/>
      <c r="B368" s="43"/>
      <c r="C368" s="43"/>
      <c r="D368" s="43"/>
      <c r="E368" s="43" t="s">
        <v>959</v>
      </c>
      <c r="F368" s="43" t="s">
        <v>957</v>
      </c>
      <c r="G368" s="46">
        <f t="shared" si="102"/>
        <v>996.24</v>
      </c>
      <c r="H368" s="46">
        <f t="shared" si="103"/>
        <v>900.24812500000007</v>
      </c>
      <c r="I368" s="28" t="s">
        <v>262</v>
      </c>
      <c r="J368" s="337">
        <v>1</v>
      </c>
      <c r="K368" s="46">
        <f t="shared" si="104"/>
        <v>996.24</v>
      </c>
      <c r="L368" s="46">
        <f t="shared" si="105"/>
        <v>900.24812500000007</v>
      </c>
      <c r="M368" s="338">
        <f t="shared" si="106"/>
        <v>0</v>
      </c>
      <c r="N368" s="43" t="s">
        <v>60</v>
      </c>
      <c r="O368" s="339">
        <v>85364900</v>
      </c>
      <c r="P368" s="340">
        <f>IFERROR(VLOOKUP(O368,NCM!$A$3:$D$99,COLUMN(head_porNCM_IPI)-COLUMN(head_porNCM_NCM)+1,FALSE),"")</f>
        <v>3.2500000000000001E-2</v>
      </c>
      <c r="Q368" s="43" t="s">
        <v>616</v>
      </c>
      <c r="R368" s="78" t="s">
        <v>210</v>
      </c>
      <c r="S368" s="341"/>
      <c r="T368" s="28" t="s">
        <v>52</v>
      </c>
      <c r="U368" s="28" t="s">
        <v>2756</v>
      </c>
      <c r="V368" s="548">
        <v>45352</v>
      </c>
      <c r="W368" s="43"/>
      <c r="X368" s="342">
        <f t="shared" si="107"/>
        <v>40.203389830508478</v>
      </c>
      <c r="Y368" s="342">
        <f t="shared" si="108"/>
        <v>32.665254237288082</v>
      </c>
      <c r="Z368" s="46">
        <f t="shared" si="109"/>
        <v>16.583898305084748</v>
      </c>
      <c r="AA368" s="46">
        <f t="shared" si="110"/>
        <v>76.386440677966107</v>
      </c>
      <c r="AB368" s="43"/>
      <c r="AC368" s="44">
        <v>1037.75</v>
      </c>
      <c r="AD368" s="31">
        <v>0.04</v>
      </c>
      <c r="AE368" s="31">
        <v>3.2500000000000001E-2</v>
      </c>
      <c r="AF368" s="31">
        <v>0</v>
      </c>
      <c r="AG368" s="28" t="s">
        <v>53</v>
      </c>
      <c r="AH368" s="46">
        <f t="shared" si="111"/>
        <v>1071.4768750000001</v>
      </c>
      <c r="AI368" s="43"/>
      <c r="AJ368" s="28" t="s">
        <v>264</v>
      </c>
      <c r="AK368" s="337">
        <v>6.37</v>
      </c>
      <c r="AL368" s="43"/>
      <c r="AM368" s="44">
        <f t="shared" si="112"/>
        <v>0</v>
      </c>
      <c r="AN368" s="43"/>
      <c r="AO368" s="28">
        <f t="shared" si="113"/>
        <v>0</v>
      </c>
      <c r="AP368" s="43"/>
      <c r="AQ368" s="323">
        <f t="shared" si="114"/>
        <v>0</v>
      </c>
      <c r="AR368" s="43"/>
      <c r="AS368" s="44">
        <f t="shared" si="115"/>
        <v>1071.4768750000001</v>
      </c>
    </row>
    <row r="369" spans="1:45" x14ac:dyDescent="0.25">
      <c r="A369" s="28"/>
      <c r="B369" s="43"/>
      <c r="C369" s="43"/>
      <c r="D369" s="43"/>
      <c r="E369" s="43" t="s">
        <v>2328</v>
      </c>
      <c r="F369" s="43" t="s">
        <v>2329</v>
      </c>
      <c r="G369" s="46">
        <f t="shared" si="102"/>
        <v>1523.9232</v>
      </c>
      <c r="H369" s="46">
        <f t="shared" si="103"/>
        <v>1377.0868500000001</v>
      </c>
      <c r="I369" s="28" t="s">
        <v>262</v>
      </c>
      <c r="J369" s="337">
        <v>1</v>
      </c>
      <c r="K369" s="46">
        <f t="shared" si="104"/>
        <v>1523.9232</v>
      </c>
      <c r="L369" s="46">
        <f t="shared" si="105"/>
        <v>1377.0868500000001</v>
      </c>
      <c r="M369" s="338">
        <f t="shared" si="106"/>
        <v>0</v>
      </c>
      <c r="N369" s="43" t="s">
        <v>60</v>
      </c>
      <c r="O369" s="339">
        <v>85364900</v>
      </c>
      <c r="P369" s="340">
        <f>IFERROR(VLOOKUP(O369,NCM!$A$3:$D$99,COLUMN(head_porNCM_IPI)-COLUMN(head_porNCM_NCM)+1,FALSE),"")</f>
        <v>3.2500000000000001E-2</v>
      </c>
      <c r="Q369" s="43" t="s">
        <v>616</v>
      </c>
      <c r="R369" s="78" t="s">
        <v>210</v>
      </c>
      <c r="S369" s="341"/>
      <c r="T369" s="28" t="s">
        <v>52</v>
      </c>
      <c r="U369" s="28" t="s">
        <v>2756</v>
      </c>
      <c r="V369" s="548">
        <v>45352</v>
      </c>
      <c r="W369" s="43"/>
      <c r="X369" s="342">
        <f t="shared" si="107"/>
        <v>61.498111380145282</v>
      </c>
      <c r="Y369" s="342">
        <f t="shared" si="108"/>
        <v>49.967215496367999</v>
      </c>
      <c r="Z369" s="46">
        <f t="shared" si="109"/>
        <v>25.367970944309931</v>
      </c>
      <c r="AA369" s="46">
        <f t="shared" si="110"/>
        <v>116.84641162227604</v>
      </c>
      <c r="AB369" s="43"/>
      <c r="AC369" s="44">
        <v>1587.42</v>
      </c>
      <c r="AD369" s="31">
        <v>0.04</v>
      </c>
      <c r="AE369" s="31">
        <v>3.2500000000000001E-2</v>
      </c>
      <c r="AF369" s="31">
        <v>0</v>
      </c>
      <c r="AG369" s="28" t="s">
        <v>53</v>
      </c>
      <c r="AH369" s="46">
        <f t="shared" si="111"/>
        <v>1639.01115</v>
      </c>
      <c r="AI369" s="43"/>
      <c r="AJ369" s="28" t="s">
        <v>264</v>
      </c>
      <c r="AK369" s="337">
        <v>6.37</v>
      </c>
      <c r="AL369" s="43"/>
      <c r="AM369" s="44">
        <f t="shared" si="112"/>
        <v>0</v>
      </c>
      <c r="AN369" s="43"/>
      <c r="AO369" s="28">
        <f t="shared" si="113"/>
        <v>0</v>
      </c>
      <c r="AP369" s="43"/>
      <c r="AQ369" s="323">
        <f t="shared" si="114"/>
        <v>0</v>
      </c>
      <c r="AR369" s="43"/>
      <c r="AS369" s="44">
        <f t="shared" si="115"/>
        <v>1639.01115</v>
      </c>
    </row>
    <row r="370" spans="1:45" x14ac:dyDescent="0.25">
      <c r="A370" s="28"/>
      <c r="B370" s="43"/>
      <c r="C370" s="43"/>
      <c r="D370" s="43"/>
      <c r="E370" s="43" t="s">
        <v>948</v>
      </c>
      <c r="F370" s="43" t="s">
        <v>949</v>
      </c>
      <c r="G370" s="46">
        <f t="shared" si="102"/>
        <v>1191.8208</v>
      </c>
      <c r="H370" s="46">
        <f t="shared" si="103"/>
        <v>1076.9839000000002</v>
      </c>
      <c r="I370" s="28" t="s">
        <v>262</v>
      </c>
      <c r="J370" s="337">
        <v>1</v>
      </c>
      <c r="K370" s="46">
        <f t="shared" si="104"/>
        <v>1191.8208</v>
      </c>
      <c r="L370" s="46">
        <f t="shared" si="105"/>
        <v>1076.9839000000002</v>
      </c>
      <c r="M370" s="338">
        <f t="shared" si="106"/>
        <v>0</v>
      </c>
      <c r="N370" s="43" t="s">
        <v>60</v>
      </c>
      <c r="O370" s="339">
        <v>85364900</v>
      </c>
      <c r="P370" s="340">
        <f>IFERROR(VLOOKUP(O370,NCM!$A$3:$D$99,COLUMN(head_porNCM_IPI)-COLUMN(head_porNCM_NCM)+1,FALSE),"")</f>
        <v>3.2500000000000001E-2</v>
      </c>
      <c r="Q370" s="43" t="s">
        <v>616</v>
      </c>
      <c r="R370" s="78" t="s">
        <v>210</v>
      </c>
      <c r="S370" s="341"/>
      <c r="T370" s="28" t="s">
        <v>52</v>
      </c>
      <c r="U370" s="28" t="s">
        <v>2756</v>
      </c>
      <c r="V370" s="548">
        <v>45352</v>
      </c>
      <c r="W370" s="43"/>
      <c r="X370" s="342">
        <f t="shared" si="107"/>
        <v>48.096077481840197</v>
      </c>
      <c r="Y370" s="342">
        <f t="shared" si="108"/>
        <v>39.078062953995186</v>
      </c>
      <c r="Z370" s="46">
        <f t="shared" si="109"/>
        <v>19.83963196125908</v>
      </c>
      <c r="AA370" s="46">
        <f t="shared" si="110"/>
        <v>91.382547215496359</v>
      </c>
      <c r="AB370" s="43"/>
      <c r="AC370" s="44">
        <v>1241.48</v>
      </c>
      <c r="AD370" s="31">
        <v>0.04</v>
      </c>
      <c r="AE370" s="31">
        <v>3.2500000000000001E-2</v>
      </c>
      <c r="AF370" s="31">
        <v>0</v>
      </c>
      <c r="AG370" s="28" t="s">
        <v>53</v>
      </c>
      <c r="AH370" s="46">
        <f t="shared" si="111"/>
        <v>1281.8280999999999</v>
      </c>
      <c r="AI370" s="43"/>
      <c r="AJ370" s="28" t="s">
        <v>264</v>
      </c>
      <c r="AK370" s="337">
        <v>6.37</v>
      </c>
      <c r="AL370" s="43"/>
      <c r="AM370" s="44">
        <f t="shared" si="112"/>
        <v>0</v>
      </c>
      <c r="AN370" s="43"/>
      <c r="AO370" s="28">
        <f t="shared" si="113"/>
        <v>0</v>
      </c>
      <c r="AP370" s="43"/>
      <c r="AQ370" s="323">
        <f t="shared" si="114"/>
        <v>0</v>
      </c>
      <c r="AR370" s="43"/>
      <c r="AS370" s="44">
        <f t="shared" si="115"/>
        <v>1281.8280999999999</v>
      </c>
    </row>
    <row r="371" spans="1:45" x14ac:dyDescent="0.25">
      <c r="A371" s="28"/>
      <c r="B371" s="43"/>
      <c r="C371" s="43"/>
      <c r="D371" s="43"/>
      <c r="E371" s="43" t="s">
        <v>617</v>
      </c>
      <c r="F371" s="43" t="s">
        <v>941</v>
      </c>
      <c r="G371" s="46">
        <f t="shared" si="102"/>
        <v>2030.7935999999997</v>
      </c>
      <c r="H371" s="46">
        <f t="shared" si="103"/>
        <v>1835.1181750000001</v>
      </c>
      <c r="I371" s="28" t="s">
        <v>262</v>
      </c>
      <c r="J371" s="337">
        <v>1</v>
      </c>
      <c r="K371" s="46">
        <f t="shared" si="104"/>
        <v>2030.7935999999997</v>
      </c>
      <c r="L371" s="46">
        <f t="shared" si="105"/>
        <v>1835.1181750000001</v>
      </c>
      <c r="M371" s="338">
        <f t="shared" si="106"/>
        <v>0</v>
      </c>
      <c r="N371" s="43" t="s">
        <v>60</v>
      </c>
      <c r="O371" s="339">
        <v>85364900</v>
      </c>
      <c r="P371" s="340">
        <f>IFERROR(VLOOKUP(O371,NCM!$A$3:$D$99,COLUMN(head_porNCM_IPI)-COLUMN(head_porNCM_NCM)+1,FALSE),"")</f>
        <v>3.2500000000000001E-2</v>
      </c>
      <c r="Q371" s="43" t="s">
        <v>616</v>
      </c>
      <c r="R371" s="78" t="s">
        <v>210</v>
      </c>
      <c r="S371" s="341"/>
      <c r="T371" s="28" t="s">
        <v>52</v>
      </c>
      <c r="U371" s="28" t="s">
        <v>2756</v>
      </c>
      <c r="V371" s="548">
        <v>45352</v>
      </c>
      <c r="W371" s="43"/>
      <c r="X371" s="342">
        <f t="shared" si="107"/>
        <v>81.952929782082322</v>
      </c>
      <c r="Y371" s="342">
        <f t="shared" si="108"/>
        <v>66.586755447941869</v>
      </c>
      <c r="Z371" s="46">
        <f t="shared" si="109"/>
        <v>33.805583535108958</v>
      </c>
      <c r="AA371" s="46">
        <f t="shared" si="110"/>
        <v>155.7105665859564</v>
      </c>
      <c r="AB371" s="43"/>
      <c r="AC371" s="44">
        <v>2115.41</v>
      </c>
      <c r="AD371" s="31">
        <v>0.04</v>
      </c>
      <c r="AE371" s="31">
        <v>3.2500000000000001E-2</v>
      </c>
      <c r="AF371" s="31">
        <v>0</v>
      </c>
      <c r="AG371" s="28" t="s">
        <v>53</v>
      </c>
      <c r="AH371" s="46">
        <f t="shared" si="111"/>
        <v>2184.1608249999999</v>
      </c>
      <c r="AI371" s="43"/>
      <c r="AJ371" s="28" t="s">
        <v>264</v>
      </c>
      <c r="AK371" s="337">
        <v>6.37</v>
      </c>
      <c r="AL371" s="43"/>
      <c r="AM371" s="44">
        <f t="shared" si="112"/>
        <v>0</v>
      </c>
      <c r="AN371" s="43"/>
      <c r="AO371" s="28">
        <f t="shared" si="113"/>
        <v>0</v>
      </c>
      <c r="AP371" s="43"/>
      <c r="AQ371" s="323">
        <f t="shared" si="114"/>
        <v>0</v>
      </c>
      <c r="AR371" s="43"/>
      <c r="AS371" s="44">
        <f t="shared" si="115"/>
        <v>2184.1608249999999</v>
      </c>
    </row>
    <row r="372" spans="1:45" x14ac:dyDescent="0.25">
      <c r="A372" s="28"/>
      <c r="B372" s="43"/>
      <c r="C372" s="43"/>
      <c r="D372" s="43"/>
      <c r="E372" s="43" t="s">
        <v>950</v>
      </c>
      <c r="F372" s="43" t="s">
        <v>951</v>
      </c>
      <c r="G372" s="46">
        <f t="shared" si="102"/>
        <v>397.18079999999998</v>
      </c>
      <c r="H372" s="46">
        <f t="shared" si="103"/>
        <v>358.91077500000006</v>
      </c>
      <c r="I372" s="28" t="s">
        <v>262</v>
      </c>
      <c r="J372" s="337">
        <v>1</v>
      </c>
      <c r="K372" s="46">
        <f t="shared" si="104"/>
        <v>397.18079999999998</v>
      </c>
      <c r="L372" s="46">
        <f t="shared" si="105"/>
        <v>358.91077500000006</v>
      </c>
      <c r="M372" s="338">
        <f t="shared" si="106"/>
        <v>0</v>
      </c>
      <c r="N372" s="43" t="s">
        <v>60</v>
      </c>
      <c r="O372" s="339">
        <v>85364900</v>
      </c>
      <c r="P372" s="340">
        <f>IFERROR(VLOOKUP(O372,NCM!$A$3:$D$99,COLUMN(head_porNCM_IPI)-COLUMN(head_porNCM_NCM)+1,FALSE),"")</f>
        <v>3.2500000000000001E-2</v>
      </c>
      <c r="Q372" s="43" t="s">
        <v>616</v>
      </c>
      <c r="R372" s="78" t="s">
        <v>210</v>
      </c>
      <c r="S372" s="341"/>
      <c r="T372" s="28" t="s">
        <v>52</v>
      </c>
      <c r="U372" s="28" t="s">
        <v>2756</v>
      </c>
      <c r="V372" s="548">
        <v>45352</v>
      </c>
      <c r="W372" s="43"/>
      <c r="X372" s="342">
        <f t="shared" si="107"/>
        <v>16.028280871670706</v>
      </c>
      <c r="Y372" s="342">
        <f t="shared" si="108"/>
        <v>13.022978208232416</v>
      </c>
      <c r="Z372" s="46">
        <f t="shared" si="109"/>
        <v>6.611665859564166</v>
      </c>
      <c r="AA372" s="46">
        <f t="shared" si="110"/>
        <v>30.453733656174336</v>
      </c>
      <c r="AB372" s="43"/>
      <c r="AC372" s="44">
        <v>413.73</v>
      </c>
      <c r="AD372" s="31">
        <v>0.04</v>
      </c>
      <c r="AE372" s="31">
        <v>3.2500000000000001E-2</v>
      </c>
      <c r="AF372" s="31">
        <v>0</v>
      </c>
      <c r="AG372" s="28" t="s">
        <v>53</v>
      </c>
      <c r="AH372" s="46">
        <f t="shared" si="111"/>
        <v>427.17622499999999</v>
      </c>
      <c r="AI372" s="43"/>
      <c r="AJ372" s="28" t="s">
        <v>264</v>
      </c>
      <c r="AK372" s="337">
        <v>6.37</v>
      </c>
      <c r="AL372" s="43"/>
      <c r="AM372" s="44">
        <f t="shared" si="112"/>
        <v>0</v>
      </c>
      <c r="AN372" s="43"/>
      <c r="AO372" s="28">
        <f t="shared" si="113"/>
        <v>0</v>
      </c>
      <c r="AP372" s="43"/>
      <c r="AQ372" s="323">
        <f t="shared" si="114"/>
        <v>0</v>
      </c>
      <c r="AR372" s="43"/>
      <c r="AS372" s="44">
        <f t="shared" si="115"/>
        <v>427.17622499999999</v>
      </c>
    </row>
    <row r="373" spans="1:45" x14ac:dyDescent="0.25">
      <c r="A373" s="28"/>
      <c r="B373" s="43"/>
      <c r="C373" s="43"/>
      <c r="D373" s="43"/>
      <c r="E373" s="43" t="s">
        <v>952</v>
      </c>
      <c r="F373" s="43" t="s">
        <v>953</v>
      </c>
      <c r="G373" s="46">
        <f t="shared" si="102"/>
        <v>708.86399999999992</v>
      </c>
      <c r="H373" s="46">
        <f t="shared" si="103"/>
        <v>640.56200000000001</v>
      </c>
      <c r="I373" s="28" t="s">
        <v>262</v>
      </c>
      <c r="J373" s="337">
        <v>1</v>
      </c>
      <c r="K373" s="46">
        <f t="shared" si="104"/>
        <v>708.86399999999992</v>
      </c>
      <c r="L373" s="46">
        <f t="shared" si="105"/>
        <v>640.56200000000001</v>
      </c>
      <c r="M373" s="338">
        <f t="shared" si="106"/>
        <v>0</v>
      </c>
      <c r="N373" s="43" t="s">
        <v>60</v>
      </c>
      <c r="O373" s="339">
        <v>85364900</v>
      </c>
      <c r="P373" s="340">
        <f>IFERROR(VLOOKUP(O373,NCM!$A$3:$D$99,COLUMN(head_porNCM_IPI)-COLUMN(head_porNCM_NCM)+1,FALSE),"")</f>
        <v>3.2500000000000001E-2</v>
      </c>
      <c r="Q373" s="43" t="s">
        <v>616</v>
      </c>
      <c r="R373" s="78" t="s">
        <v>210</v>
      </c>
      <c r="S373" s="341"/>
      <c r="T373" s="28" t="s">
        <v>52</v>
      </c>
      <c r="U373" s="28" t="s">
        <v>2756</v>
      </c>
      <c r="V373" s="548">
        <v>45352</v>
      </c>
      <c r="W373" s="43"/>
      <c r="X373" s="342">
        <f t="shared" si="107"/>
        <v>28.606295399515741</v>
      </c>
      <c r="Y373" s="342">
        <f t="shared" si="108"/>
        <v>23.242615012106512</v>
      </c>
      <c r="Z373" s="46">
        <f t="shared" si="109"/>
        <v>11.800096852300243</v>
      </c>
      <c r="AA373" s="46">
        <f t="shared" si="110"/>
        <v>54.3519612590799</v>
      </c>
      <c r="AB373" s="43"/>
      <c r="AC373" s="44">
        <v>738.4</v>
      </c>
      <c r="AD373" s="31">
        <v>0.04</v>
      </c>
      <c r="AE373" s="31">
        <v>3.2500000000000001E-2</v>
      </c>
      <c r="AF373" s="31">
        <v>0</v>
      </c>
      <c r="AG373" s="28" t="s">
        <v>53</v>
      </c>
      <c r="AH373" s="46">
        <f t="shared" si="111"/>
        <v>762.39799999999991</v>
      </c>
      <c r="AI373" s="43"/>
      <c r="AJ373" s="28" t="s">
        <v>264</v>
      </c>
      <c r="AK373" s="337">
        <v>6.37</v>
      </c>
      <c r="AL373" s="43"/>
      <c r="AM373" s="44">
        <f t="shared" si="112"/>
        <v>0</v>
      </c>
      <c r="AN373" s="43"/>
      <c r="AO373" s="28">
        <f t="shared" si="113"/>
        <v>0</v>
      </c>
      <c r="AP373" s="43"/>
      <c r="AQ373" s="323">
        <f t="shared" si="114"/>
        <v>0</v>
      </c>
      <c r="AR373" s="43"/>
      <c r="AS373" s="44">
        <f t="shared" si="115"/>
        <v>762.39799999999991</v>
      </c>
    </row>
    <row r="374" spans="1:45" x14ac:dyDescent="0.25">
      <c r="A374" s="28"/>
      <c r="B374" s="43"/>
      <c r="C374" s="43"/>
      <c r="D374" s="43"/>
      <c r="E374" s="43" t="s">
        <v>1919</v>
      </c>
      <c r="F374" s="43" t="s">
        <v>2638</v>
      </c>
      <c r="G374" s="46">
        <f t="shared" si="102"/>
        <v>527.58720000000005</v>
      </c>
      <c r="H374" s="46">
        <f t="shared" si="103"/>
        <v>476.75197500000007</v>
      </c>
      <c r="I374" s="28" t="s">
        <v>262</v>
      </c>
      <c r="J374" s="337">
        <v>1</v>
      </c>
      <c r="K374" s="46">
        <f t="shared" si="104"/>
        <v>527.58720000000005</v>
      </c>
      <c r="L374" s="46">
        <f t="shared" si="105"/>
        <v>476.75197500000007</v>
      </c>
      <c r="M374" s="338">
        <f t="shared" si="106"/>
        <v>0</v>
      </c>
      <c r="N374" s="43" t="s">
        <v>60</v>
      </c>
      <c r="O374" s="339">
        <v>85364900</v>
      </c>
      <c r="P374" s="340">
        <f>IFERROR(VLOOKUP(O374,NCM!$A$3:$D$99,COLUMN(head_porNCM_IPI)-COLUMN(head_porNCM_NCM)+1,FALSE),"")</f>
        <v>3.2500000000000001E-2</v>
      </c>
      <c r="Q374" s="43" t="s">
        <v>616</v>
      </c>
      <c r="R374" s="78" t="s">
        <v>210</v>
      </c>
      <c r="S374" s="341"/>
      <c r="T374" s="28" t="s">
        <v>52</v>
      </c>
      <c r="U374" s="28" t="s">
        <v>2756</v>
      </c>
      <c r="V374" s="548">
        <v>45352</v>
      </c>
      <c r="W374" s="43"/>
      <c r="X374" s="342">
        <f t="shared" si="107"/>
        <v>21.29084745762712</v>
      </c>
      <c r="Y374" s="342">
        <f t="shared" si="108"/>
        <v>17.29881355932207</v>
      </c>
      <c r="Z374" s="46">
        <f t="shared" si="109"/>
        <v>8.7824745762711878</v>
      </c>
      <c r="AA374" s="46">
        <f t="shared" si="110"/>
        <v>40.452610169491528</v>
      </c>
      <c r="AB374" s="43"/>
      <c r="AC374" s="44">
        <v>549.57000000000005</v>
      </c>
      <c r="AD374" s="31">
        <v>0.04</v>
      </c>
      <c r="AE374" s="31">
        <v>3.2500000000000001E-2</v>
      </c>
      <c r="AF374" s="31">
        <v>0</v>
      </c>
      <c r="AG374" s="28" t="s">
        <v>53</v>
      </c>
      <c r="AH374" s="46">
        <f t="shared" si="111"/>
        <v>567.43102500000009</v>
      </c>
      <c r="AI374" s="43"/>
      <c r="AJ374" s="28" t="s">
        <v>264</v>
      </c>
      <c r="AK374" s="337">
        <v>6.37</v>
      </c>
      <c r="AL374" s="43"/>
      <c r="AM374" s="44">
        <f t="shared" si="112"/>
        <v>0</v>
      </c>
      <c r="AN374" s="43"/>
      <c r="AO374" s="28">
        <f t="shared" si="113"/>
        <v>0</v>
      </c>
      <c r="AP374" s="43"/>
      <c r="AQ374" s="323">
        <f t="shared" si="114"/>
        <v>0</v>
      </c>
      <c r="AR374" s="43"/>
      <c r="AS374" s="44">
        <f t="shared" si="115"/>
        <v>567.43102500000009</v>
      </c>
    </row>
    <row r="375" spans="1:45" x14ac:dyDescent="0.25">
      <c r="A375" s="28"/>
      <c r="B375" s="43"/>
      <c r="C375" s="43"/>
      <c r="D375" s="43"/>
      <c r="E375" s="43" t="s">
        <v>954</v>
      </c>
      <c r="F375" s="43" t="s">
        <v>955</v>
      </c>
      <c r="G375" s="46">
        <f t="shared" si="102"/>
        <v>753.54239999999993</v>
      </c>
      <c r="H375" s="46">
        <f t="shared" si="103"/>
        <v>680.93544999999995</v>
      </c>
      <c r="I375" s="28" t="s">
        <v>262</v>
      </c>
      <c r="J375" s="337">
        <v>1</v>
      </c>
      <c r="K375" s="46">
        <f t="shared" si="104"/>
        <v>753.54239999999993</v>
      </c>
      <c r="L375" s="46">
        <f t="shared" si="105"/>
        <v>680.93544999999995</v>
      </c>
      <c r="M375" s="338">
        <f t="shared" si="106"/>
        <v>0</v>
      </c>
      <c r="N375" s="43" t="s">
        <v>60</v>
      </c>
      <c r="O375" s="339">
        <v>85364900</v>
      </c>
      <c r="P375" s="340">
        <f>IFERROR(VLOOKUP(O375,NCM!$A$3:$D$99,COLUMN(head_porNCM_IPI)-COLUMN(head_porNCM_NCM)+1,FALSE),"")</f>
        <v>3.2500000000000001E-2</v>
      </c>
      <c r="Q375" s="43" t="s">
        <v>616</v>
      </c>
      <c r="R375" s="78" t="s">
        <v>210</v>
      </c>
      <c r="S375" s="341"/>
      <c r="T375" s="28" t="s">
        <v>52</v>
      </c>
      <c r="U375" s="28" t="s">
        <v>2756</v>
      </c>
      <c r="V375" s="548">
        <v>45352</v>
      </c>
      <c r="W375" s="43"/>
      <c r="X375" s="342">
        <f t="shared" si="107"/>
        <v>30.409297820823245</v>
      </c>
      <c r="Y375" s="342">
        <f t="shared" si="108"/>
        <v>24.707554479418832</v>
      </c>
      <c r="Z375" s="46">
        <f t="shared" si="109"/>
        <v>12.543835351089589</v>
      </c>
      <c r="AA375" s="46">
        <f t="shared" si="110"/>
        <v>57.777665859564166</v>
      </c>
      <c r="AB375" s="43"/>
      <c r="AC375" s="44">
        <v>784.93999999999994</v>
      </c>
      <c r="AD375" s="31">
        <v>0.04</v>
      </c>
      <c r="AE375" s="31">
        <v>3.2500000000000001E-2</v>
      </c>
      <c r="AF375" s="31">
        <v>0</v>
      </c>
      <c r="AG375" s="28" t="s">
        <v>53</v>
      </c>
      <c r="AH375" s="46">
        <f t="shared" si="111"/>
        <v>810.45054999999991</v>
      </c>
      <c r="AI375" s="43"/>
      <c r="AJ375" s="28" t="s">
        <v>264</v>
      </c>
      <c r="AK375" s="337">
        <v>6.37</v>
      </c>
      <c r="AL375" s="43"/>
      <c r="AM375" s="44">
        <f t="shared" si="112"/>
        <v>0</v>
      </c>
      <c r="AN375" s="43"/>
      <c r="AO375" s="28">
        <f t="shared" si="113"/>
        <v>0</v>
      </c>
      <c r="AP375" s="43"/>
      <c r="AQ375" s="323">
        <f t="shared" si="114"/>
        <v>0</v>
      </c>
      <c r="AR375" s="43"/>
      <c r="AS375" s="44">
        <f t="shared" si="115"/>
        <v>810.45054999999991</v>
      </c>
    </row>
    <row r="376" spans="1:45" x14ac:dyDescent="0.25">
      <c r="A376" s="28"/>
      <c r="B376" s="43"/>
      <c r="C376" s="43"/>
      <c r="D376" s="43"/>
      <c r="E376" s="43" t="s">
        <v>942</v>
      </c>
      <c r="F376" s="43" t="s">
        <v>943</v>
      </c>
      <c r="G376" s="46">
        <f t="shared" ref="G376:G439" si="116">AC376*(1-AD376)</f>
        <v>906.55679999999995</v>
      </c>
      <c r="H376" s="46">
        <f t="shared" ref="H376:H439" si="117">AC376*(1-AD376-pis_naocum-cofins_naocum)</f>
        <v>819.20627500000001</v>
      </c>
      <c r="I376" s="28" t="s">
        <v>262</v>
      </c>
      <c r="J376" s="337">
        <v>1</v>
      </c>
      <c r="K376" s="46">
        <f t="shared" ref="K376:K439" si="118">IFERROR(G376*J376*VLOOKUP(I376,tbl_cambio,2,FALSE),"")</f>
        <v>906.55679999999995</v>
      </c>
      <c r="L376" s="46">
        <f t="shared" ref="L376:L439" si="119">IFERROR(H376*J376*VLOOKUP(I376,tbl_cambio,2,FALSE),"")</f>
        <v>819.20627500000001</v>
      </c>
      <c r="M376" s="338">
        <f t="shared" ref="M376:M439" si="120">SUMIF(col_item,"="&amp;E376,col_qtd)</f>
        <v>2</v>
      </c>
      <c r="N376" s="43" t="s">
        <v>60</v>
      </c>
      <c r="O376" s="339">
        <v>85364900</v>
      </c>
      <c r="P376" s="340">
        <f>IFERROR(VLOOKUP(O376,NCM!$A$3:$D$99,COLUMN(head_porNCM_IPI)-COLUMN(head_porNCM_NCM)+1,FALSE),"")</f>
        <v>3.2500000000000001E-2</v>
      </c>
      <c r="Q376" s="43" t="s">
        <v>616</v>
      </c>
      <c r="R376" s="78" t="s">
        <v>210</v>
      </c>
      <c r="S376" s="341"/>
      <c r="T376" s="28" t="s">
        <v>52</v>
      </c>
      <c r="U376" s="28" t="s">
        <v>2756</v>
      </c>
      <c r="V376" s="548">
        <v>45352</v>
      </c>
      <c r="W376" s="43"/>
      <c r="X376" s="342">
        <f t="shared" ref="X376:X439" si="121">(AC376-Y376)*AD376</f>
        <v>36.584213075060532</v>
      </c>
      <c r="Y376" s="342">
        <f t="shared" ref="Y376:Y439" si="122">AC376-AC376/(1+AE376)</f>
        <v>29.724673123486696</v>
      </c>
      <c r="Z376" s="46">
        <f t="shared" ref="Z376:Z439" si="123">(AC376-Y376)*pis_naocum</f>
        <v>15.090987893462469</v>
      </c>
      <c r="AA376" s="46">
        <f t="shared" ref="AA376:AA439" si="124">(AC376-Y376)*cofins_naocum</f>
        <v>69.510004842615004</v>
      </c>
      <c r="AB376" s="43"/>
      <c r="AC376" s="44">
        <v>944.32999999999993</v>
      </c>
      <c r="AD376" s="31">
        <v>0.04</v>
      </c>
      <c r="AE376" s="31">
        <v>3.2500000000000001E-2</v>
      </c>
      <c r="AF376" s="31">
        <v>0</v>
      </c>
      <c r="AG376" s="28" t="s">
        <v>53</v>
      </c>
      <c r="AH376" s="46">
        <f t="shared" ref="AH376:AH439" si="125">AC376*(1+AE376)</f>
        <v>975.02072499999986</v>
      </c>
      <c r="AI376" s="43"/>
      <c r="AJ376" s="28" t="s">
        <v>264</v>
      </c>
      <c r="AK376" s="337">
        <v>6.37</v>
      </c>
      <c r="AL376" s="43"/>
      <c r="AM376" s="44">
        <f t="shared" ref="AM376:AM439" si="126">IF(AND(AJ376&lt;&gt;"",AK376&gt;0),AQ376*(VLOOKUP(AJ376,tbl_cambio,2,FALSE)/AK376-1),0)</f>
        <v>-120.8875821821035</v>
      </c>
      <c r="AN376" s="43"/>
      <c r="AO376" s="28">
        <f t="shared" ref="AO376:AO439" si="127">IF(T376="Sim",ROUNDUP(M376*sobress_pc,0),0)</f>
        <v>1</v>
      </c>
      <c r="AP376" s="43"/>
      <c r="AQ376" s="323">
        <f t="shared" ref="AQ376:AQ439" si="128">SUMIFS(col_custoTotal,col_fatdir,"Não",col_item,E376)</f>
        <v>1638.41255</v>
      </c>
      <c r="AR376" s="43"/>
      <c r="AS376" s="44">
        <f t="shared" ref="AS376:AS439" si="129">IFERROR(AH376*VLOOKUP(I376,tbl_cambio,2,FALSE),0)</f>
        <v>975.02072499999986</v>
      </c>
    </row>
    <row r="377" spans="1:45" x14ac:dyDescent="0.25">
      <c r="A377" s="28"/>
      <c r="B377" s="43"/>
      <c r="C377" s="43"/>
      <c r="D377" s="43"/>
      <c r="E377" s="43" t="s">
        <v>944</v>
      </c>
      <c r="F377" s="43" t="s">
        <v>945</v>
      </c>
      <c r="G377" s="46">
        <f t="shared" si="116"/>
        <v>1297.4495999999999</v>
      </c>
      <c r="H377" s="46">
        <f t="shared" si="117"/>
        <v>1172.434925</v>
      </c>
      <c r="I377" s="28" t="s">
        <v>262</v>
      </c>
      <c r="J377" s="337">
        <v>1</v>
      </c>
      <c r="K377" s="46">
        <f t="shared" si="118"/>
        <v>1297.4495999999999</v>
      </c>
      <c r="L377" s="46">
        <f t="shared" si="119"/>
        <v>1172.434925</v>
      </c>
      <c r="M377" s="338">
        <f t="shared" si="120"/>
        <v>0</v>
      </c>
      <c r="N377" s="43" t="s">
        <v>60</v>
      </c>
      <c r="O377" s="339">
        <v>85364900</v>
      </c>
      <c r="P377" s="340">
        <f>IFERROR(VLOOKUP(O377,NCM!$A$3:$D$99,COLUMN(head_porNCM_IPI)-COLUMN(head_porNCM_NCM)+1,FALSE),"")</f>
        <v>3.2500000000000001E-2</v>
      </c>
      <c r="Q377" s="43" t="s">
        <v>616</v>
      </c>
      <c r="R377" s="78" t="s">
        <v>210</v>
      </c>
      <c r="S377" s="341"/>
      <c r="T377" s="28" t="s">
        <v>52</v>
      </c>
      <c r="U377" s="28" t="s">
        <v>2756</v>
      </c>
      <c r="V377" s="548">
        <v>45352</v>
      </c>
      <c r="W377" s="43"/>
      <c r="X377" s="342">
        <f t="shared" si="121"/>
        <v>52.358740920096857</v>
      </c>
      <c r="Y377" s="342">
        <f t="shared" si="122"/>
        <v>42.541476997578684</v>
      </c>
      <c r="Z377" s="46">
        <f t="shared" si="123"/>
        <v>21.597980629539954</v>
      </c>
      <c r="AA377" s="46">
        <f t="shared" si="124"/>
        <v>99.481607748184018</v>
      </c>
      <c r="AB377" s="43"/>
      <c r="AC377" s="44">
        <v>1351.51</v>
      </c>
      <c r="AD377" s="31">
        <v>0.04</v>
      </c>
      <c r="AE377" s="31">
        <v>3.2500000000000001E-2</v>
      </c>
      <c r="AF377" s="31">
        <v>0</v>
      </c>
      <c r="AG377" s="28" t="s">
        <v>53</v>
      </c>
      <c r="AH377" s="46">
        <f t="shared" si="125"/>
        <v>1395.4340749999999</v>
      </c>
      <c r="AI377" s="43"/>
      <c r="AJ377" s="28" t="s">
        <v>264</v>
      </c>
      <c r="AK377" s="337">
        <v>6.37</v>
      </c>
      <c r="AL377" s="43"/>
      <c r="AM377" s="44">
        <f t="shared" si="126"/>
        <v>0</v>
      </c>
      <c r="AN377" s="43"/>
      <c r="AO377" s="28">
        <f t="shared" si="127"/>
        <v>0</v>
      </c>
      <c r="AP377" s="43"/>
      <c r="AQ377" s="323">
        <f t="shared" si="128"/>
        <v>0</v>
      </c>
      <c r="AR377" s="43"/>
      <c r="AS377" s="44">
        <f t="shared" si="129"/>
        <v>1395.4340749999999</v>
      </c>
    </row>
    <row r="378" spans="1:45" x14ac:dyDescent="0.25">
      <c r="A378" s="28"/>
      <c r="B378" s="43"/>
      <c r="C378" s="43"/>
      <c r="D378" s="43"/>
      <c r="E378" s="43" t="s">
        <v>946</v>
      </c>
      <c r="F378" s="43" t="s">
        <v>947</v>
      </c>
      <c r="G378" s="46">
        <f t="shared" si="116"/>
        <v>1399.6224</v>
      </c>
      <c r="H378" s="46">
        <f t="shared" si="117"/>
        <v>1264.76295</v>
      </c>
      <c r="I378" s="28" t="s">
        <v>262</v>
      </c>
      <c r="J378" s="337">
        <v>1</v>
      </c>
      <c r="K378" s="46">
        <f t="shared" si="118"/>
        <v>1399.6224</v>
      </c>
      <c r="L378" s="46">
        <f t="shared" si="119"/>
        <v>1264.76295</v>
      </c>
      <c r="M378" s="338">
        <f t="shared" si="120"/>
        <v>0</v>
      </c>
      <c r="N378" s="43" t="s">
        <v>60</v>
      </c>
      <c r="O378" s="339">
        <v>85364900</v>
      </c>
      <c r="P378" s="340">
        <f>IFERROR(VLOOKUP(O378,NCM!$A$3:$D$99,COLUMN(head_porNCM_IPI)-COLUMN(head_porNCM_NCM)+1,FALSE),"")</f>
        <v>3.2500000000000001E-2</v>
      </c>
      <c r="Q378" s="43" t="s">
        <v>616</v>
      </c>
      <c r="R378" s="78" t="s">
        <v>210</v>
      </c>
      <c r="S378" s="341"/>
      <c r="T378" s="28" t="s">
        <v>52</v>
      </c>
      <c r="U378" s="28" t="s">
        <v>2756</v>
      </c>
      <c r="V378" s="548">
        <v>45352</v>
      </c>
      <c r="W378" s="43"/>
      <c r="X378" s="342">
        <f t="shared" si="121"/>
        <v>56.481937046004852</v>
      </c>
      <c r="Y378" s="342">
        <f t="shared" si="122"/>
        <v>45.891573849878796</v>
      </c>
      <c r="Z378" s="46">
        <f t="shared" si="123"/>
        <v>23.298799031477003</v>
      </c>
      <c r="AA378" s="46">
        <f t="shared" si="124"/>
        <v>107.31568038740922</v>
      </c>
      <c r="AB378" s="43"/>
      <c r="AC378" s="44">
        <v>1457.94</v>
      </c>
      <c r="AD378" s="31">
        <v>0.04</v>
      </c>
      <c r="AE378" s="31">
        <v>3.2500000000000001E-2</v>
      </c>
      <c r="AF378" s="31">
        <v>0</v>
      </c>
      <c r="AG378" s="28" t="s">
        <v>53</v>
      </c>
      <c r="AH378" s="46">
        <f t="shared" si="125"/>
        <v>1505.32305</v>
      </c>
      <c r="AI378" s="43"/>
      <c r="AJ378" s="28" t="s">
        <v>264</v>
      </c>
      <c r="AK378" s="337">
        <v>6.37</v>
      </c>
      <c r="AL378" s="43"/>
      <c r="AM378" s="44">
        <f t="shared" si="126"/>
        <v>0</v>
      </c>
      <c r="AN378" s="43"/>
      <c r="AO378" s="28">
        <f t="shared" si="127"/>
        <v>0</v>
      </c>
      <c r="AP378" s="43"/>
      <c r="AQ378" s="323">
        <f t="shared" si="128"/>
        <v>0</v>
      </c>
      <c r="AR378" s="43"/>
      <c r="AS378" s="44">
        <f t="shared" si="129"/>
        <v>1505.32305</v>
      </c>
    </row>
    <row r="379" spans="1:45" x14ac:dyDescent="0.25">
      <c r="A379" s="28"/>
      <c r="B379" s="43"/>
      <c r="C379" s="43"/>
      <c r="D379" s="43"/>
      <c r="E379" s="43" t="s">
        <v>1920</v>
      </c>
      <c r="F379" s="43" t="s">
        <v>2639</v>
      </c>
      <c r="G379" s="46">
        <f t="shared" si="116"/>
        <v>409.70879999999994</v>
      </c>
      <c r="H379" s="46">
        <f t="shared" si="117"/>
        <v>370.23165</v>
      </c>
      <c r="I379" s="28" t="s">
        <v>262</v>
      </c>
      <c r="J379" s="337">
        <v>1</v>
      </c>
      <c r="K379" s="46">
        <f t="shared" si="118"/>
        <v>409.70879999999994</v>
      </c>
      <c r="L379" s="46">
        <f t="shared" si="119"/>
        <v>370.23165</v>
      </c>
      <c r="M379" s="338">
        <f t="shared" si="120"/>
        <v>0</v>
      </c>
      <c r="N379" s="43" t="s">
        <v>60</v>
      </c>
      <c r="O379" s="339">
        <v>85364900</v>
      </c>
      <c r="P379" s="340">
        <f>IFERROR(VLOOKUP(O379,NCM!$A$3:$D$99,COLUMN(head_porNCM_IPI)-COLUMN(head_porNCM_NCM)+1,FALSE),"")</f>
        <v>3.2500000000000001E-2</v>
      </c>
      <c r="Q379" s="43" t="s">
        <v>616</v>
      </c>
      <c r="R379" s="78" t="s">
        <v>210</v>
      </c>
      <c r="S379" s="341"/>
      <c r="T379" s="28" t="s">
        <v>52</v>
      </c>
      <c r="U379" s="28" t="s">
        <v>2756</v>
      </c>
      <c r="V379" s="548">
        <v>45352</v>
      </c>
      <c r="W379" s="43"/>
      <c r="X379" s="342">
        <f t="shared" si="121"/>
        <v>16.533849878934625</v>
      </c>
      <c r="Y379" s="342">
        <f t="shared" si="122"/>
        <v>13.433753026634349</v>
      </c>
      <c r="Z379" s="46">
        <f t="shared" si="123"/>
        <v>6.8202130750605328</v>
      </c>
      <c r="AA379" s="46">
        <f t="shared" si="124"/>
        <v>31.414314769975785</v>
      </c>
      <c r="AB379" s="43"/>
      <c r="AC379" s="44">
        <v>426.78</v>
      </c>
      <c r="AD379" s="31">
        <v>0.04</v>
      </c>
      <c r="AE379" s="31">
        <v>3.2500000000000001E-2</v>
      </c>
      <c r="AF379" s="31">
        <v>0</v>
      </c>
      <c r="AG379" s="28" t="s">
        <v>53</v>
      </c>
      <c r="AH379" s="46">
        <f t="shared" si="125"/>
        <v>440.65034999999995</v>
      </c>
      <c r="AI379" s="43"/>
      <c r="AJ379" s="28" t="s">
        <v>264</v>
      </c>
      <c r="AK379" s="337">
        <v>6.37</v>
      </c>
      <c r="AL379" s="43"/>
      <c r="AM379" s="44">
        <f t="shared" si="126"/>
        <v>0</v>
      </c>
      <c r="AN379" s="43"/>
      <c r="AO379" s="28">
        <f t="shared" si="127"/>
        <v>0</v>
      </c>
      <c r="AP379" s="43"/>
      <c r="AQ379" s="323">
        <f t="shared" si="128"/>
        <v>0</v>
      </c>
      <c r="AR379" s="43"/>
      <c r="AS379" s="44">
        <f t="shared" si="129"/>
        <v>440.65034999999995</v>
      </c>
    </row>
    <row r="380" spans="1:45" x14ac:dyDescent="0.25">
      <c r="A380" s="28"/>
      <c r="B380" s="43"/>
      <c r="C380" s="43"/>
      <c r="D380" s="43"/>
      <c r="E380" s="43" t="s">
        <v>2640</v>
      </c>
      <c r="F380" s="43" t="s">
        <v>1978</v>
      </c>
      <c r="G380" s="46">
        <f t="shared" si="116"/>
        <v>1893.4655999999998</v>
      </c>
      <c r="H380" s="46">
        <f t="shared" si="117"/>
        <v>1711.0223000000001</v>
      </c>
      <c r="I380" s="28" t="s">
        <v>262</v>
      </c>
      <c r="J380" s="337">
        <v>1</v>
      </c>
      <c r="K380" s="46">
        <f t="shared" si="118"/>
        <v>1893.4655999999998</v>
      </c>
      <c r="L380" s="46">
        <f t="shared" si="119"/>
        <v>1711.0223000000001</v>
      </c>
      <c r="M380" s="338">
        <f t="shared" si="120"/>
        <v>0</v>
      </c>
      <c r="N380" s="43" t="s">
        <v>33</v>
      </c>
      <c r="O380" s="339">
        <v>85365090</v>
      </c>
      <c r="P380" s="340">
        <f>IFERROR(VLOOKUP(O380,NCM!$A$3:$D$99,COLUMN(head_porNCM_IPI)-COLUMN(head_porNCM_NCM)+1,FALSE),"")</f>
        <v>0.15</v>
      </c>
      <c r="Q380" s="43" t="s">
        <v>616</v>
      </c>
      <c r="R380" s="78" t="s">
        <v>210</v>
      </c>
      <c r="S380" s="341"/>
      <c r="T380" s="28" t="s">
        <v>52</v>
      </c>
      <c r="U380" s="28" t="s">
        <v>2756</v>
      </c>
      <c r="V380" s="548">
        <v>45352</v>
      </c>
      <c r="W380" s="43"/>
      <c r="X380" s="342">
        <f t="shared" si="121"/>
        <v>71.885558086560366</v>
      </c>
      <c r="Y380" s="342">
        <f t="shared" si="122"/>
        <v>175.2210478359907</v>
      </c>
      <c r="Z380" s="46">
        <f t="shared" si="123"/>
        <v>29.652792710706152</v>
      </c>
      <c r="AA380" s="46">
        <f t="shared" si="124"/>
        <v>136.58256036446468</v>
      </c>
      <c r="AB380" s="43"/>
      <c r="AC380" s="44">
        <v>1972.36</v>
      </c>
      <c r="AD380" s="31">
        <v>0.04</v>
      </c>
      <c r="AE380" s="31">
        <v>9.7500000000000003E-2</v>
      </c>
      <c r="AF380" s="31">
        <v>0</v>
      </c>
      <c r="AG380" s="28" t="s">
        <v>53</v>
      </c>
      <c r="AH380" s="46">
        <f t="shared" si="125"/>
        <v>2164.6650999999997</v>
      </c>
      <c r="AI380" s="43"/>
      <c r="AJ380" s="28" t="s">
        <v>264</v>
      </c>
      <c r="AK380" s="337">
        <v>6.37</v>
      </c>
      <c r="AL380" s="43"/>
      <c r="AM380" s="44">
        <f t="shared" si="126"/>
        <v>0</v>
      </c>
      <c r="AN380" s="43"/>
      <c r="AO380" s="28">
        <f t="shared" si="127"/>
        <v>0</v>
      </c>
      <c r="AP380" s="43"/>
      <c r="AQ380" s="323">
        <f t="shared" si="128"/>
        <v>0</v>
      </c>
      <c r="AR380" s="43"/>
      <c r="AS380" s="44">
        <f t="shared" si="129"/>
        <v>2164.6650999999997</v>
      </c>
    </row>
    <row r="381" spans="1:45" x14ac:dyDescent="0.25">
      <c r="A381" s="28"/>
      <c r="B381" s="43"/>
      <c r="C381" s="43"/>
      <c r="D381" s="43"/>
      <c r="E381" s="43" t="s">
        <v>1923</v>
      </c>
      <c r="F381" s="43" t="s">
        <v>1977</v>
      </c>
      <c r="G381" s="46">
        <f t="shared" si="116"/>
        <v>1977.1391999999998</v>
      </c>
      <c r="H381" s="46">
        <f t="shared" si="117"/>
        <v>1786.6336000000001</v>
      </c>
      <c r="I381" s="28" t="s">
        <v>262</v>
      </c>
      <c r="J381" s="337">
        <v>1</v>
      </c>
      <c r="K381" s="46">
        <f t="shared" si="118"/>
        <v>1977.1391999999998</v>
      </c>
      <c r="L381" s="46">
        <f t="shared" si="119"/>
        <v>1786.6336000000001</v>
      </c>
      <c r="M381" s="338">
        <f t="shared" si="120"/>
        <v>0</v>
      </c>
      <c r="N381" s="43" t="s">
        <v>33</v>
      </c>
      <c r="O381" s="339">
        <v>85365090</v>
      </c>
      <c r="P381" s="340">
        <f>IFERROR(VLOOKUP(O381,NCM!$A$3:$D$99,COLUMN(head_porNCM_IPI)-COLUMN(head_porNCM_NCM)+1,FALSE),"")</f>
        <v>0.15</v>
      </c>
      <c r="Q381" s="43" t="s">
        <v>616</v>
      </c>
      <c r="R381" s="78" t="s">
        <v>210</v>
      </c>
      <c r="S381" s="341"/>
      <c r="T381" s="28" t="s">
        <v>52</v>
      </c>
      <c r="U381" s="28" t="s">
        <v>2756</v>
      </c>
      <c r="V381" s="548">
        <v>45352</v>
      </c>
      <c r="W381" s="43"/>
      <c r="X381" s="342">
        <f t="shared" si="121"/>
        <v>75.062232346241458</v>
      </c>
      <c r="Y381" s="342">
        <f t="shared" si="122"/>
        <v>182.96419134396342</v>
      </c>
      <c r="Z381" s="46">
        <f t="shared" si="123"/>
        <v>30.963170842824606</v>
      </c>
      <c r="AA381" s="46">
        <f t="shared" si="124"/>
        <v>142.61824145785877</v>
      </c>
      <c r="AB381" s="43"/>
      <c r="AC381" s="44">
        <v>2059.52</v>
      </c>
      <c r="AD381" s="31">
        <v>0.04</v>
      </c>
      <c r="AE381" s="31">
        <v>9.7500000000000003E-2</v>
      </c>
      <c r="AF381" s="31">
        <v>0</v>
      </c>
      <c r="AG381" s="28" t="s">
        <v>53</v>
      </c>
      <c r="AH381" s="46">
        <f t="shared" si="125"/>
        <v>2260.3231999999998</v>
      </c>
      <c r="AI381" s="43"/>
      <c r="AJ381" s="28" t="s">
        <v>264</v>
      </c>
      <c r="AK381" s="337">
        <v>6.37</v>
      </c>
      <c r="AL381" s="43"/>
      <c r="AM381" s="44">
        <f t="shared" si="126"/>
        <v>0</v>
      </c>
      <c r="AN381" s="43"/>
      <c r="AO381" s="28">
        <f t="shared" si="127"/>
        <v>0</v>
      </c>
      <c r="AP381" s="43"/>
      <c r="AQ381" s="323">
        <f t="shared" si="128"/>
        <v>0</v>
      </c>
      <c r="AR381" s="43"/>
      <c r="AS381" s="44">
        <f t="shared" si="129"/>
        <v>2260.3231999999998</v>
      </c>
    </row>
    <row r="382" spans="1:45" x14ac:dyDescent="0.25">
      <c r="A382" s="28"/>
      <c r="B382" s="43"/>
      <c r="C382" s="43"/>
      <c r="D382" s="43" t="s">
        <v>804</v>
      </c>
      <c r="E382" s="43"/>
      <c r="F382" s="43"/>
      <c r="G382" s="46">
        <f t="shared" si="116"/>
        <v>0</v>
      </c>
      <c r="H382" s="46">
        <f t="shared" si="117"/>
        <v>0</v>
      </c>
      <c r="I382" s="28"/>
      <c r="J382" s="337"/>
      <c r="K382" s="46" t="str">
        <f t="shared" si="118"/>
        <v/>
      </c>
      <c r="L382" s="46" t="str">
        <f t="shared" si="119"/>
        <v/>
      </c>
      <c r="M382" s="338">
        <f t="shared" si="120"/>
        <v>0</v>
      </c>
      <c r="N382" s="43"/>
      <c r="O382" s="339"/>
      <c r="P382" s="340" t="str">
        <f>IFERROR(VLOOKUP(O382,NCM!$A$3:$D$99,COLUMN(head_porNCM_IPI)-COLUMN(head_porNCM_NCM)+1,FALSE),"")</f>
        <v/>
      </c>
      <c r="Q382" s="43"/>
      <c r="R382" s="78"/>
      <c r="S382" s="341"/>
      <c r="T382" s="28"/>
      <c r="U382" s="28"/>
      <c r="V382" s="28"/>
      <c r="W382" s="43"/>
      <c r="X382" s="342">
        <f t="shared" si="121"/>
        <v>0</v>
      </c>
      <c r="Y382" s="342">
        <f t="shared" si="122"/>
        <v>0</v>
      </c>
      <c r="Z382" s="46">
        <f t="shared" si="123"/>
        <v>0</v>
      </c>
      <c r="AA382" s="46">
        <f t="shared" si="124"/>
        <v>0</v>
      </c>
      <c r="AB382" s="43"/>
      <c r="AC382" s="44">
        <v>0</v>
      </c>
      <c r="AD382" s="31"/>
      <c r="AE382" s="31"/>
      <c r="AF382" s="31"/>
      <c r="AG382" s="28"/>
      <c r="AH382" s="46">
        <f t="shared" si="125"/>
        <v>0</v>
      </c>
      <c r="AI382" s="43"/>
      <c r="AJ382" s="28"/>
      <c r="AK382" s="337"/>
      <c r="AL382" s="43"/>
      <c r="AM382" s="44">
        <f t="shared" si="126"/>
        <v>0</v>
      </c>
      <c r="AN382" s="43"/>
      <c r="AO382" s="28">
        <f t="shared" si="127"/>
        <v>0</v>
      </c>
      <c r="AP382" s="43"/>
      <c r="AQ382" s="323">
        <f t="shared" si="128"/>
        <v>0</v>
      </c>
      <c r="AR382" s="43"/>
      <c r="AS382" s="44">
        <f t="shared" si="129"/>
        <v>0</v>
      </c>
    </row>
    <row r="383" spans="1:45" x14ac:dyDescent="0.25">
      <c r="A383" s="28"/>
      <c r="B383" s="43"/>
      <c r="C383" s="43"/>
      <c r="D383" s="43"/>
      <c r="E383" s="43" t="s">
        <v>805</v>
      </c>
      <c r="F383" s="43" t="s">
        <v>960</v>
      </c>
      <c r="G383" s="46">
        <f t="shared" si="116"/>
        <v>1794.9800000000002</v>
      </c>
      <c r="H383" s="46">
        <f t="shared" si="117"/>
        <v>1592.4975000000004</v>
      </c>
      <c r="I383" s="28" t="s">
        <v>262</v>
      </c>
      <c r="J383" s="337">
        <v>1</v>
      </c>
      <c r="K383" s="46">
        <f t="shared" si="118"/>
        <v>1794.9800000000002</v>
      </c>
      <c r="L383" s="46">
        <f t="shared" si="119"/>
        <v>1592.4975000000004</v>
      </c>
      <c r="M383" s="338">
        <f t="shared" si="120"/>
        <v>0</v>
      </c>
      <c r="N383" s="43" t="s">
        <v>60</v>
      </c>
      <c r="O383" s="339">
        <v>85364900</v>
      </c>
      <c r="P383" s="340">
        <f>IFERROR(VLOOKUP(O383,NCM!$A$3:$D$99,COLUMN(head_porNCM_IPI)-COLUMN(head_porNCM_NCM)+1,FALSE),"")</f>
        <v>3.2500000000000001E-2</v>
      </c>
      <c r="Q383" s="43" t="s">
        <v>804</v>
      </c>
      <c r="R383" s="78" t="s">
        <v>210</v>
      </c>
      <c r="S383" s="341"/>
      <c r="T383" s="28" t="s">
        <v>52</v>
      </c>
      <c r="U383" s="28" t="s">
        <v>836</v>
      </c>
      <c r="V383" s="548">
        <v>43234</v>
      </c>
      <c r="W383" s="43"/>
      <c r="X383" s="342">
        <f t="shared" si="121"/>
        <v>375.25714285714281</v>
      </c>
      <c r="Y383" s="342">
        <f t="shared" si="122"/>
        <v>104.23809523809541</v>
      </c>
      <c r="Z383" s="46">
        <f t="shared" si="123"/>
        <v>34.398571428571429</v>
      </c>
      <c r="AA383" s="46">
        <f t="shared" si="124"/>
        <v>158.44190476190474</v>
      </c>
      <c r="AB383" s="43"/>
      <c r="AC383" s="44">
        <v>2189</v>
      </c>
      <c r="AD383" s="31">
        <v>0.18</v>
      </c>
      <c r="AE383" s="31">
        <v>0.05</v>
      </c>
      <c r="AF383" s="31">
        <v>0</v>
      </c>
      <c r="AG383" s="28" t="s">
        <v>53</v>
      </c>
      <c r="AH383" s="46">
        <f t="shared" si="125"/>
        <v>2298.4500000000003</v>
      </c>
      <c r="AI383" s="43"/>
      <c r="AJ383" s="28" t="s">
        <v>264</v>
      </c>
      <c r="AK383" s="337">
        <v>4.3</v>
      </c>
      <c r="AL383" s="43"/>
      <c r="AM383" s="44">
        <f t="shared" si="126"/>
        <v>0</v>
      </c>
      <c r="AN383" s="43"/>
      <c r="AO383" s="28">
        <f t="shared" si="127"/>
        <v>0</v>
      </c>
      <c r="AP383" s="43"/>
      <c r="AQ383" s="323">
        <f t="shared" si="128"/>
        <v>0</v>
      </c>
      <c r="AR383" s="43"/>
      <c r="AS383" s="44">
        <f t="shared" si="129"/>
        <v>2298.4500000000003</v>
      </c>
    </row>
    <row r="384" spans="1:45" x14ac:dyDescent="0.25">
      <c r="A384" s="28"/>
      <c r="B384" s="43"/>
      <c r="C384" s="43"/>
      <c r="D384" s="43" t="s">
        <v>704</v>
      </c>
      <c r="E384" s="43"/>
      <c r="F384" s="43"/>
      <c r="G384" s="46">
        <f t="shared" si="116"/>
        <v>0</v>
      </c>
      <c r="H384" s="46">
        <f t="shared" si="117"/>
        <v>0</v>
      </c>
      <c r="I384" s="28"/>
      <c r="J384" s="337"/>
      <c r="K384" s="46" t="str">
        <f t="shared" si="118"/>
        <v/>
      </c>
      <c r="L384" s="46" t="str">
        <f t="shared" si="119"/>
        <v/>
      </c>
      <c r="M384" s="338">
        <f t="shared" si="120"/>
        <v>0</v>
      </c>
      <c r="N384" s="43"/>
      <c r="O384" s="339"/>
      <c r="P384" s="340" t="str">
        <f>IFERROR(VLOOKUP(O384,NCM!$A$3:$D$99,COLUMN(head_porNCM_IPI)-COLUMN(head_porNCM_NCM)+1,FALSE),"")</f>
        <v/>
      </c>
      <c r="Q384" s="43"/>
      <c r="R384" s="78"/>
      <c r="S384" s="341"/>
      <c r="T384" s="28"/>
      <c r="U384" s="28"/>
      <c r="V384" s="28"/>
      <c r="W384" s="43"/>
      <c r="X384" s="342">
        <f t="shared" si="121"/>
        <v>0</v>
      </c>
      <c r="Y384" s="342">
        <f t="shared" si="122"/>
        <v>0</v>
      </c>
      <c r="Z384" s="46">
        <f t="shared" si="123"/>
        <v>0</v>
      </c>
      <c r="AA384" s="46">
        <f t="shared" si="124"/>
        <v>0</v>
      </c>
      <c r="AB384" s="43"/>
      <c r="AC384" s="44">
        <v>0</v>
      </c>
      <c r="AD384" s="31"/>
      <c r="AE384" s="31"/>
      <c r="AF384" s="31"/>
      <c r="AG384" s="28"/>
      <c r="AH384" s="46">
        <f t="shared" si="125"/>
        <v>0</v>
      </c>
      <c r="AI384" s="43"/>
      <c r="AJ384" s="28"/>
      <c r="AK384" s="337"/>
      <c r="AL384" s="43"/>
      <c r="AM384" s="44">
        <f t="shared" si="126"/>
        <v>0</v>
      </c>
      <c r="AN384" s="43"/>
      <c r="AO384" s="28">
        <f t="shared" si="127"/>
        <v>0</v>
      </c>
      <c r="AP384" s="43"/>
      <c r="AQ384" s="323">
        <f t="shared" si="128"/>
        <v>0</v>
      </c>
      <c r="AR384" s="43"/>
      <c r="AS384" s="44">
        <f t="shared" si="129"/>
        <v>0</v>
      </c>
    </row>
    <row r="385" spans="1:45" x14ac:dyDescent="0.25">
      <c r="A385" s="28"/>
      <c r="B385" s="43"/>
      <c r="C385" s="43"/>
      <c r="D385" s="43" t="s">
        <v>646</v>
      </c>
      <c r="E385" s="43"/>
      <c r="F385" s="43"/>
      <c r="G385" s="46">
        <f t="shared" si="116"/>
        <v>0</v>
      </c>
      <c r="H385" s="46">
        <f t="shared" si="117"/>
        <v>0</v>
      </c>
      <c r="I385" s="28"/>
      <c r="J385" s="337"/>
      <c r="K385" s="46" t="str">
        <f t="shared" si="118"/>
        <v/>
      </c>
      <c r="L385" s="46" t="str">
        <f t="shared" si="119"/>
        <v/>
      </c>
      <c r="M385" s="338">
        <f t="shared" si="120"/>
        <v>0</v>
      </c>
      <c r="N385" s="43"/>
      <c r="O385" s="339"/>
      <c r="P385" s="340" t="str">
        <f>IFERROR(VLOOKUP(O385,NCM!$A$3:$D$99,COLUMN(head_porNCM_IPI)-COLUMN(head_porNCM_NCM)+1,FALSE),"")</f>
        <v/>
      </c>
      <c r="Q385" s="43"/>
      <c r="R385" s="78"/>
      <c r="S385" s="341"/>
      <c r="T385" s="28"/>
      <c r="U385" s="28"/>
      <c r="V385" s="28"/>
      <c r="W385" s="43"/>
      <c r="X385" s="342">
        <f t="shared" si="121"/>
        <v>0</v>
      </c>
      <c r="Y385" s="342">
        <f t="shared" si="122"/>
        <v>0</v>
      </c>
      <c r="Z385" s="46">
        <f t="shared" si="123"/>
        <v>0</v>
      </c>
      <c r="AA385" s="46">
        <f t="shared" si="124"/>
        <v>0</v>
      </c>
      <c r="AB385" s="43"/>
      <c r="AC385" s="44">
        <v>0</v>
      </c>
      <c r="AD385" s="31"/>
      <c r="AE385" s="31"/>
      <c r="AF385" s="31"/>
      <c r="AG385" s="28"/>
      <c r="AH385" s="46">
        <f t="shared" si="125"/>
        <v>0</v>
      </c>
      <c r="AI385" s="43"/>
      <c r="AJ385" s="28"/>
      <c r="AK385" s="337"/>
      <c r="AL385" s="43"/>
      <c r="AM385" s="44">
        <f t="shared" si="126"/>
        <v>0</v>
      </c>
      <c r="AN385" s="43"/>
      <c r="AO385" s="28">
        <f t="shared" si="127"/>
        <v>0</v>
      </c>
      <c r="AP385" s="43"/>
      <c r="AQ385" s="323">
        <f t="shared" si="128"/>
        <v>0</v>
      </c>
      <c r="AR385" s="43"/>
      <c r="AS385" s="44">
        <f t="shared" si="129"/>
        <v>0</v>
      </c>
    </row>
    <row r="386" spans="1:45" x14ac:dyDescent="0.25">
      <c r="A386" s="28"/>
      <c r="B386" s="43"/>
      <c r="C386" s="43"/>
      <c r="D386" s="43"/>
      <c r="E386" s="43" t="s">
        <v>705</v>
      </c>
      <c r="F386" s="43" t="s">
        <v>706</v>
      </c>
      <c r="G386" s="46">
        <f t="shared" si="116"/>
        <v>265.14400000000001</v>
      </c>
      <c r="H386" s="46">
        <f t="shared" si="117"/>
        <v>237.27375000000004</v>
      </c>
      <c r="I386" s="28" t="s">
        <v>262</v>
      </c>
      <c r="J386" s="337">
        <v>1</v>
      </c>
      <c r="K386" s="46">
        <f t="shared" si="118"/>
        <v>265.14400000000001</v>
      </c>
      <c r="L386" s="46">
        <f t="shared" si="119"/>
        <v>237.27375000000004</v>
      </c>
      <c r="M386" s="338">
        <f t="shared" si="120"/>
        <v>0</v>
      </c>
      <c r="N386" s="43" t="s">
        <v>36</v>
      </c>
      <c r="O386" s="339">
        <v>85044090</v>
      </c>
      <c r="P386" s="340">
        <f>IFERROR(VLOOKUP(O386,NCM!$A$3:$D$99,COLUMN(head_porNCM_IPI)-COLUMN(head_porNCM_NCM)+1,FALSE),"")</f>
        <v>9.7500000000000003E-2</v>
      </c>
      <c r="Q386" s="43" t="s">
        <v>721</v>
      </c>
      <c r="R386" s="78" t="s">
        <v>209</v>
      </c>
      <c r="S386" s="341"/>
      <c r="T386" s="28" t="s">
        <v>52</v>
      </c>
      <c r="U386" s="28" t="s">
        <v>1108</v>
      </c>
      <c r="V386" s="548">
        <v>43682</v>
      </c>
      <c r="W386" s="43"/>
      <c r="X386" s="342">
        <f t="shared" si="121"/>
        <v>31.440000000000005</v>
      </c>
      <c r="Y386" s="342">
        <f t="shared" si="122"/>
        <v>39.299999999999955</v>
      </c>
      <c r="Z386" s="46">
        <f t="shared" si="123"/>
        <v>4.3230000000000013</v>
      </c>
      <c r="AA386" s="46">
        <f t="shared" si="124"/>
        <v>19.912000000000003</v>
      </c>
      <c r="AB386" s="43"/>
      <c r="AC386" s="44">
        <v>301.3</v>
      </c>
      <c r="AD386" s="31">
        <v>0.12</v>
      </c>
      <c r="AE386" s="31">
        <v>0.15</v>
      </c>
      <c r="AF386" s="31">
        <v>0</v>
      </c>
      <c r="AG386" s="28" t="s">
        <v>53</v>
      </c>
      <c r="AH386" s="46">
        <f t="shared" si="125"/>
        <v>346.495</v>
      </c>
      <c r="AI386" s="43"/>
      <c r="AJ386" s="28"/>
      <c r="AK386" s="337"/>
      <c r="AL386" s="43"/>
      <c r="AM386" s="44">
        <f t="shared" si="126"/>
        <v>0</v>
      </c>
      <c r="AN386" s="43"/>
      <c r="AO386" s="28">
        <f t="shared" si="127"/>
        <v>0</v>
      </c>
      <c r="AP386" s="43"/>
      <c r="AQ386" s="323">
        <f t="shared" si="128"/>
        <v>0</v>
      </c>
      <c r="AR386" s="43"/>
      <c r="AS386" s="44">
        <f t="shared" si="129"/>
        <v>346.495</v>
      </c>
    </row>
    <row r="387" spans="1:45" x14ac:dyDescent="0.25">
      <c r="A387" s="28"/>
      <c r="B387" s="43"/>
      <c r="C387" s="43"/>
      <c r="D387" s="43"/>
      <c r="E387" s="43" t="s">
        <v>2641</v>
      </c>
      <c r="F387" s="43" t="s">
        <v>2642</v>
      </c>
      <c r="G387" s="46">
        <f t="shared" si="116"/>
        <v>416.3544</v>
      </c>
      <c r="H387" s="46">
        <f t="shared" si="117"/>
        <v>372.58987500000006</v>
      </c>
      <c r="I387" s="28" t="s">
        <v>262</v>
      </c>
      <c r="J387" s="337">
        <v>1</v>
      </c>
      <c r="K387" s="46">
        <f t="shared" si="118"/>
        <v>416.3544</v>
      </c>
      <c r="L387" s="46">
        <f t="shared" si="119"/>
        <v>372.58987500000006</v>
      </c>
      <c r="M387" s="338">
        <f t="shared" si="120"/>
        <v>0</v>
      </c>
      <c r="N387" s="43" t="s">
        <v>36</v>
      </c>
      <c r="O387" s="339">
        <v>85044090</v>
      </c>
      <c r="P387" s="340">
        <f>IFERROR(VLOOKUP(O387,NCM!$A$3:$D$99,COLUMN(head_porNCM_IPI)-COLUMN(head_porNCM_NCM)+1,FALSE),"")</f>
        <v>9.7500000000000003E-2</v>
      </c>
      <c r="Q387" s="43" t="s">
        <v>2757</v>
      </c>
      <c r="R387" s="78" t="s">
        <v>209</v>
      </c>
      <c r="S387" s="341"/>
      <c r="T387" s="28" t="s">
        <v>52</v>
      </c>
      <c r="U387" s="28" t="s">
        <v>2758</v>
      </c>
      <c r="V387" s="548">
        <v>44979</v>
      </c>
      <c r="W387" s="43"/>
      <c r="X387" s="342">
        <f t="shared" si="121"/>
        <v>51.731753986332571</v>
      </c>
      <c r="Y387" s="342">
        <f t="shared" si="122"/>
        <v>42.032050113895195</v>
      </c>
      <c r="Z387" s="46">
        <f t="shared" si="123"/>
        <v>7.11311617312073</v>
      </c>
      <c r="AA387" s="46">
        <f t="shared" si="124"/>
        <v>32.763444191343964</v>
      </c>
      <c r="AB387" s="43"/>
      <c r="AC387" s="44">
        <v>473.13</v>
      </c>
      <c r="AD387" s="31">
        <v>0.12</v>
      </c>
      <c r="AE387" s="31">
        <v>9.7500000000000003E-2</v>
      </c>
      <c r="AF387" s="31">
        <v>0</v>
      </c>
      <c r="AG387" s="28" t="s">
        <v>53</v>
      </c>
      <c r="AH387" s="46">
        <f t="shared" si="125"/>
        <v>519.260175</v>
      </c>
      <c r="AI387" s="43"/>
      <c r="AJ387" s="28"/>
      <c r="AK387" s="337"/>
      <c r="AL387" s="43"/>
      <c r="AM387" s="44">
        <f t="shared" si="126"/>
        <v>0</v>
      </c>
      <c r="AN387" s="43"/>
      <c r="AO387" s="28">
        <f t="shared" si="127"/>
        <v>0</v>
      </c>
      <c r="AP387" s="43"/>
      <c r="AQ387" s="323">
        <f t="shared" si="128"/>
        <v>0</v>
      </c>
      <c r="AR387" s="43"/>
      <c r="AS387" s="44">
        <f t="shared" si="129"/>
        <v>519.260175</v>
      </c>
    </row>
    <row r="388" spans="1:45" x14ac:dyDescent="0.25">
      <c r="A388" s="28"/>
      <c r="B388" s="43"/>
      <c r="C388" s="43"/>
      <c r="D388" s="43"/>
      <c r="E388" s="43" t="s">
        <v>2643</v>
      </c>
      <c r="F388" s="43" t="s">
        <v>2644</v>
      </c>
      <c r="G388" s="46">
        <f t="shared" si="116"/>
        <v>198.1848</v>
      </c>
      <c r="H388" s="46">
        <f t="shared" si="117"/>
        <v>177.35287500000004</v>
      </c>
      <c r="I388" s="28" t="s">
        <v>262</v>
      </c>
      <c r="J388" s="337">
        <v>1</v>
      </c>
      <c r="K388" s="46">
        <f t="shared" si="118"/>
        <v>198.1848</v>
      </c>
      <c r="L388" s="46">
        <f t="shared" si="119"/>
        <v>177.35287500000004</v>
      </c>
      <c r="M388" s="338">
        <f t="shared" si="120"/>
        <v>0</v>
      </c>
      <c r="N388" s="43" t="s">
        <v>36</v>
      </c>
      <c r="O388" s="339">
        <v>85044030</v>
      </c>
      <c r="P388" s="340">
        <f>IFERROR(VLOOKUP(O388,NCM!$A$3:$D$99,COLUMN(head_porNCM_IPI)-COLUMN(head_porNCM_NCM)+1,FALSE),"")</f>
        <v>0.15</v>
      </c>
      <c r="Q388" s="43" t="s">
        <v>2757</v>
      </c>
      <c r="R388" s="78" t="s">
        <v>209</v>
      </c>
      <c r="S388" s="341"/>
      <c r="T388" s="28" t="s">
        <v>52</v>
      </c>
      <c r="U388" s="28" t="s">
        <v>2758</v>
      </c>
      <c r="V388" s="548">
        <v>44979</v>
      </c>
      <c r="W388" s="43"/>
      <c r="X388" s="342">
        <f t="shared" si="121"/>
        <v>23.500173913043479</v>
      </c>
      <c r="Y388" s="342">
        <f t="shared" si="122"/>
        <v>29.375217391304346</v>
      </c>
      <c r="Z388" s="46">
        <f t="shared" si="123"/>
        <v>3.2312739130434784</v>
      </c>
      <c r="AA388" s="46">
        <f t="shared" si="124"/>
        <v>14.883443478260871</v>
      </c>
      <c r="AB388" s="43"/>
      <c r="AC388" s="44">
        <v>225.21</v>
      </c>
      <c r="AD388" s="31">
        <v>0.12</v>
      </c>
      <c r="AE388" s="31">
        <v>0.15</v>
      </c>
      <c r="AF388" s="31">
        <v>0</v>
      </c>
      <c r="AG388" s="28" t="s">
        <v>53</v>
      </c>
      <c r="AH388" s="46">
        <f t="shared" si="125"/>
        <v>258.99149999999997</v>
      </c>
      <c r="AI388" s="43"/>
      <c r="AJ388" s="28"/>
      <c r="AK388" s="337"/>
      <c r="AL388" s="43"/>
      <c r="AM388" s="44">
        <f t="shared" si="126"/>
        <v>0</v>
      </c>
      <c r="AN388" s="43"/>
      <c r="AO388" s="28">
        <f t="shared" si="127"/>
        <v>0</v>
      </c>
      <c r="AP388" s="43"/>
      <c r="AQ388" s="323">
        <f t="shared" si="128"/>
        <v>0</v>
      </c>
      <c r="AR388" s="43"/>
      <c r="AS388" s="44">
        <f t="shared" si="129"/>
        <v>258.99149999999997</v>
      </c>
    </row>
    <row r="389" spans="1:45" x14ac:dyDescent="0.25">
      <c r="A389" s="28"/>
      <c r="B389" s="43"/>
      <c r="C389" s="43"/>
      <c r="D389" s="43" t="s">
        <v>707</v>
      </c>
      <c r="E389" s="43"/>
      <c r="F389" s="43"/>
      <c r="G389" s="46">
        <f t="shared" si="116"/>
        <v>0</v>
      </c>
      <c r="H389" s="46">
        <f t="shared" si="117"/>
        <v>0</v>
      </c>
      <c r="I389" s="28"/>
      <c r="J389" s="337"/>
      <c r="K389" s="46" t="str">
        <f t="shared" si="118"/>
        <v/>
      </c>
      <c r="L389" s="46" t="str">
        <f t="shared" si="119"/>
        <v/>
      </c>
      <c r="M389" s="338">
        <f t="shared" si="120"/>
        <v>0</v>
      </c>
      <c r="N389" s="43"/>
      <c r="O389" s="339"/>
      <c r="P389" s="340" t="str">
        <f>IFERROR(VLOOKUP(O389,NCM!$A$3:$D$99,COLUMN(head_porNCM_IPI)-COLUMN(head_porNCM_NCM)+1,FALSE),"")</f>
        <v/>
      </c>
      <c r="Q389" s="43"/>
      <c r="R389" s="78"/>
      <c r="S389" s="341"/>
      <c r="T389" s="28"/>
      <c r="U389" s="28"/>
      <c r="V389" s="28"/>
      <c r="W389" s="43"/>
      <c r="X389" s="342">
        <f t="shared" si="121"/>
        <v>0</v>
      </c>
      <c r="Y389" s="342">
        <f t="shared" si="122"/>
        <v>0</v>
      </c>
      <c r="Z389" s="46">
        <f t="shared" si="123"/>
        <v>0</v>
      </c>
      <c r="AA389" s="46">
        <f t="shared" si="124"/>
        <v>0</v>
      </c>
      <c r="AB389" s="43"/>
      <c r="AC389" s="44">
        <v>0</v>
      </c>
      <c r="AD389" s="31"/>
      <c r="AE389" s="31"/>
      <c r="AF389" s="31"/>
      <c r="AG389" s="28"/>
      <c r="AH389" s="46">
        <f t="shared" si="125"/>
        <v>0</v>
      </c>
      <c r="AI389" s="43"/>
      <c r="AJ389" s="28"/>
      <c r="AK389" s="337"/>
      <c r="AL389" s="43"/>
      <c r="AM389" s="44">
        <f t="shared" si="126"/>
        <v>0</v>
      </c>
      <c r="AN389" s="43"/>
      <c r="AO389" s="28">
        <f t="shared" si="127"/>
        <v>0</v>
      </c>
      <c r="AP389" s="43"/>
      <c r="AQ389" s="323">
        <f t="shared" si="128"/>
        <v>0</v>
      </c>
      <c r="AR389" s="43"/>
      <c r="AS389" s="44">
        <f t="shared" si="129"/>
        <v>0</v>
      </c>
    </row>
    <row r="390" spans="1:45" x14ac:dyDescent="0.25">
      <c r="A390" s="28"/>
      <c r="B390" s="43"/>
      <c r="C390" s="43"/>
      <c r="D390" s="43"/>
      <c r="E390" s="43" t="s">
        <v>1057</v>
      </c>
      <c r="F390" s="43" t="s">
        <v>1058</v>
      </c>
      <c r="G390" s="46">
        <f t="shared" si="116"/>
        <v>15523.434666666666</v>
      </c>
      <c r="H390" s="46">
        <f t="shared" si="117"/>
        <v>13891.710000000001</v>
      </c>
      <c r="I390" s="28" t="s">
        <v>262</v>
      </c>
      <c r="J390" s="337">
        <v>1</v>
      </c>
      <c r="K390" s="46">
        <f t="shared" si="118"/>
        <v>15523.434666666666</v>
      </c>
      <c r="L390" s="46">
        <f t="shared" si="119"/>
        <v>13891.710000000001</v>
      </c>
      <c r="M390" s="338">
        <f t="shared" si="120"/>
        <v>0</v>
      </c>
      <c r="N390" s="43" t="s">
        <v>36</v>
      </c>
      <c r="O390" s="339">
        <v>85312000</v>
      </c>
      <c r="P390" s="340">
        <f>IFERROR(VLOOKUP(O390,NCM!$A$3:$D$99,COLUMN(head_porNCM_IPI)-COLUMN(head_porNCM_NCM)+1,FALSE),"")</f>
        <v>0.15</v>
      </c>
      <c r="Q390" s="43" t="s">
        <v>1062</v>
      </c>
      <c r="R390" s="78" t="s">
        <v>209</v>
      </c>
      <c r="S390" s="341"/>
      <c r="T390" s="28" t="s">
        <v>52</v>
      </c>
      <c r="U390" s="28" t="s">
        <v>2759</v>
      </c>
      <c r="V390" s="548">
        <v>45350</v>
      </c>
      <c r="W390" s="43"/>
      <c r="X390" s="342">
        <f t="shared" si="121"/>
        <v>2116.8319999999999</v>
      </c>
      <c r="Y390" s="342">
        <f t="shared" si="122"/>
        <v>0</v>
      </c>
      <c r="Z390" s="46">
        <f t="shared" si="123"/>
        <v>291.06440000000003</v>
      </c>
      <c r="AA390" s="46">
        <f t="shared" si="124"/>
        <v>1340.6602666666665</v>
      </c>
      <c r="AB390" s="43"/>
      <c r="AC390" s="44">
        <v>17640.266666666666</v>
      </c>
      <c r="AD390" s="31">
        <v>0.12</v>
      </c>
      <c r="AE390" s="31">
        <v>0</v>
      </c>
      <c r="AF390" s="31">
        <v>0</v>
      </c>
      <c r="AG390" s="28" t="s">
        <v>53</v>
      </c>
      <c r="AH390" s="46">
        <f t="shared" si="125"/>
        <v>17640.266666666666</v>
      </c>
      <c r="AI390" s="43"/>
      <c r="AJ390" s="28"/>
      <c r="AK390" s="337"/>
      <c r="AL390" s="43"/>
      <c r="AM390" s="44">
        <f t="shared" si="126"/>
        <v>0</v>
      </c>
      <c r="AN390" s="43"/>
      <c r="AO390" s="28">
        <f t="shared" si="127"/>
        <v>0</v>
      </c>
      <c r="AP390" s="43"/>
      <c r="AQ390" s="323">
        <f t="shared" si="128"/>
        <v>0</v>
      </c>
      <c r="AR390" s="43"/>
      <c r="AS390" s="44">
        <f t="shared" si="129"/>
        <v>17640.266666666666</v>
      </c>
    </row>
    <row r="391" spans="1:45" x14ac:dyDescent="0.25">
      <c r="A391" s="28"/>
      <c r="B391" s="43"/>
      <c r="C391" s="43"/>
      <c r="D391" s="43"/>
      <c r="E391" s="43" t="s">
        <v>2645</v>
      </c>
      <c r="F391" s="43" t="s">
        <v>2646</v>
      </c>
      <c r="G391" s="46">
        <f t="shared" si="116"/>
        <v>21824.352000000003</v>
      </c>
      <c r="H391" s="46">
        <f t="shared" si="117"/>
        <v>19530.315000000002</v>
      </c>
      <c r="I391" s="28" t="s">
        <v>262</v>
      </c>
      <c r="J391" s="337">
        <v>1</v>
      </c>
      <c r="K391" s="46">
        <f t="shared" si="118"/>
        <v>21824.352000000003</v>
      </c>
      <c r="L391" s="46">
        <f t="shared" si="119"/>
        <v>19530.315000000002</v>
      </c>
      <c r="M391" s="338">
        <f t="shared" si="120"/>
        <v>0</v>
      </c>
      <c r="N391" s="43" t="s">
        <v>36</v>
      </c>
      <c r="O391" s="339">
        <v>85312000</v>
      </c>
      <c r="P391" s="340">
        <f>IFERROR(VLOOKUP(O391,NCM!$A$3:$D$99,COLUMN(head_porNCM_IPI)-COLUMN(head_porNCM_NCM)+1,FALSE),"")</f>
        <v>0.15</v>
      </c>
      <c r="Q391" s="43" t="s">
        <v>1062</v>
      </c>
      <c r="R391" s="78" t="s">
        <v>209</v>
      </c>
      <c r="S391" s="341"/>
      <c r="T391" s="28" t="s">
        <v>52</v>
      </c>
      <c r="U391" s="28" t="s">
        <v>2759</v>
      </c>
      <c r="V391" s="548">
        <v>45350</v>
      </c>
      <c r="W391" s="43"/>
      <c r="X391" s="342">
        <f t="shared" si="121"/>
        <v>2976.0480000000002</v>
      </c>
      <c r="Y391" s="342">
        <f t="shared" si="122"/>
        <v>0</v>
      </c>
      <c r="Z391" s="46">
        <f t="shared" si="123"/>
        <v>409.20660000000004</v>
      </c>
      <c r="AA391" s="46">
        <f t="shared" si="124"/>
        <v>1884.8304000000001</v>
      </c>
      <c r="AB391" s="43"/>
      <c r="AC391" s="44">
        <v>24800.400000000001</v>
      </c>
      <c r="AD391" s="31">
        <v>0.12</v>
      </c>
      <c r="AE391" s="31">
        <v>0</v>
      </c>
      <c r="AF391" s="31">
        <v>0</v>
      </c>
      <c r="AG391" s="28" t="s">
        <v>53</v>
      </c>
      <c r="AH391" s="46">
        <f t="shared" si="125"/>
        <v>24800.400000000001</v>
      </c>
      <c r="AI391" s="43"/>
      <c r="AJ391" s="28"/>
      <c r="AK391" s="337"/>
      <c r="AL391" s="43"/>
      <c r="AM391" s="44">
        <f t="shared" si="126"/>
        <v>0</v>
      </c>
      <c r="AN391" s="43"/>
      <c r="AO391" s="28">
        <f t="shared" si="127"/>
        <v>0</v>
      </c>
      <c r="AP391" s="43"/>
      <c r="AQ391" s="323">
        <f t="shared" si="128"/>
        <v>0</v>
      </c>
      <c r="AR391" s="43"/>
      <c r="AS391" s="44">
        <f t="shared" si="129"/>
        <v>24800.400000000001</v>
      </c>
    </row>
    <row r="392" spans="1:45" x14ac:dyDescent="0.25">
      <c r="A392" s="28"/>
      <c r="B392" s="43"/>
      <c r="C392" s="43"/>
      <c r="D392" s="43"/>
      <c r="E392" s="43" t="s">
        <v>1059</v>
      </c>
      <c r="F392" s="43" t="s">
        <v>708</v>
      </c>
      <c r="G392" s="46">
        <f t="shared" si="116"/>
        <v>8308.9600000000009</v>
      </c>
      <c r="H392" s="46">
        <f t="shared" si="117"/>
        <v>7435.5750000000007</v>
      </c>
      <c r="I392" s="28" t="s">
        <v>262</v>
      </c>
      <c r="J392" s="337">
        <v>1</v>
      </c>
      <c r="K392" s="46">
        <f t="shared" si="118"/>
        <v>8308.9600000000009</v>
      </c>
      <c r="L392" s="46">
        <f t="shared" si="119"/>
        <v>7435.5750000000007</v>
      </c>
      <c r="M392" s="338">
        <f t="shared" si="120"/>
        <v>0</v>
      </c>
      <c r="N392" s="43" t="s">
        <v>36</v>
      </c>
      <c r="O392" s="339">
        <v>85312000</v>
      </c>
      <c r="P392" s="340">
        <f>IFERROR(VLOOKUP(O392,NCM!$A$3:$D$99,COLUMN(head_porNCM_IPI)-COLUMN(head_porNCM_NCM)+1,FALSE),"")</f>
        <v>0.15</v>
      </c>
      <c r="Q392" s="43" t="s">
        <v>722</v>
      </c>
      <c r="R392" s="78" t="s">
        <v>209</v>
      </c>
      <c r="S392" s="341"/>
      <c r="T392" s="28" t="s">
        <v>52</v>
      </c>
      <c r="U392" s="28" t="s">
        <v>2284</v>
      </c>
      <c r="V392" s="548">
        <v>44699</v>
      </c>
      <c r="W392" s="43"/>
      <c r="X392" s="342">
        <f t="shared" si="121"/>
        <v>985.25217391304352</v>
      </c>
      <c r="Y392" s="342">
        <f t="shared" si="122"/>
        <v>1231.565217391304</v>
      </c>
      <c r="Z392" s="46">
        <f t="shared" si="123"/>
        <v>135.47217391304349</v>
      </c>
      <c r="AA392" s="46">
        <f t="shared" si="124"/>
        <v>623.99304347826092</v>
      </c>
      <c r="AB392" s="43"/>
      <c r="AC392" s="44">
        <v>9442</v>
      </c>
      <c r="AD392" s="31">
        <v>0.12</v>
      </c>
      <c r="AE392" s="31">
        <v>0.15</v>
      </c>
      <c r="AF392" s="31">
        <v>0</v>
      </c>
      <c r="AG392" s="28" t="s">
        <v>53</v>
      </c>
      <c r="AH392" s="46">
        <f t="shared" si="125"/>
        <v>10858.3</v>
      </c>
      <c r="AI392" s="43"/>
      <c r="AJ392" s="28"/>
      <c r="AK392" s="337"/>
      <c r="AL392" s="43"/>
      <c r="AM392" s="44">
        <f t="shared" si="126"/>
        <v>0</v>
      </c>
      <c r="AN392" s="43"/>
      <c r="AO392" s="28">
        <f t="shared" si="127"/>
        <v>0</v>
      </c>
      <c r="AP392" s="43"/>
      <c r="AQ392" s="323">
        <f t="shared" si="128"/>
        <v>0</v>
      </c>
      <c r="AR392" s="43"/>
      <c r="AS392" s="44">
        <f t="shared" si="129"/>
        <v>10858.3</v>
      </c>
    </row>
    <row r="393" spans="1:45" x14ac:dyDescent="0.25">
      <c r="A393" s="28"/>
      <c r="B393" s="43"/>
      <c r="C393" s="43"/>
      <c r="D393" s="43"/>
      <c r="E393" s="43" t="s">
        <v>1060</v>
      </c>
      <c r="F393" s="43" t="s">
        <v>709</v>
      </c>
      <c r="G393" s="46">
        <f t="shared" si="116"/>
        <v>13296.8</v>
      </c>
      <c r="H393" s="46">
        <f t="shared" si="117"/>
        <v>11899.125000000002</v>
      </c>
      <c r="I393" s="28" t="s">
        <v>262</v>
      </c>
      <c r="J393" s="337">
        <v>1</v>
      </c>
      <c r="K393" s="46">
        <f t="shared" si="118"/>
        <v>13296.8</v>
      </c>
      <c r="L393" s="46">
        <f t="shared" si="119"/>
        <v>11899.125000000002</v>
      </c>
      <c r="M393" s="338">
        <f t="shared" si="120"/>
        <v>0</v>
      </c>
      <c r="N393" s="43" t="s">
        <v>36</v>
      </c>
      <c r="O393" s="339">
        <v>85312000</v>
      </c>
      <c r="P393" s="340">
        <f>IFERROR(VLOOKUP(O393,NCM!$A$3:$D$99,COLUMN(head_porNCM_IPI)-COLUMN(head_porNCM_NCM)+1,FALSE),"")</f>
        <v>0.15</v>
      </c>
      <c r="Q393" s="43" t="s">
        <v>722</v>
      </c>
      <c r="R393" s="78" t="s">
        <v>209</v>
      </c>
      <c r="S393" s="341"/>
      <c r="T393" s="28" t="s">
        <v>52</v>
      </c>
      <c r="U393" s="28" t="s">
        <v>2284</v>
      </c>
      <c r="V393" s="548">
        <v>44699</v>
      </c>
      <c r="W393" s="43"/>
      <c r="X393" s="342">
        <f t="shared" si="121"/>
        <v>1576.6956521739132</v>
      </c>
      <c r="Y393" s="342">
        <f t="shared" si="122"/>
        <v>1970.8695652173901</v>
      </c>
      <c r="Z393" s="46">
        <f t="shared" si="123"/>
        <v>216.79565217391308</v>
      </c>
      <c r="AA393" s="46">
        <f t="shared" si="124"/>
        <v>998.57391304347834</v>
      </c>
      <c r="AB393" s="43"/>
      <c r="AC393" s="44">
        <v>15110</v>
      </c>
      <c r="AD393" s="31">
        <v>0.12</v>
      </c>
      <c r="AE393" s="31">
        <v>0.15</v>
      </c>
      <c r="AF393" s="31">
        <v>0</v>
      </c>
      <c r="AG393" s="28" t="s">
        <v>53</v>
      </c>
      <c r="AH393" s="46">
        <f t="shared" si="125"/>
        <v>17376.5</v>
      </c>
      <c r="AI393" s="43"/>
      <c r="AJ393" s="28"/>
      <c r="AK393" s="337"/>
      <c r="AL393" s="43"/>
      <c r="AM393" s="44">
        <f t="shared" si="126"/>
        <v>0</v>
      </c>
      <c r="AN393" s="43"/>
      <c r="AO393" s="28">
        <f t="shared" si="127"/>
        <v>0</v>
      </c>
      <c r="AP393" s="43"/>
      <c r="AQ393" s="323">
        <f t="shared" si="128"/>
        <v>0</v>
      </c>
      <c r="AR393" s="43"/>
      <c r="AS393" s="44">
        <f t="shared" si="129"/>
        <v>17376.5</v>
      </c>
    </row>
    <row r="394" spans="1:45" x14ac:dyDescent="0.25">
      <c r="A394" s="28"/>
      <c r="B394" s="43"/>
      <c r="C394" s="43"/>
      <c r="D394" s="43"/>
      <c r="E394" s="43" t="s">
        <v>1061</v>
      </c>
      <c r="F394" s="43" t="s">
        <v>710</v>
      </c>
      <c r="G394" s="46">
        <f t="shared" si="116"/>
        <v>19335.36</v>
      </c>
      <c r="H394" s="46">
        <f t="shared" si="117"/>
        <v>17302.95</v>
      </c>
      <c r="I394" s="28" t="s">
        <v>262</v>
      </c>
      <c r="J394" s="337">
        <v>1</v>
      </c>
      <c r="K394" s="46">
        <f t="shared" si="118"/>
        <v>19335.36</v>
      </c>
      <c r="L394" s="46">
        <f t="shared" si="119"/>
        <v>17302.95</v>
      </c>
      <c r="M394" s="338">
        <f t="shared" si="120"/>
        <v>0</v>
      </c>
      <c r="N394" s="43" t="s">
        <v>36</v>
      </c>
      <c r="O394" s="339">
        <v>85312000</v>
      </c>
      <c r="P394" s="340">
        <f>IFERROR(VLOOKUP(O394,NCM!$A$3:$D$99,COLUMN(head_porNCM_IPI)-COLUMN(head_porNCM_NCM)+1,FALSE),"")</f>
        <v>0.15</v>
      </c>
      <c r="Q394" s="43" t="s">
        <v>722</v>
      </c>
      <c r="R394" s="78" t="s">
        <v>209</v>
      </c>
      <c r="S394" s="341"/>
      <c r="T394" s="28" t="s">
        <v>52</v>
      </c>
      <c r="U394" s="28" t="s">
        <v>2284</v>
      </c>
      <c r="V394" s="548">
        <v>44699</v>
      </c>
      <c r="W394" s="43"/>
      <c r="X394" s="342">
        <f t="shared" si="121"/>
        <v>2292.7304347826089</v>
      </c>
      <c r="Y394" s="342">
        <f t="shared" si="122"/>
        <v>2865.9130434782601</v>
      </c>
      <c r="Z394" s="46">
        <f t="shared" si="123"/>
        <v>315.25043478260875</v>
      </c>
      <c r="AA394" s="46">
        <f t="shared" si="124"/>
        <v>1452.0626086956522</v>
      </c>
      <c r="AB394" s="43"/>
      <c r="AC394" s="44">
        <v>21972</v>
      </c>
      <c r="AD394" s="31">
        <v>0.12</v>
      </c>
      <c r="AE394" s="31">
        <v>0.15</v>
      </c>
      <c r="AF394" s="31">
        <v>0</v>
      </c>
      <c r="AG394" s="28" t="s">
        <v>53</v>
      </c>
      <c r="AH394" s="46">
        <f t="shared" si="125"/>
        <v>25267.8</v>
      </c>
      <c r="AI394" s="43"/>
      <c r="AJ394" s="28"/>
      <c r="AK394" s="337"/>
      <c r="AL394" s="43"/>
      <c r="AM394" s="44">
        <f t="shared" si="126"/>
        <v>0</v>
      </c>
      <c r="AN394" s="43"/>
      <c r="AO394" s="28">
        <f t="shared" si="127"/>
        <v>0</v>
      </c>
      <c r="AP394" s="43"/>
      <c r="AQ394" s="323">
        <f t="shared" si="128"/>
        <v>0</v>
      </c>
      <c r="AR394" s="43"/>
      <c r="AS394" s="44">
        <f t="shared" si="129"/>
        <v>25267.8</v>
      </c>
    </row>
    <row r="395" spans="1:45" x14ac:dyDescent="0.25">
      <c r="A395" s="28"/>
      <c r="B395" s="43"/>
      <c r="C395" s="43"/>
      <c r="D395" s="43" t="s">
        <v>961</v>
      </c>
      <c r="E395" s="43"/>
      <c r="F395" s="43"/>
      <c r="G395" s="46">
        <f t="shared" si="116"/>
        <v>0</v>
      </c>
      <c r="H395" s="46">
        <f t="shared" si="117"/>
        <v>0</v>
      </c>
      <c r="I395" s="28"/>
      <c r="J395" s="337"/>
      <c r="K395" s="46" t="str">
        <f t="shared" si="118"/>
        <v/>
      </c>
      <c r="L395" s="46" t="str">
        <f t="shared" si="119"/>
        <v/>
      </c>
      <c r="M395" s="338">
        <f t="shared" si="120"/>
        <v>0</v>
      </c>
      <c r="N395" s="43"/>
      <c r="O395" s="339"/>
      <c r="P395" s="340" t="str">
        <f>IFERROR(VLOOKUP(O395,NCM!$A$3:$D$99,COLUMN(head_porNCM_IPI)-COLUMN(head_porNCM_NCM)+1,FALSE),"")</f>
        <v/>
      </c>
      <c r="Q395" s="43"/>
      <c r="R395" s="78"/>
      <c r="S395" s="341"/>
      <c r="T395" s="28"/>
      <c r="U395" s="28"/>
      <c r="V395" s="28"/>
      <c r="W395" s="43"/>
      <c r="X395" s="342">
        <f t="shared" si="121"/>
        <v>0</v>
      </c>
      <c r="Y395" s="342">
        <f t="shared" si="122"/>
        <v>0</v>
      </c>
      <c r="Z395" s="46">
        <f t="shared" si="123"/>
        <v>0</v>
      </c>
      <c r="AA395" s="46">
        <f t="shared" si="124"/>
        <v>0</v>
      </c>
      <c r="AB395" s="43"/>
      <c r="AC395" s="44">
        <v>0</v>
      </c>
      <c r="AD395" s="31"/>
      <c r="AE395" s="31"/>
      <c r="AF395" s="31"/>
      <c r="AG395" s="28"/>
      <c r="AH395" s="46">
        <f t="shared" si="125"/>
        <v>0</v>
      </c>
      <c r="AI395" s="43"/>
      <c r="AJ395" s="28"/>
      <c r="AK395" s="337"/>
      <c r="AL395" s="43"/>
      <c r="AM395" s="44">
        <f t="shared" si="126"/>
        <v>0</v>
      </c>
      <c r="AN395" s="43"/>
      <c r="AO395" s="28">
        <f t="shared" si="127"/>
        <v>0</v>
      </c>
      <c r="AP395" s="43"/>
      <c r="AQ395" s="323">
        <f t="shared" si="128"/>
        <v>0</v>
      </c>
      <c r="AR395" s="43"/>
      <c r="AS395" s="44">
        <f t="shared" si="129"/>
        <v>0</v>
      </c>
    </row>
    <row r="396" spans="1:45" x14ac:dyDescent="0.25">
      <c r="A396" s="28"/>
      <c r="B396" s="43"/>
      <c r="C396" s="43"/>
      <c r="D396" s="43"/>
      <c r="E396" s="43" t="s">
        <v>962</v>
      </c>
      <c r="F396" s="43" t="s">
        <v>963</v>
      </c>
      <c r="G396" s="46">
        <f t="shared" si="116"/>
        <v>10922.0584</v>
      </c>
      <c r="H396" s="46">
        <f t="shared" si="117"/>
        <v>9774.0011250000007</v>
      </c>
      <c r="I396" s="28" t="s">
        <v>262</v>
      </c>
      <c r="J396" s="337">
        <v>1</v>
      </c>
      <c r="K396" s="46">
        <f t="shared" si="118"/>
        <v>10922.0584</v>
      </c>
      <c r="L396" s="46">
        <f t="shared" si="119"/>
        <v>9774.0011250000007</v>
      </c>
      <c r="M396" s="338">
        <f t="shared" si="120"/>
        <v>0</v>
      </c>
      <c r="N396" s="43" t="s">
        <v>36</v>
      </c>
      <c r="O396" s="339">
        <v>90328911</v>
      </c>
      <c r="P396" s="340">
        <f>IFERROR(VLOOKUP(O396,NCM!$A$3:$D$99,COLUMN(head_porNCM_IPI)-COLUMN(head_porNCM_NCM)+1,FALSE),"")</f>
        <v>0.15</v>
      </c>
      <c r="Q396" s="43" t="s">
        <v>1006</v>
      </c>
      <c r="R396" s="78" t="s">
        <v>209</v>
      </c>
      <c r="S396" s="341"/>
      <c r="T396" s="28" t="s">
        <v>52</v>
      </c>
      <c r="U396" s="28" t="s">
        <v>2760</v>
      </c>
      <c r="V396" s="548">
        <v>45068</v>
      </c>
      <c r="W396" s="43"/>
      <c r="X396" s="342">
        <f t="shared" si="121"/>
        <v>1489.3715999999999</v>
      </c>
      <c r="Y396" s="342">
        <f t="shared" si="122"/>
        <v>0</v>
      </c>
      <c r="Z396" s="46">
        <f t="shared" si="123"/>
        <v>204.78859500000002</v>
      </c>
      <c r="AA396" s="46">
        <f t="shared" si="124"/>
        <v>943.26868000000002</v>
      </c>
      <c r="AB396" s="43"/>
      <c r="AC396" s="44">
        <v>12411.43</v>
      </c>
      <c r="AD396" s="31">
        <v>0.12</v>
      </c>
      <c r="AE396" s="31">
        <v>0</v>
      </c>
      <c r="AF396" s="31">
        <v>0</v>
      </c>
      <c r="AG396" s="28" t="s">
        <v>53</v>
      </c>
      <c r="AH396" s="46">
        <f t="shared" si="125"/>
        <v>12411.43</v>
      </c>
      <c r="AI396" s="43"/>
      <c r="AJ396" s="28"/>
      <c r="AK396" s="337"/>
      <c r="AL396" s="43"/>
      <c r="AM396" s="44">
        <f t="shared" si="126"/>
        <v>0</v>
      </c>
      <c r="AN396" s="43"/>
      <c r="AO396" s="28">
        <f t="shared" si="127"/>
        <v>0</v>
      </c>
      <c r="AP396" s="43"/>
      <c r="AQ396" s="323">
        <f t="shared" si="128"/>
        <v>0</v>
      </c>
      <c r="AR396" s="43"/>
      <c r="AS396" s="44">
        <f t="shared" si="129"/>
        <v>12411.43</v>
      </c>
    </row>
    <row r="397" spans="1:45" x14ac:dyDescent="0.25">
      <c r="A397" s="28"/>
      <c r="B397" s="43"/>
      <c r="C397" s="43"/>
      <c r="D397" s="43"/>
      <c r="E397" s="43" t="s">
        <v>964</v>
      </c>
      <c r="F397" s="43" t="s">
        <v>965</v>
      </c>
      <c r="G397" s="46">
        <f t="shared" si="116"/>
        <v>7431.3976000000002</v>
      </c>
      <c r="H397" s="46">
        <f t="shared" si="117"/>
        <v>6650.2563750000008</v>
      </c>
      <c r="I397" s="28" t="s">
        <v>262</v>
      </c>
      <c r="J397" s="337">
        <v>1</v>
      </c>
      <c r="K397" s="46">
        <f t="shared" si="118"/>
        <v>7431.3976000000002</v>
      </c>
      <c r="L397" s="46">
        <f t="shared" si="119"/>
        <v>6650.2563750000008</v>
      </c>
      <c r="M397" s="338">
        <f t="shared" si="120"/>
        <v>0</v>
      </c>
      <c r="N397" s="43" t="s">
        <v>36</v>
      </c>
      <c r="O397" s="339">
        <v>90328990</v>
      </c>
      <c r="P397" s="340">
        <f>IFERROR(VLOOKUP(O397,NCM!$A$3:$D$99,COLUMN(head_porNCM_IPI)-COLUMN(head_porNCM_NCM)+1,FALSE),"")</f>
        <v>0.15</v>
      </c>
      <c r="Q397" s="43" t="s">
        <v>1006</v>
      </c>
      <c r="R397" s="78" t="s">
        <v>209</v>
      </c>
      <c r="S397" s="341"/>
      <c r="T397" s="28" t="s">
        <v>52</v>
      </c>
      <c r="U397" s="28" t="s">
        <v>2760</v>
      </c>
      <c r="V397" s="548">
        <v>45068</v>
      </c>
      <c r="W397" s="43"/>
      <c r="X397" s="342">
        <f t="shared" si="121"/>
        <v>1013.3724</v>
      </c>
      <c r="Y397" s="342">
        <f t="shared" si="122"/>
        <v>0</v>
      </c>
      <c r="Z397" s="46">
        <f t="shared" si="123"/>
        <v>139.338705</v>
      </c>
      <c r="AA397" s="46">
        <f t="shared" si="124"/>
        <v>641.80252000000007</v>
      </c>
      <c r="AB397" s="43"/>
      <c r="AC397" s="44">
        <v>8444.77</v>
      </c>
      <c r="AD397" s="31">
        <v>0.12</v>
      </c>
      <c r="AE397" s="31">
        <v>0</v>
      </c>
      <c r="AF397" s="31">
        <v>0</v>
      </c>
      <c r="AG397" s="28" t="s">
        <v>53</v>
      </c>
      <c r="AH397" s="46">
        <f t="shared" si="125"/>
        <v>8444.77</v>
      </c>
      <c r="AI397" s="43"/>
      <c r="AJ397" s="28"/>
      <c r="AK397" s="337"/>
      <c r="AL397" s="43"/>
      <c r="AM397" s="44">
        <f t="shared" si="126"/>
        <v>0</v>
      </c>
      <c r="AN397" s="43"/>
      <c r="AO397" s="28">
        <f t="shared" si="127"/>
        <v>0</v>
      </c>
      <c r="AP397" s="43"/>
      <c r="AQ397" s="323">
        <f t="shared" si="128"/>
        <v>0</v>
      </c>
      <c r="AR397" s="43"/>
      <c r="AS397" s="44">
        <f t="shared" si="129"/>
        <v>8444.77</v>
      </c>
    </row>
    <row r="398" spans="1:45" x14ac:dyDescent="0.25">
      <c r="A398" s="28"/>
      <c r="B398" s="43"/>
      <c r="C398" s="43"/>
      <c r="D398" s="43"/>
      <c r="E398" s="43" t="s">
        <v>966</v>
      </c>
      <c r="F398" s="43" t="s">
        <v>967</v>
      </c>
      <c r="G398" s="46">
        <f t="shared" si="116"/>
        <v>2482.7960000000003</v>
      </c>
      <c r="H398" s="46">
        <f t="shared" si="117"/>
        <v>2202.7245000000007</v>
      </c>
      <c r="I398" s="28" t="s">
        <v>262</v>
      </c>
      <c r="J398" s="337">
        <v>1</v>
      </c>
      <c r="K398" s="46">
        <f t="shared" si="118"/>
        <v>2482.7960000000003</v>
      </c>
      <c r="L398" s="46">
        <f t="shared" si="119"/>
        <v>2202.7245000000007</v>
      </c>
      <c r="M398" s="338">
        <f t="shared" si="120"/>
        <v>0</v>
      </c>
      <c r="N398" s="43" t="s">
        <v>36</v>
      </c>
      <c r="O398" s="339">
        <v>85437099</v>
      </c>
      <c r="P398" s="340">
        <f>IFERROR(VLOOKUP(O398,NCM!$A$3:$D$99,COLUMN(head_porNCM_IPI)-COLUMN(head_porNCM_NCM)+1,FALSE),"")</f>
        <v>6.5000000000000002E-2</v>
      </c>
      <c r="Q398" s="43" t="s">
        <v>1006</v>
      </c>
      <c r="R398" s="78" t="s">
        <v>209</v>
      </c>
      <c r="S398" s="341"/>
      <c r="T398" s="28" t="s">
        <v>52</v>
      </c>
      <c r="U398" s="28" t="s">
        <v>2760</v>
      </c>
      <c r="V398" s="548">
        <v>45068</v>
      </c>
      <c r="W398" s="43"/>
      <c r="X398" s="342">
        <f t="shared" si="121"/>
        <v>545.00400000000002</v>
      </c>
      <c r="Y398" s="342">
        <f t="shared" si="122"/>
        <v>0</v>
      </c>
      <c r="Z398" s="46">
        <f t="shared" si="123"/>
        <v>49.958700000000007</v>
      </c>
      <c r="AA398" s="46">
        <f t="shared" si="124"/>
        <v>230.11280000000002</v>
      </c>
      <c r="AB398" s="43"/>
      <c r="AC398" s="44">
        <v>3027.8</v>
      </c>
      <c r="AD398" s="31">
        <v>0.18</v>
      </c>
      <c r="AE398" s="31">
        <v>0</v>
      </c>
      <c r="AF398" s="31">
        <v>0</v>
      </c>
      <c r="AG398" s="28" t="s">
        <v>53</v>
      </c>
      <c r="AH398" s="46">
        <f t="shared" si="125"/>
        <v>3027.8</v>
      </c>
      <c r="AI398" s="43"/>
      <c r="AJ398" s="28"/>
      <c r="AK398" s="337"/>
      <c r="AL398" s="43"/>
      <c r="AM398" s="44">
        <f t="shared" si="126"/>
        <v>0</v>
      </c>
      <c r="AN398" s="43"/>
      <c r="AO398" s="28">
        <f t="shared" si="127"/>
        <v>0</v>
      </c>
      <c r="AP398" s="43"/>
      <c r="AQ398" s="323">
        <f t="shared" si="128"/>
        <v>0</v>
      </c>
      <c r="AR398" s="43"/>
      <c r="AS398" s="44">
        <f t="shared" si="129"/>
        <v>3027.8</v>
      </c>
    </row>
    <row r="399" spans="1:45" x14ac:dyDescent="0.25">
      <c r="A399" s="28"/>
      <c r="B399" s="43"/>
      <c r="C399" s="43"/>
      <c r="D399" s="43"/>
      <c r="E399" s="43" t="s">
        <v>103</v>
      </c>
      <c r="F399" s="43" t="s">
        <v>968</v>
      </c>
      <c r="G399" s="46">
        <f t="shared" si="116"/>
        <v>4097.1304</v>
      </c>
      <c r="H399" s="46">
        <f t="shared" si="117"/>
        <v>3666.4661250000004</v>
      </c>
      <c r="I399" s="28" t="s">
        <v>262</v>
      </c>
      <c r="J399" s="337">
        <v>1</v>
      </c>
      <c r="K399" s="46">
        <f t="shared" si="118"/>
        <v>4097.1304</v>
      </c>
      <c r="L399" s="46">
        <f t="shared" si="119"/>
        <v>3666.4661250000004</v>
      </c>
      <c r="M399" s="338">
        <f t="shared" si="120"/>
        <v>0</v>
      </c>
      <c r="N399" s="43" t="s">
        <v>36</v>
      </c>
      <c r="O399" s="339">
        <v>90328990</v>
      </c>
      <c r="P399" s="340">
        <f>IFERROR(VLOOKUP(O399,NCM!$A$3:$D$99,COLUMN(head_porNCM_IPI)-COLUMN(head_porNCM_NCM)+1,FALSE),"")</f>
        <v>0.15</v>
      </c>
      <c r="Q399" s="43" t="s">
        <v>1006</v>
      </c>
      <c r="R399" s="78" t="s">
        <v>209</v>
      </c>
      <c r="S399" s="341"/>
      <c r="T399" s="28" t="s">
        <v>52</v>
      </c>
      <c r="U399" s="28" t="s">
        <v>2760</v>
      </c>
      <c r="V399" s="548">
        <v>45068</v>
      </c>
      <c r="W399" s="43"/>
      <c r="X399" s="342">
        <f t="shared" si="121"/>
        <v>558.69959999999992</v>
      </c>
      <c r="Y399" s="342">
        <f t="shared" si="122"/>
        <v>0</v>
      </c>
      <c r="Z399" s="46">
        <f t="shared" si="123"/>
        <v>76.821195000000003</v>
      </c>
      <c r="AA399" s="46">
        <f t="shared" si="124"/>
        <v>353.84307999999999</v>
      </c>
      <c r="AB399" s="43"/>
      <c r="AC399" s="44">
        <v>4655.83</v>
      </c>
      <c r="AD399" s="31">
        <v>0.12</v>
      </c>
      <c r="AE399" s="31">
        <v>0</v>
      </c>
      <c r="AF399" s="31">
        <v>0</v>
      </c>
      <c r="AG399" s="28" t="s">
        <v>53</v>
      </c>
      <c r="AH399" s="46">
        <f t="shared" si="125"/>
        <v>4655.83</v>
      </c>
      <c r="AI399" s="43"/>
      <c r="AJ399" s="28"/>
      <c r="AK399" s="337"/>
      <c r="AL399" s="43"/>
      <c r="AM399" s="44">
        <f t="shared" si="126"/>
        <v>0</v>
      </c>
      <c r="AN399" s="43"/>
      <c r="AO399" s="28">
        <f t="shared" si="127"/>
        <v>0</v>
      </c>
      <c r="AP399" s="43"/>
      <c r="AQ399" s="323">
        <f t="shared" si="128"/>
        <v>0</v>
      </c>
      <c r="AR399" s="43"/>
      <c r="AS399" s="44">
        <f t="shared" si="129"/>
        <v>4655.83</v>
      </c>
    </row>
    <row r="400" spans="1:45" x14ac:dyDescent="0.25">
      <c r="A400" s="28"/>
      <c r="B400" s="43"/>
      <c r="C400" s="43"/>
      <c r="D400" s="43"/>
      <c r="E400" s="43" t="s">
        <v>969</v>
      </c>
      <c r="F400" s="43" t="s">
        <v>970</v>
      </c>
      <c r="G400" s="46">
        <f t="shared" si="116"/>
        <v>9500.26</v>
      </c>
      <c r="H400" s="46">
        <f t="shared" si="117"/>
        <v>8501.6531250000007</v>
      </c>
      <c r="I400" s="28" t="s">
        <v>262</v>
      </c>
      <c r="J400" s="337">
        <v>1</v>
      </c>
      <c r="K400" s="46">
        <f t="shared" si="118"/>
        <v>9500.26</v>
      </c>
      <c r="L400" s="46">
        <f t="shared" si="119"/>
        <v>8501.6531250000007</v>
      </c>
      <c r="M400" s="338">
        <f t="shared" si="120"/>
        <v>0</v>
      </c>
      <c r="N400" s="43" t="s">
        <v>36</v>
      </c>
      <c r="O400" s="339">
        <v>90328982</v>
      </c>
      <c r="P400" s="340">
        <f>IFERROR(VLOOKUP(O400,NCM!$A$3:$D$99,COLUMN(head_porNCM_IPI)-COLUMN(head_porNCM_NCM)+1,FALSE),"")</f>
        <v>0.15</v>
      </c>
      <c r="Q400" s="43" t="s">
        <v>1006</v>
      </c>
      <c r="R400" s="78" t="s">
        <v>209</v>
      </c>
      <c r="S400" s="341"/>
      <c r="T400" s="28" t="s">
        <v>52</v>
      </c>
      <c r="U400" s="28" t="s">
        <v>2760</v>
      </c>
      <c r="V400" s="548">
        <v>45068</v>
      </c>
      <c r="W400" s="43"/>
      <c r="X400" s="342">
        <f t="shared" si="121"/>
        <v>1295.49</v>
      </c>
      <c r="Y400" s="342">
        <f t="shared" si="122"/>
        <v>0</v>
      </c>
      <c r="Z400" s="46">
        <f t="shared" si="123"/>
        <v>178.129875</v>
      </c>
      <c r="AA400" s="46">
        <f t="shared" si="124"/>
        <v>820.47699999999998</v>
      </c>
      <c r="AB400" s="43"/>
      <c r="AC400" s="44">
        <v>10795.75</v>
      </c>
      <c r="AD400" s="31">
        <v>0.12</v>
      </c>
      <c r="AE400" s="31">
        <v>0</v>
      </c>
      <c r="AF400" s="31">
        <v>0</v>
      </c>
      <c r="AG400" s="28" t="s">
        <v>53</v>
      </c>
      <c r="AH400" s="46">
        <f t="shared" si="125"/>
        <v>10795.75</v>
      </c>
      <c r="AI400" s="43"/>
      <c r="AJ400" s="28"/>
      <c r="AK400" s="337"/>
      <c r="AL400" s="43"/>
      <c r="AM400" s="44">
        <f t="shared" si="126"/>
        <v>0</v>
      </c>
      <c r="AN400" s="43"/>
      <c r="AO400" s="28">
        <f t="shared" si="127"/>
        <v>0</v>
      </c>
      <c r="AP400" s="43"/>
      <c r="AQ400" s="323">
        <f t="shared" si="128"/>
        <v>0</v>
      </c>
      <c r="AR400" s="43"/>
      <c r="AS400" s="44">
        <f t="shared" si="129"/>
        <v>10795.75</v>
      </c>
    </row>
    <row r="401" spans="1:45" x14ac:dyDescent="0.25">
      <c r="A401" s="28"/>
      <c r="B401" s="43"/>
      <c r="C401" s="43"/>
      <c r="D401" s="43"/>
      <c r="E401" s="43" t="s">
        <v>971</v>
      </c>
      <c r="F401" s="43" t="s">
        <v>972</v>
      </c>
      <c r="G401" s="46">
        <f t="shared" si="116"/>
        <v>9755.0640000000003</v>
      </c>
      <c r="H401" s="46">
        <f t="shared" si="117"/>
        <v>8729.6737499999999</v>
      </c>
      <c r="I401" s="28" t="s">
        <v>262</v>
      </c>
      <c r="J401" s="337">
        <v>1</v>
      </c>
      <c r="K401" s="46">
        <f t="shared" si="118"/>
        <v>9755.0640000000003</v>
      </c>
      <c r="L401" s="46">
        <f t="shared" si="119"/>
        <v>8729.6737499999999</v>
      </c>
      <c r="M401" s="338">
        <f t="shared" si="120"/>
        <v>0</v>
      </c>
      <c r="N401" s="43" t="s">
        <v>36</v>
      </c>
      <c r="O401" s="339">
        <v>90328982</v>
      </c>
      <c r="P401" s="340">
        <f>IFERROR(VLOOKUP(O401,NCM!$A$3:$D$99,COLUMN(head_porNCM_IPI)-COLUMN(head_porNCM_NCM)+1,FALSE),"")</f>
        <v>0.15</v>
      </c>
      <c r="Q401" s="43" t="s">
        <v>1006</v>
      </c>
      <c r="R401" s="78" t="s">
        <v>209</v>
      </c>
      <c r="S401" s="341"/>
      <c r="T401" s="28" t="s">
        <v>52</v>
      </c>
      <c r="U401" s="28" t="s">
        <v>2760</v>
      </c>
      <c r="V401" s="548">
        <v>45068</v>
      </c>
      <c r="W401" s="43"/>
      <c r="X401" s="342">
        <f t="shared" si="121"/>
        <v>1330.2359999999999</v>
      </c>
      <c r="Y401" s="342">
        <f t="shared" si="122"/>
        <v>0</v>
      </c>
      <c r="Z401" s="46">
        <f t="shared" si="123"/>
        <v>182.90744999999998</v>
      </c>
      <c r="AA401" s="46">
        <f t="shared" si="124"/>
        <v>842.48279999999988</v>
      </c>
      <c r="AB401" s="43"/>
      <c r="AC401" s="44">
        <v>11085.3</v>
      </c>
      <c r="AD401" s="31">
        <v>0.12</v>
      </c>
      <c r="AE401" s="31">
        <v>0</v>
      </c>
      <c r="AF401" s="31">
        <v>0</v>
      </c>
      <c r="AG401" s="28" t="s">
        <v>53</v>
      </c>
      <c r="AH401" s="46">
        <f t="shared" si="125"/>
        <v>11085.3</v>
      </c>
      <c r="AI401" s="43"/>
      <c r="AJ401" s="28"/>
      <c r="AK401" s="337"/>
      <c r="AL401" s="43"/>
      <c r="AM401" s="44">
        <f t="shared" si="126"/>
        <v>0</v>
      </c>
      <c r="AN401" s="43"/>
      <c r="AO401" s="28">
        <f t="shared" si="127"/>
        <v>0</v>
      </c>
      <c r="AP401" s="43"/>
      <c r="AQ401" s="323">
        <f t="shared" si="128"/>
        <v>0</v>
      </c>
      <c r="AR401" s="43"/>
      <c r="AS401" s="44">
        <f t="shared" si="129"/>
        <v>11085.3</v>
      </c>
    </row>
    <row r="402" spans="1:45" x14ac:dyDescent="0.25">
      <c r="A402" s="28"/>
      <c r="B402" s="43"/>
      <c r="C402" s="43"/>
      <c r="D402" s="43"/>
      <c r="E402" s="43" t="s">
        <v>976</v>
      </c>
      <c r="F402" s="43" t="s">
        <v>977</v>
      </c>
      <c r="G402" s="46">
        <f t="shared" si="116"/>
        <v>522.76400000000001</v>
      </c>
      <c r="H402" s="46">
        <f t="shared" si="117"/>
        <v>467.81437500000004</v>
      </c>
      <c r="I402" s="28" t="s">
        <v>262</v>
      </c>
      <c r="J402" s="337">
        <v>1</v>
      </c>
      <c r="K402" s="46">
        <f t="shared" si="118"/>
        <v>522.76400000000001</v>
      </c>
      <c r="L402" s="46">
        <f t="shared" si="119"/>
        <v>467.81437500000004</v>
      </c>
      <c r="M402" s="338">
        <f t="shared" si="120"/>
        <v>0</v>
      </c>
      <c r="N402" s="43" t="s">
        <v>36</v>
      </c>
      <c r="O402" s="339">
        <v>85043111</v>
      </c>
      <c r="P402" s="340">
        <f>IFERROR(VLOOKUP(O402,NCM!$A$3:$D$99,COLUMN(head_porNCM_IPI)-COLUMN(head_porNCM_NCM)+1,FALSE),"")</f>
        <v>0.1</v>
      </c>
      <c r="Q402" s="43" t="s">
        <v>1006</v>
      </c>
      <c r="R402" s="78" t="s">
        <v>209</v>
      </c>
      <c r="S402" s="341"/>
      <c r="T402" s="28" t="s">
        <v>52</v>
      </c>
      <c r="U402" s="28" t="s">
        <v>2760</v>
      </c>
      <c r="V402" s="548">
        <v>45068</v>
      </c>
      <c r="W402" s="43"/>
      <c r="X402" s="342">
        <f t="shared" si="121"/>
        <v>71.285999999999987</v>
      </c>
      <c r="Y402" s="342">
        <f t="shared" si="122"/>
        <v>0</v>
      </c>
      <c r="Z402" s="46">
        <f t="shared" si="123"/>
        <v>9.8018249999999991</v>
      </c>
      <c r="AA402" s="46">
        <f t="shared" si="124"/>
        <v>45.147799999999997</v>
      </c>
      <c r="AB402" s="43"/>
      <c r="AC402" s="44">
        <v>594.04999999999995</v>
      </c>
      <c r="AD402" s="31">
        <v>0.12</v>
      </c>
      <c r="AE402" s="31">
        <v>0</v>
      </c>
      <c r="AF402" s="31">
        <v>0</v>
      </c>
      <c r="AG402" s="28" t="s">
        <v>53</v>
      </c>
      <c r="AH402" s="46">
        <f t="shared" si="125"/>
        <v>594.04999999999995</v>
      </c>
      <c r="AI402" s="43"/>
      <c r="AJ402" s="28"/>
      <c r="AK402" s="337"/>
      <c r="AL402" s="43"/>
      <c r="AM402" s="44">
        <f t="shared" si="126"/>
        <v>0</v>
      </c>
      <c r="AN402" s="43"/>
      <c r="AO402" s="28">
        <f t="shared" si="127"/>
        <v>0</v>
      </c>
      <c r="AP402" s="43"/>
      <c r="AQ402" s="323">
        <f t="shared" si="128"/>
        <v>0</v>
      </c>
      <c r="AR402" s="43"/>
      <c r="AS402" s="44">
        <f t="shared" si="129"/>
        <v>594.04999999999995</v>
      </c>
    </row>
    <row r="403" spans="1:45" x14ac:dyDescent="0.25">
      <c r="A403" s="28"/>
      <c r="B403" s="43"/>
      <c r="C403" s="43"/>
      <c r="D403" s="43"/>
      <c r="E403" s="43" t="s">
        <v>973</v>
      </c>
      <c r="F403" s="43" t="s">
        <v>974</v>
      </c>
      <c r="G403" s="46">
        <f t="shared" si="116"/>
        <v>2747.0079999999998</v>
      </c>
      <c r="H403" s="46">
        <f t="shared" si="117"/>
        <v>2458.2600000000002</v>
      </c>
      <c r="I403" s="28" t="s">
        <v>262</v>
      </c>
      <c r="J403" s="337">
        <v>1</v>
      </c>
      <c r="K403" s="46">
        <f t="shared" si="118"/>
        <v>2747.0079999999998</v>
      </c>
      <c r="L403" s="46">
        <f t="shared" si="119"/>
        <v>2458.2600000000002</v>
      </c>
      <c r="M403" s="338">
        <f t="shared" si="120"/>
        <v>0</v>
      </c>
      <c r="N403" s="43" t="s">
        <v>36</v>
      </c>
      <c r="O403" s="339">
        <v>90328990</v>
      </c>
      <c r="P403" s="340">
        <f>IFERROR(VLOOKUP(O403,NCM!$A$3:$D$99,COLUMN(head_porNCM_IPI)-COLUMN(head_porNCM_NCM)+1,FALSE),"")</f>
        <v>0.15</v>
      </c>
      <c r="Q403" s="43" t="s">
        <v>1006</v>
      </c>
      <c r="R403" s="78" t="s">
        <v>209</v>
      </c>
      <c r="S403" s="341"/>
      <c r="T403" s="28" t="s">
        <v>52</v>
      </c>
      <c r="U403" s="28" t="s">
        <v>2760</v>
      </c>
      <c r="V403" s="548">
        <v>45068</v>
      </c>
      <c r="W403" s="43"/>
      <c r="X403" s="342">
        <f t="shared" si="121"/>
        <v>374.59199999999998</v>
      </c>
      <c r="Y403" s="342">
        <f t="shared" si="122"/>
        <v>0</v>
      </c>
      <c r="Z403" s="46">
        <f t="shared" si="123"/>
        <v>51.506399999999999</v>
      </c>
      <c r="AA403" s="46">
        <f t="shared" si="124"/>
        <v>237.24159999999998</v>
      </c>
      <c r="AB403" s="43"/>
      <c r="AC403" s="44">
        <v>3121.6</v>
      </c>
      <c r="AD403" s="31">
        <v>0.12</v>
      </c>
      <c r="AE403" s="31">
        <v>0</v>
      </c>
      <c r="AF403" s="31">
        <v>0</v>
      </c>
      <c r="AG403" s="28" t="s">
        <v>53</v>
      </c>
      <c r="AH403" s="46">
        <f t="shared" si="125"/>
        <v>3121.6</v>
      </c>
      <c r="AI403" s="43"/>
      <c r="AJ403" s="28"/>
      <c r="AK403" s="337"/>
      <c r="AL403" s="43"/>
      <c r="AM403" s="44">
        <f t="shared" si="126"/>
        <v>0</v>
      </c>
      <c r="AN403" s="43"/>
      <c r="AO403" s="28">
        <f t="shared" si="127"/>
        <v>0</v>
      </c>
      <c r="AP403" s="43"/>
      <c r="AQ403" s="323">
        <f t="shared" si="128"/>
        <v>0</v>
      </c>
      <c r="AR403" s="43"/>
      <c r="AS403" s="44">
        <f t="shared" si="129"/>
        <v>3121.6</v>
      </c>
    </row>
    <row r="404" spans="1:45" x14ac:dyDescent="0.25">
      <c r="A404" s="28"/>
      <c r="B404" s="43"/>
      <c r="C404" s="43"/>
      <c r="D404" s="43"/>
      <c r="E404" s="43" t="s">
        <v>975</v>
      </c>
      <c r="F404" s="43" t="s">
        <v>2647</v>
      </c>
      <c r="G404" s="46">
        <f t="shared" si="116"/>
        <v>29314.718400000002</v>
      </c>
      <c r="H404" s="46">
        <f t="shared" si="117"/>
        <v>26233.341750000003</v>
      </c>
      <c r="I404" s="28" t="s">
        <v>262</v>
      </c>
      <c r="J404" s="337">
        <v>1</v>
      </c>
      <c r="K404" s="46">
        <f t="shared" si="118"/>
        <v>29314.718400000002</v>
      </c>
      <c r="L404" s="46">
        <f t="shared" si="119"/>
        <v>26233.341750000003</v>
      </c>
      <c r="M404" s="338">
        <f t="shared" si="120"/>
        <v>0</v>
      </c>
      <c r="N404" s="43" t="s">
        <v>36</v>
      </c>
      <c r="O404" s="339">
        <v>90328911</v>
      </c>
      <c r="P404" s="340">
        <f>IFERROR(VLOOKUP(O404,NCM!$A$3:$D$99,COLUMN(head_porNCM_IPI)-COLUMN(head_porNCM_NCM)+1,FALSE),"")</f>
        <v>0.15</v>
      </c>
      <c r="Q404" s="43" t="s">
        <v>1006</v>
      </c>
      <c r="R404" s="78" t="s">
        <v>209</v>
      </c>
      <c r="S404" s="341"/>
      <c r="T404" s="28" t="s">
        <v>52</v>
      </c>
      <c r="U404" s="28" t="s">
        <v>2760</v>
      </c>
      <c r="V404" s="548">
        <v>45068</v>
      </c>
      <c r="W404" s="43"/>
      <c r="X404" s="342">
        <f t="shared" si="121"/>
        <v>3997.4616000000001</v>
      </c>
      <c r="Y404" s="342">
        <f t="shared" si="122"/>
        <v>0</v>
      </c>
      <c r="Z404" s="46">
        <f t="shared" si="123"/>
        <v>549.65097000000003</v>
      </c>
      <c r="AA404" s="46">
        <f t="shared" si="124"/>
        <v>2531.72568</v>
      </c>
      <c r="AB404" s="43"/>
      <c r="AC404" s="44">
        <v>33312.18</v>
      </c>
      <c r="AD404" s="31">
        <v>0.12</v>
      </c>
      <c r="AE404" s="31">
        <v>0</v>
      </c>
      <c r="AF404" s="31">
        <v>0</v>
      </c>
      <c r="AG404" s="28" t="s">
        <v>53</v>
      </c>
      <c r="AH404" s="46">
        <f t="shared" si="125"/>
        <v>33312.18</v>
      </c>
      <c r="AI404" s="43"/>
      <c r="AJ404" s="28"/>
      <c r="AK404" s="337"/>
      <c r="AL404" s="43"/>
      <c r="AM404" s="44">
        <f t="shared" si="126"/>
        <v>0</v>
      </c>
      <c r="AN404" s="43"/>
      <c r="AO404" s="28">
        <f t="shared" si="127"/>
        <v>0</v>
      </c>
      <c r="AP404" s="43"/>
      <c r="AQ404" s="323">
        <f t="shared" si="128"/>
        <v>0</v>
      </c>
      <c r="AR404" s="43"/>
      <c r="AS404" s="44">
        <f t="shared" si="129"/>
        <v>33312.18</v>
      </c>
    </row>
    <row r="405" spans="1:45" x14ac:dyDescent="0.25">
      <c r="A405" s="28"/>
      <c r="B405" s="43"/>
      <c r="C405" s="43"/>
      <c r="D405" s="43"/>
      <c r="E405" s="43" t="s">
        <v>2648</v>
      </c>
      <c r="F405" s="43" t="s">
        <v>2649</v>
      </c>
      <c r="G405" s="46">
        <f t="shared" si="116"/>
        <v>522.36800000000005</v>
      </c>
      <c r="H405" s="46">
        <f t="shared" si="117"/>
        <v>467.46000000000009</v>
      </c>
      <c r="I405" s="28" t="s">
        <v>262</v>
      </c>
      <c r="J405" s="337">
        <v>1</v>
      </c>
      <c r="K405" s="46">
        <f t="shared" si="118"/>
        <v>522.36800000000005</v>
      </c>
      <c r="L405" s="46">
        <f t="shared" si="119"/>
        <v>467.46000000000009</v>
      </c>
      <c r="M405" s="338">
        <f t="shared" si="120"/>
        <v>0</v>
      </c>
      <c r="N405" s="43" t="s">
        <v>36</v>
      </c>
      <c r="O405" s="339">
        <v>90328990</v>
      </c>
      <c r="P405" s="340">
        <f>IFERROR(VLOOKUP(O405,NCM!$A$3:$D$99,COLUMN(head_porNCM_IPI)-COLUMN(head_porNCM_NCM)+1,FALSE),"")</f>
        <v>0.15</v>
      </c>
      <c r="Q405" s="43" t="s">
        <v>1006</v>
      </c>
      <c r="R405" s="78" t="s">
        <v>209</v>
      </c>
      <c r="S405" s="341"/>
      <c r="T405" s="28" t="s">
        <v>52</v>
      </c>
      <c r="U405" s="28" t="s">
        <v>2760</v>
      </c>
      <c r="V405" s="548">
        <v>45068</v>
      </c>
      <c r="W405" s="43"/>
      <c r="X405" s="342">
        <f t="shared" si="121"/>
        <v>71.231999999999999</v>
      </c>
      <c r="Y405" s="342">
        <f t="shared" si="122"/>
        <v>0</v>
      </c>
      <c r="Z405" s="46">
        <f t="shared" si="123"/>
        <v>9.7944000000000013</v>
      </c>
      <c r="AA405" s="46">
        <f t="shared" si="124"/>
        <v>45.113599999999998</v>
      </c>
      <c r="AB405" s="43"/>
      <c r="AC405" s="44">
        <v>593.6</v>
      </c>
      <c r="AD405" s="31">
        <v>0.12</v>
      </c>
      <c r="AE405" s="31">
        <v>0</v>
      </c>
      <c r="AF405" s="31">
        <v>0</v>
      </c>
      <c r="AG405" s="28" t="s">
        <v>53</v>
      </c>
      <c r="AH405" s="46">
        <f t="shared" si="125"/>
        <v>593.6</v>
      </c>
      <c r="AI405" s="43"/>
      <c r="AJ405" s="28"/>
      <c r="AK405" s="337"/>
      <c r="AL405" s="43"/>
      <c r="AM405" s="44">
        <f t="shared" si="126"/>
        <v>0</v>
      </c>
      <c r="AN405" s="43"/>
      <c r="AO405" s="28">
        <f t="shared" si="127"/>
        <v>0</v>
      </c>
      <c r="AP405" s="43"/>
      <c r="AQ405" s="323">
        <f t="shared" si="128"/>
        <v>0</v>
      </c>
      <c r="AR405" s="43"/>
      <c r="AS405" s="44">
        <f t="shared" si="129"/>
        <v>593.6</v>
      </c>
    </row>
    <row r="406" spans="1:45" x14ac:dyDescent="0.25">
      <c r="A406" s="28"/>
      <c r="B406" s="43"/>
      <c r="C406" s="43"/>
      <c r="D406" s="43"/>
      <c r="E406" s="43" t="s">
        <v>2049</v>
      </c>
      <c r="F406" s="43" t="s">
        <v>2050</v>
      </c>
      <c r="G406" s="46">
        <f t="shared" si="116"/>
        <v>4582.8839699999999</v>
      </c>
      <c r="H406" s="46">
        <f t="shared" si="117"/>
        <v>4093.9372950000002</v>
      </c>
      <c r="I406" s="28" t="s">
        <v>262</v>
      </c>
      <c r="J406" s="337">
        <v>1</v>
      </c>
      <c r="K406" s="46">
        <f t="shared" si="118"/>
        <v>4582.8839699999999</v>
      </c>
      <c r="L406" s="46">
        <f t="shared" si="119"/>
        <v>4093.9372950000002</v>
      </c>
      <c r="M406" s="338">
        <f t="shared" si="120"/>
        <v>0</v>
      </c>
      <c r="N406" s="43" t="s">
        <v>36</v>
      </c>
      <c r="O406" s="339">
        <v>90328990</v>
      </c>
      <c r="P406" s="340">
        <f>IFERROR(VLOOKUP(O406,NCM!$A$3:$D$99,COLUMN(head_porNCM_IPI)-COLUMN(head_porNCM_NCM)+1,FALSE),"")</f>
        <v>0.15</v>
      </c>
      <c r="Q406" s="43" t="s">
        <v>1006</v>
      </c>
      <c r="R406" s="78" t="s">
        <v>209</v>
      </c>
      <c r="S406" s="341"/>
      <c r="T406" s="28" t="s">
        <v>52</v>
      </c>
      <c r="U406" s="28" t="s">
        <v>2285</v>
      </c>
      <c r="V406" s="548">
        <v>44848</v>
      </c>
      <c r="W406" s="43"/>
      <c r="X406" s="342">
        <f t="shared" si="121"/>
        <v>703.02602999999999</v>
      </c>
      <c r="Y406" s="342">
        <f t="shared" si="122"/>
        <v>0</v>
      </c>
      <c r="Z406" s="46">
        <f t="shared" si="123"/>
        <v>87.217515000000006</v>
      </c>
      <c r="AA406" s="46">
        <f t="shared" si="124"/>
        <v>401.72915999999998</v>
      </c>
      <c r="AB406" s="43"/>
      <c r="AC406" s="44">
        <v>5285.91</v>
      </c>
      <c r="AD406" s="31">
        <v>0.13300000000000001</v>
      </c>
      <c r="AE406" s="31">
        <v>0</v>
      </c>
      <c r="AF406" s="31">
        <v>0</v>
      </c>
      <c r="AG406" s="28" t="s">
        <v>53</v>
      </c>
      <c r="AH406" s="46">
        <f t="shared" si="125"/>
        <v>5285.91</v>
      </c>
      <c r="AI406" s="43"/>
      <c r="AJ406" s="28"/>
      <c r="AK406" s="337"/>
      <c r="AL406" s="43"/>
      <c r="AM406" s="44">
        <f t="shared" si="126"/>
        <v>0</v>
      </c>
      <c r="AN406" s="43"/>
      <c r="AO406" s="28">
        <f t="shared" si="127"/>
        <v>0</v>
      </c>
      <c r="AP406" s="43"/>
      <c r="AQ406" s="323">
        <f t="shared" si="128"/>
        <v>0</v>
      </c>
      <c r="AR406" s="43"/>
      <c r="AS406" s="44">
        <f t="shared" si="129"/>
        <v>5285.91</v>
      </c>
    </row>
    <row r="407" spans="1:45" x14ac:dyDescent="0.25">
      <c r="A407" s="28"/>
      <c r="B407" s="43"/>
      <c r="C407" s="43"/>
      <c r="D407" s="43" t="s">
        <v>618</v>
      </c>
      <c r="E407" s="43"/>
      <c r="F407" s="43"/>
      <c r="G407" s="46">
        <f t="shared" si="116"/>
        <v>0</v>
      </c>
      <c r="H407" s="46">
        <f t="shared" si="117"/>
        <v>0</v>
      </c>
      <c r="I407" s="28"/>
      <c r="J407" s="337"/>
      <c r="K407" s="46" t="str">
        <f t="shared" si="118"/>
        <v/>
      </c>
      <c r="L407" s="46" t="str">
        <f t="shared" si="119"/>
        <v/>
      </c>
      <c r="M407" s="338">
        <f t="shared" si="120"/>
        <v>0</v>
      </c>
      <c r="N407" s="43"/>
      <c r="O407" s="339"/>
      <c r="P407" s="340" t="str">
        <f>IFERROR(VLOOKUP(O407,NCM!$A$3:$D$99,COLUMN(head_porNCM_IPI)-COLUMN(head_porNCM_NCM)+1,FALSE),"")</f>
        <v/>
      </c>
      <c r="Q407" s="43"/>
      <c r="R407" s="78"/>
      <c r="S407" s="341"/>
      <c r="T407" s="28"/>
      <c r="U407" s="28"/>
      <c r="V407" s="28"/>
      <c r="W407" s="43"/>
      <c r="X407" s="342">
        <f t="shared" si="121"/>
        <v>0</v>
      </c>
      <c r="Y407" s="342">
        <f t="shared" si="122"/>
        <v>0</v>
      </c>
      <c r="Z407" s="46">
        <f t="shared" si="123"/>
        <v>0</v>
      </c>
      <c r="AA407" s="46">
        <f t="shared" si="124"/>
        <v>0</v>
      </c>
      <c r="AB407" s="43"/>
      <c r="AC407" s="44">
        <v>0</v>
      </c>
      <c r="AD407" s="31"/>
      <c r="AE407" s="31"/>
      <c r="AF407" s="31"/>
      <c r="AG407" s="28"/>
      <c r="AH407" s="46">
        <f t="shared" si="125"/>
        <v>0</v>
      </c>
      <c r="AI407" s="43"/>
      <c r="AJ407" s="28"/>
      <c r="AK407" s="337"/>
      <c r="AL407" s="43"/>
      <c r="AM407" s="44">
        <f t="shared" si="126"/>
        <v>0</v>
      </c>
      <c r="AN407" s="43"/>
      <c r="AO407" s="28">
        <f t="shared" si="127"/>
        <v>0</v>
      </c>
      <c r="AP407" s="43"/>
      <c r="AQ407" s="323">
        <f t="shared" si="128"/>
        <v>0</v>
      </c>
      <c r="AR407" s="43"/>
      <c r="AS407" s="44">
        <f t="shared" si="129"/>
        <v>0</v>
      </c>
    </row>
    <row r="408" spans="1:45" x14ac:dyDescent="0.25">
      <c r="A408" s="28"/>
      <c r="B408" s="43"/>
      <c r="C408" s="43"/>
      <c r="D408" s="43" t="s">
        <v>806</v>
      </c>
      <c r="E408" s="43"/>
      <c r="F408" s="43"/>
      <c r="G408" s="46">
        <f t="shared" si="116"/>
        <v>0</v>
      </c>
      <c r="H408" s="46">
        <f t="shared" si="117"/>
        <v>0</v>
      </c>
      <c r="I408" s="28"/>
      <c r="J408" s="337"/>
      <c r="K408" s="46" t="str">
        <f t="shared" si="118"/>
        <v/>
      </c>
      <c r="L408" s="46" t="str">
        <f t="shared" si="119"/>
        <v/>
      </c>
      <c r="M408" s="338">
        <f t="shared" si="120"/>
        <v>0</v>
      </c>
      <c r="N408" s="43"/>
      <c r="O408" s="339"/>
      <c r="P408" s="340" t="str">
        <f>IFERROR(VLOOKUP(O408,NCM!$A$3:$D$99,COLUMN(head_porNCM_IPI)-COLUMN(head_porNCM_NCM)+1,FALSE),"")</f>
        <v/>
      </c>
      <c r="Q408" s="43"/>
      <c r="R408" s="78"/>
      <c r="S408" s="341"/>
      <c r="T408" s="28"/>
      <c r="U408" s="28"/>
      <c r="V408" s="28"/>
      <c r="W408" s="43"/>
      <c r="X408" s="342">
        <f t="shared" si="121"/>
        <v>0</v>
      </c>
      <c r="Y408" s="342">
        <f t="shared" si="122"/>
        <v>0</v>
      </c>
      <c r="Z408" s="46">
        <f t="shared" si="123"/>
        <v>0</v>
      </c>
      <c r="AA408" s="46">
        <f t="shared" si="124"/>
        <v>0</v>
      </c>
      <c r="AB408" s="43"/>
      <c r="AC408" s="44">
        <v>0</v>
      </c>
      <c r="AD408" s="31"/>
      <c r="AE408" s="31"/>
      <c r="AF408" s="31"/>
      <c r="AG408" s="28"/>
      <c r="AH408" s="46">
        <f t="shared" si="125"/>
        <v>0</v>
      </c>
      <c r="AI408" s="43"/>
      <c r="AJ408" s="28"/>
      <c r="AK408" s="337"/>
      <c r="AL408" s="43"/>
      <c r="AM408" s="44">
        <f t="shared" si="126"/>
        <v>0</v>
      </c>
      <c r="AN408" s="43"/>
      <c r="AO408" s="28">
        <f t="shared" si="127"/>
        <v>0</v>
      </c>
      <c r="AP408" s="43"/>
      <c r="AQ408" s="323">
        <f t="shared" si="128"/>
        <v>0</v>
      </c>
      <c r="AR408" s="43"/>
      <c r="AS408" s="44">
        <f t="shared" si="129"/>
        <v>0</v>
      </c>
    </row>
    <row r="409" spans="1:45" x14ac:dyDescent="0.25">
      <c r="A409" s="28"/>
      <c r="B409" s="43"/>
      <c r="C409" s="43"/>
      <c r="D409" s="43"/>
      <c r="E409" s="43" t="s">
        <v>1292</v>
      </c>
      <c r="F409" s="43" t="s">
        <v>2650</v>
      </c>
      <c r="G409" s="46">
        <f t="shared" si="116"/>
        <v>11107.777400000001</v>
      </c>
      <c r="H409" s="46">
        <f t="shared" si="117"/>
        <v>9854.7659250000015</v>
      </c>
      <c r="I409" s="28" t="s">
        <v>262</v>
      </c>
      <c r="J409" s="337">
        <v>1</v>
      </c>
      <c r="K409" s="46">
        <f t="shared" si="118"/>
        <v>11107.777400000001</v>
      </c>
      <c r="L409" s="46">
        <f t="shared" si="119"/>
        <v>9854.7659250000015</v>
      </c>
      <c r="M409" s="338">
        <f t="shared" si="120"/>
        <v>0</v>
      </c>
      <c r="N409" s="43" t="s">
        <v>33</v>
      </c>
      <c r="O409" s="339">
        <v>85365090</v>
      </c>
      <c r="P409" s="340">
        <f>IFERROR(VLOOKUP(O409,NCM!$A$3:$D$99,COLUMN(head_porNCM_IPI)-COLUMN(head_porNCM_NCM)+1,FALSE),"")</f>
        <v>0.15</v>
      </c>
      <c r="Q409" s="43" t="s">
        <v>1165</v>
      </c>
      <c r="R409" s="78" t="s">
        <v>210</v>
      </c>
      <c r="S409" s="341"/>
      <c r="T409" s="28" t="s">
        <v>52</v>
      </c>
      <c r="U409" s="28" t="s">
        <v>2761</v>
      </c>
      <c r="V409" s="548">
        <v>45218</v>
      </c>
      <c r="W409" s="43"/>
      <c r="X409" s="342">
        <f t="shared" si="121"/>
        <v>2221.6789066059227</v>
      </c>
      <c r="Y409" s="342">
        <f t="shared" si="122"/>
        <v>1203.4094077448735</v>
      </c>
      <c r="Z409" s="46">
        <f t="shared" si="123"/>
        <v>203.6538997722096</v>
      </c>
      <c r="AA409" s="46">
        <f t="shared" si="124"/>
        <v>938.04220501138957</v>
      </c>
      <c r="AB409" s="43"/>
      <c r="AC409" s="44">
        <v>13546.07</v>
      </c>
      <c r="AD409" s="31">
        <v>0.18</v>
      </c>
      <c r="AE409" s="31">
        <v>9.7500000000000003E-2</v>
      </c>
      <c r="AF409" s="31">
        <v>0</v>
      </c>
      <c r="AG409" s="28" t="s">
        <v>53</v>
      </c>
      <c r="AH409" s="46">
        <f t="shared" si="125"/>
        <v>14866.811824999999</v>
      </c>
      <c r="AI409" s="43"/>
      <c r="AJ409" s="28" t="s">
        <v>263</v>
      </c>
      <c r="AK409" s="337">
        <v>5.0599999999999996</v>
      </c>
      <c r="AL409" s="43"/>
      <c r="AM409" s="44">
        <f t="shared" si="126"/>
        <v>0</v>
      </c>
      <c r="AN409" s="43"/>
      <c r="AO409" s="28">
        <f t="shared" si="127"/>
        <v>0</v>
      </c>
      <c r="AP409" s="43"/>
      <c r="AQ409" s="323">
        <f t="shared" si="128"/>
        <v>0</v>
      </c>
      <c r="AR409" s="43"/>
      <c r="AS409" s="44">
        <f t="shared" si="129"/>
        <v>14866.811824999999</v>
      </c>
    </row>
    <row r="410" spans="1:45" x14ac:dyDescent="0.25">
      <c r="A410" s="28"/>
      <c r="B410" s="43"/>
      <c r="C410" s="43"/>
      <c r="D410" s="43"/>
      <c r="E410" s="43" t="s">
        <v>1293</v>
      </c>
      <c r="F410" s="43" t="s">
        <v>2651</v>
      </c>
      <c r="G410" s="46">
        <f t="shared" si="116"/>
        <v>14290.591</v>
      </c>
      <c r="H410" s="46">
        <f t="shared" si="117"/>
        <v>12678.542625000002</v>
      </c>
      <c r="I410" s="28" t="s">
        <v>262</v>
      </c>
      <c r="J410" s="337">
        <v>1</v>
      </c>
      <c r="K410" s="46">
        <f t="shared" si="118"/>
        <v>14290.591</v>
      </c>
      <c r="L410" s="46">
        <f t="shared" si="119"/>
        <v>12678.542625000002</v>
      </c>
      <c r="M410" s="338">
        <f t="shared" si="120"/>
        <v>0</v>
      </c>
      <c r="N410" s="43" t="s">
        <v>33</v>
      </c>
      <c r="O410" s="339">
        <v>85365090</v>
      </c>
      <c r="P410" s="340">
        <f>IFERROR(VLOOKUP(O410,NCM!$A$3:$D$99,COLUMN(head_porNCM_IPI)-COLUMN(head_porNCM_NCM)+1,FALSE),"")</f>
        <v>0.15</v>
      </c>
      <c r="Q410" s="43" t="s">
        <v>1165</v>
      </c>
      <c r="R410" s="78" t="s">
        <v>210</v>
      </c>
      <c r="S410" s="341"/>
      <c r="T410" s="28" t="s">
        <v>52</v>
      </c>
      <c r="U410" s="28" t="s">
        <v>2761</v>
      </c>
      <c r="V410" s="548">
        <v>45218</v>
      </c>
      <c r="W410" s="43"/>
      <c r="X410" s="342">
        <f t="shared" si="121"/>
        <v>2858.276993166287</v>
      </c>
      <c r="Y410" s="342">
        <f t="shared" si="122"/>
        <v>1548.2333712984037</v>
      </c>
      <c r="Z410" s="46">
        <f t="shared" si="123"/>
        <v>262.00872437357634</v>
      </c>
      <c r="AA410" s="46">
        <f t="shared" si="124"/>
        <v>1206.8280637813211</v>
      </c>
      <c r="AB410" s="43"/>
      <c r="AC410" s="44">
        <v>17427.55</v>
      </c>
      <c r="AD410" s="31">
        <v>0.18</v>
      </c>
      <c r="AE410" s="31">
        <v>9.7500000000000003E-2</v>
      </c>
      <c r="AF410" s="31">
        <v>0</v>
      </c>
      <c r="AG410" s="28" t="s">
        <v>53</v>
      </c>
      <c r="AH410" s="46">
        <f t="shared" si="125"/>
        <v>19126.736124999999</v>
      </c>
      <c r="AI410" s="43"/>
      <c r="AJ410" s="28" t="s">
        <v>263</v>
      </c>
      <c r="AK410" s="337">
        <v>5.0599999999999996</v>
      </c>
      <c r="AL410" s="43"/>
      <c r="AM410" s="44">
        <f t="shared" si="126"/>
        <v>0</v>
      </c>
      <c r="AN410" s="43"/>
      <c r="AO410" s="28">
        <f t="shared" si="127"/>
        <v>0</v>
      </c>
      <c r="AP410" s="43"/>
      <c r="AQ410" s="323">
        <f t="shared" si="128"/>
        <v>0</v>
      </c>
      <c r="AR410" s="43"/>
      <c r="AS410" s="44">
        <f t="shared" si="129"/>
        <v>19126.736124999999</v>
      </c>
    </row>
    <row r="411" spans="1:45" x14ac:dyDescent="0.25">
      <c r="A411" s="28"/>
      <c r="B411" s="43"/>
      <c r="C411" s="43"/>
      <c r="D411" s="43"/>
      <c r="E411" s="43" t="s">
        <v>1291</v>
      </c>
      <c r="F411" s="43" t="s">
        <v>2652</v>
      </c>
      <c r="G411" s="46">
        <f t="shared" si="116"/>
        <v>6173.3618000000006</v>
      </c>
      <c r="H411" s="46">
        <f t="shared" si="117"/>
        <v>5476.9764750000013</v>
      </c>
      <c r="I411" s="28" t="s">
        <v>262</v>
      </c>
      <c r="J411" s="337">
        <v>1</v>
      </c>
      <c r="K411" s="46">
        <f t="shared" si="118"/>
        <v>6173.3618000000006</v>
      </c>
      <c r="L411" s="46">
        <f t="shared" si="119"/>
        <v>5476.9764750000013</v>
      </c>
      <c r="M411" s="338">
        <f t="shared" si="120"/>
        <v>0</v>
      </c>
      <c r="N411" s="43" t="s">
        <v>33</v>
      </c>
      <c r="O411" s="339">
        <v>85365090</v>
      </c>
      <c r="P411" s="340">
        <f>IFERROR(VLOOKUP(O411,NCM!$A$3:$D$99,COLUMN(head_porNCM_IPI)-COLUMN(head_porNCM_NCM)+1,FALSE),"")</f>
        <v>0.15</v>
      </c>
      <c r="Q411" s="43" t="s">
        <v>1165</v>
      </c>
      <c r="R411" s="78" t="s">
        <v>210</v>
      </c>
      <c r="S411" s="341"/>
      <c r="T411" s="28" t="s">
        <v>52</v>
      </c>
      <c r="U411" s="28" t="s">
        <v>2761</v>
      </c>
      <c r="V411" s="548">
        <v>45218</v>
      </c>
      <c r="W411" s="43"/>
      <c r="X411" s="342">
        <f t="shared" si="121"/>
        <v>1234.7409567198176</v>
      </c>
      <c r="Y411" s="342">
        <f t="shared" si="122"/>
        <v>668.8180182232345</v>
      </c>
      <c r="Z411" s="46">
        <f t="shared" si="123"/>
        <v>113.18458769931664</v>
      </c>
      <c r="AA411" s="46">
        <f t="shared" si="124"/>
        <v>521.33507061503417</v>
      </c>
      <c r="AB411" s="43"/>
      <c r="AC411" s="44">
        <v>7528.49</v>
      </c>
      <c r="AD411" s="31">
        <v>0.18</v>
      </c>
      <c r="AE411" s="31">
        <v>9.7500000000000003E-2</v>
      </c>
      <c r="AF411" s="31">
        <v>0</v>
      </c>
      <c r="AG411" s="28" t="s">
        <v>53</v>
      </c>
      <c r="AH411" s="46">
        <f t="shared" si="125"/>
        <v>8262.5177749999984</v>
      </c>
      <c r="AI411" s="43"/>
      <c r="AJ411" s="28" t="s">
        <v>263</v>
      </c>
      <c r="AK411" s="337">
        <v>5.0599999999999996</v>
      </c>
      <c r="AL411" s="43"/>
      <c r="AM411" s="44">
        <f t="shared" si="126"/>
        <v>0</v>
      </c>
      <c r="AN411" s="43"/>
      <c r="AO411" s="28">
        <f t="shared" si="127"/>
        <v>0</v>
      </c>
      <c r="AP411" s="43"/>
      <c r="AQ411" s="323">
        <f t="shared" si="128"/>
        <v>0</v>
      </c>
      <c r="AR411" s="43"/>
      <c r="AS411" s="44">
        <f t="shared" si="129"/>
        <v>8262.5177749999984</v>
      </c>
    </row>
    <row r="412" spans="1:45" x14ac:dyDescent="0.25">
      <c r="A412" s="28"/>
      <c r="B412" s="43"/>
      <c r="C412" s="43"/>
      <c r="D412" s="43"/>
      <c r="E412" s="43" t="s">
        <v>1155</v>
      </c>
      <c r="F412" s="43" t="s">
        <v>2653</v>
      </c>
      <c r="G412" s="46">
        <f t="shared" si="116"/>
        <v>4835.8106000000007</v>
      </c>
      <c r="H412" s="46">
        <f t="shared" si="117"/>
        <v>4290.3075750000007</v>
      </c>
      <c r="I412" s="28" t="s">
        <v>262</v>
      </c>
      <c r="J412" s="337">
        <v>1</v>
      </c>
      <c r="K412" s="46">
        <f t="shared" si="118"/>
        <v>4835.8106000000007</v>
      </c>
      <c r="L412" s="46">
        <f t="shared" si="119"/>
        <v>4290.3075750000007</v>
      </c>
      <c r="M412" s="338">
        <f t="shared" si="120"/>
        <v>0</v>
      </c>
      <c r="N412" s="43" t="s">
        <v>33</v>
      </c>
      <c r="O412" s="339">
        <v>85365090</v>
      </c>
      <c r="P412" s="340">
        <f>IFERROR(VLOOKUP(O412,NCM!$A$3:$D$99,COLUMN(head_porNCM_IPI)-COLUMN(head_porNCM_NCM)+1,FALSE),"")</f>
        <v>0.15</v>
      </c>
      <c r="Q412" s="43" t="s">
        <v>1165</v>
      </c>
      <c r="R412" s="78" t="s">
        <v>210</v>
      </c>
      <c r="S412" s="341"/>
      <c r="T412" s="28" t="s">
        <v>52</v>
      </c>
      <c r="U412" s="28" t="s">
        <v>2761</v>
      </c>
      <c r="V412" s="548">
        <v>45218</v>
      </c>
      <c r="W412" s="43"/>
      <c r="X412" s="342">
        <f t="shared" si="121"/>
        <v>967.21585421412306</v>
      </c>
      <c r="Y412" s="342">
        <f t="shared" si="122"/>
        <v>523.90858769931583</v>
      </c>
      <c r="Z412" s="46">
        <f t="shared" si="123"/>
        <v>88.661453302961291</v>
      </c>
      <c r="AA412" s="46">
        <f t="shared" si="124"/>
        <v>408.380027334852</v>
      </c>
      <c r="AB412" s="43"/>
      <c r="AC412" s="44">
        <v>5897.33</v>
      </c>
      <c r="AD412" s="31">
        <v>0.18</v>
      </c>
      <c r="AE412" s="31">
        <v>9.7500000000000003E-2</v>
      </c>
      <c r="AF412" s="31">
        <v>0</v>
      </c>
      <c r="AG412" s="28" t="s">
        <v>53</v>
      </c>
      <c r="AH412" s="46">
        <f t="shared" si="125"/>
        <v>6472.3196749999997</v>
      </c>
      <c r="AI412" s="43"/>
      <c r="AJ412" s="28" t="s">
        <v>263</v>
      </c>
      <c r="AK412" s="337">
        <v>5.0599999999999996</v>
      </c>
      <c r="AL412" s="43"/>
      <c r="AM412" s="44">
        <f t="shared" si="126"/>
        <v>0</v>
      </c>
      <c r="AN412" s="43"/>
      <c r="AO412" s="28">
        <f t="shared" si="127"/>
        <v>0</v>
      </c>
      <c r="AP412" s="43"/>
      <c r="AQ412" s="323">
        <f t="shared" si="128"/>
        <v>0</v>
      </c>
      <c r="AR412" s="43"/>
      <c r="AS412" s="44">
        <f t="shared" si="129"/>
        <v>6472.3196749999997</v>
      </c>
    </row>
    <row r="413" spans="1:45" x14ac:dyDescent="0.25">
      <c r="A413" s="28"/>
      <c r="B413" s="43"/>
      <c r="C413" s="43"/>
      <c r="D413" s="43"/>
      <c r="E413" s="43" t="s">
        <v>807</v>
      </c>
      <c r="F413" s="43" t="s">
        <v>2654</v>
      </c>
      <c r="G413" s="46">
        <f t="shared" si="116"/>
        <v>7027.81</v>
      </c>
      <c r="H413" s="46">
        <f t="shared" si="117"/>
        <v>6235.0387500000015</v>
      </c>
      <c r="I413" s="28" t="s">
        <v>262</v>
      </c>
      <c r="J413" s="337">
        <v>1</v>
      </c>
      <c r="K413" s="46">
        <f t="shared" si="118"/>
        <v>7027.81</v>
      </c>
      <c r="L413" s="46">
        <f t="shared" si="119"/>
        <v>6235.0387500000015</v>
      </c>
      <c r="M413" s="338">
        <f t="shared" si="120"/>
        <v>0</v>
      </c>
      <c r="N413" s="43" t="s">
        <v>33</v>
      </c>
      <c r="O413" s="339">
        <v>85365090</v>
      </c>
      <c r="P413" s="340">
        <f>IFERROR(VLOOKUP(O413,NCM!$A$3:$D$99,COLUMN(head_porNCM_IPI)-COLUMN(head_porNCM_NCM)+1,FALSE),"")</f>
        <v>0.15</v>
      </c>
      <c r="Q413" s="43" t="s">
        <v>1165</v>
      </c>
      <c r="R413" s="78" t="s">
        <v>210</v>
      </c>
      <c r="S413" s="341"/>
      <c r="T413" s="28" t="s">
        <v>52</v>
      </c>
      <c r="U413" s="28" t="s">
        <v>2761</v>
      </c>
      <c r="V413" s="548">
        <v>45218</v>
      </c>
      <c r="W413" s="43"/>
      <c r="X413" s="342">
        <f t="shared" si="121"/>
        <v>1405.6400911161732</v>
      </c>
      <c r="Y413" s="342">
        <f t="shared" si="122"/>
        <v>761.38838268792642</v>
      </c>
      <c r="Z413" s="46">
        <f t="shared" si="123"/>
        <v>128.85034168564923</v>
      </c>
      <c r="AA413" s="46">
        <f t="shared" si="124"/>
        <v>593.49248291571757</v>
      </c>
      <c r="AB413" s="43"/>
      <c r="AC413" s="44">
        <v>8570.5</v>
      </c>
      <c r="AD413" s="31">
        <v>0.18</v>
      </c>
      <c r="AE413" s="31">
        <v>9.7500000000000003E-2</v>
      </c>
      <c r="AF413" s="31">
        <v>0</v>
      </c>
      <c r="AG413" s="28" t="s">
        <v>53</v>
      </c>
      <c r="AH413" s="46">
        <f t="shared" si="125"/>
        <v>9406.1237499999988</v>
      </c>
      <c r="AI413" s="43"/>
      <c r="AJ413" s="28" t="s">
        <v>263</v>
      </c>
      <c r="AK413" s="337">
        <v>5.0599999999999996</v>
      </c>
      <c r="AL413" s="43"/>
      <c r="AM413" s="44">
        <f t="shared" si="126"/>
        <v>0</v>
      </c>
      <c r="AN413" s="43"/>
      <c r="AO413" s="28">
        <f t="shared" si="127"/>
        <v>0</v>
      </c>
      <c r="AP413" s="43"/>
      <c r="AQ413" s="323">
        <f t="shared" si="128"/>
        <v>0</v>
      </c>
      <c r="AR413" s="43"/>
      <c r="AS413" s="44">
        <f t="shared" si="129"/>
        <v>9406.1237499999988</v>
      </c>
    </row>
    <row r="414" spans="1:45" x14ac:dyDescent="0.25">
      <c r="A414" s="28"/>
      <c r="B414" s="43"/>
      <c r="C414" s="43"/>
      <c r="D414" s="43"/>
      <c r="E414" s="43" t="s">
        <v>1151</v>
      </c>
      <c r="F414" s="43" t="s">
        <v>2655</v>
      </c>
      <c r="G414" s="46">
        <f t="shared" si="116"/>
        <v>2906.8180000000002</v>
      </c>
      <c r="H414" s="46">
        <f t="shared" si="117"/>
        <v>2578.9147500000004</v>
      </c>
      <c r="I414" s="28" t="s">
        <v>262</v>
      </c>
      <c r="J414" s="337">
        <v>1</v>
      </c>
      <c r="K414" s="46">
        <f t="shared" si="118"/>
        <v>2906.8180000000002</v>
      </c>
      <c r="L414" s="46">
        <f t="shared" si="119"/>
        <v>2578.9147500000004</v>
      </c>
      <c r="M414" s="338">
        <f t="shared" si="120"/>
        <v>0</v>
      </c>
      <c r="N414" s="43" t="s">
        <v>33</v>
      </c>
      <c r="O414" s="339">
        <v>85365090</v>
      </c>
      <c r="P414" s="340">
        <f>IFERROR(VLOOKUP(O414,NCM!$A$3:$D$99,COLUMN(head_porNCM_IPI)-COLUMN(head_porNCM_NCM)+1,FALSE),"")</f>
        <v>0.15</v>
      </c>
      <c r="Q414" s="43" t="s">
        <v>1165</v>
      </c>
      <c r="R414" s="78" t="s">
        <v>210</v>
      </c>
      <c r="S414" s="341"/>
      <c r="T414" s="28" t="s">
        <v>52</v>
      </c>
      <c r="U414" s="28" t="s">
        <v>2761</v>
      </c>
      <c r="V414" s="548">
        <v>45218</v>
      </c>
      <c r="W414" s="43"/>
      <c r="X414" s="342">
        <f t="shared" si="121"/>
        <v>581.39589977220953</v>
      </c>
      <c r="Y414" s="342">
        <f t="shared" si="122"/>
        <v>314.92277904328012</v>
      </c>
      <c r="Z414" s="46">
        <f t="shared" si="123"/>
        <v>53.294624145785882</v>
      </c>
      <c r="AA414" s="46">
        <f t="shared" si="124"/>
        <v>245.47826879271071</v>
      </c>
      <c r="AB414" s="43"/>
      <c r="AC414" s="44">
        <v>3544.9</v>
      </c>
      <c r="AD414" s="31">
        <v>0.18</v>
      </c>
      <c r="AE414" s="31">
        <v>9.7500000000000003E-2</v>
      </c>
      <c r="AF414" s="31">
        <v>0</v>
      </c>
      <c r="AG414" s="28" t="s">
        <v>53</v>
      </c>
      <c r="AH414" s="46">
        <f t="shared" si="125"/>
        <v>3890.5277499999997</v>
      </c>
      <c r="AI414" s="43"/>
      <c r="AJ414" s="28" t="s">
        <v>263</v>
      </c>
      <c r="AK414" s="337">
        <v>5.0599999999999996</v>
      </c>
      <c r="AL414" s="43"/>
      <c r="AM414" s="44">
        <f t="shared" si="126"/>
        <v>0</v>
      </c>
      <c r="AN414" s="43"/>
      <c r="AO414" s="28">
        <f t="shared" si="127"/>
        <v>0</v>
      </c>
      <c r="AP414" s="43"/>
      <c r="AQ414" s="323">
        <f t="shared" si="128"/>
        <v>0</v>
      </c>
      <c r="AR414" s="43"/>
      <c r="AS414" s="44">
        <f t="shared" si="129"/>
        <v>3890.5277499999997</v>
      </c>
    </row>
    <row r="415" spans="1:45" x14ac:dyDescent="0.25">
      <c r="A415" s="28"/>
      <c r="B415" s="43"/>
      <c r="C415" s="43"/>
      <c r="D415" s="43" t="s">
        <v>619</v>
      </c>
      <c r="E415" s="43"/>
      <c r="F415" s="43"/>
      <c r="G415" s="46">
        <f t="shared" si="116"/>
        <v>0</v>
      </c>
      <c r="H415" s="46">
        <f t="shared" si="117"/>
        <v>0</v>
      </c>
      <c r="I415" s="28"/>
      <c r="J415" s="337"/>
      <c r="K415" s="46" t="str">
        <f t="shared" si="118"/>
        <v/>
      </c>
      <c r="L415" s="46" t="str">
        <f t="shared" si="119"/>
        <v/>
      </c>
      <c r="M415" s="338">
        <f t="shared" si="120"/>
        <v>0</v>
      </c>
      <c r="N415" s="43"/>
      <c r="O415" s="339"/>
      <c r="P415" s="340" t="str">
        <f>IFERROR(VLOOKUP(O415,NCM!$A$3:$D$99,COLUMN(head_porNCM_IPI)-COLUMN(head_porNCM_NCM)+1,FALSE),"")</f>
        <v/>
      </c>
      <c r="Q415" s="43"/>
      <c r="R415" s="78"/>
      <c r="S415" s="341"/>
      <c r="T415" s="28"/>
      <c r="U415" s="28"/>
      <c r="V415" s="28"/>
      <c r="W415" s="43"/>
      <c r="X415" s="342">
        <f t="shared" si="121"/>
        <v>0</v>
      </c>
      <c r="Y415" s="342">
        <f t="shared" si="122"/>
        <v>0</v>
      </c>
      <c r="Z415" s="46">
        <f t="shared" si="123"/>
        <v>0</v>
      </c>
      <c r="AA415" s="46">
        <f t="shared" si="124"/>
        <v>0</v>
      </c>
      <c r="AB415" s="43"/>
      <c r="AC415" s="44">
        <v>0</v>
      </c>
      <c r="AD415" s="31"/>
      <c r="AE415" s="31"/>
      <c r="AF415" s="31"/>
      <c r="AG415" s="28"/>
      <c r="AH415" s="46">
        <f t="shared" si="125"/>
        <v>0</v>
      </c>
      <c r="AI415" s="43"/>
      <c r="AJ415" s="28"/>
      <c r="AK415" s="337"/>
      <c r="AL415" s="43"/>
      <c r="AM415" s="44">
        <f t="shared" si="126"/>
        <v>0</v>
      </c>
      <c r="AN415" s="43"/>
      <c r="AO415" s="28">
        <f t="shared" si="127"/>
        <v>0</v>
      </c>
      <c r="AP415" s="43"/>
      <c r="AQ415" s="323">
        <f t="shared" si="128"/>
        <v>0</v>
      </c>
      <c r="AR415" s="43"/>
      <c r="AS415" s="44">
        <f t="shared" si="129"/>
        <v>0</v>
      </c>
    </row>
    <row r="416" spans="1:45" x14ac:dyDescent="0.25">
      <c r="A416" s="28"/>
      <c r="B416" s="43"/>
      <c r="C416" s="43"/>
      <c r="D416" s="43"/>
      <c r="E416" s="43" t="s">
        <v>978</v>
      </c>
      <c r="F416" s="43" t="s">
        <v>979</v>
      </c>
      <c r="G416" s="46">
        <f t="shared" si="116"/>
        <v>327.18755326016782</v>
      </c>
      <c r="H416" s="46">
        <f t="shared" si="117"/>
        <v>292.28000000000003</v>
      </c>
      <c r="I416" s="28" t="s">
        <v>263</v>
      </c>
      <c r="J416" s="337">
        <v>1</v>
      </c>
      <c r="K416" s="46">
        <f t="shared" si="118"/>
        <v>1776.6284142027112</v>
      </c>
      <c r="L416" s="46">
        <f t="shared" si="119"/>
        <v>1587.0804000000001</v>
      </c>
      <c r="M416" s="338">
        <f t="shared" si="120"/>
        <v>0</v>
      </c>
      <c r="N416" s="43" t="s">
        <v>33</v>
      </c>
      <c r="O416" s="339">
        <v>85365090</v>
      </c>
      <c r="P416" s="340">
        <f>IFERROR(VLOOKUP(O416,NCM!$A$3:$D$99,COLUMN(head_porNCM_IPI)-COLUMN(head_porNCM_NCM)+1,FALSE),"")</f>
        <v>0.15</v>
      </c>
      <c r="Q416" s="43" t="s">
        <v>1109</v>
      </c>
      <c r="R416" s="78" t="s">
        <v>211</v>
      </c>
      <c r="S416" s="341"/>
      <c r="T416" s="28" t="s">
        <v>52</v>
      </c>
      <c r="U416" s="28" t="s">
        <v>2762</v>
      </c>
      <c r="V416" s="548">
        <v>45135</v>
      </c>
      <c r="W416" s="43"/>
      <c r="X416" s="342">
        <f t="shared" si="121"/>
        <v>45.732483739233629</v>
      </c>
      <c r="Y416" s="342">
        <f t="shared" si="122"/>
        <v>33.525692966731413</v>
      </c>
      <c r="Z416" s="46">
        <f t="shared" si="123"/>
        <v>5.6735788097545479</v>
      </c>
      <c r="AA416" s="46">
        <f t="shared" si="124"/>
        <v>26.132847850990643</v>
      </c>
      <c r="AB416" s="43"/>
      <c r="AC416" s="44">
        <v>377.37895416397674</v>
      </c>
      <c r="AD416" s="31">
        <v>0.13300000000000001</v>
      </c>
      <c r="AE416" s="31">
        <v>9.7500000000000003E-2</v>
      </c>
      <c r="AF416" s="31">
        <v>0</v>
      </c>
      <c r="AG416" s="28" t="s">
        <v>53</v>
      </c>
      <c r="AH416" s="46">
        <f t="shared" si="125"/>
        <v>414.17340219496447</v>
      </c>
      <c r="AI416" s="43"/>
      <c r="AJ416" s="28" t="s">
        <v>263</v>
      </c>
      <c r="AK416" s="337">
        <v>4.7300000000000004</v>
      </c>
      <c r="AL416" s="43"/>
      <c r="AM416" s="44">
        <f t="shared" si="126"/>
        <v>0</v>
      </c>
      <c r="AN416" s="43"/>
      <c r="AO416" s="28">
        <f t="shared" si="127"/>
        <v>0</v>
      </c>
      <c r="AP416" s="43"/>
      <c r="AQ416" s="323">
        <f t="shared" si="128"/>
        <v>0</v>
      </c>
      <c r="AR416" s="43"/>
      <c r="AS416" s="44">
        <f t="shared" si="129"/>
        <v>2248.961573918657</v>
      </c>
    </row>
    <row r="417" spans="1:45" x14ac:dyDescent="0.25">
      <c r="A417" s="28"/>
      <c r="B417" s="43"/>
      <c r="C417" s="43"/>
      <c r="D417" s="43"/>
      <c r="E417" s="43" t="s">
        <v>980</v>
      </c>
      <c r="F417" s="43" t="s">
        <v>981</v>
      </c>
      <c r="G417" s="46">
        <f t="shared" si="116"/>
        <v>431.19397030342157</v>
      </c>
      <c r="H417" s="46">
        <f t="shared" si="117"/>
        <v>385.19000000000005</v>
      </c>
      <c r="I417" s="28" t="s">
        <v>263</v>
      </c>
      <c r="J417" s="337">
        <v>1</v>
      </c>
      <c r="K417" s="46">
        <f t="shared" si="118"/>
        <v>2341.383258747579</v>
      </c>
      <c r="L417" s="46">
        <f t="shared" si="119"/>
        <v>2091.5817000000002</v>
      </c>
      <c r="M417" s="338">
        <f t="shared" si="120"/>
        <v>0</v>
      </c>
      <c r="N417" s="43" t="s">
        <v>33</v>
      </c>
      <c r="O417" s="339">
        <v>85365090</v>
      </c>
      <c r="P417" s="340">
        <f>IFERROR(VLOOKUP(O417,NCM!$A$3:$D$99,COLUMN(head_porNCM_IPI)-COLUMN(head_porNCM_NCM)+1,FALSE),"")</f>
        <v>0.15</v>
      </c>
      <c r="Q417" s="43" t="s">
        <v>1109</v>
      </c>
      <c r="R417" s="78" t="s">
        <v>211</v>
      </c>
      <c r="S417" s="341"/>
      <c r="T417" s="28" t="s">
        <v>52</v>
      </c>
      <c r="U417" s="28" t="s">
        <v>2762</v>
      </c>
      <c r="V417" s="548">
        <v>45135</v>
      </c>
      <c r="W417" s="43"/>
      <c r="X417" s="342">
        <f t="shared" si="121"/>
        <v>60.269930927587943</v>
      </c>
      <c r="Y417" s="342">
        <f t="shared" si="122"/>
        <v>44.182844101051273</v>
      </c>
      <c r="Z417" s="46">
        <f t="shared" si="123"/>
        <v>7.477096694024068</v>
      </c>
      <c r="AA417" s="46">
        <f t="shared" si="124"/>
        <v>34.43996053005025</v>
      </c>
      <c r="AB417" s="43"/>
      <c r="AC417" s="44">
        <v>497.34021949644932</v>
      </c>
      <c r="AD417" s="31">
        <v>0.13300000000000001</v>
      </c>
      <c r="AE417" s="31">
        <v>9.7500000000000003E-2</v>
      </c>
      <c r="AF417" s="31">
        <v>0</v>
      </c>
      <c r="AG417" s="28" t="s">
        <v>53</v>
      </c>
      <c r="AH417" s="46">
        <f t="shared" si="125"/>
        <v>545.83089089735313</v>
      </c>
      <c r="AI417" s="43"/>
      <c r="AJ417" s="28" t="s">
        <v>263</v>
      </c>
      <c r="AK417" s="337">
        <v>4.7300000000000004</v>
      </c>
      <c r="AL417" s="43"/>
      <c r="AM417" s="44">
        <f t="shared" si="126"/>
        <v>0</v>
      </c>
      <c r="AN417" s="43"/>
      <c r="AO417" s="28">
        <f t="shared" si="127"/>
        <v>0</v>
      </c>
      <c r="AP417" s="43"/>
      <c r="AQ417" s="323">
        <f t="shared" si="128"/>
        <v>0</v>
      </c>
      <c r="AR417" s="43"/>
      <c r="AS417" s="44">
        <f t="shared" si="129"/>
        <v>2963.8617375726271</v>
      </c>
    </row>
    <row r="418" spans="1:45" x14ac:dyDescent="0.25">
      <c r="A418" s="28"/>
      <c r="B418" s="43"/>
      <c r="C418" s="43"/>
      <c r="D418" s="43"/>
      <c r="E418" s="43" t="s">
        <v>982</v>
      </c>
      <c r="F418" s="43" t="s">
        <v>983</v>
      </c>
      <c r="G418" s="46">
        <f t="shared" si="116"/>
        <v>354.88229825693998</v>
      </c>
      <c r="H418" s="46">
        <f t="shared" si="117"/>
        <v>317.02000000000004</v>
      </c>
      <c r="I418" s="28" t="s">
        <v>263</v>
      </c>
      <c r="J418" s="337">
        <v>1</v>
      </c>
      <c r="K418" s="46">
        <f t="shared" si="118"/>
        <v>1927.0108795351839</v>
      </c>
      <c r="L418" s="46">
        <f t="shared" si="119"/>
        <v>1721.4186000000002</v>
      </c>
      <c r="M418" s="338">
        <f t="shared" si="120"/>
        <v>0</v>
      </c>
      <c r="N418" s="43" t="s">
        <v>33</v>
      </c>
      <c r="O418" s="339">
        <v>85365090</v>
      </c>
      <c r="P418" s="340">
        <f>IFERROR(VLOOKUP(O418,NCM!$A$3:$D$99,COLUMN(head_porNCM_IPI)-COLUMN(head_porNCM_NCM)+1,FALSE),"")</f>
        <v>0.15</v>
      </c>
      <c r="Q418" s="43" t="s">
        <v>1109</v>
      </c>
      <c r="R418" s="78" t="s">
        <v>211</v>
      </c>
      <c r="S418" s="341"/>
      <c r="T418" s="28" t="s">
        <v>52</v>
      </c>
      <c r="U418" s="28" t="s">
        <v>2762</v>
      </c>
      <c r="V418" s="548">
        <v>45135</v>
      </c>
      <c r="W418" s="43"/>
      <c r="X418" s="342">
        <f t="shared" si="121"/>
        <v>49.603503472737948</v>
      </c>
      <c r="Y418" s="342">
        <f t="shared" si="122"/>
        <v>36.363470590916904</v>
      </c>
      <c r="Z418" s="46">
        <f t="shared" si="123"/>
        <v>6.1538181000013239</v>
      </c>
      <c r="AA418" s="46">
        <f t="shared" si="124"/>
        <v>28.344859127278824</v>
      </c>
      <c r="AB418" s="43"/>
      <c r="AC418" s="44">
        <v>409.32214331826987</v>
      </c>
      <c r="AD418" s="31">
        <v>0.13300000000000001</v>
      </c>
      <c r="AE418" s="31">
        <v>9.7500000000000003E-2</v>
      </c>
      <c r="AF418" s="31">
        <v>0</v>
      </c>
      <c r="AG418" s="28" t="s">
        <v>53</v>
      </c>
      <c r="AH418" s="46">
        <f t="shared" si="125"/>
        <v>449.23105229180112</v>
      </c>
      <c r="AI418" s="43"/>
      <c r="AJ418" s="28" t="s">
        <v>263</v>
      </c>
      <c r="AK418" s="337">
        <v>4.7300000000000004</v>
      </c>
      <c r="AL418" s="43"/>
      <c r="AM418" s="44">
        <f t="shared" si="126"/>
        <v>0</v>
      </c>
      <c r="AN418" s="43"/>
      <c r="AO418" s="28">
        <f t="shared" si="127"/>
        <v>0</v>
      </c>
      <c r="AP418" s="43"/>
      <c r="AQ418" s="323">
        <f t="shared" si="128"/>
        <v>0</v>
      </c>
      <c r="AR418" s="43"/>
      <c r="AS418" s="44">
        <f t="shared" si="129"/>
        <v>2439.32461394448</v>
      </c>
    </row>
    <row r="419" spans="1:45" x14ac:dyDescent="0.25">
      <c r="A419" s="28"/>
      <c r="B419" s="43"/>
      <c r="C419" s="43"/>
      <c r="D419" s="43"/>
      <c r="E419" s="43" t="s">
        <v>984</v>
      </c>
      <c r="F419" s="43" t="s">
        <v>1063</v>
      </c>
      <c r="G419" s="46">
        <f t="shared" si="116"/>
        <v>428.4065848934797</v>
      </c>
      <c r="H419" s="46">
        <f t="shared" si="117"/>
        <v>382.70000000000005</v>
      </c>
      <c r="I419" s="28" t="s">
        <v>263</v>
      </c>
      <c r="J419" s="337">
        <v>1</v>
      </c>
      <c r="K419" s="46">
        <f t="shared" si="118"/>
        <v>2326.2477559715949</v>
      </c>
      <c r="L419" s="46">
        <f t="shared" si="119"/>
        <v>2078.0610000000001</v>
      </c>
      <c r="M419" s="338">
        <f t="shared" si="120"/>
        <v>0</v>
      </c>
      <c r="N419" s="43" t="s">
        <v>33</v>
      </c>
      <c r="O419" s="339">
        <v>85365090</v>
      </c>
      <c r="P419" s="340">
        <f>IFERROR(VLOOKUP(O419,NCM!$A$3:$D$99,COLUMN(head_porNCM_IPI)-COLUMN(head_porNCM_NCM)+1,FALSE),"")</f>
        <v>0.15</v>
      </c>
      <c r="Q419" s="43" t="s">
        <v>1109</v>
      </c>
      <c r="R419" s="78" t="s">
        <v>211</v>
      </c>
      <c r="S419" s="341"/>
      <c r="T419" s="28" t="s">
        <v>52</v>
      </c>
      <c r="U419" s="28" t="s">
        <v>2762</v>
      </c>
      <c r="V419" s="548">
        <v>45135</v>
      </c>
      <c r="W419" s="43"/>
      <c r="X419" s="342">
        <f t="shared" si="121"/>
        <v>59.880325465323367</v>
      </c>
      <c r="Y419" s="342">
        <f t="shared" si="122"/>
        <v>43.897231074203205</v>
      </c>
      <c r="Z419" s="46">
        <f t="shared" si="123"/>
        <v>7.4287621817882368</v>
      </c>
      <c r="AA419" s="46">
        <f t="shared" si="124"/>
        <v>34.217328837327635</v>
      </c>
      <c r="AB419" s="43"/>
      <c r="AC419" s="44">
        <v>494.12524209167208</v>
      </c>
      <c r="AD419" s="31">
        <v>0.13300000000000001</v>
      </c>
      <c r="AE419" s="31">
        <v>9.7500000000000003E-2</v>
      </c>
      <c r="AF419" s="31">
        <v>0</v>
      </c>
      <c r="AG419" s="28" t="s">
        <v>53</v>
      </c>
      <c r="AH419" s="46">
        <f t="shared" si="125"/>
        <v>542.30245319561004</v>
      </c>
      <c r="AI419" s="43"/>
      <c r="AJ419" s="28" t="s">
        <v>263</v>
      </c>
      <c r="AK419" s="337">
        <v>4.7300000000000004</v>
      </c>
      <c r="AL419" s="43"/>
      <c r="AM419" s="44">
        <f t="shared" si="126"/>
        <v>0</v>
      </c>
      <c r="AN419" s="43"/>
      <c r="AO419" s="28">
        <f t="shared" si="127"/>
        <v>0</v>
      </c>
      <c r="AP419" s="43"/>
      <c r="AQ419" s="323">
        <f t="shared" si="128"/>
        <v>0</v>
      </c>
      <c r="AR419" s="43"/>
      <c r="AS419" s="44">
        <f t="shared" si="129"/>
        <v>2944.7023208521623</v>
      </c>
    </row>
    <row r="420" spans="1:45" x14ac:dyDescent="0.25">
      <c r="A420" s="28"/>
      <c r="B420" s="43"/>
      <c r="C420" s="43"/>
      <c r="D420" s="43" t="s">
        <v>620</v>
      </c>
      <c r="E420" s="43"/>
      <c r="F420" s="43"/>
      <c r="G420" s="46">
        <f t="shared" si="116"/>
        <v>0</v>
      </c>
      <c r="H420" s="46">
        <f t="shared" si="117"/>
        <v>0</v>
      </c>
      <c r="I420" s="28"/>
      <c r="J420" s="337"/>
      <c r="K420" s="46" t="str">
        <f t="shared" si="118"/>
        <v/>
      </c>
      <c r="L420" s="46" t="str">
        <f t="shared" si="119"/>
        <v/>
      </c>
      <c r="M420" s="338">
        <f t="shared" si="120"/>
        <v>0</v>
      </c>
      <c r="N420" s="43"/>
      <c r="O420" s="339"/>
      <c r="P420" s="340" t="str">
        <f>IFERROR(VLOOKUP(O420,NCM!$A$3:$D$99,COLUMN(head_porNCM_IPI)-COLUMN(head_porNCM_NCM)+1,FALSE),"")</f>
        <v/>
      </c>
      <c r="Q420" s="43"/>
      <c r="R420" s="78"/>
      <c r="S420" s="341"/>
      <c r="T420" s="28"/>
      <c r="U420" s="28"/>
      <c r="V420" s="28"/>
      <c r="W420" s="43"/>
      <c r="X420" s="342">
        <f t="shared" si="121"/>
        <v>0</v>
      </c>
      <c r="Y420" s="342">
        <f t="shared" si="122"/>
        <v>0</v>
      </c>
      <c r="Z420" s="46">
        <f t="shared" si="123"/>
        <v>0</v>
      </c>
      <c r="AA420" s="46">
        <f t="shared" si="124"/>
        <v>0</v>
      </c>
      <c r="AB420" s="43"/>
      <c r="AC420" s="44">
        <v>0</v>
      </c>
      <c r="AD420" s="31"/>
      <c r="AE420" s="31"/>
      <c r="AF420" s="31"/>
      <c r="AG420" s="28"/>
      <c r="AH420" s="46">
        <f t="shared" si="125"/>
        <v>0</v>
      </c>
      <c r="AI420" s="43"/>
      <c r="AJ420" s="28"/>
      <c r="AK420" s="337"/>
      <c r="AL420" s="43"/>
      <c r="AM420" s="44">
        <f t="shared" si="126"/>
        <v>0</v>
      </c>
      <c r="AN420" s="43"/>
      <c r="AO420" s="28">
        <f t="shared" si="127"/>
        <v>0</v>
      </c>
      <c r="AP420" s="43"/>
      <c r="AQ420" s="323">
        <f t="shared" si="128"/>
        <v>0</v>
      </c>
      <c r="AR420" s="43"/>
      <c r="AS420" s="44">
        <f t="shared" si="129"/>
        <v>0</v>
      </c>
    </row>
    <row r="421" spans="1:45" x14ac:dyDescent="0.25">
      <c r="A421" s="28"/>
      <c r="B421" s="43"/>
      <c r="C421" s="43"/>
      <c r="D421" s="43"/>
      <c r="E421" s="43" t="s">
        <v>2656</v>
      </c>
      <c r="F421" s="43" t="s">
        <v>2657</v>
      </c>
      <c r="G421" s="46">
        <f t="shared" si="116"/>
        <v>1822.8600000000001</v>
      </c>
      <c r="H421" s="46">
        <f t="shared" si="117"/>
        <v>1617.2325000000003</v>
      </c>
      <c r="I421" s="28" t="s">
        <v>262</v>
      </c>
      <c r="J421" s="337">
        <v>1</v>
      </c>
      <c r="K421" s="46">
        <f t="shared" si="118"/>
        <v>1822.8600000000001</v>
      </c>
      <c r="L421" s="46">
        <f t="shared" si="119"/>
        <v>1617.2325000000003</v>
      </c>
      <c r="M421" s="338">
        <f t="shared" si="120"/>
        <v>0</v>
      </c>
      <c r="N421" s="43" t="s">
        <v>33</v>
      </c>
      <c r="O421" s="339">
        <v>85365090</v>
      </c>
      <c r="P421" s="340">
        <f>IFERROR(VLOOKUP(O421,NCM!$A$3:$D$99,COLUMN(head_porNCM_IPI)-COLUMN(head_porNCM_NCM)+1,FALSE),"")</f>
        <v>0.15</v>
      </c>
      <c r="Q421" s="43" t="s">
        <v>620</v>
      </c>
      <c r="R421" s="78" t="s">
        <v>210</v>
      </c>
      <c r="S421" s="341"/>
      <c r="T421" s="28" t="s">
        <v>52</v>
      </c>
      <c r="U421" s="28" t="s">
        <v>2763</v>
      </c>
      <c r="V421" s="548">
        <v>45152</v>
      </c>
      <c r="W421" s="43"/>
      <c r="X421" s="342">
        <f t="shared" si="121"/>
        <v>364.59225512528474</v>
      </c>
      <c r="Y421" s="342">
        <f t="shared" si="122"/>
        <v>197.4874715261958</v>
      </c>
      <c r="Z421" s="46">
        <f t="shared" si="123"/>
        <v>33.420956719817774</v>
      </c>
      <c r="AA421" s="46">
        <f t="shared" si="124"/>
        <v>153.93895216400912</v>
      </c>
      <c r="AB421" s="43"/>
      <c r="AC421" s="44">
        <v>2223</v>
      </c>
      <c r="AD421" s="31">
        <v>0.18</v>
      </c>
      <c r="AE421" s="31">
        <v>9.7500000000000003E-2</v>
      </c>
      <c r="AF421" s="31">
        <v>0</v>
      </c>
      <c r="AG421" s="28" t="s">
        <v>53</v>
      </c>
      <c r="AH421" s="46">
        <f t="shared" si="125"/>
        <v>2439.7424999999998</v>
      </c>
      <c r="AI421" s="43"/>
      <c r="AJ421" s="28" t="s">
        <v>263</v>
      </c>
      <c r="AK421" s="337">
        <v>4.96</v>
      </c>
      <c r="AL421" s="43"/>
      <c r="AM421" s="44">
        <f t="shared" si="126"/>
        <v>0</v>
      </c>
      <c r="AN421" s="43"/>
      <c r="AO421" s="28">
        <f t="shared" si="127"/>
        <v>0</v>
      </c>
      <c r="AP421" s="43"/>
      <c r="AQ421" s="323">
        <f t="shared" si="128"/>
        <v>0</v>
      </c>
      <c r="AR421" s="43"/>
      <c r="AS421" s="44">
        <f t="shared" si="129"/>
        <v>2439.7424999999998</v>
      </c>
    </row>
    <row r="422" spans="1:45" x14ac:dyDescent="0.25">
      <c r="A422" s="28"/>
      <c r="B422" s="43"/>
      <c r="C422" s="43"/>
      <c r="D422" s="43"/>
      <c r="E422" s="43" t="s">
        <v>1064</v>
      </c>
      <c r="F422" s="43" t="s">
        <v>1065</v>
      </c>
      <c r="G422" s="46">
        <f t="shared" si="116"/>
        <v>2114.3372000000004</v>
      </c>
      <c r="H422" s="46">
        <f t="shared" si="117"/>
        <v>1875.8296500000004</v>
      </c>
      <c r="I422" s="28" t="s">
        <v>262</v>
      </c>
      <c r="J422" s="337">
        <v>1</v>
      </c>
      <c r="K422" s="46">
        <f t="shared" si="118"/>
        <v>2114.3372000000004</v>
      </c>
      <c r="L422" s="46">
        <f t="shared" si="119"/>
        <v>1875.8296500000004</v>
      </c>
      <c r="M422" s="338">
        <f t="shared" si="120"/>
        <v>0</v>
      </c>
      <c r="N422" s="43" t="s">
        <v>33</v>
      </c>
      <c r="O422" s="339">
        <v>85365090</v>
      </c>
      <c r="P422" s="340">
        <f>IFERROR(VLOOKUP(O422,NCM!$A$3:$D$99,COLUMN(head_porNCM_IPI)-COLUMN(head_porNCM_NCM)+1,FALSE),"")</f>
        <v>0.15</v>
      </c>
      <c r="Q422" s="43" t="s">
        <v>620</v>
      </c>
      <c r="R422" s="78" t="s">
        <v>210</v>
      </c>
      <c r="S422" s="341"/>
      <c r="T422" s="28" t="s">
        <v>52</v>
      </c>
      <c r="U422" s="28" t="s">
        <v>2764</v>
      </c>
      <c r="V422" s="548">
        <v>45163</v>
      </c>
      <c r="W422" s="43"/>
      <c r="X422" s="342">
        <f t="shared" si="121"/>
        <v>403.58504347826084</v>
      </c>
      <c r="Y422" s="342">
        <f t="shared" si="122"/>
        <v>336.32086956521744</v>
      </c>
      <c r="Z422" s="46">
        <f t="shared" si="123"/>
        <v>36.995295652173915</v>
      </c>
      <c r="AA422" s="46">
        <f t="shared" si="124"/>
        <v>170.40257391304348</v>
      </c>
      <c r="AB422" s="43"/>
      <c r="AC422" s="44">
        <v>2578.46</v>
      </c>
      <c r="AD422" s="31">
        <v>0.18</v>
      </c>
      <c r="AE422" s="31">
        <v>0.15</v>
      </c>
      <c r="AF422" s="31">
        <v>0</v>
      </c>
      <c r="AG422" s="28" t="s">
        <v>53</v>
      </c>
      <c r="AH422" s="46">
        <f t="shared" si="125"/>
        <v>2965.2289999999998</v>
      </c>
      <c r="AI422" s="43"/>
      <c r="AJ422" s="28" t="s">
        <v>263</v>
      </c>
      <c r="AK422" s="337">
        <v>4.82</v>
      </c>
      <c r="AL422" s="43"/>
      <c r="AM422" s="44">
        <f t="shared" si="126"/>
        <v>0</v>
      </c>
      <c r="AN422" s="43"/>
      <c r="AO422" s="28">
        <f t="shared" si="127"/>
        <v>0</v>
      </c>
      <c r="AP422" s="43"/>
      <c r="AQ422" s="323">
        <f t="shared" si="128"/>
        <v>0</v>
      </c>
      <c r="AR422" s="43"/>
      <c r="AS422" s="44">
        <f t="shared" si="129"/>
        <v>2965.2289999999998</v>
      </c>
    </row>
    <row r="423" spans="1:45" x14ac:dyDescent="0.25">
      <c r="A423" s="28"/>
      <c r="B423" s="43"/>
      <c r="C423" s="43"/>
      <c r="D423" s="43"/>
      <c r="E423" s="43" t="s">
        <v>1066</v>
      </c>
      <c r="F423" s="43" t="s">
        <v>1067</v>
      </c>
      <c r="G423" s="46">
        <f t="shared" si="116"/>
        <v>2198.2642000000001</v>
      </c>
      <c r="H423" s="46">
        <f t="shared" si="117"/>
        <v>1950.2892750000003</v>
      </c>
      <c r="I423" s="28" t="s">
        <v>262</v>
      </c>
      <c r="J423" s="337">
        <v>1</v>
      </c>
      <c r="K423" s="46">
        <f t="shared" si="118"/>
        <v>2198.2642000000001</v>
      </c>
      <c r="L423" s="46">
        <f t="shared" si="119"/>
        <v>1950.2892750000003</v>
      </c>
      <c r="M423" s="338">
        <f t="shared" si="120"/>
        <v>0</v>
      </c>
      <c r="N423" s="43" t="s">
        <v>33</v>
      </c>
      <c r="O423" s="339">
        <v>85365090</v>
      </c>
      <c r="P423" s="340">
        <f>IFERROR(VLOOKUP(O423,NCM!$A$3:$D$99,COLUMN(head_porNCM_IPI)-COLUMN(head_porNCM_NCM)+1,FALSE),"")</f>
        <v>0.15</v>
      </c>
      <c r="Q423" s="43" t="s">
        <v>620</v>
      </c>
      <c r="R423" s="78" t="s">
        <v>210</v>
      </c>
      <c r="S423" s="341"/>
      <c r="T423" s="28" t="s">
        <v>52</v>
      </c>
      <c r="U423" s="28" t="s">
        <v>2764</v>
      </c>
      <c r="V423" s="548">
        <v>45163</v>
      </c>
      <c r="W423" s="43"/>
      <c r="X423" s="342">
        <f t="shared" si="121"/>
        <v>419.60504347826082</v>
      </c>
      <c r="Y423" s="342">
        <f t="shared" si="122"/>
        <v>349.67086956521734</v>
      </c>
      <c r="Z423" s="46">
        <f t="shared" si="123"/>
        <v>38.463795652173914</v>
      </c>
      <c r="AA423" s="46">
        <f t="shared" si="124"/>
        <v>177.16657391304346</v>
      </c>
      <c r="AB423" s="43"/>
      <c r="AC423" s="44">
        <v>2680.81</v>
      </c>
      <c r="AD423" s="31">
        <v>0.18</v>
      </c>
      <c r="AE423" s="31">
        <v>0.15</v>
      </c>
      <c r="AF423" s="31">
        <v>0</v>
      </c>
      <c r="AG423" s="28" t="s">
        <v>53</v>
      </c>
      <c r="AH423" s="46">
        <f t="shared" si="125"/>
        <v>3082.9314999999997</v>
      </c>
      <c r="AI423" s="43"/>
      <c r="AJ423" s="28" t="s">
        <v>263</v>
      </c>
      <c r="AK423" s="337">
        <v>4.82</v>
      </c>
      <c r="AL423" s="43"/>
      <c r="AM423" s="44">
        <f t="shared" si="126"/>
        <v>0</v>
      </c>
      <c r="AN423" s="43"/>
      <c r="AO423" s="28">
        <f t="shared" si="127"/>
        <v>0</v>
      </c>
      <c r="AP423" s="43"/>
      <c r="AQ423" s="323">
        <f t="shared" si="128"/>
        <v>0</v>
      </c>
      <c r="AR423" s="43"/>
      <c r="AS423" s="44">
        <f t="shared" si="129"/>
        <v>3082.9314999999997</v>
      </c>
    </row>
    <row r="424" spans="1:45" x14ac:dyDescent="0.25">
      <c r="A424" s="28"/>
      <c r="B424" s="43"/>
      <c r="C424" s="43"/>
      <c r="D424" s="43" t="s">
        <v>641</v>
      </c>
      <c r="E424" s="43"/>
      <c r="F424" s="43"/>
      <c r="G424" s="46">
        <f t="shared" si="116"/>
        <v>0</v>
      </c>
      <c r="H424" s="46">
        <f t="shared" si="117"/>
        <v>0</v>
      </c>
      <c r="I424" s="28"/>
      <c r="J424" s="337"/>
      <c r="K424" s="46" t="str">
        <f t="shared" si="118"/>
        <v/>
      </c>
      <c r="L424" s="46" t="str">
        <f t="shared" si="119"/>
        <v/>
      </c>
      <c r="M424" s="338">
        <f t="shared" si="120"/>
        <v>0</v>
      </c>
      <c r="N424" s="43"/>
      <c r="O424" s="339"/>
      <c r="P424" s="340" t="str">
        <f>IFERROR(VLOOKUP(O424,NCM!$A$3:$D$99,COLUMN(head_porNCM_IPI)-COLUMN(head_porNCM_NCM)+1,FALSE),"")</f>
        <v/>
      </c>
      <c r="Q424" s="43"/>
      <c r="R424" s="78"/>
      <c r="S424" s="341"/>
      <c r="T424" s="28"/>
      <c r="U424" s="28"/>
      <c r="V424" s="28"/>
      <c r="W424" s="43"/>
      <c r="X424" s="342">
        <f t="shared" si="121"/>
        <v>0</v>
      </c>
      <c r="Y424" s="342">
        <f t="shared" si="122"/>
        <v>0</v>
      </c>
      <c r="Z424" s="46">
        <f t="shared" si="123"/>
        <v>0</v>
      </c>
      <c r="AA424" s="46">
        <f t="shared" si="124"/>
        <v>0</v>
      </c>
      <c r="AB424" s="43"/>
      <c r="AC424" s="44">
        <v>0</v>
      </c>
      <c r="AD424" s="31"/>
      <c r="AE424" s="31"/>
      <c r="AF424" s="31"/>
      <c r="AG424" s="28"/>
      <c r="AH424" s="46">
        <f t="shared" si="125"/>
        <v>0</v>
      </c>
      <c r="AI424" s="43"/>
      <c r="AJ424" s="28"/>
      <c r="AK424" s="337"/>
      <c r="AL424" s="43"/>
      <c r="AM424" s="44">
        <f t="shared" si="126"/>
        <v>0</v>
      </c>
      <c r="AN424" s="43"/>
      <c r="AO424" s="28">
        <f t="shared" si="127"/>
        <v>0</v>
      </c>
      <c r="AP424" s="43"/>
      <c r="AQ424" s="323">
        <f t="shared" si="128"/>
        <v>0</v>
      </c>
      <c r="AR424" s="43"/>
      <c r="AS424" s="44">
        <f t="shared" si="129"/>
        <v>0</v>
      </c>
    </row>
    <row r="425" spans="1:45" x14ac:dyDescent="0.25">
      <c r="A425" s="28"/>
      <c r="B425" s="43"/>
      <c r="C425" s="43"/>
      <c r="D425" s="43"/>
      <c r="E425" s="43" t="s">
        <v>642</v>
      </c>
      <c r="F425" s="43" t="s">
        <v>643</v>
      </c>
      <c r="G425" s="46">
        <f t="shared" si="116"/>
        <v>262.24</v>
      </c>
      <c r="H425" s="46">
        <f t="shared" si="117"/>
        <v>234.67500000000004</v>
      </c>
      <c r="I425" s="28" t="s">
        <v>262</v>
      </c>
      <c r="J425" s="337">
        <v>1</v>
      </c>
      <c r="K425" s="46">
        <f t="shared" si="118"/>
        <v>262.24</v>
      </c>
      <c r="L425" s="46">
        <f t="shared" si="119"/>
        <v>234.67500000000004</v>
      </c>
      <c r="M425" s="338">
        <f t="shared" si="120"/>
        <v>0</v>
      </c>
      <c r="N425" s="43" t="s">
        <v>33</v>
      </c>
      <c r="O425" s="339">
        <v>85365090</v>
      </c>
      <c r="P425" s="340">
        <f>IFERROR(VLOOKUP(O425,NCM!$A$3:$D$99,COLUMN(head_porNCM_IPI)-COLUMN(head_porNCM_NCM)+1,FALSE),"")</f>
        <v>0.15</v>
      </c>
      <c r="Q425" s="43" t="s">
        <v>644</v>
      </c>
      <c r="R425" s="78" t="s">
        <v>209</v>
      </c>
      <c r="S425" s="341"/>
      <c r="T425" s="28" t="s">
        <v>52</v>
      </c>
      <c r="U425" s="28" t="s">
        <v>2765</v>
      </c>
      <c r="V425" s="548">
        <v>45089</v>
      </c>
      <c r="W425" s="43"/>
      <c r="X425" s="342">
        <f t="shared" si="121"/>
        <v>34.634382566585955</v>
      </c>
      <c r="Y425" s="342">
        <f t="shared" si="122"/>
        <v>9.3801452784503567</v>
      </c>
      <c r="Z425" s="46">
        <f t="shared" si="123"/>
        <v>4.7622276029055692</v>
      </c>
      <c r="AA425" s="46">
        <f t="shared" si="124"/>
        <v>21.935108958837773</v>
      </c>
      <c r="AB425" s="43"/>
      <c r="AC425" s="44">
        <v>298</v>
      </c>
      <c r="AD425" s="31">
        <v>0.12</v>
      </c>
      <c r="AE425" s="31">
        <v>3.2500000000000001E-2</v>
      </c>
      <c r="AF425" s="31">
        <v>0</v>
      </c>
      <c r="AG425" s="28" t="s">
        <v>53</v>
      </c>
      <c r="AH425" s="46">
        <f t="shared" si="125"/>
        <v>307.685</v>
      </c>
      <c r="AI425" s="43"/>
      <c r="AJ425" s="28"/>
      <c r="AK425" s="337"/>
      <c r="AL425" s="43"/>
      <c r="AM425" s="44">
        <f t="shared" si="126"/>
        <v>0</v>
      </c>
      <c r="AN425" s="43"/>
      <c r="AO425" s="28">
        <f t="shared" si="127"/>
        <v>0</v>
      </c>
      <c r="AP425" s="43"/>
      <c r="AQ425" s="323">
        <f t="shared" si="128"/>
        <v>0</v>
      </c>
      <c r="AR425" s="43"/>
      <c r="AS425" s="44">
        <f t="shared" si="129"/>
        <v>307.685</v>
      </c>
    </row>
    <row r="426" spans="1:45" x14ac:dyDescent="0.25">
      <c r="A426" s="28"/>
      <c r="B426" s="43"/>
      <c r="C426" s="43"/>
      <c r="D426" s="43" t="s">
        <v>711</v>
      </c>
      <c r="E426" s="43"/>
      <c r="F426" s="43"/>
      <c r="G426" s="46">
        <f t="shared" si="116"/>
        <v>0</v>
      </c>
      <c r="H426" s="46">
        <f t="shared" si="117"/>
        <v>0</v>
      </c>
      <c r="I426" s="28"/>
      <c r="J426" s="337"/>
      <c r="K426" s="46" t="str">
        <f t="shared" si="118"/>
        <v/>
      </c>
      <c r="L426" s="46" t="str">
        <f t="shared" si="119"/>
        <v/>
      </c>
      <c r="M426" s="338">
        <f t="shared" si="120"/>
        <v>0</v>
      </c>
      <c r="N426" s="43"/>
      <c r="O426" s="339"/>
      <c r="P426" s="340" t="str">
        <f>IFERROR(VLOOKUP(O426,NCM!$A$3:$D$99,COLUMN(head_porNCM_IPI)-COLUMN(head_porNCM_NCM)+1,FALSE),"")</f>
        <v/>
      </c>
      <c r="Q426" s="43"/>
      <c r="R426" s="78"/>
      <c r="S426" s="341"/>
      <c r="T426" s="28"/>
      <c r="U426" s="28"/>
      <c r="V426" s="28"/>
      <c r="W426" s="43"/>
      <c r="X426" s="342">
        <f t="shared" si="121"/>
        <v>0</v>
      </c>
      <c r="Y426" s="342">
        <f t="shared" si="122"/>
        <v>0</v>
      </c>
      <c r="Z426" s="46">
        <f t="shared" si="123"/>
        <v>0</v>
      </c>
      <c r="AA426" s="46">
        <f t="shared" si="124"/>
        <v>0</v>
      </c>
      <c r="AB426" s="43"/>
      <c r="AC426" s="44">
        <v>0</v>
      </c>
      <c r="AD426" s="31"/>
      <c r="AE426" s="31"/>
      <c r="AF426" s="31"/>
      <c r="AG426" s="28"/>
      <c r="AH426" s="46">
        <f t="shared" si="125"/>
        <v>0</v>
      </c>
      <c r="AI426" s="43"/>
      <c r="AJ426" s="28"/>
      <c r="AK426" s="337"/>
      <c r="AL426" s="43"/>
      <c r="AM426" s="44">
        <f t="shared" si="126"/>
        <v>0</v>
      </c>
      <c r="AN426" s="43"/>
      <c r="AO426" s="28">
        <f t="shared" si="127"/>
        <v>0</v>
      </c>
      <c r="AP426" s="43"/>
      <c r="AQ426" s="323">
        <f t="shared" si="128"/>
        <v>0</v>
      </c>
      <c r="AR426" s="43"/>
      <c r="AS426" s="44">
        <f t="shared" si="129"/>
        <v>0</v>
      </c>
    </row>
    <row r="427" spans="1:45" x14ac:dyDescent="0.25">
      <c r="A427" s="28"/>
      <c r="B427" s="43"/>
      <c r="C427" s="43"/>
      <c r="D427" s="43"/>
      <c r="E427" s="43" t="s">
        <v>712</v>
      </c>
      <c r="F427" s="43" t="s">
        <v>713</v>
      </c>
      <c r="G427" s="46">
        <f t="shared" si="116"/>
        <v>255.2</v>
      </c>
      <c r="H427" s="46">
        <f t="shared" si="117"/>
        <v>228.37500000000003</v>
      </c>
      <c r="I427" s="28" t="s">
        <v>262</v>
      </c>
      <c r="J427" s="337">
        <v>1</v>
      </c>
      <c r="K427" s="46">
        <f t="shared" si="118"/>
        <v>255.2</v>
      </c>
      <c r="L427" s="46">
        <f t="shared" si="119"/>
        <v>228.37500000000003</v>
      </c>
      <c r="M427" s="338">
        <f t="shared" si="120"/>
        <v>0</v>
      </c>
      <c r="N427" s="43" t="s">
        <v>33</v>
      </c>
      <c r="O427" s="339">
        <v>85365090</v>
      </c>
      <c r="P427" s="340">
        <f>IFERROR(VLOOKUP(O427,NCM!$A$3:$D$99,COLUMN(head_porNCM_IPI)-COLUMN(head_porNCM_NCM)+1,FALSE),"")</f>
        <v>0.15</v>
      </c>
      <c r="Q427" s="43" t="s">
        <v>711</v>
      </c>
      <c r="R427" s="78" t="s">
        <v>209</v>
      </c>
      <c r="S427" s="341"/>
      <c r="T427" s="28" t="s">
        <v>52</v>
      </c>
      <c r="U427" s="28" t="s">
        <v>2766</v>
      </c>
      <c r="V427" s="548">
        <v>45155</v>
      </c>
      <c r="W427" s="43"/>
      <c r="X427" s="342">
        <f t="shared" si="121"/>
        <v>33.704600484261505</v>
      </c>
      <c r="Y427" s="342">
        <f t="shared" si="122"/>
        <v>9.1283292978208124</v>
      </c>
      <c r="Z427" s="46">
        <f t="shared" si="123"/>
        <v>4.6343825665859564</v>
      </c>
      <c r="AA427" s="46">
        <f t="shared" si="124"/>
        <v>21.346246973365616</v>
      </c>
      <c r="AB427" s="43"/>
      <c r="AC427" s="44">
        <v>290</v>
      </c>
      <c r="AD427" s="31">
        <v>0.12</v>
      </c>
      <c r="AE427" s="31">
        <v>3.2500000000000001E-2</v>
      </c>
      <c r="AF427" s="31">
        <v>0</v>
      </c>
      <c r="AG427" s="28" t="s">
        <v>53</v>
      </c>
      <c r="AH427" s="46">
        <f t="shared" si="125"/>
        <v>299.42500000000001</v>
      </c>
      <c r="AI427" s="43"/>
      <c r="AJ427" s="28"/>
      <c r="AK427" s="337"/>
      <c r="AL427" s="43"/>
      <c r="AM427" s="44">
        <f t="shared" si="126"/>
        <v>0</v>
      </c>
      <c r="AN427" s="43"/>
      <c r="AO427" s="28">
        <f t="shared" si="127"/>
        <v>0</v>
      </c>
      <c r="AP427" s="43"/>
      <c r="AQ427" s="323">
        <f t="shared" si="128"/>
        <v>0</v>
      </c>
      <c r="AR427" s="43"/>
      <c r="AS427" s="44">
        <f t="shared" si="129"/>
        <v>299.42500000000001</v>
      </c>
    </row>
    <row r="428" spans="1:45" x14ac:dyDescent="0.25">
      <c r="A428" s="28"/>
      <c r="B428" s="43"/>
      <c r="C428" s="43"/>
      <c r="D428" s="43" t="s">
        <v>714</v>
      </c>
      <c r="E428" s="43"/>
      <c r="F428" s="43"/>
      <c r="G428" s="46">
        <f t="shared" si="116"/>
        <v>0</v>
      </c>
      <c r="H428" s="46">
        <f t="shared" si="117"/>
        <v>0</v>
      </c>
      <c r="I428" s="28"/>
      <c r="J428" s="337"/>
      <c r="K428" s="46" t="str">
        <f t="shared" si="118"/>
        <v/>
      </c>
      <c r="L428" s="46" t="str">
        <f t="shared" si="119"/>
        <v/>
      </c>
      <c r="M428" s="338">
        <f t="shared" si="120"/>
        <v>0</v>
      </c>
      <c r="N428" s="43"/>
      <c r="O428" s="339"/>
      <c r="P428" s="340" t="str">
        <f>IFERROR(VLOOKUP(O428,NCM!$A$3:$D$99,COLUMN(head_porNCM_IPI)-COLUMN(head_porNCM_NCM)+1,FALSE),"")</f>
        <v/>
      </c>
      <c r="Q428" s="43"/>
      <c r="R428" s="78"/>
      <c r="S428" s="341"/>
      <c r="T428" s="28"/>
      <c r="U428" s="28"/>
      <c r="V428" s="28"/>
      <c r="W428" s="43"/>
      <c r="X428" s="342">
        <f t="shared" si="121"/>
        <v>0</v>
      </c>
      <c r="Y428" s="342">
        <f t="shared" si="122"/>
        <v>0</v>
      </c>
      <c r="Z428" s="46">
        <f t="shared" si="123"/>
        <v>0</v>
      </c>
      <c r="AA428" s="46">
        <f t="shared" si="124"/>
        <v>0</v>
      </c>
      <c r="AB428" s="43"/>
      <c r="AC428" s="44">
        <v>0</v>
      </c>
      <c r="AD428" s="31"/>
      <c r="AE428" s="31"/>
      <c r="AF428" s="31"/>
      <c r="AG428" s="28"/>
      <c r="AH428" s="46">
        <f t="shared" si="125"/>
        <v>0</v>
      </c>
      <c r="AI428" s="43"/>
      <c r="AJ428" s="28"/>
      <c r="AK428" s="337"/>
      <c r="AL428" s="43"/>
      <c r="AM428" s="44">
        <f t="shared" si="126"/>
        <v>0</v>
      </c>
      <c r="AN428" s="43"/>
      <c r="AO428" s="28">
        <f t="shared" si="127"/>
        <v>0</v>
      </c>
      <c r="AP428" s="43"/>
      <c r="AQ428" s="323">
        <f t="shared" si="128"/>
        <v>0</v>
      </c>
      <c r="AR428" s="43"/>
      <c r="AS428" s="44">
        <f t="shared" si="129"/>
        <v>0</v>
      </c>
    </row>
    <row r="429" spans="1:45" x14ac:dyDescent="0.25">
      <c r="A429" s="28"/>
      <c r="B429" s="43"/>
      <c r="C429" s="43"/>
      <c r="D429" s="43"/>
      <c r="E429" s="43" t="s">
        <v>715</v>
      </c>
      <c r="F429" s="43" t="s">
        <v>716</v>
      </c>
      <c r="G429" s="46">
        <f t="shared" si="116"/>
        <v>1294.568</v>
      </c>
      <c r="H429" s="46">
        <f t="shared" si="117"/>
        <v>1158.49125</v>
      </c>
      <c r="I429" s="28" t="s">
        <v>262</v>
      </c>
      <c r="J429" s="337">
        <v>1</v>
      </c>
      <c r="K429" s="46">
        <f t="shared" si="118"/>
        <v>1294.568</v>
      </c>
      <c r="L429" s="46">
        <f t="shared" si="119"/>
        <v>1158.49125</v>
      </c>
      <c r="M429" s="338">
        <f t="shared" si="120"/>
        <v>0</v>
      </c>
      <c r="N429" s="43" t="s">
        <v>33</v>
      </c>
      <c r="O429" s="339">
        <v>85365090</v>
      </c>
      <c r="P429" s="340">
        <f>IFERROR(VLOOKUP(O429,NCM!$A$3:$D$99,COLUMN(head_porNCM_IPI)-COLUMN(head_porNCM_NCM)+1,FALSE),"")</f>
        <v>0.15</v>
      </c>
      <c r="Q429" s="43" t="s">
        <v>714</v>
      </c>
      <c r="R429" s="78" t="s">
        <v>210</v>
      </c>
      <c r="S429" s="341"/>
      <c r="T429" s="28" t="s">
        <v>52</v>
      </c>
      <c r="U429" s="28" t="s">
        <v>2767</v>
      </c>
      <c r="V429" s="548">
        <v>45076</v>
      </c>
      <c r="W429" s="43"/>
      <c r="X429" s="342">
        <f t="shared" si="121"/>
        <v>160.84920273348521</v>
      </c>
      <c r="Y429" s="342">
        <f t="shared" si="122"/>
        <v>130.68997722095651</v>
      </c>
      <c r="Z429" s="46">
        <f t="shared" si="123"/>
        <v>22.116765375854218</v>
      </c>
      <c r="AA429" s="46">
        <f t="shared" si="124"/>
        <v>101.87116173120729</v>
      </c>
      <c r="AB429" s="43"/>
      <c r="AC429" s="44">
        <v>1471.1</v>
      </c>
      <c r="AD429" s="31">
        <v>0.12</v>
      </c>
      <c r="AE429" s="31">
        <v>9.7500000000000003E-2</v>
      </c>
      <c r="AF429" s="31">
        <v>0</v>
      </c>
      <c r="AG429" s="28" t="s">
        <v>53</v>
      </c>
      <c r="AH429" s="46">
        <f t="shared" si="125"/>
        <v>1614.5322499999997</v>
      </c>
      <c r="AI429" s="43"/>
      <c r="AJ429" s="28" t="s">
        <v>263</v>
      </c>
      <c r="AK429" s="337">
        <v>5.67</v>
      </c>
      <c r="AL429" s="43"/>
      <c r="AM429" s="44">
        <f t="shared" si="126"/>
        <v>0</v>
      </c>
      <c r="AN429" s="43"/>
      <c r="AO429" s="28">
        <f t="shared" si="127"/>
        <v>0</v>
      </c>
      <c r="AP429" s="43"/>
      <c r="AQ429" s="323">
        <f t="shared" si="128"/>
        <v>0</v>
      </c>
      <c r="AR429" s="43"/>
      <c r="AS429" s="44">
        <f t="shared" si="129"/>
        <v>1614.5322499999997</v>
      </c>
    </row>
    <row r="430" spans="1:45" x14ac:dyDescent="0.25">
      <c r="A430" s="28"/>
      <c r="B430" s="43"/>
      <c r="C430" s="43"/>
      <c r="D430" s="43"/>
      <c r="E430" s="43" t="s">
        <v>1294</v>
      </c>
      <c r="F430" s="43" t="s">
        <v>1295</v>
      </c>
      <c r="G430" s="46">
        <f t="shared" si="116"/>
        <v>902.6336</v>
      </c>
      <c r="H430" s="46">
        <f t="shared" si="117"/>
        <v>807.75450000000012</v>
      </c>
      <c r="I430" s="28" t="s">
        <v>262</v>
      </c>
      <c r="J430" s="337">
        <v>1</v>
      </c>
      <c r="K430" s="46">
        <f t="shared" si="118"/>
        <v>902.6336</v>
      </c>
      <c r="L430" s="46">
        <f t="shared" si="119"/>
        <v>807.75450000000012</v>
      </c>
      <c r="M430" s="338">
        <f t="shared" si="120"/>
        <v>0</v>
      </c>
      <c r="N430" s="43" t="s">
        <v>33</v>
      </c>
      <c r="O430" s="339">
        <v>85365090</v>
      </c>
      <c r="P430" s="340">
        <f>IFERROR(VLOOKUP(O430,NCM!$A$3:$D$99,COLUMN(head_porNCM_IPI)-COLUMN(head_porNCM_NCM)+1,FALSE),"")</f>
        <v>0.15</v>
      </c>
      <c r="Q430" s="43" t="s">
        <v>714</v>
      </c>
      <c r="R430" s="78" t="s">
        <v>210</v>
      </c>
      <c r="S430" s="341"/>
      <c r="T430" s="28" t="s">
        <v>52</v>
      </c>
      <c r="U430" s="28" t="s">
        <v>2767</v>
      </c>
      <c r="V430" s="548">
        <v>45076</v>
      </c>
      <c r="W430" s="43"/>
      <c r="X430" s="342">
        <f t="shared" si="121"/>
        <v>112.1516173120729</v>
      </c>
      <c r="Y430" s="342">
        <f t="shared" si="122"/>
        <v>91.123189066059126</v>
      </c>
      <c r="Z430" s="46">
        <f t="shared" si="123"/>
        <v>15.420847380410025</v>
      </c>
      <c r="AA430" s="46">
        <f t="shared" si="124"/>
        <v>71.029357630979504</v>
      </c>
      <c r="AB430" s="43"/>
      <c r="AC430" s="44">
        <v>1025.72</v>
      </c>
      <c r="AD430" s="31">
        <v>0.12</v>
      </c>
      <c r="AE430" s="31">
        <v>9.7500000000000003E-2</v>
      </c>
      <c r="AF430" s="31">
        <v>0</v>
      </c>
      <c r="AG430" s="28" t="s">
        <v>53</v>
      </c>
      <c r="AH430" s="46">
        <f t="shared" si="125"/>
        <v>1125.7276999999999</v>
      </c>
      <c r="AI430" s="43"/>
      <c r="AJ430" s="28" t="s">
        <v>263</v>
      </c>
      <c r="AK430" s="337">
        <v>4.8099999999999996</v>
      </c>
      <c r="AL430" s="43"/>
      <c r="AM430" s="44">
        <f t="shared" si="126"/>
        <v>0</v>
      </c>
      <c r="AN430" s="43"/>
      <c r="AO430" s="28">
        <f t="shared" si="127"/>
        <v>0</v>
      </c>
      <c r="AP430" s="43"/>
      <c r="AQ430" s="323">
        <f t="shared" si="128"/>
        <v>0</v>
      </c>
      <c r="AR430" s="43"/>
      <c r="AS430" s="44">
        <f t="shared" si="129"/>
        <v>1125.7276999999999</v>
      </c>
    </row>
    <row r="431" spans="1:45" x14ac:dyDescent="0.25">
      <c r="A431" s="28"/>
      <c r="B431" s="43"/>
      <c r="C431" s="43"/>
      <c r="D431" s="43"/>
      <c r="E431" s="43" t="s">
        <v>1296</v>
      </c>
      <c r="F431" s="43" t="s">
        <v>1297</v>
      </c>
      <c r="G431" s="46">
        <f t="shared" si="116"/>
        <v>1033.2784000000001</v>
      </c>
      <c r="H431" s="46">
        <f t="shared" si="117"/>
        <v>924.66675000000021</v>
      </c>
      <c r="I431" s="28" t="s">
        <v>262</v>
      </c>
      <c r="J431" s="337">
        <v>1</v>
      </c>
      <c r="K431" s="46">
        <f t="shared" si="118"/>
        <v>1033.2784000000001</v>
      </c>
      <c r="L431" s="46">
        <f t="shared" si="119"/>
        <v>924.66675000000021</v>
      </c>
      <c r="M431" s="338">
        <f t="shared" si="120"/>
        <v>0</v>
      </c>
      <c r="N431" s="43" t="s">
        <v>33</v>
      </c>
      <c r="O431" s="339">
        <v>85365090</v>
      </c>
      <c r="P431" s="340">
        <f>IFERROR(VLOOKUP(O431,NCM!$A$3:$D$99,COLUMN(head_porNCM_IPI)-COLUMN(head_porNCM_NCM)+1,FALSE),"")</f>
        <v>0.15</v>
      </c>
      <c r="Q431" s="43" t="s">
        <v>714</v>
      </c>
      <c r="R431" s="78" t="s">
        <v>210</v>
      </c>
      <c r="S431" s="341"/>
      <c r="T431" s="28" t="s">
        <v>52</v>
      </c>
      <c r="U431" s="28" t="s">
        <v>2767</v>
      </c>
      <c r="V431" s="548">
        <v>45076</v>
      </c>
      <c r="W431" s="43"/>
      <c r="X431" s="342">
        <f t="shared" si="121"/>
        <v>128.384145785877</v>
      </c>
      <c r="Y431" s="342">
        <f t="shared" si="122"/>
        <v>104.31211845102507</v>
      </c>
      <c r="Z431" s="46">
        <f t="shared" si="123"/>
        <v>17.652820045558087</v>
      </c>
      <c r="AA431" s="46">
        <f t="shared" si="124"/>
        <v>81.309958997722092</v>
      </c>
      <c r="AB431" s="43"/>
      <c r="AC431" s="44">
        <v>1174.18</v>
      </c>
      <c r="AD431" s="31">
        <v>0.12</v>
      </c>
      <c r="AE431" s="31">
        <v>9.7500000000000003E-2</v>
      </c>
      <c r="AF431" s="31">
        <v>0</v>
      </c>
      <c r="AG431" s="28" t="s">
        <v>53</v>
      </c>
      <c r="AH431" s="46">
        <f t="shared" si="125"/>
        <v>1288.66255</v>
      </c>
      <c r="AI431" s="43"/>
      <c r="AJ431" s="28" t="s">
        <v>263</v>
      </c>
      <c r="AK431" s="337">
        <v>4.8099999999999996</v>
      </c>
      <c r="AL431" s="43"/>
      <c r="AM431" s="44">
        <f t="shared" si="126"/>
        <v>0</v>
      </c>
      <c r="AN431" s="43"/>
      <c r="AO431" s="28">
        <f t="shared" si="127"/>
        <v>0</v>
      </c>
      <c r="AP431" s="43"/>
      <c r="AQ431" s="323">
        <f t="shared" si="128"/>
        <v>0</v>
      </c>
      <c r="AR431" s="43"/>
      <c r="AS431" s="44">
        <f t="shared" si="129"/>
        <v>1288.66255</v>
      </c>
    </row>
    <row r="432" spans="1:45" x14ac:dyDescent="0.25">
      <c r="A432" s="28"/>
      <c r="B432" s="43"/>
      <c r="C432" s="43"/>
      <c r="D432" s="43"/>
      <c r="E432" s="43" t="s">
        <v>1298</v>
      </c>
      <c r="F432" s="43" t="s">
        <v>1299</v>
      </c>
      <c r="G432" s="46">
        <f t="shared" si="116"/>
        <v>1163.9232000000002</v>
      </c>
      <c r="H432" s="46">
        <f t="shared" si="117"/>
        <v>1041.5790000000002</v>
      </c>
      <c r="I432" s="28" t="s">
        <v>262</v>
      </c>
      <c r="J432" s="337">
        <v>1</v>
      </c>
      <c r="K432" s="46">
        <f t="shared" si="118"/>
        <v>1163.9232000000002</v>
      </c>
      <c r="L432" s="46">
        <f t="shared" si="119"/>
        <v>1041.5790000000002</v>
      </c>
      <c r="M432" s="338">
        <f t="shared" si="120"/>
        <v>0</v>
      </c>
      <c r="N432" s="43" t="s">
        <v>33</v>
      </c>
      <c r="O432" s="339">
        <v>85365090</v>
      </c>
      <c r="P432" s="340">
        <f>IFERROR(VLOOKUP(O432,NCM!$A$3:$D$99,COLUMN(head_porNCM_IPI)-COLUMN(head_porNCM_NCM)+1,FALSE),"")</f>
        <v>0.15</v>
      </c>
      <c r="Q432" s="43" t="s">
        <v>714</v>
      </c>
      <c r="R432" s="78" t="s">
        <v>210</v>
      </c>
      <c r="S432" s="341"/>
      <c r="T432" s="28" t="s">
        <v>52</v>
      </c>
      <c r="U432" s="28" t="s">
        <v>2767</v>
      </c>
      <c r="V432" s="548">
        <v>45076</v>
      </c>
      <c r="W432" s="43"/>
      <c r="X432" s="342">
        <f t="shared" si="121"/>
        <v>144.6166742596811</v>
      </c>
      <c r="Y432" s="342">
        <f t="shared" si="122"/>
        <v>117.5010478359909</v>
      </c>
      <c r="Z432" s="46">
        <f t="shared" si="123"/>
        <v>19.884792710706154</v>
      </c>
      <c r="AA432" s="46">
        <f t="shared" si="124"/>
        <v>91.590560364464693</v>
      </c>
      <c r="AB432" s="43"/>
      <c r="AC432" s="44">
        <v>1322.64</v>
      </c>
      <c r="AD432" s="31">
        <v>0.12</v>
      </c>
      <c r="AE432" s="31">
        <v>9.7500000000000003E-2</v>
      </c>
      <c r="AF432" s="31">
        <v>0</v>
      </c>
      <c r="AG432" s="28" t="s">
        <v>53</v>
      </c>
      <c r="AH432" s="46">
        <f t="shared" si="125"/>
        <v>1451.5974000000001</v>
      </c>
      <c r="AI432" s="43"/>
      <c r="AJ432" s="28" t="s">
        <v>263</v>
      </c>
      <c r="AK432" s="337">
        <v>4.8099999999999996</v>
      </c>
      <c r="AL432" s="43"/>
      <c r="AM432" s="44">
        <f t="shared" si="126"/>
        <v>0</v>
      </c>
      <c r="AN432" s="43"/>
      <c r="AO432" s="28">
        <f t="shared" si="127"/>
        <v>0</v>
      </c>
      <c r="AP432" s="43"/>
      <c r="AQ432" s="323">
        <f t="shared" si="128"/>
        <v>0</v>
      </c>
      <c r="AR432" s="43"/>
      <c r="AS432" s="44">
        <f t="shared" si="129"/>
        <v>1451.5974000000001</v>
      </c>
    </row>
    <row r="433" spans="1:45" x14ac:dyDescent="0.25">
      <c r="A433" s="28"/>
      <c r="B433" s="43"/>
      <c r="C433" s="43"/>
      <c r="D433" s="43"/>
      <c r="E433" s="43" t="s">
        <v>985</v>
      </c>
      <c r="F433" s="43" t="s">
        <v>986</v>
      </c>
      <c r="G433" s="46">
        <f t="shared" si="116"/>
        <v>950.13600000000008</v>
      </c>
      <c r="H433" s="46">
        <f t="shared" si="117"/>
        <v>850.26375000000019</v>
      </c>
      <c r="I433" s="28" t="s">
        <v>262</v>
      </c>
      <c r="J433" s="337">
        <v>1</v>
      </c>
      <c r="K433" s="46">
        <f t="shared" si="118"/>
        <v>950.13600000000008</v>
      </c>
      <c r="L433" s="46">
        <f t="shared" si="119"/>
        <v>850.26375000000019</v>
      </c>
      <c r="M433" s="338">
        <f t="shared" si="120"/>
        <v>0</v>
      </c>
      <c r="N433" s="43" t="s">
        <v>33</v>
      </c>
      <c r="O433" s="339">
        <v>85365090</v>
      </c>
      <c r="P433" s="340">
        <f>IFERROR(VLOOKUP(O433,NCM!$A$3:$D$99,COLUMN(head_porNCM_IPI)-COLUMN(head_porNCM_NCM)+1,FALSE),"")</f>
        <v>0.15</v>
      </c>
      <c r="Q433" s="43" t="s">
        <v>714</v>
      </c>
      <c r="R433" s="78" t="s">
        <v>210</v>
      </c>
      <c r="S433" s="341"/>
      <c r="T433" s="28" t="s">
        <v>52</v>
      </c>
      <c r="U433" s="28" t="s">
        <v>2767</v>
      </c>
      <c r="V433" s="548">
        <v>45076</v>
      </c>
      <c r="W433" s="43"/>
      <c r="X433" s="342">
        <f t="shared" si="121"/>
        <v>118.05375854214124</v>
      </c>
      <c r="Y433" s="342">
        <f t="shared" si="122"/>
        <v>95.91867881548967</v>
      </c>
      <c r="Z433" s="46">
        <f t="shared" si="123"/>
        <v>16.232391799544423</v>
      </c>
      <c r="AA433" s="46">
        <f t="shared" si="124"/>
        <v>74.767380410022781</v>
      </c>
      <c r="AB433" s="43"/>
      <c r="AC433" s="44">
        <v>1079.7</v>
      </c>
      <c r="AD433" s="31">
        <v>0.12</v>
      </c>
      <c r="AE433" s="31">
        <v>9.7500000000000003E-2</v>
      </c>
      <c r="AF433" s="31">
        <v>0</v>
      </c>
      <c r="AG433" s="28" t="s">
        <v>53</v>
      </c>
      <c r="AH433" s="46">
        <f t="shared" si="125"/>
        <v>1184.97075</v>
      </c>
      <c r="AI433" s="43"/>
      <c r="AJ433" s="28" t="s">
        <v>263</v>
      </c>
      <c r="AK433" s="337">
        <v>3.84</v>
      </c>
      <c r="AL433" s="43"/>
      <c r="AM433" s="44">
        <f t="shared" si="126"/>
        <v>0</v>
      </c>
      <c r="AN433" s="43"/>
      <c r="AO433" s="28">
        <f t="shared" si="127"/>
        <v>0</v>
      </c>
      <c r="AP433" s="43"/>
      <c r="AQ433" s="323">
        <f t="shared" si="128"/>
        <v>0</v>
      </c>
      <c r="AR433" s="43"/>
      <c r="AS433" s="44">
        <f t="shared" si="129"/>
        <v>1184.97075</v>
      </c>
    </row>
    <row r="434" spans="1:45" x14ac:dyDescent="0.25">
      <c r="A434" s="28"/>
      <c r="B434" s="43"/>
      <c r="C434" s="43"/>
      <c r="D434" s="43"/>
      <c r="E434" s="43" t="s">
        <v>987</v>
      </c>
      <c r="F434" s="43" t="s">
        <v>988</v>
      </c>
      <c r="G434" s="46">
        <f t="shared" si="116"/>
        <v>1092.6608000000001</v>
      </c>
      <c r="H434" s="46">
        <f t="shared" si="117"/>
        <v>977.80725000000018</v>
      </c>
      <c r="I434" s="28" t="s">
        <v>262</v>
      </c>
      <c r="J434" s="337">
        <v>1</v>
      </c>
      <c r="K434" s="46">
        <f t="shared" si="118"/>
        <v>1092.6608000000001</v>
      </c>
      <c r="L434" s="46">
        <f t="shared" si="119"/>
        <v>977.80725000000018</v>
      </c>
      <c r="M434" s="338">
        <f t="shared" si="120"/>
        <v>0</v>
      </c>
      <c r="N434" s="43" t="s">
        <v>33</v>
      </c>
      <c r="O434" s="339">
        <v>85365090</v>
      </c>
      <c r="P434" s="340">
        <f>IFERROR(VLOOKUP(O434,NCM!$A$3:$D$99,COLUMN(head_porNCM_IPI)-COLUMN(head_porNCM_NCM)+1,FALSE),"")</f>
        <v>0.15</v>
      </c>
      <c r="Q434" s="43" t="s">
        <v>714</v>
      </c>
      <c r="R434" s="78" t="s">
        <v>210</v>
      </c>
      <c r="S434" s="341"/>
      <c r="T434" s="28" t="s">
        <v>52</v>
      </c>
      <c r="U434" s="28" t="s">
        <v>2767</v>
      </c>
      <c r="V434" s="548">
        <v>45076</v>
      </c>
      <c r="W434" s="43"/>
      <c r="X434" s="342">
        <f t="shared" si="121"/>
        <v>135.76236902050115</v>
      </c>
      <c r="Y434" s="342">
        <f t="shared" si="122"/>
        <v>110.3069248291572</v>
      </c>
      <c r="Z434" s="46">
        <f t="shared" si="123"/>
        <v>18.667325740318908</v>
      </c>
      <c r="AA434" s="46">
        <f t="shared" si="124"/>
        <v>85.982833712984061</v>
      </c>
      <c r="AB434" s="43"/>
      <c r="AC434" s="44">
        <v>1241.6600000000001</v>
      </c>
      <c r="AD434" s="31">
        <v>0.12</v>
      </c>
      <c r="AE434" s="31">
        <v>9.7500000000000003E-2</v>
      </c>
      <c r="AF434" s="31">
        <v>0</v>
      </c>
      <c r="AG434" s="28" t="s">
        <v>53</v>
      </c>
      <c r="AH434" s="46">
        <f t="shared" si="125"/>
        <v>1362.7218499999999</v>
      </c>
      <c r="AI434" s="43"/>
      <c r="AJ434" s="28" t="s">
        <v>263</v>
      </c>
      <c r="AK434" s="337">
        <v>3.84</v>
      </c>
      <c r="AL434" s="43"/>
      <c r="AM434" s="44">
        <f t="shared" si="126"/>
        <v>0</v>
      </c>
      <c r="AN434" s="43"/>
      <c r="AO434" s="28">
        <f t="shared" si="127"/>
        <v>0</v>
      </c>
      <c r="AP434" s="43"/>
      <c r="AQ434" s="323">
        <f t="shared" si="128"/>
        <v>0</v>
      </c>
      <c r="AR434" s="43"/>
      <c r="AS434" s="44">
        <f t="shared" si="129"/>
        <v>1362.7218499999999</v>
      </c>
    </row>
    <row r="435" spans="1:45" x14ac:dyDescent="0.25">
      <c r="A435" s="28"/>
      <c r="B435" s="43"/>
      <c r="C435" s="43"/>
      <c r="D435" s="43"/>
      <c r="E435" s="43" t="s">
        <v>989</v>
      </c>
      <c r="F435" s="43" t="s">
        <v>990</v>
      </c>
      <c r="G435" s="46">
        <f t="shared" si="116"/>
        <v>1235.1768</v>
      </c>
      <c r="H435" s="46">
        <f t="shared" si="117"/>
        <v>1105.342875</v>
      </c>
      <c r="I435" s="28" t="s">
        <v>262</v>
      </c>
      <c r="J435" s="337">
        <v>1</v>
      </c>
      <c r="K435" s="46">
        <f t="shared" si="118"/>
        <v>1235.1768</v>
      </c>
      <c r="L435" s="46">
        <f t="shared" si="119"/>
        <v>1105.342875</v>
      </c>
      <c r="M435" s="338">
        <f t="shared" si="120"/>
        <v>0</v>
      </c>
      <c r="N435" s="43" t="s">
        <v>33</v>
      </c>
      <c r="O435" s="339">
        <v>85365090</v>
      </c>
      <c r="P435" s="340">
        <f>IFERROR(VLOOKUP(O435,NCM!$A$3:$D$99,COLUMN(head_porNCM_IPI)-COLUMN(head_porNCM_NCM)+1,FALSE),"")</f>
        <v>0.15</v>
      </c>
      <c r="Q435" s="43" t="s">
        <v>714</v>
      </c>
      <c r="R435" s="78" t="s">
        <v>210</v>
      </c>
      <c r="S435" s="341"/>
      <c r="T435" s="28" t="s">
        <v>52</v>
      </c>
      <c r="U435" s="28" t="s">
        <v>2767</v>
      </c>
      <c r="V435" s="548">
        <v>45076</v>
      </c>
      <c r="W435" s="43"/>
      <c r="X435" s="342">
        <f t="shared" si="121"/>
        <v>153.4698861047836</v>
      </c>
      <c r="Y435" s="342">
        <f t="shared" si="122"/>
        <v>124.69428246013649</v>
      </c>
      <c r="Z435" s="46">
        <f t="shared" si="123"/>
        <v>21.102109339407747</v>
      </c>
      <c r="AA435" s="46">
        <f t="shared" si="124"/>
        <v>97.197594533029616</v>
      </c>
      <c r="AB435" s="43"/>
      <c r="AC435" s="44">
        <v>1403.61</v>
      </c>
      <c r="AD435" s="31">
        <v>0.12</v>
      </c>
      <c r="AE435" s="31">
        <v>9.7500000000000003E-2</v>
      </c>
      <c r="AF435" s="31">
        <v>0</v>
      </c>
      <c r="AG435" s="28" t="s">
        <v>53</v>
      </c>
      <c r="AH435" s="46">
        <f t="shared" si="125"/>
        <v>1540.4619749999997</v>
      </c>
      <c r="AI435" s="43"/>
      <c r="AJ435" s="28" t="s">
        <v>263</v>
      </c>
      <c r="AK435" s="337">
        <v>3.84</v>
      </c>
      <c r="AL435" s="43"/>
      <c r="AM435" s="44">
        <f t="shared" si="126"/>
        <v>0</v>
      </c>
      <c r="AN435" s="43"/>
      <c r="AO435" s="28">
        <f t="shared" si="127"/>
        <v>0</v>
      </c>
      <c r="AP435" s="43"/>
      <c r="AQ435" s="323">
        <f t="shared" si="128"/>
        <v>0</v>
      </c>
      <c r="AR435" s="43"/>
      <c r="AS435" s="44">
        <f t="shared" si="129"/>
        <v>1540.4619749999997</v>
      </c>
    </row>
    <row r="436" spans="1:45" x14ac:dyDescent="0.25">
      <c r="A436" s="28"/>
      <c r="B436" s="43"/>
      <c r="C436" s="43"/>
      <c r="D436" s="43"/>
      <c r="E436" s="43" t="s">
        <v>2658</v>
      </c>
      <c r="F436" s="43" t="s">
        <v>991</v>
      </c>
      <c r="G436" s="46">
        <f t="shared" si="116"/>
        <v>2585.3872000000001</v>
      </c>
      <c r="H436" s="46">
        <f t="shared" si="117"/>
        <v>2313.6277500000001</v>
      </c>
      <c r="I436" s="28" t="s">
        <v>262</v>
      </c>
      <c r="J436" s="337">
        <v>1</v>
      </c>
      <c r="K436" s="46">
        <f t="shared" si="118"/>
        <v>2585.3872000000001</v>
      </c>
      <c r="L436" s="46">
        <f t="shared" si="119"/>
        <v>2313.6277500000001</v>
      </c>
      <c r="M436" s="338">
        <f t="shared" si="120"/>
        <v>0</v>
      </c>
      <c r="N436" s="43" t="s">
        <v>33</v>
      </c>
      <c r="O436" s="339">
        <v>85365090</v>
      </c>
      <c r="P436" s="340">
        <f>IFERROR(VLOOKUP(O436,NCM!$A$3:$D$99,COLUMN(head_porNCM_IPI)-COLUMN(head_porNCM_NCM)+1,FALSE),"")</f>
        <v>0.15</v>
      </c>
      <c r="Q436" s="43" t="s">
        <v>714</v>
      </c>
      <c r="R436" s="78" t="s">
        <v>210</v>
      </c>
      <c r="S436" s="341"/>
      <c r="T436" s="28" t="s">
        <v>52</v>
      </c>
      <c r="U436" s="28" t="s">
        <v>2767</v>
      </c>
      <c r="V436" s="548">
        <v>45076</v>
      </c>
      <c r="W436" s="43"/>
      <c r="X436" s="342">
        <f t="shared" si="121"/>
        <v>321.23261958997722</v>
      </c>
      <c r="Y436" s="342">
        <f t="shared" si="122"/>
        <v>261.00150341685639</v>
      </c>
      <c r="Z436" s="46">
        <f t="shared" si="123"/>
        <v>44.169485193621874</v>
      </c>
      <c r="AA436" s="46">
        <f t="shared" si="124"/>
        <v>203.44732574031892</v>
      </c>
      <c r="AB436" s="43"/>
      <c r="AC436" s="44">
        <v>2937.94</v>
      </c>
      <c r="AD436" s="31">
        <v>0.12</v>
      </c>
      <c r="AE436" s="31">
        <v>9.7500000000000003E-2</v>
      </c>
      <c r="AF436" s="31">
        <v>0</v>
      </c>
      <c r="AG436" s="28" t="s">
        <v>53</v>
      </c>
      <c r="AH436" s="46">
        <f t="shared" si="125"/>
        <v>3224.38915</v>
      </c>
      <c r="AI436" s="43"/>
      <c r="AJ436" s="28" t="s">
        <v>263</v>
      </c>
      <c r="AK436" s="337">
        <v>4.8099999999999996</v>
      </c>
      <c r="AL436" s="43"/>
      <c r="AM436" s="44">
        <f t="shared" si="126"/>
        <v>0</v>
      </c>
      <c r="AN436" s="43"/>
      <c r="AO436" s="28">
        <f t="shared" si="127"/>
        <v>0</v>
      </c>
      <c r="AP436" s="43"/>
      <c r="AQ436" s="323">
        <f t="shared" si="128"/>
        <v>0</v>
      </c>
      <c r="AR436" s="43"/>
      <c r="AS436" s="44">
        <f t="shared" si="129"/>
        <v>3224.38915</v>
      </c>
    </row>
    <row r="437" spans="1:45" x14ac:dyDescent="0.25">
      <c r="A437" s="28"/>
      <c r="B437" s="43"/>
      <c r="C437" s="43"/>
      <c r="D437" s="43"/>
      <c r="E437" s="43" t="s">
        <v>2659</v>
      </c>
      <c r="F437" s="43" t="s">
        <v>992</v>
      </c>
      <c r="G437" s="46">
        <f t="shared" si="116"/>
        <v>2886.0392000000002</v>
      </c>
      <c r="H437" s="46">
        <f t="shared" si="117"/>
        <v>2582.6771250000006</v>
      </c>
      <c r="I437" s="28" t="s">
        <v>262</v>
      </c>
      <c r="J437" s="337">
        <v>1</v>
      </c>
      <c r="K437" s="46">
        <f t="shared" si="118"/>
        <v>2886.0392000000002</v>
      </c>
      <c r="L437" s="46">
        <f t="shared" si="119"/>
        <v>2582.6771250000006</v>
      </c>
      <c r="M437" s="338">
        <f t="shared" si="120"/>
        <v>0</v>
      </c>
      <c r="N437" s="43" t="s">
        <v>33</v>
      </c>
      <c r="O437" s="339">
        <v>85365090</v>
      </c>
      <c r="P437" s="340">
        <f>IFERROR(VLOOKUP(O437,NCM!$A$3:$D$99,COLUMN(head_porNCM_IPI)-COLUMN(head_porNCM_NCM)+1,FALSE),"")</f>
        <v>0.15</v>
      </c>
      <c r="Q437" s="43" t="s">
        <v>714</v>
      </c>
      <c r="R437" s="78" t="s">
        <v>210</v>
      </c>
      <c r="S437" s="341"/>
      <c r="T437" s="28" t="s">
        <v>53</v>
      </c>
      <c r="U437" s="28" t="s">
        <v>2767</v>
      </c>
      <c r="V437" s="548">
        <v>45076</v>
      </c>
      <c r="W437" s="43"/>
      <c r="X437" s="342">
        <f t="shared" si="121"/>
        <v>358.58842824601368</v>
      </c>
      <c r="Y437" s="342">
        <f t="shared" si="122"/>
        <v>291.35309794988598</v>
      </c>
      <c r="Z437" s="46">
        <f t="shared" si="123"/>
        <v>49.305908883826888</v>
      </c>
      <c r="AA437" s="46">
        <f t="shared" si="124"/>
        <v>227.10600455580868</v>
      </c>
      <c r="AB437" s="43"/>
      <c r="AC437" s="44">
        <v>3279.59</v>
      </c>
      <c r="AD437" s="31">
        <v>0.12</v>
      </c>
      <c r="AE437" s="31">
        <v>9.7500000000000003E-2</v>
      </c>
      <c r="AF437" s="31">
        <v>0</v>
      </c>
      <c r="AG437" s="28" t="s">
        <v>53</v>
      </c>
      <c r="AH437" s="46">
        <f t="shared" si="125"/>
        <v>3599.3500249999997</v>
      </c>
      <c r="AI437" s="43"/>
      <c r="AJ437" s="28" t="s">
        <v>263</v>
      </c>
      <c r="AK437" s="337">
        <v>4.8099999999999996</v>
      </c>
      <c r="AL437" s="43"/>
      <c r="AM437" s="44">
        <f t="shared" si="126"/>
        <v>0</v>
      </c>
      <c r="AN437" s="43"/>
      <c r="AO437" s="28">
        <f t="shared" si="127"/>
        <v>0</v>
      </c>
      <c r="AP437" s="43"/>
      <c r="AQ437" s="323">
        <f t="shared" si="128"/>
        <v>0</v>
      </c>
      <c r="AR437" s="43"/>
      <c r="AS437" s="44">
        <f t="shared" si="129"/>
        <v>3599.3500249999997</v>
      </c>
    </row>
    <row r="438" spans="1:45" x14ac:dyDescent="0.25">
      <c r="A438" s="28"/>
      <c r="B438" s="43"/>
      <c r="C438" s="43"/>
      <c r="D438" s="43" t="s">
        <v>804</v>
      </c>
      <c r="E438" s="43"/>
      <c r="F438" s="43"/>
      <c r="G438" s="46">
        <f t="shared" si="116"/>
        <v>0</v>
      </c>
      <c r="H438" s="46">
        <f t="shared" si="117"/>
        <v>0</v>
      </c>
      <c r="I438" s="28"/>
      <c r="J438" s="337"/>
      <c r="K438" s="46" t="str">
        <f t="shared" si="118"/>
        <v/>
      </c>
      <c r="L438" s="46" t="str">
        <f t="shared" si="119"/>
        <v/>
      </c>
      <c r="M438" s="338">
        <f t="shared" si="120"/>
        <v>0</v>
      </c>
      <c r="N438" s="43"/>
      <c r="O438" s="339"/>
      <c r="P438" s="340" t="str">
        <f>IFERROR(VLOOKUP(O438,NCM!$A$3:$D$99,COLUMN(head_porNCM_IPI)-COLUMN(head_porNCM_NCM)+1,FALSE),"")</f>
        <v/>
      </c>
      <c r="Q438" s="43"/>
      <c r="R438" s="78"/>
      <c r="S438" s="341"/>
      <c r="T438" s="28"/>
      <c r="U438" s="28"/>
      <c r="V438" s="28"/>
      <c r="W438" s="43"/>
      <c r="X438" s="342">
        <f t="shared" si="121"/>
        <v>0</v>
      </c>
      <c r="Y438" s="342">
        <f t="shared" si="122"/>
        <v>0</v>
      </c>
      <c r="Z438" s="46">
        <f t="shared" si="123"/>
        <v>0</v>
      </c>
      <c r="AA438" s="46">
        <f t="shared" si="124"/>
        <v>0</v>
      </c>
      <c r="AB438" s="43"/>
      <c r="AC438" s="44">
        <v>0</v>
      </c>
      <c r="AD438" s="31"/>
      <c r="AE438" s="31"/>
      <c r="AF438" s="31"/>
      <c r="AG438" s="28"/>
      <c r="AH438" s="46">
        <f t="shared" si="125"/>
        <v>0</v>
      </c>
      <c r="AI438" s="43"/>
      <c r="AJ438" s="28"/>
      <c r="AK438" s="337"/>
      <c r="AL438" s="43"/>
      <c r="AM438" s="44">
        <f t="shared" si="126"/>
        <v>0</v>
      </c>
      <c r="AN438" s="43"/>
      <c r="AO438" s="28">
        <f t="shared" si="127"/>
        <v>0</v>
      </c>
      <c r="AP438" s="43"/>
      <c r="AQ438" s="323">
        <f t="shared" si="128"/>
        <v>0</v>
      </c>
      <c r="AR438" s="43"/>
      <c r="AS438" s="44">
        <f t="shared" si="129"/>
        <v>0</v>
      </c>
    </row>
    <row r="439" spans="1:45" x14ac:dyDescent="0.25">
      <c r="A439" s="28"/>
      <c r="B439" s="43"/>
      <c r="C439" s="43"/>
      <c r="D439" s="43"/>
      <c r="E439" s="43" t="s">
        <v>766</v>
      </c>
      <c r="F439" s="43" t="s">
        <v>767</v>
      </c>
      <c r="G439" s="46">
        <f t="shared" si="116"/>
        <v>2756.84</v>
      </c>
      <c r="H439" s="46">
        <f t="shared" si="117"/>
        <v>2445.8550000000005</v>
      </c>
      <c r="I439" s="28" t="s">
        <v>262</v>
      </c>
      <c r="J439" s="337">
        <v>1</v>
      </c>
      <c r="K439" s="46">
        <f t="shared" si="118"/>
        <v>2756.84</v>
      </c>
      <c r="L439" s="46">
        <f t="shared" si="119"/>
        <v>2445.8550000000005</v>
      </c>
      <c r="M439" s="338">
        <f t="shared" si="120"/>
        <v>0</v>
      </c>
      <c r="N439" s="43" t="s">
        <v>33</v>
      </c>
      <c r="O439" s="339">
        <v>85365090</v>
      </c>
      <c r="P439" s="340">
        <f>IFERROR(VLOOKUP(O439,NCM!$A$3:$D$99,COLUMN(head_porNCM_IPI)-COLUMN(head_porNCM_NCM)+1,FALSE),"")</f>
        <v>0.15</v>
      </c>
      <c r="Q439" s="43" t="s">
        <v>804</v>
      </c>
      <c r="R439" s="78" t="s">
        <v>210</v>
      </c>
      <c r="S439" s="341"/>
      <c r="T439" s="28" t="s">
        <v>52</v>
      </c>
      <c r="U439" s="28" t="s">
        <v>836</v>
      </c>
      <c r="V439" s="548">
        <v>43234</v>
      </c>
      <c r="W439" s="43"/>
      <c r="X439" s="342">
        <f t="shared" si="121"/>
        <v>526.22608695652173</v>
      </c>
      <c r="Y439" s="342">
        <f t="shared" si="122"/>
        <v>438.52173913043453</v>
      </c>
      <c r="Z439" s="46">
        <f t="shared" si="123"/>
        <v>48.237391304347831</v>
      </c>
      <c r="AA439" s="46">
        <f t="shared" si="124"/>
        <v>222.18434782608696</v>
      </c>
      <c r="AB439" s="43"/>
      <c r="AC439" s="44">
        <v>3362</v>
      </c>
      <c r="AD439" s="31">
        <v>0.18</v>
      </c>
      <c r="AE439" s="31">
        <v>0.15</v>
      </c>
      <c r="AF439" s="31">
        <v>0</v>
      </c>
      <c r="AG439" s="28" t="s">
        <v>53</v>
      </c>
      <c r="AH439" s="46">
        <f t="shared" si="125"/>
        <v>3866.2999999999997</v>
      </c>
      <c r="AI439" s="43"/>
      <c r="AJ439" s="28" t="s">
        <v>264</v>
      </c>
      <c r="AK439" s="337">
        <v>4.3</v>
      </c>
      <c r="AL439" s="43"/>
      <c r="AM439" s="44">
        <f t="shared" si="126"/>
        <v>0</v>
      </c>
      <c r="AN439" s="43"/>
      <c r="AO439" s="28">
        <f t="shared" si="127"/>
        <v>0</v>
      </c>
      <c r="AP439" s="43"/>
      <c r="AQ439" s="323">
        <f t="shared" si="128"/>
        <v>0</v>
      </c>
      <c r="AR439" s="43"/>
      <c r="AS439" s="44">
        <f t="shared" si="129"/>
        <v>3866.2999999999997</v>
      </c>
    </row>
    <row r="440" spans="1:45" x14ac:dyDescent="0.25">
      <c r="A440" s="28"/>
      <c r="B440" s="43"/>
      <c r="C440" s="43"/>
      <c r="D440" s="43" t="s">
        <v>2369</v>
      </c>
      <c r="E440" s="43"/>
      <c r="F440" s="43"/>
      <c r="G440" s="46">
        <f t="shared" ref="G440:G503" si="130">AC440*(1-AD440)</f>
        <v>0</v>
      </c>
      <c r="H440" s="46">
        <f t="shared" ref="H440:H503" si="131">AC440*(1-AD440-pis_naocum-cofins_naocum)</f>
        <v>0</v>
      </c>
      <c r="I440" s="28"/>
      <c r="J440" s="337"/>
      <c r="K440" s="46" t="str">
        <f t="shared" ref="K440:K503" si="132">IFERROR(G440*J440*VLOOKUP(I440,tbl_cambio,2,FALSE),"")</f>
        <v/>
      </c>
      <c r="L440" s="46" t="str">
        <f t="shared" ref="L440:L503" si="133">IFERROR(H440*J440*VLOOKUP(I440,tbl_cambio,2,FALSE),"")</f>
        <v/>
      </c>
      <c r="M440" s="338">
        <f t="shared" ref="M440:M503" si="134">SUMIF(col_item,"="&amp;E440,col_qtd)</f>
        <v>0</v>
      </c>
      <c r="N440" s="43"/>
      <c r="O440" s="339"/>
      <c r="P440" s="340" t="str">
        <f>IFERROR(VLOOKUP(O440,NCM!$A$3:$D$99,COLUMN(head_porNCM_IPI)-COLUMN(head_porNCM_NCM)+1,FALSE),"")</f>
        <v/>
      </c>
      <c r="Q440" s="43"/>
      <c r="R440" s="78"/>
      <c r="S440" s="341"/>
      <c r="T440" s="28"/>
      <c r="U440" s="28"/>
      <c r="V440" s="28"/>
      <c r="W440" s="43"/>
      <c r="X440" s="342">
        <f t="shared" ref="X440:X503" si="135">(AC440-Y440)*AD440</f>
        <v>0</v>
      </c>
      <c r="Y440" s="342">
        <f t="shared" ref="Y440:Y503" si="136">AC440-AC440/(1+AE440)</f>
        <v>0</v>
      </c>
      <c r="Z440" s="46">
        <f t="shared" ref="Z440:Z503" si="137">(AC440-Y440)*pis_naocum</f>
        <v>0</v>
      </c>
      <c r="AA440" s="46">
        <f t="shared" ref="AA440:AA503" si="138">(AC440-Y440)*cofins_naocum</f>
        <v>0</v>
      </c>
      <c r="AB440" s="43"/>
      <c r="AC440" s="44">
        <v>0</v>
      </c>
      <c r="AD440" s="31"/>
      <c r="AE440" s="31"/>
      <c r="AF440" s="31"/>
      <c r="AG440" s="28"/>
      <c r="AH440" s="46">
        <f t="shared" ref="AH440:AH503" si="139">AC440*(1+AE440)</f>
        <v>0</v>
      </c>
      <c r="AI440" s="43"/>
      <c r="AJ440" s="28"/>
      <c r="AK440" s="337"/>
      <c r="AL440" s="43"/>
      <c r="AM440" s="44">
        <f t="shared" ref="AM440:AM503" si="140">IF(AND(AJ440&lt;&gt;"",AK440&gt;0),AQ440*(VLOOKUP(AJ440,tbl_cambio,2,FALSE)/AK440-1),0)</f>
        <v>0</v>
      </c>
      <c r="AN440" s="43"/>
      <c r="AO440" s="28">
        <f t="shared" ref="AO440:AO503" si="141">IF(T440="Sim",ROUNDUP(M440*sobress_pc,0),0)</f>
        <v>0</v>
      </c>
      <c r="AP440" s="43"/>
      <c r="AQ440" s="323">
        <f t="shared" ref="AQ440:AQ503" si="142">SUMIFS(col_custoTotal,col_fatdir,"Não",col_item,E440)</f>
        <v>0</v>
      </c>
      <c r="AR440" s="43"/>
      <c r="AS440" s="44">
        <f t="shared" ref="AS440:AS503" si="143">IFERROR(AH440*VLOOKUP(I440,tbl_cambio,2,FALSE),0)</f>
        <v>0</v>
      </c>
    </row>
    <row r="441" spans="1:45" x14ac:dyDescent="0.25">
      <c r="A441" s="28"/>
      <c r="B441" s="43"/>
      <c r="C441" s="43"/>
      <c r="D441" s="43"/>
      <c r="E441" s="43" t="s">
        <v>2370</v>
      </c>
      <c r="F441" s="43" t="s">
        <v>2371</v>
      </c>
      <c r="G441" s="46">
        <f t="shared" si="130"/>
        <v>281.54971428571429</v>
      </c>
      <c r="H441" s="46">
        <f t="shared" si="131"/>
        <v>251.95500000000001</v>
      </c>
      <c r="I441" s="28" t="s">
        <v>263</v>
      </c>
      <c r="J441" s="337">
        <v>1</v>
      </c>
      <c r="K441" s="46">
        <f t="shared" si="132"/>
        <v>1528.8149485714284</v>
      </c>
      <c r="L441" s="46">
        <f t="shared" si="133"/>
        <v>1368.11565</v>
      </c>
      <c r="M441" s="338">
        <f t="shared" si="134"/>
        <v>0</v>
      </c>
      <c r="N441" s="43" t="s">
        <v>33</v>
      </c>
      <c r="O441" s="339">
        <v>85365090</v>
      </c>
      <c r="P441" s="340">
        <f>IFERROR(VLOOKUP(O441,NCM!$A$3:$D$99,COLUMN(head_porNCM_IPI)-COLUMN(head_porNCM_NCM)+1,FALSE),"")</f>
        <v>0.15</v>
      </c>
      <c r="Q441" s="43" t="s">
        <v>2373</v>
      </c>
      <c r="R441" s="78" t="s">
        <v>211</v>
      </c>
      <c r="S441" s="341"/>
      <c r="T441" s="28" t="s">
        <v>52</v>
      </c>
      <c r="U441" s="28" t="s">
        <v>2374</v>
      </c>
      <c r="V441" s="548">
        <v>45021</v>
      </c>
      <c r="W441" s="43"/>
      <c r="X441" s="342">
        <f t="shared" si="135"/>
        <v>34.982362512203061</v>
      </c>
      <c r="Y441" s="342">
        <f t="shared" si="136"/>
        <v>28.423169541164953</v>
      </c>
      <c r="Z441" s="46">
        <f t="shared" si="137"/>
        <v>4.8100748454279207</v>
      </c>
      <c r="AA441" s="46">
        <f t="shared" si="138"/>
        <v>22.155496257728604</v>
      </c>
      <c r="AB441" s="43"/>
      <c r="AC441" s="44">
        <v>319.94285714285712</v>
      </c>
      <c r="AD441" s="31">
        <v>0.12</v>
      </c>
      <c r="AE441" s="31">
        <v>9.7500000000000003E-2</v>
      </c>
      <c r="AF441" s="31">
        <v>0</v>
      </c>
      <c r="AG441" s="28" t="s">
        <v>53</v>
      </c>
      <c r="AH441" s="46">
        <f t="shared" si="139"/>
        <v>351.13728571428567</v>
      </c>
      <c r="AI441" s="43"/>
      <c r="AJ441" s="28" t="s">
        <v>263</v>
      </c>
      <c r="AK441" s="337">
        <v>5.21</v>
      </c>
      <c r="AL441" s="43"/>
      <c r="AM441" s="44">
        <f t="shared" si="140"/>
        <v>0</v>
      </c>
      <c r="AN441" s="43"/>
      <c r="AO441" s="28">
        <f t="shared" si="141"/>
        <v>0</v>
      </c>
      <c r="AP441" s="43"/>
      <c r="AQ441" s="323">
        <f t="shared" si="142"/>
        <v>0</v>
      </c>
      <c r="AR441" s="43"/>
      <c r="AS441" s="44">
        <f t="shared" si="143"/>
        <v>1906.675461428571</v>
      </c>
    </row>
    <row r="442" spans="1:45" x14ac:dyDescent="0.25">
      <c r="A442" s="28"/>
      <c r="B442" s="43"/>
      <c r="C442" s="43"/>
      <c r="D442" s="43" t="s">
        <v>808</v>
      </c>
      <c r="E442" s="43"/>
      <c r="F442" s="43"/>
      <c r="G442" s="46">
        <f t="shared" si="130"/>
        <v>0</v>
      </c>
      <c r="H442" s="46">
        <f t="shared" si="131"/>
        <v>0</v>
      </c>
      <c r="I442" s="28"/>
      <c r="J442" s="337"/>
      <c r="K442" s="46" t="str">
        <f t="shared" si="132"/>
        <v/>
      </c>
      <c r="L442" s="46" t="str">
        <f t="shared" si="133"/>
        <v/>
      </c>
      <c r="M442" s="338">
        <f t="shared" si="134"/>
        <v>0</v>
      </c>
      <c r="N442" s="43"/>
      <c r="O442" s="339"/>
      <c r="P442" s="340" t="str">
        <f>IFERROR(VLOOKUP(O442,NCM!$A$3:$D$99,COLUMN(head_porNCM_IPI)-COLUMN(head_porNCM_NCM)+1,FALSE),"")</f>
        <v/>
      </c>
      <c r="Q442" s="43"/>
      <c r="R442" s="78"/>
      <c r="S442" s="341"/>
      <c r="T442" s="28"/>
      <c r="U442" s="28"/>
      <c r="V442" s="28"/>
      <c r="W442" s="43"/>
      <c r="X442" s="342">
        <f t="shared" si="135"/>
        <v>0</v>
      </c>
      <c r="Y442" s="342">
        <f t="shared" si="136"/>
        <v>0</v>
      </c>
      <c r="Z442" s="46">
        <f t="shared" si="137"/>
        <v>0</v>
      </c>
      <c r="AA442" s="46">
        <f t="shared" si="138"/>
        <v>0</v>
      </c>
      <c r="AB442" s="43"/>
      <c r="AC442" s="44">
        <v>0</v>
      </c>
      <c r="AD442" s="31"/>
      <c r="AE442" s="31"/>
      <c r="AF442" s="31"/>
      <c r="AG442" s="28"/>
      <c r="AH442" s="46">
        <f t="shared" si="139"/>
        <v>0</v>
      </c>
      <c r="AI442" s="43"/>
      <c r="AJ442" s="28"/>
      <c r="AK442" s="337"/>
      <c r="AL442" s="43"/>
      <c r="AM442" s="44">
        <f t="shared" si="140"/>
        <v>0</v>
      </c>
      <c r="AN442" s="43"/>
      <c r="AO442" s="28">
        <f t="shared" si="141"/>
        <v>0</v>
      </c>
      <c r="AP442" s="43"/>
      <c r="AQ442" s="323">
        <f t="shared" si="142"/>
        <v>0</v>
      </c>
      <c r="AR442" s="43"/>
      <c r="AS442" s="44">
        <f t="shared" si="143"/>
        <v>0</v>
      </c>
    </row>
    <row r="443" spans="1:45" x14ac:dyDescent="0.25">
      <c r="A443" s="28"/>
      <c r="B443" s="43"/>
      <c r="C443" s="43"/>
      <c r="D443" s="43"/>
      <c r="E443" s="43" t="s">
        <v>2051</v>
      </c>
      <c r="F443" s="43" t="s">
        <v>1926</v>
      </c>
      <c r="G443" s="46">
        <f t="shared" si="130"/>
        <v>15431.61</v>
      </c>
      <c r="H443" s="46">
        <f t="shared" si="131"/>
        <v>14004.186075000001</v>
      </c>
      <c r="I443" s="28" t="s">
        <v>262</v>
      </c>
      <c r="J443" s="337">
        <v>1</v>
      </c>
      <c r="K443" s="46">
        <f t="shared" si="132"/>
        <v>15431.61</v>
      </c>
      <c r="L443" s="46">
        <f t="shared" si="133"/>
        <v>14004.186075000001</v>
      </c>
      <c r="M443" s="338">
        <f t="shared" si="134"/>
        <v>0</v>
      </c>
      <c r="N443" s="43" t="s">
        <v>669</v>
      </c>
      <c r="O443" s="339" t="s">
        <v>167</v>
      </c>
      <c r="P443" s="340" t="str">
        <f>IFERROR(VLOOKUP(O443,NCM!$A$3:$D$99,COLUMN(head_porNCM_IPI)-COLUMN(head_porNCM_NCM)+1,FALSE),"")</f>
        <v/>
      </c>
      <c r="Q443" s="43" t="s">
        <v>804</v>
      </c>
      <c r="R443" s="78" t="s">
        <v>210</v>
      </c>
      <c r="S443" s="341"/>
      <c r="T443" s="28" t="s">
        <v>53</v>
      </c>
      <c r="U443" s="28" t="s">
        <v>2741</v>
      </c>
      <c r="V443" s="548">
        <v>45399</v>
      </c>
      <c r="W443" s="43"/>
      <c r="X443" s="342">
        <f t="shared" si="135"/>
        <v>0</v>
      </c>
      <c r="Y443" s="342">
        <f t="shared" si="136"/>
        <v>0</v>
      </c>
      <c r="Z443" s="46">
        <f t="shared" si="137"/>
        <v>254.62156500000003</v>
      </c>
      <c r="AA443" s="46">
        <f t="shared" si="138"/>
        <v>1172.8023599999999</v>
      </c>
      <c r="AB443" s="43"/>
      <c r="AC443" s="44">
        <v>15431.61</v>
      </c>
      <c r="AD443" s="31">
        <v>0</v>
      </c>
      <c r="AE443" s="31">
        <v>0</v>
      </c>
      <c r="AF443" s="31">
        <v>0.02</v>
      </c>
      <c r="AG443" s="28" t="s">
        <v>53</v>
      </c>
      <c r="AH443" s="46">
        <f t="shared" si="139"/>
        <v>15431.61</v>
      </c>
      <c r="AI443" s="43"/>
      <c r="AJ443" s="28" t="s">
        <v>264</v>
      </c>
      <c r="AK443" s="337">
        <v>5.59</v>
      </c>
      <c r="AL443" s="43"/>
      <c r="AM443" s="44">
        <f t="shared" si="140"/>
        <v>0</v>
      </c>
      <c r="AN443" s="43"/>
      <c r="AO443" s="28">
        <f t="shared" si="141"/>
        <v>0</v>
      </c>
      <c r="AP443" s="43"/>
      <c r="AQ443" s="323">
        <f t="shared" si="142"/>
        <v>0</v>
      </c>
      <c r="AR443" s="43"/>
      <c r="AS443" s="44">
        <f t="shared" si="143"/>
        <v>15431.61</v>
      </c>
    </row>
    <row r="444" spans="1:45" x14ac:dyDescent="0.25">
      <c r="A444" s="28"/>
      <c r="B444" s="43"/>
      <c r="C444" s="43"/>
      <c r="D444" s="43"/>
      <c r="E444" s="43" t="s">
        <v>2660</v>
      </c>
      <c r="F444" s="43" t="s">
        <v>2661</v>
      </c>
      <c r="G444" s="46">
        <f t="shared" si="130"/>
        <v>21544.37</v>
      </c>
      <c r="H444" s="46">
        <f t="shared" si="131"/>
        <v>19551.515775</v>
      </c>
      <c r="I444" s="28" t="s">
        <v>262</v>
      </c>
      <c r="J444" s="337">
        <v>1</v>
      </c>
      <c r="K444" s="46">
        <f t="shared" si="132"/>
        <v>21544.37</v>
      </c>
      <c r="L444" s="46">
        <f t="shared" si="133"/>
        <v>19551.515775</v>
      </c>
      <c r="M444" s="338">
        <f t="shared" si="134"/>
        <v>0</v>
      </c>
      <c r="N444" s="43" t="s">
        <v>669</v>
      </c>
      <c r="O444" s="339" t="s">
        <v>167</v>
      </c>
      <c r="P444" s="340" t="str">
        <f>IFERROR(VLOOKUP(O444,NCM!$A$3:$D$99,COLUMN(head_porNCM_IPI)-COLUMN(head_porNCM_NCM)+1,FALSE),"")</f>
        <v/>
      </c>
      <c r="Q444" s="43" t="s">
        <v>804</v>
      </c>
      <c r="R444" s="78" t="s">
        <v>210</v>
      </c>
      <c r="S444" s="341"/>
      <c r="T444" s="28" t="s">
        <v>53</v>
      </c>
      <c r="U444" s="28" t="s">
        <v>2768</v>
      </c>
      <c r="V444" s="548">
        <v>45062</v>
      </c>
      <c r="W444" s="43"/>
      <c r="X444" s="342">
        <f t="shared" si="135"/>
        <v>0</v>
      </c>
      <c r="Y444" s="342">
        <f t="shared" si="136"/>
        <v>0</v>
      </c>
      <c r="Z444" s="46">
        <f t="shared" si="137"/>
        <v>355.48210499999999</v>
      </c>
      <c r="AA444" s="46">
        <f t="shared" si="138"/>
        <v>1637.37212</v>
      </c>
      <c r="AB444" s="43"/>
      <c r="AC444" s="44">
        <v>21544.37</v>
      </c>
      <c r="AD444" s="31">
        <v>0</v>
      </c>
      <c r="AE444" s="31">
        <v>0</v>
      </c>
      <c r="AF444" s="31">
        <v>0.02</v>
      </c>
      <c r="AG444" s="28" t="s">
        <v>53</v>
      </c>
      <c r="AH444" s="46">
        <f t="shared" si="139"/>
        <v>21544.37</v>
      </c>
      <c r="AI444" s="43"/>
      <c r="AJ444" s="28" t="s">
        <v>264</v>
      </c>
      <c r="AK444" s="337">
        <v>5.44</v>
      </c>
      <c r="AL444" s="43"/>
      <c r="AM444" s="44">
        <f t="shared" si="140"/>
        <v>0</v>
      </c>
      <c r="AN444" s="43"/>
      <c r="AO444" s="28">
        <f t="shared" si="141"/>
        <v>0</v>
      </c>
      <c r="AP444" s="43"/>
      <c r="AQ444" s="323">
        <f t="shared" si="142"/>
        <v>0</v>
      </c>
      <c r="AR444" s="43"/>
      <c r="AS444" s="44">
        <f t="shared" si="143"/>
        <v>21544.37</v>
      </c>
    </row>
    <row r="445" spans="1:45" x14ac:dyDescent="0.25">
      <c r="A445" s="28"/>
      <c r="B445" s="43"/>
      <c r="C445" s="43"/>
      <c r="D445" s="43"/>
      <c r="E445" s="43" t="s">
        <v>809</v>
      </c>
      <c r="F445" s="43" t="s">
        <v>810</v>
      </c>
      <c r="G445" s="46">
        <f t="shared" si="130"/>
        <v>10320</v>
      </c>
      <c r="H445" s="46">
        <f t="shared" si="131"/>
        <v>9365.4000000000015</v>
      </c>
      <c r="I445" s="28" t="s">
        <v>262</v>
      </c>
      <c r="J445" s="337">
        <v>1</v>
      </c>
      <c r="K445" s="46">
        <f t="shared" si="132"/>
        <v>10320</v>
      </c>
      <c r="L445" s="46">
        <f t="shared" si="133"/>
        <v>9365.4000000000015</v>
      </c>
      <c r="M445" s="338">
        <f t="shared" si="134"/>
        <v>0</v>
      </c>
      <c r="N445" s="43" t="s">
        <v>669</v>
      </c>
      <c r="O445" s="339" t="s">
        <v>167</v>
      </c>
      <c r="P445" s="340" t="str">
        <f>IFERROR(VLOOKUP(O445,NCM!$A$3:$D$99,COLUMN(head_porNCM_IPI)-COLUMN(head_porNCM_NCM)+1,FALSE),"")</f>
        <v/>
      </c>
      <c r="Q445" s="43" t="s">
        <v>804</v>
      </c>
      <c r="R445" s="78" t="s">
        <v>210</v>
      </c>
      <c r="S445" s="341"/>
      <c r="T445" s="28" t="s">
        <v>53</v>
      </c>
      <c r="U445" s="28" t="s">
        <v>837</v>
      </c>
      <c r="V445" s="548">
        <v>43157</v>
      </c>
      <c r="W445" s="43"/>
      <c r="X445" s="342">
        <f t="shared" si="135"/>
        <v>0</v>
      </c>
      <c r="Y445" s="342">
        <f t="shared" si="136"/>
        <v>0</v>
      </c>
      <c r="Z445" s="46">
        <f t="shared" si="137"/>
        <v>170.28</v>
      </c>
      <c r="AA445" s="46">
        <f t="shared" si="138"/>
        <v>784.31999999999994</v>
      </c>
      <c r="AB445" s="43"/>
      <c r="AC445" s="44">
        <v>10320</v>
      </c>
      <c r="AD445" s="31">
        <v>0</v>
      </c>
      <c r="AE445" s="31">
        <v>0</v>
      </c>
      <c r="AF445" s="31">
        <v>0</v>
      </c>
      <c r="AG445" s="28" t="s">
        <v>53</v>
      </c>
      <c r="AH445" s="46">
        <f t="shared" si="139"/>
        <v>10320</v>
      </c>
      <c r="AI445" s="43"/>
      <c r="AJ445" s="28" t="s">
        <v>264</v>
      </c>
      <c r="AK445" s="337">
        <v>3.98</v>
      </c>
      <c r="AL445" s="43"/>
      <c r="AM445" s="44">
        <f t="shared" si="140"/>
        <v>0</v>
      </c>
      <c r="AN445" s="43"/>
      <c r="AO445" s="28">
        <f t="shared" si="141"/>
        <v>0</v>
      </c>
      <c r="AP445" s="43"/>
      <c r="AQ445" s="323">
        <f t="shared" si="142"/>
        <v>0</v>
      </c>
      <c r="AR445" s="43"/>
      <c r="AS445" s="44">
        <f t="shared" si="143"/>
        <v>10320</v>
      </c>
    </row>
    <row r="446" spans="1:45" x14ac:dyDescent="0.25">
      <c r="A446" s="28"/>
      <c r="B446" s="43"/>
      <c r="C446" s="43"/>
      <c r="D446" s="43" t="s">
        <v>2662</v>
      </c>
      <c r="E446" s="43"/>
      <c r="F446" s="43"/>
      <c r="G446" s="46">
        <f t="shared" si="130"/>
        <v>0</v>
      </c>
      <c r="H446" s="46">
        <f t="shared" si="131"/>
        <v>0</v>
      </c>
      <c r="I446" s="28"/>
      <c r="J446" s="337"/>
      <c r="K446" s="46" t="str">
        <f t="shared" si="132"/>
        <v/>
      </c>
      <c r="L446" s="46" t="str">
        <f t="shared" si="133"/>
        <v/>
      </c>
      <c r="M446" s="338">
        <f t="shared" si="134"/>
        <v>0</v>
      </c>
      <c r="N446" s="43"/>
      <c r="O446" s="339"/>
      <c r="P446" s="340" t="str">
        <f>IFERROR(VLOOKUP(O446,NCM!$A$3:$D$99,COLUMN(head_porNCM_IPI)-COLUMN(head_porNCM_NCM)+1,FALSE),"")</f>
        <v/>
      </c>
      <c r="Q446" s="43"/>
      <c r="R446" s="78"/>
      <c r="S446" s="341"/>
      <c r="T446" s="28"/>
      <c r="U446" s="28"/>
      <c r="V446" s="28"/>
      <c r="W446" s="43"/>
      <c r="X446" s="342">
        <f t="shared" si="135"/>
        <v>0</v>
      </c>
      <c r="Y446" s="342">
        <f t="shared" si="136"/>
        <v>0</v>
      </c>
      <c r="Z446" s="46">
        <f t="shared" si="137"/>
        <v>0</v>
      </c>
      <c r="AA446" s="46">
        <f t="shared" si="138"/>
        <v>0</v>
      </c>
      <c r="AB446" s="43"/>
      <c r="AC446" s="44">
        <v>0</v>
      </c>
      <c r="AD446" s="31"/>
      <c r="AE446" s="31"/>
      <c r="AF446" s="31"/>
      <c r="AG446" s="28"/>
      <c r="AH446" s="46">
        <f t="shared" si="139"/>
        <v>0</v>
      </c>
      <c r="AI446" s="43"/>
      <c r="AJ446" s="28"/>
      <c r="AK446" s="337"/>
      <c r="AL446" s="43"/>
      <c r="AM446" s="44">
        <f t="shared" si="140"/>
        <v>0</v>
      </c>
      <c r="AN446" s="43"/>
      <c r="AO446" s="28">
        <f t="shared" si="141"/>
        <v>0</v>
      </c>
      <c r="AP446" s="43"/>
      <c r="AQ446" s="323">
        <f t="shared" si="142"/>
        <v>0</v>
      </c>
      <c r="AR446" s="43"/>
      <c r="AS446" s="44">
        <f t="shared" si="143"/>
        <v>0</v>
      </c>
    </row>
    <row r="447" spans="1:45" x14ac:dyDescent="0.25">
      <c r="A447" s="28"/>
      <c r="B447" s="43"/>
      <c r="C447" s="43"/>
      <c r="D447" s="43"/>
      <c r="E447" s="43" t="s">
        <v>2663</v>
      </c>
      <c r="F447" s="43" t="s">
        <v>2664</v>
      </c>
      <c r="G447" s="46">
        <f t="shared" si="130"/>
        <v>6381.23</v>
      </c>
      <c r="H447" s="46">
        <f t="shared" si="131"/>
        <v>5790.9662250000001</v>
      </c>
      <c r="I447" s="28" t="s">
        <v>262</v>
      </c>
      <c r="J447" s="337">
        <v>1</v>
      </c>
      <c r="K447" s="46">
        <f t="shared" si="132"/>
        <v>6381.23</v>
      </c>
      <c r="L447" s="46">
        <f t="shared" si="133"/>
        <v>5790.9662250000001</v>
      </c>
      <c r="M447" s="338">
        <f t="shared" si="134"/>
        <v>0</v>
      </c>
      <c r="N447" s="43" t="s">
        <v>669</v>
      </c>
      <c r="O447" s="339" t="s">
        <v>167</v>
      </c>
      <c r="P447" s="340" t="str">
        <f>IFERROR(VLOOKUP(O447,NCM!$A$3:$D$99,COLUMN(head_porNCM_IPI)-COLUMN(head_porNCM_NCM)+1,FALSE),"")</f>
        <v/>
      </c>
      <c r="Q447" s="43" t="s">
        <v>804</v>
      </c>
      <c r="R447" s="78" t="s">
        <v>210</v>
      </c>
      <c r="S447" s="341"/>
      <c r="T447" s="28" t="s">
        <v>53</v>
      </c>
      <c r="U447" s="28" t="s">
        <v>2768</v>
      </c>
      <c r="V447" s="548">
        <v>45062</v>
      </c>
      <c r="W447" s="43"/>
      <c r="X447" s="342">
        <f t="shared" si="135"/>
        <v>0</v>
      </c>
      <c r="Y447" s="342">
        <f t="shared" si="136"/>
        <v>0</v>
      </c>
      <c r="Z447" s="46">
        <f t="shared" si="137"/>
        <v>105.290295</v>
      </c>
      <c r="AA447" s="46">
        <f t="shared" si="138"/>
        <v>484.97347999999994</v>
      </c>
      <c r="AB447" s="43"/>
      <c r="AC447" s="44">
        <v>6381.23</v>
      </c>
      <c r="AD447" s="31">
        <v>0</v>
      </c>
      <c r="AE447" s="31">
        <v>0</v>
      </c>
      <c r="AF447" s="31">
        <v>0.02</v>
      </c>
      <c r="AG447" s="28" t="s">
        <v>53</v>
      </c>
      <c r="AH447" s="46">
        <f t="shared" si="139"/>
        <v>6381.23</v>
      </c>
      <c r="AI447" s="43"/>
      <c r="AJ447" s="28" t="s">
        <v>264</v>
      </c>
      <c r="AK447" s="337">
        <v>5.44</v>
      </c>
      <c r="AL447" s="43"/>
      <c r="AM447" s="44">
        <f t="shared" si="140"/>
        <v>0</v>
      </c>
      <c r="AN447" s="43"/>
      <c r="AO447" s="28">
        <f t="shared" si="141"/>
        <v>0</v>
      </c>
      <c r="AP447" s="43"/>
      <c r="AQ447" s="323">
        <f t="shared" si="142"/>
        <v>0</v>
      </c>
      <c r="AR447" s="43"/>
      <c r="AS447" s="44">
        <f t="shared" si="143"/>
        <v>6381.23</v>
      </c>
    </row>
    <row r="448" spans="1:45" x14ac:dyDescent="0.25">
      <c r="A448" s="28"/>
      <c r="B448" s="43"/>
      <c r="C448" s="43"/>
      <c r="D448" s="43"/>
      <c r="E448" s="43" t="s">
        <v>2665</v>
      </c>
      <c r="F448" s="43" t="s">
        <v>2666</v>
      </c>
      <c r="G448" s="46">
        <f t="shared" si="130"/>
        <v>38781.93</v>
      </c>
      <c r="H448" s="46">
        <f t="shared" si="131"/>
        <v>35194.601475000003</v>
      </c>
      <c r="I448" s="28" t="s">
        <v>262</v>
      </c>
      <c r="J448" s="337">
        <v>1</v>
      </c>
      <c r="K448" s="46">
        <f t="shared" si="132"/>
        <v>38781.93</v>
      </c>
      <c r="L448" s="46">
        <f t="shared" si="133"/>
        <v>35194.601475000003</v>
      </c>
      <c r="M448" s="338">
        <f t="shared" si="134"/>
        <v>0</v>
      </c>
      <c r="N448" s="43" t="s">
        <v>669</v>
      </c>
      <c r="O448" s="339" t="s">
        <v>167</v>
      </c>
      <c r="P448" s="340" t="str">
        <f>IFERROR(VLOOKUP(O448,NCM!$A$3:$D$99,COLUMN(head_porNCM_IPI)-COLUMN(head_porNCM_NCM)+1,FALSE),"")</f>
        <v/>
      </c>
      <c r="Q448" s="43" t="s">
        <v>804</v>
      </c>
      <c r="R448" s="78" t="s">
        <v>210</v>
      </c>
      <c r="S448" s="341"/>
      <c r="T448" s="28" t="s">
        <v>53</v>
      </c>
      <c r="U448" s="28" t="s">
        <v>2769</v>
      </c>
      <c r="V448" s="548">
        <v>45006</v>
      </c>
      <c r="W448" s="43"/>
      <c r="X448" s="342">
        <f t="shared" si="135"/>
        <v>0</v>
      </c>
      <c r="Y448" s="342">
        <f t="shared" si="136"/>
        <v>0</v>
      </c>
      <c r="Z448" s="46">
        <f t="shared" si="137"/>
        <v>639.90184499999998</v>
      </c>
      <c r="AA448" s="46">
        <f t="shared" si="138"/>
        <v>2947.42668</v>
      </c>
      <c r="AB448" s="43"/>
      <c r="AC448" s="44">
        <v>38781.93</v>
      </c>
      <c r="AD448" s="31">
        <v>0</v>
      </c>
      <c r="AE448" s="31">
        <v>0</v>
      </c>
      <c r="AF448" s="31">
        <v>0.02</v>
      </c>
      <c r="AG448" s="28" t="s">
        <v>53</v>
      </c>
      <c r="AH448" s="46">
        <f t="shared" si="139"/>
        <v>38781.93</v>
      </c>
      <c r="AI448" s="43"/>
      <c r="AJ448" s="28" t="s">
        <v>264</v>
      </c>
      <c r="AK448" s="337">
        <v>3.98</v>
      </c>
      <c r="AL448" s="43"/>
      <c r="AM448" s="44">
        <f t="shared" si="140"/>
        <v>0</v>
      </c>
      <c r="AN448" s="43"/>
      <c r="AO448" s="28">
        <f t="shared" si="141"/>
        <v>0</v>
      </c>
      <c r="AP448" s="43"/>
      <c r="AQ448" s="323">
        <f t="shared" si="142"/>
        <v>0</v>
      </c>
      <c r="AR448" s="43"/>
      <c r="AS448" s="44">
        <f t="shared" si="143"/>
        <v>38781.93</v>
      </c>
    </row>
    <row r="449" spans="1:45" x14ac:dyDescent="0.25">
      <c r="A449" s="28"/>
      <c r="B449" s="43"/>
      <c r="C449" s="43"/>
      <c r="D449" s="43" t="s">
        <v>717</v>
      </c>
      <c r="E449" s="43"/>
      <c r="F449" s="43"/>
      <c r="G449" s="46">
        <f t="shared" si="130"/>
        <v>0</v>
      </c>
      <c r="H449" s="46">
        <f t="shared" si="131"/>
        <v>0</v>
      </c>
      <c r="I449" s="28"/>
      <c r="J449" s="337"/>
      <c r="K449" s="46" t="str">
        <f t="shared" si="132"/>
        <v/>
      </c>
      <c r="L449" s="46" t="str">
        <f t="shared" si="133"/>
        <v/>
      </c>
      <c r="M449" s="338">
        <f t="shared" si="134"/>
        <v>0</v>
      </c>
      <c r="N449" s="43"/>
      <c r="O449" s="339"/>
      <c r="P449" s="340" t="str">
        <f>IFERROR(VLOOKUP(O449,NCM!$A$3:$D$99,COLUMN(head_porNCM_IPI)-COLUMN(head_porNCM_NCM)+1,FALSE),"")</f>
        <v/>
      </c>
      <c r="Q449" s="43"/>
      <c r="R449" s="78"/>
      <c r="S449" s="341"/>
      <c r="T449" s="28"/>
      <c r="U449" s="28"/>
      <c r="V449" s="28"/>
      <c r="W449" s="43"/>
      <c r="X449" s="342">
        <f t="shared" si="135"/>
        <v>0</v>
      </c>
      <c r="Y449" s="342">
        <f t="shared" si="136"/>
        <v>0</v>
      </c>
      <c r="Z449" s="46">
        <f t="shared" si="137"/>
        <v>0</v>
      </c>
      <c r="AA449" s="46">
        <f t="shared" si="138"/>
        <v>0</v>
      </c>
      <c r="AB449" s="43"/>
      <c r="AC449" s="44">
        <v>0</v>
      </c>
      <c r="AD449" s="31"/>
      <c r="AE449" s="31"/>
      <c r="AF449" s="31"/>
      <c r="AG449" s="28"/>
      <c r="AH449" s="46">
        <f t="shared" si="139"/>
        <v>0</v>
      </c>
      <c r="AI449" s="43"/>
      <c r="AJ449" s="28"/>
      <c r="AK449" s="337"/>
      <c r="AL449" s="43"/>
      <c r="AM449" s="44">
        <f t="shared" si="140"/>
        <v>0</v>
      </c>
      <c r="AN449" s="43"/>
      <c r="AO449" s="28">
        <f t="shared" si="141"/>
        <v>0</v>
      </c>
      <c r="AP449" s="43"/>
      <c r="AQ449" s="323">
        <f t="shared" si="142"/>
        <v>0</v>
      </c>
      <c r="AR449" s="43"/>
      <c r="AS449" s="44">
        <f t="shared" si="143"/>
        <v>0</v>
      </c>
    </row>
    <row r="450" spans="1:45" x14ac:dyDescent="0.25">
      <c r="A450" s="28"/>
      <c r="B450" s="43"/>
      <c r="C450" s="43"/>
      <c r="D450" s="43"/>
      <c r="E450" s="43" t="s">
        <v>1080</v>
      </c>
      <c r="F450" s="43" t="s">
        <v>1081</v>
      </c>
      <c r="G450" s="46">
        <f t="shared" si="130"/>
        <v>7526.666400000001</v>
      </c>
      <c r="H450" s="46">
        <f t="shared" si="131"/>
        <v>6735.5111250000009</v>
      </c>
      <c r="I450" s="28" t="s">
        <v>262</v>
      </c>
      <c r="J450" s="337">
        <v>1</v>
      </c>
      <c r="K450" s="46">
        <f t="shared" si="132"/>
        <v>7526.666400000001</v>
      </c>
      <c r="L450" s="46">
        <f t="shared" si="133"/>
        <v>6735.5111250000009</v>
      </c>
      <c r="M450" s="338">
        <f t="shared" si="134"/>
        <v>0</v>
      </c>
      <c r="N450" s="43" t="s">
        <v>160</v>
      </c>
      <c r="O450" s="339">
        <v>90308490</v>
      </c>
      <c r="P450" s="340">
        <f>IFERROR(VLOOKUP(O450,NCM!$A$3:$D$99,COLUMN(head_porNCM_IPI)-COLUMN(head_porNCM_NCM)+1,FALSE),"")</f>
        <v>3.2500000000000001E-2</v>
      </c>
      <c r="Q450" s="43" t="s">
        <v>993</v>
      </c>
      <c r="R450" s="78" t="s">
        <v>209</v>
      </c>
      <c r="S450" s="341"/>
      <c r="T450" s="28" t="s">
        <v>52</v>
      </c>
      <c r="U450" s="28" t="s">
        <v>1088</v>
      </c>
      <c r="V450" s="548">
        <v>43577</v>
      </c>
      <c r="W450" s="43"/>
      <c r="X450" s="342">
        <f t="shared" si="135"/>
        <v>977.48914285714284</v>
      </c>
      <c r="Y450" s="342">
        <f t="shared" si="136"/>
        <v>407.28714285714341</v>
      </c>
      <c r="Z450" s="46">
        <f t="shared" si="137"/>
        <v>134.40475714285716</v>
      </c>
      <c r="AA450" s="46">
        <f t="shared" si="138"/>
        <v>619.07645714285718</v>
      </c>
      <c r="AB450" s="43"/>
      <c r="AC450" s="44">
        <v>8553.0300000000007</v>
      </c>
      <c r="AD450" s="31">
        <v>0.12</v>
      </c>
      <c r="AE450" s="31">
        <v>0.05</v>
      </c>
      <c r="AF450" s="31">
        <v>0</v>
      </c>
      <c r="AG450" s="28" t="s">
        <v>53</v>
      </c>
      <c r="AH450" s="46">
        <f t="shared" si="139"/>
        <v>8980.6815000000006</v>
      </c>
      <c r="AI450" s="43"/>
      <c r="AJ450" s="28"/>
      <c r="AK450" s="337"/>
      <c r="AL450" s="43"/>
      <c r="AM450" s="44">
        <f t="shared" si="140"/>
        <v>0</v>
      </c>
      <c r="AN450" s="43"/>
      <c r="AO450" s="28">
        <f t="shared" si="141"/>
        <v>0</v>
      </c>
      <c r="AP450" s="43"/>
      <c r="AQ450" s="323">
        <f t="shared" si="142"/>
        <v>0</v>
      </c>
      <c r="AR450" s="43"/>
      <c r="AS450" s="44">
        <f t="shared" si="143"/>
        <v>8980.6815000000006</v>
      </c>
    </row>
    <row r="451" spans="1:45" x14ac:dyDescent="0.25">
      <c r="A451" s="28"/>
      <c r="B451" s="43"/>
      <c r="C451" s="43"/>
      <c r="D451" s="43" t="s">
        <v>993</v>
      </c>
      <c r="E451" s="43"/>
      <c r="F451" s="43"/>
      <c r="G451" s="46">
        <f t="shared" si="130"/>
        <v>0</v>
      </c>
      <c r="H451" s="46">
        <f t="shared" si="131"/>
        <v>0</v>
      </c>
      <c r="I451" s="28"/>
      <c r="J451" s="337"/>
      <c r="K451" s="46" t="str">
        <f t="shared" si="132"/>
        <v/>
      </c>
      <c r="L451" s="46" t="str">
        <f t="shared" si="133"/>
        <v/>
      </c>
      <c r="M451" s="338">
        <f t="shared" si="134"/>
        <v>0</v>
      </c>
      <c r="N451" s="43"/>
      <c r="O451" s="339"/>
      <c r="P451" s="340" t="str">
        <f>IFERROR(VLOOKUP(O451,NCM!$A$3:$D$99,COLUMN(head_porNCM_IPI)-COLUMN(head_porNCM_NCM)+1,FALSE),"")</f>
        <v/>
      </c>
      <c r="Q451" s="43"/>
      <c r="R451" s="78"/>
      <c r="S451" s="341"/>
      <c r="T451" s="28"/>
      <c r="U451" s="28"/>
      <c r="V451" s="28"/>
      <c r="W451" s="43"/>
      <c r="X451" s="342">
        <f t="shared" si="135"/>
        <v>0</v>
      </c>
      <c r="Y451" s="342">
        <f t="shared" si="136"/>
        <v>0</v>
      </c>
      <c r="Z451" s="46">
        <f t="shared" si="137"/>
        <v>0</v>
      </c>
      <c r="AA451" s="46">
        <f t="shared" si="138"/>
        <v>0</v>
      </c>
      <c r="AB451" s="43"/>
      <c r="AC451" s="44">
        <v>0</v>
      </c>
      <c r="AD451" s="31"/>
      <c r="AE451" s="31"/>
      <c r="AF451" s="31"/>
      <c r="AG451" s="28"/>
      <c r="AH451" s="46">
        <f t="shared" si="139"/>
        <v>0</v>
      </c>
      <c r="AI451" s="43"/>
      <c r="AJ451" s="28"/>
      <c r="AK451" s="337"/>
      <c r="AL451" s="43"/>
      <c r="AM451" s="44">
        <f t="shared" si="140"/>
        <v>0</v>
      </c>
      <c r="AN451" s="43"/>
      <c r="AO451" s="28">
        <f t="shared" si="141"/>
        <v>0</v>
      </c>
      <c r="AP451" s="43"/>
      <c r="AQ451" s="323">
        <f t="shared" si="142"/>
        <v>0</v>
      </c>
      <c r="AR451" s="43"/>
      <c r="AS451" s="44">
        <f t="shared" si="143"/>
        <v>0</v>
      </c>
    </row>
    <row r="452" spans="1:45" x14ac:dyDescent="0.25">
      <c r="A452" s="28"/>
      <c r="B452" s="43"/>
      <c r="C452" s="43"/>
      <c r="D452" s="43"/>
      <c r="E452" s="43" t="s">
        <v>996</v>
      </c>
      <c r="F452" s="43" t="s">
        <v>997</v>
      </c>
      <c r="G452" s="46">
        <f t="shared" si="130"/>
        <v>3472.2511999999997</v>
      </c>
      <c r="H452" s="46">
        <f t="shared" si="131"/>
        <v>3107.27025</v>
      </c>
      <c r="I452" s="28" t="s">
        <v>262</v>
      </c>
      <c r="J452" s="337">
        <v>1</v>
      </c>
      <c r="K452" s="46">
        <f t="shared" si="132"/>
        <v>3472.2511999999997</v>
      </c>
      <c r="L452" s="46">
        <f t="shared" si="133"/>
        <v>3107.27025</v>
      </c>
      <c r="M452" s="338">
        <f t="shared" si="134"/>
        <v>0</v>
      </c>
      <c r="N452" s="43" t="s">
        <v>160</v>
      </c>
      <c r="O452" s="339">
        <v>90308990</v>
      </c>
      <c r="P452" s="340">
        <f>IFERROR(VLOOKUP(O452,NCM!$A$3:$D$99,COLUMN(head_porNCM_IPI)-COLUMN(head_porNCM_NCM)+1,FALSE),"")</f>
        <v>3.2500000000000001E-2</v>
      </c>
      <c r="Q452" s="43" t="s">
        <v>993</v>
      </c>
      <c r="R452" s="78" t="s">
        <v>209</v>
      </c>
      <c r="S452" s="341"/>
      <c r="T452" s="28" t="s">
        <v>52</v>
      </c>
      <c r="U452" s="28" t="s">
        <v>2770</v>
      </c>
      <c r="V452" s="548">
        <v>45096</v>
      </c>
      <c r="W452" s="43"/>
      <c r="X452" s="342">
        <f t="shared" si="135"/>
        <v>458.58479418886196</v>
      </c>
      <c r="Y452" s="342">
        <f t="shared" si="136"/>
        <v>124.20004842614981</v>
      </c>
      <c r="Z452" s="46">
        <f t="shared" si="137"/>
        <v>63.055409200968526</v>
      </c>
      <c r="AA452" s="46">
        <f t="shared" si="138"/>
        <v>290.43703631961262</v>
      </c>
      <c r="AB452" s="43"/>
      <c r="AC452" s="44">
        <v>3945.74</v>
      </c>
      <c r="AD452" s="31">
        <v>0.12</v>
      </c>
      <c r="AE452" s="31">
        <v>3.2500000000000001E-2</v>
      </c>
      <c r="AF452" s="31">
        <v>0</v>
      </c>
      <c r="AG452" s="28" t="s">
        <v>53</v>
      </c>
      <c r="AH452" s="46">
        <f t="shared" si="139"/>
        <v>4073.9765499999999</v>
      </c>
      <c r="AI452" s="43"/>
      <c r="AJ452" s="28"/>
      <c r="AK452" s="337"/>
      <c r="AL452" s="43"/>
      <c r="AM452" s="44">
        <f t="shared" si="140"/>
        <v>0</v>
      </c>
      <c r="AN452" s="43"/>
      <c r="AO452" s="28">
        <f t="shared" si="141"/>
        <v>0</v>
      </c>
      <c r="AP452" s="43"/>
      <c r="AQ452" s="323">
        <f t="shared" si="142"/>
        <v>0</v>
      </c>
      <c r="AR452" s="43"/>
      <c r="AS452" s="44">
        <f t="shared" si="143"/>
        <v>4073.9765499999999</v>
      </c>
    </row>
    <row r="453" spans="1:45" x14ac:dyDescent="0.25">
      <c r="A453" s="28"/>
      <c r="B453" s="43"/>
      <c r="C453" s="43"/>
      <c r="D453" s="43"/>
      <c r="E453" s="43" t="s">
        <v>994</v>
      </c>
      <c r="F453" s="43" t="s">
        <v>995</v>
      </c>
      <c r="G453" s="46">
        <f t="shared" si="130"/>
        <v>4350.7640000000001</v>
      </c>
      <c r="H453" s="46">
        <f t="shared" si="131"/>
        <v>3893.4393750000004</v>
      </c>
      <c r="I453" s="28" t="s">
        <v>262</v>
      </c>
      <c r="J453" s="337">
        <v>1</v>
      </c>
      <c r="K453" s="46">
        <f t="shared" si="132"/>
        <v>4350.7640000000001</v>
      </c>
      <c r="L453" s="46">
        <f t="shared" si="133"/>
        <v>3893.4393750000004</v>
      </c>
      <c r="M453" s="338">
        <f t="shared" si="134"/>
        <v>0</v>
      </c>
      <c r="N453" s="43" t="s">
        <v>160</v>
      </c>
      <c r="O453" s="339">
        <v>90308990</v>
      </c>
      <c r="P453" s="340">
        <f>IFERROR(VLOOKUP(O453,NCM!$A$3:$D$99,COLUMN(head_porNCM_IPI)-COLUMN(head_porNCM_NCM)+1,FALSE),"")</f>
        <v>3.2500000000000001E-2</v>
      </c>
      <c r="Q453" s="43" t="s">
        <v>993</v>
      </c>
      <c r="R453" s="78" t="s">
        <v>209</v>
      </c>
      <c r="S453" s="341"/>
      <c r="T453" s="28" t="s">
        <v>52</v>
      </c>
      <c r="U453" s="28" t="s">
        <v>2770</v>
      </c>
      <c r="V453" s="548">
        <v>45096</v>
      </c>
      <c r="W453" s="43"/>
      <c r="X453" s="342">
        <f t="shared" si="135"/>
        <v>574.61113801452791</v>
      </c>
      <c r="Y453" s="342">
        <f t="shared" si="136"/>
        <v>155.62384987893438</v>
      </c>
      <c r="Z453" s="46">
        <f t="shared" si="137"/>
        <v>79.009031476997592</v>
      </c>
      <c r="AA453" s="46">
        <f t="shared" si="138"/>
        <v>363.920387409201</v>
      </c>
      <c r="AB453" s="43"/>
      <c r="AC453" s="44">
        <v>4944.05</v>
      </c>
      <c r="AD453" s="31">
        <v>0.12</v>
      </c>
      <c r="AE453" s="31">
        <v>3.2500000000000001E-2</v>
      </c>
      <c r="AF453" s="31">
        <v>0</v>
      </c>
      <c r="AG453" s="28" t="s">
        <v>53</v>
      </c>
      <c r="AH453" s="46">
        <f t="shared" si="139"/>
        <v>5104.7316250000003</v>
      </c>
      <c r="AI453" s="43"/>
      <c r="AJ453" s="28"/>
      <c r="AK453" s="337"/>
      <c r="AL453" s="43"/>
      <c r="AM453" s="44">
        <f t="shared" si="140"/>
        <v>0</v>
      </c>
      <c r="AN453" s="43"/>
      <c r="AO453" s="28">
        <f t="shared" si="141"/>
        <v>0</v>
      </c>
      <c r="AP453" s="43"/>
      <c r="AQ453" s="323">
        <f t="shared" si="142"/>
        <v>0</v>
      </c>
      <c r="AR453" s="43"/>
      <c r="AS453" s="44">
        <f t="shared" si="143"/>
        <v>5104.7316250000003</v>
      </c>
    </row>
    <row r="454" spans="1:45" x14ac:dyDescent="0.25">
      <c r="A454" s="28"/>
      <c r="B454" s="43"/>
      <c r="C454" s="43"/>
      <c r="D454" s="43"/>
      <c r="E454" s="43" t="s">
        <v>1000</v>
      </c>
      <c r="F454" s="43" t="s">
        <v>1001</v>
      </c>
      <c r="G454" s="46">
        <f t="shared" si="130"/>
        <v>510.96319999999997</v>
      </c>
      <c r="H454" s="46">
        <f t="shared" si="131"/>
        <v>457.25400000000002</v>
      </c>
      <c r="I454" s="28" t="s">
        <v>262</v>
      </c>
      <c r="J454" s="337">
        <v>1</v>
      </c>
      <c r="K454" s="46">
        <f t="shared" si="132"/>
        <v>510.96319999999997</v>
      </c>
      <c r="L454" s="46">
        <f t="shared" si="133"/>
        <v>457.25400000000002</v>
      </c>
      <c r="M454" s="338">
        <f t="shared" si="134"/>
        <v>0</v>
      </c>
      <c r="N454" s="43" t="s">
        <v>160</v>
      </c>
      <c r="O454" s="339">
        <v>90308990</v>
      </c>
      <c r="P454" s="340">
        <f>IFERROR(VLOOKUP(O454,NCM!$A$3:$D$99,COLUMN(head_porNCM_IPI)-COLUMN(head_porNCM_NCM)+1,FALSE),"")</f>
        <v>3.2500000000000001E-2</v>
      </c>
      <c r="Q454" s="43" t="s">
        <v>993</v>
      </c>
      <c r="R454" s="78" t="s">
        <v>209</v>
      </c>
      <c r="S454" s="341"/>
      <c r="T454" s="28" t="s">
        <v>52</v>
      </c>
      <c r="U454" s="28" t="s">
        <v>2770</v>
      </c>
      <c r="V454" s="548">
        <v>45096</v>
      </c>
      <c r="W454" s="43"/>
      <c r="X454" s="342">
        <f t="shared" si="135"/>
        <v>67.483583535108949</v>
      </c>
      <c r="Y454" s="342">
        <f t="shared" si="136"/>
        <v>18.276803874092025</v>
      </c>
      <c r="Z454" s="46">
        <f t="shared" si="137"/>
        <v>9.2789927360774822</v>
      </c>
      <c r="AA454" s="46">
        <f t="shared" si="138"/>
        <v>42.739602905569001</v>
      </c>
      <c r="AB454" s="43"/>
      <c r="AC454" s="44">
        <v>580.64</v>
      </c>
      <c r="AD454" s="31">
        <v>0.12</v>
      </c>
      <c r="AE454" s="31">
        <v>3.2500000000000001E-2</v>
      </c>
      <c r="AF454" s="31">
        <v>0</v>
      </c>
      <c r="AG454" s="28" t="s">
        <v>53</v>
      </c>
      <c r="AH454" s="46">
        <f t="shared" si="139"/>
        <v>599.51080000000002</v>
      </c>
      <c r="AI454" s="43"/>
      <c r="AJ454" s="28"/>
      <c r="AK454" s="337"/>
      <c r="AL454" s="43"/>
      <c r="AM454" s="44">
        <f t="shared" si="140"/>
        <v>0</v>
      </c>
      <c r="AN454" s="43"/>
      <c r="AO454" s="28">
        <f t="shared" si="141"/>
        <v>0</v>
      </c>
      <c r="AP454" s="43"/>
      <c r="AQ454" s="323">
        <f t="shared" si="142"/>
        <v>0</v>
      </c>
      <c r="AR454" s="43"/>
      <c r="AS454" s="44">
        <f t="shared" si="143"/>
        <v>599.51080000000002</v>
      </c>
    </row>
    <row r="455" spans="1:45" x14ac:dyDescent="0.25">
      <c r="A455" s="28"/>
      <c r="B455" s="43"/>
      <c r="C455" s="43"/>
      <c r="D455" s="43"/>
      <c r="E455" s="43" t="s">
        <v>998</v>
      </c>
      <c r="F455" s="43" t="s">
        <v>999</v>
      </c>
      <c r="G455" s="46">
        <f t="shared" si="130"/>
        <v>725.59519999999998</v>
      </c>
      <c r="H455" s="46">
        <f t="shared" si="131"/>
        <v>649.3252500000001</v>
      </c>
      <c r="I455" s="28" t="s">
        <v>262</v>
      </c>
      <c r="J455" s="337">
        <v>1</v>
      </c>
      <c r="K455" s="46">
        <f t="shared" si="132"/>
        <v>725.59519999999998</v>
      </c>
      <c r="L455" s="46">
        <f t="shared" si="133"/>
        <v>649.3252500000001</v>
      </c>
      <c r="M455" s="338">
        <f t="shared" si="134"/>
        <v>0</v>
      </c>
      <c r="N455" s="43" t="s">
        <v>160</v>
      </c>
      <c r="O455" s="339">
        <v>90308990</v>
      </c>
      <c r="P455" s="340">
        <f>IFERROR(VLOOKUP(O455,NCM!$A$3:$D$99,COLUMN(head_porNCM_IPI)-COLUMN(head_porNCM_NCM)+1,FALSE),"")</f>
        <v>3.2500000000000001E-2</v>
      </c>
      <c r="Q455" s="43" t="s">
        <v>993</v>
      </c>
      <c r="R455" s="78" t="s">
        <v>209</v>
      </c>
      <c r="S455" s="341"/>
      <c r="T455" s="28" t="s">
        <v>52</v>
      </c>
      <c r="U455" s="28" t="s">
        <v>2770</v>
      </c>
      <c r="V455" s="548">
        <v>45096</v>
      </c>
      <c r="W455" s="43"/>
      <c r="X455" s="342">
        <f t="shared" si="135"/>
        <v>95.830314769975786</v>
      </c>
      <c r="Y455" s="342">
        <f t="shared" si="136"/>
        <v>25.954043583535054</v>
      </c>
      <c r="Z455" s="46">
        <f t="shared" si="137"/>
        <v>13.176668280871672</v>
      </c>
      <c r="AA455" s="46">
        <f t="shared" si="138"/>
        <v>60.69253268765133</v>
      </c>
      <c r="AB455" s="43"/>
      <c r="AC455" s="44">
        <v>824.54</v>
      </c>
      <c r="AD455" s="31">
        <v>0.12</v>
      </c>
      <c r="AE455" s="31">
        <v>3.2500000000000001E-2</v>
      </c>
      <c r="AF455" s="31">
        <v>0</v>
      </c>
      <c r="AG455" s="28" t="s">
        <v>53</v>
      </c>
      <c r="AH455" s="46">
        <f t="shared" si="139"/>
        <v>851.33754999999996</v>
      </c>
      <c r="AI455" s="43"/>
      <c r="AJ455" s="28"/>
      <c r="AK455" s="337"/>
      <c r="AL455" s="43"/>
      <c r="AM455" s="44">
        <f t="shared" si="140"/>
        <v>0</v>
      </c>
      <c r="AN455" s="43"/>
      <c r="AO455" s="28">
        <f t="shared" si="141"/>
        <v>0</v>
      </c>
      <c r="AP455" s="43"/>
      <c r="AQ455" s="323">
        <f t="shared" si="142"/>
        <v>0</v>
      </c>
      <c r="AR455" s="43"/>
      <c r="AS455" s="44">
        <f t="shared" si="143"/>
        <v>851.33754999999996</v>
      </c>
    </row>
    <row r="456" spans="1:45" x14ac:dyDescent="0.25">
      <c r="A456" s="28"/>
      <c r="B456" s="43"/>
      <c r="C456" s="43"/>
      <c r="D456" s="43"/>
      <c r="E456" s="43" t="s">
        <v>1002</v>
      </c>
      <c r="F456" s="43" t="s">
        <v>1003</v>
      </c>
      <c r="G456" s="46">
        <f t="shared" si="130"/>
        <v>3750</v>
      </c>
      <c r="H456" s="46">
        <f t="shared" si="131"/>
        <v>3403.1250000000005</v>
      </c>
      <c r="I456" s="28" t="s">
        <v>262</v>
      </c>
      <c r="J456" s="337">
        <v>1</v>
      </c>
      <c r="K456" s="46">
        <f t="shared" si="132"/>
        <v>3750</v>
      </c>
      <c r="L456" s="46">
        <f t="shared" si="133"/>
        <v>3403.1250000000005</v>
      </c>
      <c r="M456" s="338">
        <f t="shared" si="134"/>
        <v>0</v>
      </c>
      <c r="N456" s="43" t="s">
        <v>160</v>
      </c>
      <c r="O456" s="339" t="s">
        <v>167</v>
      </c>
      <c r="P456" s="340" t="str">
        <f>IFERROR(VLOOKUP(O456,NCM!$A$3:$D$99,COLUMN(head_porNCM_IPI)-COLUMN(head_porNCM_NCM)+1,FALSE),"")</f>
        <v/>
      </c>
      <c r="Q456" s="43" t="s">
        <v>993</v>
      </c>
      <c r="R456" s="78" t="s">
        <v>209</v>
      </c>
      <c r="S456" s="341"/>
      <c r="T456" s="28" t="s">
        <v>52</v>
      </c>
      <c r="U456" s="28" t="s">
        <v>2770</v>
      </c>
      <c r="V456" s="548">
        <v>45096</v>
      </c>
      <c r="W456" s="43"/>
      <c r="X456" s="342">
        <f t="shared" si="135"/>
        <v>0</v>
      </c>
      <c r="Y456" s="342">
        <f t="shared" si="136"/>
        <v>178.5714285714289</v>
      </c>
      <c r="Z456" s="46">
        <f t="shared" si="137"/>
        <v>58.928571428571423</v>
      </c>
      <c r="AA456" s="46">
        <f t="shared" si="138"/>
        <v>271.42857142857139</v>
      </c>
      <c r="AB456" s="43"/>
      <c r="AC456" s="44">
        <v>3750</v>
      </c>
      <c r="AD456" s="31">
        <v>0</v>
      </c>
      <c r="AE456" s="31">
        <v>0.05</v>
      </c>
      <c r="AF456" s="31">
        <v>0</v>
      </c>
      <c r="AG456" s="28" t="s">
        <v>53</v>
      </c>
      <c r="AH456" s="46">
        <f t="shared" si="139"/>
        <v>3937.5</v>
      </c>
      <c r="AI456" s="43"/>
      <c r="AJ456" s="28"/>
      <c r="AK456" s="337"/>
      <c r="AL456" s="43"/>
      <c r="AM456" s="44">
        <f t="shared" si="140"/>
        <v>0</v>
      </c>
      <c r="AN456" s="43"/>
      <c r="AO456" s="28">
        <f t="shared" si="141"/>
        <v>0</v>
      </c>
      <c r="AP456" s="43"/>
      <c r="AQ456" s="323">
        <f t="shared" si="142"/>
        <v>0</v>
      </c>
      <c r="AR456" s="43"/>
      <c r="AS456" s="44">
        <f t="shared" si="143"/>
        <v>3937.5</v>
      </c>
    </row>
    <row r="457" spans="1:45" x14ac:dyDescent="0.25">
      <c r="A457" s="28"/>
      <c r="B457" s="43"/>
      <c r="C457" s="43"/>
      <c r="D457" s="43" t="s">
        <v>718</v>
      </c>
      <c r="E457" s="43"/>
      <c r="F457" s="43"/>
      <c r="G457" s="46">
        <f t="shared" si="130"/>
        <v>0</v>
      </c>
      <c r="H457" s="46">
        <f t="shared" si="131"/>
        <v>0</v>
      </c>
      <c r="I457" s="28"/>
      <c r="J457" s="337"/>
      <c r="K457" s="46" t="str">
        <f t="shared" si="132"/>
        <v/>
      </c>
      <c r="L457" s="46" t="str">
        <f t="shared" si="133"/>
        <v/>
      </c>
      <c r="M457" s="338">
        <f t="shared" si="134"/>
        <v>0</v>
      </c>
      <c r="N457" s="43"/>
      <c r="O457" s="339"/>
      <c r="P457" s="340" t="str">
        <f>IFERROR(VLOOKUP(O457,NCM!$A$3:$D$99,COLUMN(head_porNCM_IPI)-COLUMN(head_porNCM_NCM)+1,FALSE),"")</f>
        <v/>
      </c>
      <c r="Q457" s="43"/>
      <c r="R457" s="78"/>
      <c r="S457" s="341"/>
      <c r="T457" s="28"/>
      <c r="U457" s="28"/>
      <c r="V457" s="28"/>
      <c r="W457" s="43"/>
      <c r="X457" s="342">
        <f t="shared" si="135"/>
        <v>0</v>
      </c>
      <c r="Y457" s="342">
        <f t="shared" si="136"/>
        <v>0</v>
      </c>
      <c r="Z457" s="46">
        <f t="shared" si="137"/>
        <v>0</v>
      </c>
      <c r="AA457" s="46">
        <f t="shared" si="138"/>
        <v>0</v>
      </c>
      <c r="AB457" s="43"/>
      <c r="AC457" s="44">
        <v>0</v>
      </c>
      <c r="AD457" s="31"/>
      <c r="AE457" s="31"/>
      <c r="AF457" s="31"/>
      <c r="AG457" s="28"/>
      <c r="AH457" s="46">
        <f t="shared" si="139"/>
        <v>0</v>
      </c>
      <c r="AI457" s="43"/>
      <c r="AJ457" s="28"/>
      <c r="AK457" s="337"/>
      <c r="AL457" s="43"/>
      <c r="AM457" s="44">
        <f t="shared" si="140"/>
        <v>0</v>
      </c>
      <c r="AN457" s="43"/>
      <c r="AO457" s="28">
        <f t="shared" si="141"/>
        <v>0</v>
      </c>
      <c r="AP457" s="43"/>
      <c r="AQ457" s="323">
        <f t="shared" si="142"/>
        <v>0</v>
      </c>
      <c r="AR457" s="43"/>
      <c r="AS457" s="44">
        <f t="shared" si="143"/>
        <v>0</v>
      </c>
    </row>
    <row r="458" spans="1:45" x14ac:dyDescent="0.25">
      <c r="A458" s="28"/>
      <c r="B458" s="43"/>
      <c r="C458" s="43"/>
      <c r="D458" s="43"/>
      <c r="E458" s="43" t="s">
        <v>1082</v>
      </c>
      <c r="F458" s="43" t="s">
        <v>1083</v>
      </c>
      <c r="G458" s="46">
        <f t="shared" si="130"/>
        <v>726.21119999999996</v>
      </c>
      <c r="H458" s="46">
        <f t="shared" si="131"/>
        <v>649.87650000000008</v>
      </c>
      <c r="I458" s="28" t="s">
        <v>262</v>
      </c>
      <c r="J458" s="337">
        <v>1</v>
      </c>
      <c r="K458" s="46">
        <f t="shared" si="132"/>
        <v>726.21119999999996</v>
      </c>
      <c r="L458" s="46">
        <f t="shared" si="133"/>
        <v>649.87650000000008</v>
      </c>
      <c r="M458" s="338">
        <f t="shared" si="134"/>
        <v>0</v>
      </c>
      <c r="N458" s="43" t="s">
        <v>160</v>
      </c>
      <c r="O458" s="339">
        <v>90308490</v>
      </c>
      <c r="P458" s="340">
        <f>IFERROR(VLOOKUP(O458,NCM!$A$3:$D$99,COLUMN(head_porNCM_IPI)-COLUMN(head_porNCM_NCM)+1,FALSE),"")</f>
        <v>3.2500000000000001E-2</v>
      </c>
      <c r="Q458" s="43" t="s">
        <v>1089</v>
      </c>
      <c r="R458" s="78" t="s">
        <v>210</v>
      </c>
      <c r="S458" s="341"/>
      <c r="T458" s="28" t="s">
        <v>52</v>
      </c>
      <c r="U458" s="28"/>
      <c r="V458" s="28" t="e">
        <v>#VALUE!</v>
      </c>
      <c r="W458" s="43"/>
      <c r="X458" s="342">
        <f t="shared" si="135"/>
        <v>94.31314285714285</v>
      </c>
      <c r="Y458" s="342">
        <f t="shared" si="136"/>
        <v>39.297142857142944</v>
      </c>
      <c r="Z458" s="46">
        <f t="shared" si="137"/>
        <v>12.968057142857143</v>
      </c>
      <c r="AA458" s="46">
        <f t="shared" si="138"/>
        <v>59.731657142857138</v>
      </c>
      <c r="AB458" s="43"/>
      <c r="AC458" s="44">
        <v>825.24</v>
      </c>
      <c r="AD458" s="31">
        <v>0.12</v>
      </c>
      <c r="AE458" s="31">
        <v>0.05</v>
      </c>
      <c r="AF458" s="31">
        <v>0</v>
      </c>
      <c r="AG458" s="28" t="s">
        <v>53</v>
      </c>
      <c r="AH458" s="46">
        <f t="shared" si="139"/>
        <v>866.50200000000007</v>
      </c>
      <c r="AI458" s="43"/>
      <c r="AJ458" s="28" t="s">
        <v>264</v>
      </c>
      <c r="AK458" s="337">
        <v>3.96</v>
      </c>
      <c r="AL458" s="43"/>
      <c r="AM458" s="44">
        <f t="shared" si="140"/>
        <v>0</v>
      </c>
      <c r="AN458" s="43"/>
      <c r="AO458" s="28">
        <f t="shared" si="141"/>
        <v>0</v>
      </c>
      <c r="AP458" s="43"/>
      <c r="AQ458" s="323">
        <f t="shared" si="142"/>
        <v>0</v>
      </c>
      <c r="AR458" s="43"/>
      <c r="AS458" s="44">
        <f t="shared" si="143"/>
        <v>866.50200000000007</v>
      </c>
    </row>
    <row r="459" spans="1:45" x14ac:dyDescent="0.25">
      <c r="A459" s="28"/>
      <c r="B459" s="43"/>
      <c r="C459" s="43"/>
      <c r="D459" s="43"/>
      <c r="E459" s="43" t="s">
        <v>2330</v>
      </c>
      <c r="F459" s="43" t="s">
        <v>2331</v>
      </c>
      <c r="G459" s="46">
        <f t="shared" si="130"/>
        <v>3013.7359999999999</v>
      </c>
      <c r="H459" s="46">
        <f t="shared" si="131"/>
        <v>2696.9512500000001</v>
      </c>
      <c r="I459" s="28" t="s">
        <v>262</v>
      </c>
      <c r="J459" s="337">
        <v>0.35</v>
      </c>
      <c r="K459" s="46">
        <f t="shared" si="132"/>
        <v>1054.8075999999999</v>
      </c>
      <c r="L459" s="46">
        <f t="shared" si="133"/>
        <v>943.93293749999998</v>
      </c>
      <c r="M459" s="338">
        <f t="shared" si="134"/>
        <v>0</v>
      </c>
      <c r="N459" s="43" t="s">
        <v>160</v>
      </c>
      <c r="O459" s="339">
        <v>90308490</v>
      </c>
      <c r="P459" s="340">
        <f>IFERROR(VLOOKUP(O459,NCM!$A$3:$D$99,COLUMN(head_porNCM_IPI)-COLUMN(head_porNCM_NCM)+1,FALSE),"")</f>
        <v>3.2500000000000001E-2</v>
      </c>
      <c r="Q459" s="43" t="s">
        <v>806</v>
      </c>
      <c r="R459" s="78" t="s">
        <v>210</v>
      </c>
      <c r="S459" s="341"/>
      <c r="T459" s="28" t="s">
        <v>52</v>
      </c>
      <c r="U459" s="28" t="s">
        <v>3113</v>
      </c>
      <c r="V459" s="548">
        <v>45469</v>
      </c>
      <c r="W459" s="43"/>
      <c r="X459" s="342">
        <f t="shared" si="135"/>
        <v>398.02808716707017</v>
      </c>
      <c r="Y459" s="342">
        <f t="shared" si="136"/>
        <v>107.79927360774809</v>
      </c>
      <c r="Z459" s="46">
        <f t="shared" si="137"/>
        <v>54.728861985472157</v>
      </c>
      <c r="AA459" s="46">
        <f t="shared" si="138"/>
        <v>252.08445520581114</v>
      </c>
      <c r="AB459" s="43"/>
      <c r="AC459" s="44">
        <v>3424.7</v>
      </c>
      <c r="AD459" s="31">
        <v>0.12</v>
      </c>
      <c r="AE459" s="31">
        <v>3.2500000000000001E-2</v>
      </c>
      <c r="AF459" s="31">
        <v>0</v>
      </c>
      <c r="AG459" s="28" t="s">
        <v>53</v>
      </c>
      <c r="AH459" s="46">
        <f t="shared" si="139"/>
        <v>3536.0027499999997</v>
      </c>
      <c r="AI459" s="43"/>
      <c r="AJ459" s="28" t="s">
        <v>264</v>
      </c>
      <c r="AK459" s="337">
        <v>3.96</v>
      </c>
      <c r="AL459" s="43"/>
      <c r="AM459" s="44">
        <f t="shared" si="140"/>
        <v>0</v>
      </c>
      <c r="AN459" s="43"/>
      <c r="AO459" s="28">
        <f t="shared" si="141"/>
        <v>0</v>
      </c>
      <c r="AP459" s="43"/>
      <c r="AQ459" s="323">
        <f t="shared" si="142"/>
        <v>0</v>
      </c>
      <c r="AR459" s="43"/>
      <c r="AS459" s="44">
        <f t="shared" si="143"/>
        <v>3536.0027499999997</v>
      </c>
    </row>
    <row r="460" spans="1:45" x14ac:dyDescent="0.25">
      <c r="A460" s="28"/>
      <c r="B460" s="43"/>
      <c r="C460" s="43"/>
      <c r="D460" s="43"/>
      <c r="E460" s="43" t="s">
        <v>2052</v>
      </c>
      <c r="F460" s="43" t="s">
        <v>2053</v>
      </c>
      <c r="G460" s="46">
        <f t="shared" si="130"/>
        <v>4739.9440000000004</v>
      </c>
      <c r="H460" s="46">
        <f t="shared" si="131"/>
        <v>4241.7112500000003</v>
      </c>
      <c r="I460" s="28" t="s">
        <v>262</v>
      </c>
      <c r="J460" s="337">
        <v>0.35</v>
      </c>
      <c r="K460" s="46">
        <f t="shared" si="132"/>
        <v>1658.9804000000001</v>
      </c>
      <c r="L460" s="46">
        <f t="shared" si="133"/>
        <v>1484.5989374999999</v>
      </c>
      <c r="M460" s="338">
        <f t="shared" si="134"/>
        <v>0</v>
      </c>
      <c r="N460" s="43" t="s">
        <v>160</v>
      </c>
      <c r="O460" s="339">
        <v>90308490</v>
      </c>
      <c r="P460" s="340">
        <f>IFERROR(VLOOKUP(O460,NCM!$A$3:$D$99,COLUMN(head_porNCM_IPI)-COLUMN(head_porNCM_NCM)+1,FALSE),"")</f>
        <v>3.2500000000000001E-2</v>
      </c>
      <c r="Q460" s="43" t="s">
        <v>806</v>
      </c>
      <c r="R460" s="78" t="s">
        <v>210</v>
      </c>
      <c r="S460" s="341"/>
      <c r="T460" s="28" t="s">
        <v>52</v>
      </c>
      <c r="U460" s="28" t="s">
        <v>3113</v>
      </c>
      <c r="V460" s="548">
        <v>45469</v>
      </c>
      <c r="W460" s="43"/>
      <c r="X460" s="342">
        <f t="shared" si="135"/>
        <v>626.01065375302665</v>
      </c>
      <c r="Y460" s="342">
        <f t="shared" si="136"/>
        <v>169.54455205811155</v>
      </c>
      <c r="Z460" s="46">
        <f t="shared" si="137"/>
        <v>86.076464891041169</v>
      </c>
      <c r="AA460" s="46">
        <f t="shared" si="138"/>
        <v>396.47341404358355</v>
      </c>
      <c r="AB460" s="43"/>
      <c r="AC460" s="44">
        <v>5386.3</v>
      </c>
      <c r="AD460" s="31">
        <v>0.12</v>
      </c>
      <c r="AE460" s="31">
        <v>3.2500000000000001E-2</v>
      </c>
      <c r="AF460" s="31">
        <v>0</v>
      </c>
      <c r="AG460" s="28" t="s">
        <v>53</v>
      </c>
      <c r="AH460" s="46">
        <f t="shared" si="139"/>
        <v>5561.3547500000004</v>
      </c>
      <c r="AI460" s="43"/>
      <c r="AJ460" s="28" t="s">
        <v>264</v>
      </c>
      <c r="AK460" s="337">
        <v>3.96</v>
      </c>
      <c r="AL460" s="43"/>
      <c r="AM460" s="44">
        <f t="shared" si="140"/>
        <v>0</v>
      </c>
      <c r="AN460" s="43"/>
      <c r="AO460" s="28">
        <f t="shared" si="141"/>
        <v>0</v>
      </c>
      <c r="AP460" s="43"/>
      <c r="AQ460" s="323">
        <f t="shared" si="142"/>
        <v>0</v>
      </c>
      <c r="AR460" s="43"/>
      <c r="AS460" s="44">
        <f t="shared" si="143"/>
        <v>5561.3547500000004</v>
      </c>
    </row>
    <row r="461" spans="1:45" x14ac:dyDescent="0.25">
      <c r="A461" s="28"/>
      <c r="B461" s="43"/>
      <c r="C461" s="43"/>
      <c r="D461" s="43"/>
      <c r="E461" s="43" t="s">
        <v>2667</v>
      </c>
      <c r="F461" s="43" t="s">
        <v>2668</v>
      </c>
      <c r="G461" s="46">
        <f t="shared" si="130"/>
        <v>3410.7044999999998</v>
      </c>
      <c r="H461" s="46">
        <f t="shared" si="131"/>
        <v>3048.0721250000001</v>
      </c>
      <c r="I461" s="28" t="s">
        <v>262</v>
      </c>
      <c r="J461" s="337">
        <v>1</v>
      </c>
      <c r="K461" s="46">
        <f t="shared" si="132"/>
        <v>3410.7044999999998</v>
      </c>
      <c r="L461" s="46">
        <f t="shared" si="133"/>
        <v>3048.0721250000001</v>
      </c>
      <c r="M461" s="338">
        <f t="shared" si="134"/>
        <v>0</v>
      </c>
      <c r="N461" s="43" t="s">
        <v>160</v>
      </c>
      <c r="O461" s="339">
        <v>90308490</v>
      </c>
      <c r="P461" s="340">
        <f>IFERROR(VLOOKUP(O461,NCM!$A$3:$D$99,COLUMN(head_porNCM_IPI)-COLUMN(head_porNCM_NCM)+1,FALSE),"")</f>
        <v>3.2500000000000001E-2</v>
      </c>
      <c r="Q461" s="43" t="s">
        <v>804</v>
      </c>
      <c r="R461" s="78" t="s">
        <v>210</v>
      </c>
      <c r="S461" s="341">
        <v>750</v>
      </c>
      <c r="T461" s="28" t="s">
        <v>52</v>
      </c>
      <c r="U461" s="28" t="s">
        <v>2771</v>
      </c>
      <c r="V461" s="548">
        <v>45237</v>
      </c>
      <c r="W461" s="43"/>
      <c r="X461" s="342">
        <f t="shared" si="135"/>
        <v>493.60338983050849</v>
      </c>
      <c r="Y461" s="342">
        <f t="shared" si="136"/>
        <v>123.40084745762715</v>
      </c>
      <c r="Z461" s="46">
        <f t="shared" si="137"/>
        <v>62.649661016949153</v>
      </c>
      <c r="AA461" s="46">
        <f t="shared" si="138"/>
        <v>288.56813559322035</v>
      </c>
      <c r="AB461" s="43"/>
      <c r="AC461" s="44">
        <v>3920.35</v>
      </c>
      <c r="AD461" s="31">
        <v>0.13</v>
      </c>
      <c r="AE461" s="31">
        <v>3.2500000000000001E-2</v>
      </c>
      <c r="AF461" s="31">
        <v>0</v>
      </c>
      <c r="AG461" s="28" t="s">
        <v>53</v>
      </c>
      <c r="AH461" s="46">
        <f t="shared" si="139"/>
        <v>4047.7613749999996</v>
      </c>
      <c r="AI461" s="43"/>
      <c r="AJ461" s="28" t="s">
        <v>264</v>
      </c>
      <c r="AK461" s="337">
        <v>3.96</v>
      </c>
      <c r="AL461" s="43"/>
      <c r="AM461" s="44">
        <f t="shared" si="140"/>
        <v>0</v>
      </c>
      <c r="AN461" s="43"/>
      <c r="AO461" s="28">
        <f t="shared" si="141"/>
        <v>0</v>
      </c>
      <c r="AP461" s="43"/>
      <c r="AQ461" s="323">
        <f t="shared" si="142"/>
        <v>0</v>
      </c>
      <c r="AR461" s="43"/>
      <c r="AS461" s="44">
        <f t="shared" si="143"/>
        <v>4047.7613749999996</v>
      </c>
    </row>
    <row r="462" spans="1:45" x14ac:dyDescent="0.25">
      <c r="A462" s="28"/>
      <c r="B462" s="43"/>
      <c r="C462" s="43"/>
      <c r="D462" s="43"/>
      <c r="E462" s="43" t="s">
        <v>719</v>
      </c>
      <c r="F462" s="43" t="s">
        <v>811</v>
      </c>
      <c r="G462" s="46">
        <f t="shared" si="130"/>
        <v>1723.92</v>
      </c>
      <c r="H462" s="46">
        <f t="shared" si="131"/>
        <v>1542.7125000000001</v>
      </c>
      <c r="I462" s="28" t="s">
        <v>262</v>
      </c>
      <c r="J462" s="337">
        <v>1</v>
      </c>
      <c r="K462" s="46">
        <f t="shared" si="132"/>
        <v>1723.92</v>
      </c>
      <c r="L462" s="46">
        <f t="shared" si="133"/>
        <v>1542.7125000000001</v>
      </c>
      <c r="M462" s="338">
        <f t="shared" si="134"/>
        <v>0</v>
      </c>
      <c r="N462" s="43" t="s">
        <v>160</v>
      </c>
      <c r="O462" s="339">
        <v>90308490</v>
      </c>
      <c r="P462" s="340">
        <f>IFERROR(VLOOKUP(O462,NCM!$A$3:$D$99,COLUMN(head_porNCM_IPI)-COLUMN(head_porNCM_NCM)+1,FALSE),"")</f>
        <v>3.2500000000000001E-2</v>
      </c>
      <c r="Q462" s="43" t="s">
        <v>804</v>
      </c>
      <c r="R462" s="78" t="s">
        <v>210</v>
      </c>
      <c r="S462" s="341">
        <v>750</v>
      </c>
      <c r="T462" s="28" t="s">
        <v>52</v>
      </c>
      <c r="U462" s="28" t="s">
        <v>723</v>
      </c>
      <c r="V462" s="548">
        <v>43159</v>
      </c>
      <c r="W462" s="43"/>
      <c r="X462" s="342">
        <f t="shared" si="135"/>
        <v>223.88571428571427</v>
      </c>
      <c r="Y462" s="342">
        <f t="shared" si="136"/>
        <v>93.285714285714448</v>
      </c>
      <c r="Z462" s="46">
        <f t="shared" si="137"/>
        <v>30.784285714285712</v>
      </c>
      <c r="AA462" s="46">
        <f t="shared" si="138"/>
        <v>141.79428571428571</v>
      </c>
      <c r="AB462" s="43"/>
      <c r="AC462" s="44">
        <v>1959</v>
      </c>
      <c r="AD462" s="31">
        <v>0.12</v>
      </c>
      <c r="AE462" s="31">
        <v>0.05</v>
      </c>
      <c r="AF462" s="31">
        <v>0</v>
      </c>
      <c r="AG462" s="28" t="s">
        <v>53</v>
      </c>
      <c r="AH462" s="46">
        <f t="shared" si="139"/>
        <v>2056.9500000000003</v>
      </c>
      <c r="AI462" s="43"/>
      <c r="AJ462" s="28" t="s">
        <v>264</v>
      </c>
      <c r="AK462" s="337">
        <v>3.96</v>
      </c>
      <c r="AL462" s="43"/>
      <c r="AM462" s="44">
        <f t="shared" si="140"/>
        <v>0</v>
      </c>
      <c r="AN462" s="43"/>
      <c r="AO462" s="28">
        <f t="shared" si="141"/>
        <v>0</v>
      </c>
      <c r="AP462" s="43"/>
      <c r="AQ462" s="323">
        <f t="shared" si="142"/>
        <v>0</v>
      </c>
      <c r="AR462" s="43"/>
      <c r="AS462" s="44">
        <f t="shared" si="143"/>
        <v>2056.9500000000003</v>
      </c>
    </row>
    <row r="463" spans="1:45" x14ac:dyDescent="0.25">
      <c r="A463" s="28"/>
      <c r="B463" s="43"/>
      <c r="C463" s="43"/>
      <c r="D463" s="43"/>
      <c r="E463" s="43" t="s">
        <v>1084</v>
      </c>
      <c r="F463" s="43" t="s">
        <v>1085</v>
      </c>
      <c r="G463" s="46">
        <f t="shared" si="130"/>
        <v>504.78380000000004</v>
      </c>
      <c r="H463" s="46">
        <f t="shared" si="131"/>
        <v>447.84172500000011</v>
      </c>
      <c r="I463" s="28" t="s">
        <v>262</v>
      </c>
      <c r="J463" s="337">
        <v>1</v>
      </c>
      <c r="K463" s="46">
        <f t="shared" si="132"/>
        <v>504.78380000000004</v>
      </c>
      <c r="L463" s="46">
        <f t="shared" si="133"/>
        <v>447.84172500000011</v>
      </c>
      <c r="M463" s="338">
        <f t="shared" si="134"/>
        <v>0</v>
      </c>
      <c r="N463" s="43" t="s">
        <v>160</v>
      </c>
      <c r="O463" s="339">
        <v>90303990</v>
      </c>
      <c r="P463" s="340">
        <f>IFERROR(VLOOKUP(O463,NCM!$A$3:$D$99,COLUMN(head_porNCM_IPI)-COLUMN(head_porNCM_NCM)+1,FALSE),"")</f>
        <v>3.2500000000000001E-2</v>
      </c>
      <c r="Q463" s="43" t="s">
        <v>804</v>
      </c>
      <c r="R463" s="78" t="s">
        <v>210</v>
      </c>
      <c r="S463" s="341"/>
      <c r="T463" s="28" t="s">
        <v>52</v>
      </c>
      <c r="U463" s="28" t="s">
        <v>1090</v>
      </c>
      <c r="V463" s="548">
        <v>43549</v>
      </c>
      <c r="W463" s="43"/>
      <c r="X463" s="342">
        <f t="shared" si="135"/>
        <v>105.52971428571428</v>
      </c>
      <c r="Y463" s="342">
        <f t="shared" si="136"/>
        <v>29.313809523809596</v>
      </c>
      <c r="Z463" s="46">
        <f t="shared" si="137"/>
        <v>9.6735571428571419</v>
      </c>
      <c r="AA463" s="46">
        <f t="shared" si="138"/>
        <v>44.556990476190471</v>
      </c>
      <c r="AB463" s="43"/>
      <c r="AC463" s="44">
        <v>615.59</v>
      </c>
      <c r="AD463" s="31">
        <v>0.18</v>
      </c>
      <c r="AE463" s="31">
        <v>0.05</v>
      </c>
      <c r="AF463" s="31">
        <v>0</v>
      </c>
      <c r="AG463" s="28" t="s">
        <v>53</v>
      </c>
      <c r="AH463" s="46">
        <f t="shared" si="139"/>
        <v>646.36950000000002</v>
      </c>
      <c r="AI463" s="43"/>
      <c r="AJ463" s="28" t="s">
        <v>264</v>
      </c>
      <c r="AK463" s="337">
        <v>4.3600000000000003</v>
      </c>
      <c r="AL463" s="43"/>
      <c r="AM463" s="44">
        <f t="shared" si="140"/>
        <v>0</v>
      </c>
      <c r="AN463" s="43"/>
      <c r="AO463" s="28">
        <f t="shared" si="141"/>
        <v>0</v>
      </c>
      <c r="AP463" s="43"/>
      <c r="AQ463" s="323">
        <f t="shared" si="142"/>
        <v>0</v>
      </c>
      <c r="AR463" s="43"/>
      <c r="AS463" s="44">
        <f t="shared" si="143"/>
        <v>646.36950000000002</v>
      </c>
    </row>
    <row r="464" spans="1:45" x14ac:dyDescent="0.25">
      <c r="A464" s="28"/>
      <c r="B464" s="43"/>
      <c r="C464" s="43"/>
      <c r="D464" s="43"/>
      <c r="E464" s="43" t="s">
        <v>1086</v>
      </c>
      <c r="F464" s="43" t="s">
        <v>1087</v>
      </c>
      <c r="G464" s="46">
        <f t="shared" si="130"/>
        <v>1288.98</v>
      </c>
      <c r="H464" s="46">
        <f t="shared" si="131"/>
        <v>1153.4906250000001</v>
      </c>
      <c r="I464" s="28" t="s">
        <v>262</v>
      </c>
      <c r="J464" s="337">
        <v>1</v>
      </c>
      <c r="K464" s="46">
        <f t="shared" si="132"/>
        <v>1288.98</v>
      </c>
      <c r="L464" s="46">
        <f t="shared" si="133"/>
        <v>1153.4906250000001</v>
      </c>
      <c r="M464" s="338">
        <f t="shared" si="134"/>
        <v>0</v>
      </c>
      <c r="N464" s="43" t="s">
        <v>160</v>
      </c>
      <c r="O464" s="339">
        <v>90303990</v>
      </c>
      <c r="P464" s="340">
        <f>IFERROR(VLOOKUP(O464,NCM!$A$3:$D$99,COLUMN(head_porNCM_IPI)-COLUMN(head_porNCM_NCM)+1,FALSE),"")</f>
        <v>3.2500000000000001E-2</v>
      </c>
      <c r="Q464" s="43" t="s">
        <v>1091</v>
      </c>
      <c r="R464" s="78" t="s">
        <v>210</v>
      </c>
      <c r="S464" s="341"/>
      <c r="T464" s="28" t="s">
        <v>52</v>
      </c>
      <c r="U464" s="28" t="s">
        <v>1092</v>
      </c>
      <c r="V464" s="548">
        <v>43579</v>
      </c>
      <c r="W464" s="43"/>
      <c r="X464" s="342">
        <f t="shared" si="135"/>
        <v>167.4</v>
      </c>
      <c r="Y464" s="342">
        <f t="shared" si="136"/>
        <v>69.75</v>
      </c>
      <c r="Z464" s="46">
        <f t="shared" si="137"/>
        <v>23.017500000000002</v>
      </c>
      <c r="AA464" s="46">
        <f t="shared" si="138"/>
        <v>106.02</v>
      </c>
      <c r="AB464" s="43"/>
      <c r="AC464" s="44">
        <v>1464.75</v>
      </c>
      <c r="AD464" s="31">
        <v>0.12</v>
      </c>
      <c r="AE464" s="31">
        <v>0.05</v>
      </c>
      <c r="AF464" s="31">
        <v>0</v>
      </c>
      <c r="AG464" s="28" t="s">
        <v>53</v>
      </c>
      <c r="AH464" s="46">
        <f t="shared" si="139"/>
        <v>1537.9875</v>
      </c>
      <c r="AI464" s="43"/>
      <c r="AJ464" s="28" t="s">
        <v>264</v>
      </c>
      <c r="AK464" s="337">
        <v>4.3</v>
      </c>
      <c r="AL464" s="43"/>
      <c r="AM464" s="44">
        <f t="shared" si="140"/>
        <v>0</v>
      </c>
      <c r="AN464" s="43"/>
      <c r="AO464" s="28">
        <f t="shared" si="141"/>
        <v>0</v>
      </c>
      <c r="AP464" s="43"/>
      <c r="AQ464" s="323">
        <f t="shared" si="142"/>
        <v>0</v>
      </c>
      <c r="AR464" s="43"/>
      <c r="AS464" s="44">
        <f t="shared" si="143"/>
        <v>1537.9875</v>
      </c>
    </row>
    <row r="465" spans="1:45" x14ac:dyDescent="0.25">
      <c r="A465" s="28"/>
      <c r="B465" s="43"/>
      <c r="C465" s="43"/>
      <c r="D465" s="43"/>
      <c r="E465" s="43" t="s">
        <v>1300</v>
      </c>
      <c r="F465" s="43" t="s">
        <v>1301</v>
      </c>
      <c r="G465" s="46">
        <f t="shared" si="130"/>
        <v>1251.3599999999999</v>
      </c>
      <c r="H465" s="46">
        <f t="shared" si="131"/>
        <v>1119.825</v>
      </c>
      <c r="I465" s="28" t="s">
        <v>262</v>
      </c>
      <c r="J465" s="337">
        <v>1</v>
      </c>
      <c r="K465" s="46">
        <f t="shared" si="132"/>
        <v>1251.3599999999999</v>
      </c>
      <c r="L465" s="46">
        <f t="shared" si="133"/>
        <v>1119.825</v>
      </c>
      <c r="M465" s="338">
        <f t="shared" si="134"/>
        <v>0</v>
      </c>
      <c r="N465" s="43" t="s">
        <v>160</v>
      </c>
      <c r="O465" s="339">
        <v>90308990</v>
      </c>
      <c r="P465" s="340">
        <f>IFERROR(VLOOKUP(O465,NCM!$A$3:$D$99,COLUMN(head_porNCM_IPI)-COLUMN(head_porNCM_NCM)+1,FALSE),"")</f>
        <v>3.2500000000000001E-2</v>
      </c>
      <c r="Q465" s="43" t="s">
        <v>1091</v>
      </c>
      <c r="R465" s="78" t="s">
        <v>210</v>
      </c>
      <c r="S465" s="341"/>
      <c r="T465" s="28" t="s">
        <v>52</v>
      </c>
      <c r="U465" s="28" t="s">
        <v>2772</v>
      </c>
      <c r="V465" s="548">
        <v>45337</v>
      </c>
      <c r="W465" s="43"/>
      <c r="X465" s="342">
        <f t="shared" si="135"/>
        <v>165.26876513317191</v>
      </c>
      <c r="Y465" s="342">
        <f t="shared" si="136"/>
        <v>44.7602905569006</v>
      </c>
      <c r="Z465" s="46">
        <f t="shared" si="137"/>
        <v>22.72445520581114</v>
      </c>
      <c r="AA465" s="46">
        <f t="shared" si="138"/>
        <v>104.67021791767556</v>
      </c>
      <c r="AB465" s="43"/>
      <c r="AC465" s="44">
        <v>1422</v>
      </c>
      <c r="AD465" s="31">
        <v>0.12</v>
      </c>
      <c r="AE465" s="31">
        <v>3.2500000000000001E-2</v>
      </c>
      <c r="AF465" s="31">
        <v>0</v>
      </c>
      <c r="AG465" s="28" t="s">
        <v>53</v>
      </c>
      <c r="AH465" s="46">
        <f t="shared" si="139"/>
        <v>1468.2149999999999</v>
      </c>
      <c r="AI465" s="43"/>
      <c r="AJ465" s="28"/>
      <c r="AK465" s="337"/>
      <c r="AL465" s="43"/>
      <c r="AM465" s="44">
        <f t="shared" si="140"/>
        <v>0</v>
      </c>
      <c r="AN465" s="43"/>
      <c r="AO465" s="28">
        <f t="shared" si="141"/>
        <v>0</v>
      </c>
      <c r="AP465" s="43"/>
      <c r="AQ465" s="323">
        <f t="shared" si="142"/>
        <v>0</v>
      </c>
      <c r="AR465" s="43"/>
      <c r="AS465" s="44">
        <f t="shared" si="143"/>
        <v>1468.2149999999999</v>
      </c>
    </row>
    <row r="466" spans="1:45" x14ac:dyDescent="0.25">
      <c r="A466" s="28"/>
      <c r="B466" s="43"/>
      <c r="C466" s="43"/>
      <c r="D466" s="43"/>
      <c r="E466" s="43" t="s">
        <v>1302</v>
      </c>
      <c r="F466" s="43" t="s">
        <v>1303</v>
      </c>
      <c r="G466" s="46">
        <f t="shared" si="130"/>
        <v>1251.3599999999999</v>
      </c>
      <c r="H466" s="46">
        <f t="shared" si="131"/>
        <v>1119.825</v>
      </c>
      <c r="I466" s="28" t="s">
        <v>262</v>
      </c>
      <c r="J466" s="337">
        <v>1</v>
      </c>
      <c r="K466" s="46">
        <f t="shared" si="132"/>
        <v>1251.3599999999999</v>
      </c>
      <c r="L466" s="46">
        <f t="shared" si="133"/>
        <v>1119.825</v>
      </c>
      <c r="M466" s="338">
        <f t="shared" si="134"/>
        <v>0</v>
      </c>
      <c r="N466" s="43" t="s">
        <v>160</v>
      </c>
      <c r="O466" s="339">
        <v>90308990</v>
      </c>
      <c r="P466" s="340">
        <f>IFERROR(VLOOKUP(O466,NCM!$A$3:$D$99,COLUMN(head_porNCM_IPI)-COLUMN(head_porNCM_NCM)+1,FALSE),"")</f>
        <v>3.2500000000000001E-2</v>
      </c>
      <c r="Q466" s="43" t="s">
        <v>1091</v>
      </c>
      <c r="R466" s="78" t="s">
        <v>210</v>
      </c>
      <c r="S466" s="341"/>
      <c r="T466" s="28" t="s">
        <v>52</v>
      </c>
      <c r="U466" s="28" t="s">
        <v>2772</v>
      </c>
      <c r="V466" s="548">
        <v>45337</v>
      </c>
      <c r="W466" s="43"/>
      <c r="X466" s="342">
        <f t="shared" si="135"/>
        <v>165.26876513317191</v>
      </c>
      <c r="Y466" s="342">
        <f t="shared" si="136"/>
        <v>44.7602905569006</v>
      </c>
      <c r="Z466" s="46">
        <f t="shared" si="137"/>
        <v>22.72445520581114</v>
      </c>
      <c r="AA466" s="46">
        <f t="shared" si="138"/>
        <v>104.67021791767556</v>
      </c>
      <c r="AB466" s="43"/>
      <c r="AC466" s="44">
        <v>1422</v>
      </c>
      <c r="AD466" s="31">
        <v>0.12</v>
      </c>
      <c r="AE466" s="31">
        <v>3.2500000000000001E-2</v>
      </c>
      <c r="AF466" s="31">
        <v>0</v>
      </c>
      <c r="AG466" s="28" t="s">
        <v>53</v>
      </c>
      <c r="AH466" s="46">
        <f t="shared" si="139"/>
        <v>1468.2149999999999</v>
      </c>
      <c r="AI466" s="43"/>
      <c r="AJ466" s="28"/>
      <c r="AK466" s="337"/>
      <c r="AL466" s="43"/>
      <c r="AM466" s="44">
        <f t="shared" si="140"/>
        <v>0</v>
      </c>
      <c r="AN466" s="43"/>
      <c r="AO466" s="28">
        <f t="shared" si="141"/>
        <v>0</v>
      </c>
      <c r="AP466" s="43"/>
      <c r="AQ466" s="323">
        <f t="shared" si="142"/>
        <v>0</v>
      </c>
      <c r="AR466" s="43"/>
      <c r="AS466" s="44">
        <f t="shared" si="143"/>
        <v>1468.2149999999999</v>
      </c>
    </row>
    <row r="467" spans="1:45" x14ac:dyDescent="0.25">
      <c r="A467" s="28"/>
      <c r="B467" s="43"/>
      <c r="C467" s="43"/>
      <c r="D467" s="43" t="s">
        <v>749</v>
      </c>
      <c r="E467" s="43"/>
      <c r="F467" s="43"/>
      <c r="G467" s="46">
        <f t="shared" si="130"/>
        <v>0</v>
      </c>
      <c r="H467" s="46">
        <f t="shared" si="131"/>
        <v>0</v>
      </c>
      <c r="I467" s="28"/>
      <c r="J467" s="337"/>
      <c r="K467" s="46" t="str">
        <f t="shared" si="132"/>
        <v/>
      </c>
      <c r="L467" s="46" t="str">
        <f t="shared" si="133"/>
        <v/>
      </c>
      <c r="M467" s="338">
        <f t="shared" si="134"/>
        <v>0</v>
      </c>
      <c r="N467" s="43"/>
      <c r="O467" s="339"/>
      <c r="P467" s="340" t="str">
        <f>IFERROR(VLOOKUP(O467,NCM!$A$3:$D$99,COLUMN(head_porNCM_IPI)-COLUMN(head_porNCM_NCM)+1,FALSE),"")</f>
        <v/>
      </c>
      <c r="Q467" s="43"/>
      <c r="R467" s="78"/>
      <c r="S467" s="341"/>
      <c r="T467" s="28"/>
      <c r="U467" s="28"/>
      <c r="V467" s="28"/>
      <c r="W467" s="43"/>
      <c r="X467" s="342">
        <f t="shared" si="135"/>
        <v>0</v>
      </c>
      <c r="Y467" s="342">
        <f t="shared" si="136"/>
        <v>0</v>
      </c>
      <c r="Z467" s="46">
        <f t="shared" si="137"/>
        <v>0</v>
      </c>
      <c r="AA467" s="46">
        <f t="shared" si="138"/>
        <v>0</v>
      </c>
      <c r="AB467" s="43"/>
      <c r="AC467" s="44">
        <v>0</v>
      </c>
      <c r="AD467" s="31"/>
      <c r="AE467" s="31"/>
      <c r="AF467" s="31"/>
      <c r="AG467" s="28"/>
      <c r="AH467" s="46">
        <f t="shared" si="139"/>
        <v>0</v>
      </c>
      <c r="AI467" s="43"/>
      <c r="AJ467" s="28"/>
      <c r="AK467" s="337"/>
      <c r="AL467" s="43"/>
      <c r="AM467" s="44">
        <f t="shared" si="140"/>
        <v>0</v>
      </c>
      <c r="AN467" s="43"/>
      <c r="AO467" s="28">
        <f t="shared" si="141"/>
        <v>0</v>
      </c>
      <c r="AP467" s="43"/>
      <c r="AQ467" s="323">
        <f t="shared" si="142"/>
        <v>0</v>
      </c>
      <c r="AR467" s="43"/>
      <c r="AS467" s="44">
        <f t="shared" si="143"/>
        <v>0</v>
      </c>
    </row>
    <row r="468" spans="1:45" x14ac:dyDescent="0.25">
      <c r="A468" s="28"/>
      <c r="B468" s="43"/>
      <c r="C468" s="43"/>
      <c r="D468" s="43"/>
      <c r="E468" s="43" t="s">
        <v>2669</v>
      </c>
      <c r="F468" s="43" t="s">
        <v>1304</v>
      </c>
      <c r="G468" s="46">
        <f t="shared" si="130"/>
        <v>3344</v>
      </c>
      <c r="H468" s="46">
        <f t="shared" si="131"/>
        <v>2992.5000000000005</v>
      </c>
      <c r="I468" s="28" t="s">
        <v>262</v>
      </c>
      <c r="J468" s="337">
        <v>1</v>
      </c>
      <c r="K468" s="46">
        <f t="shared" si="132"/>
        <v>3344</v>
      </c>
      <c r="L468" s="46">
        <f t="shared" si="133"/>
        <v>2992.5000000000005</v>
      </c>
      <c r="M468" s="338">
        <f t="shared" si="134"/>
        <v>0</v>
      </c>
      <c r="N468" s="43" t="s">
        <v>668</v>
      </c>
      <c r="O468" s="339">
        <v>90309090</v>
      </c>
      <c r="P468" s="340">
        <f>IFERROR(VLOOKUP(O468,NCM!$A$3:$D$99,COLUMN(head_porNCM_IPI)-COLUMN(head_porNCM_NCM)+1,FALSE),"")</f>
        <v>0.05</v>
      </c>
      <c r="Q468" s="43" t="s">
        <v>1882</v>
      </c>
      <c r="R468" s="78" t="s">
        <v>209</v>
      </c>
      <c r="S468" s="341"/>
      <c r="T468" s="28" t="s">
        <v>52</v>
      </c>
      <c r="U468" s="28" t="s">
        <v>2773</v>
      </c>
      <c r="V468" s="548">
        <v>45152</v>
      </c>
      <c r="W468" s="43"/>
      <c r="X468" s="342">
        <f t="shared" si="135"/>
        <v>441.64648910411626</v>
      </c>
      <c r="Y468" s="342">
        <f t="shared" si="136"/>
        <v>119.6125907990313</v>
      </c>
      <c r="Z468" s="46">
        <f t="shared" si="137"/>
        <v>60.726392251815987</v>
      </c>
      <c r="AA468" s="46">
        <f t="shared" si="138"/>
        <v>279.70944309927364</v>
      </c>
      <c r="AB468" s="43"/>
      <c r="AC468" s="44">
        <v>3800</v>
      </c>
      <c r="AD468" s="31">
        <v>0.12</v>
      </c>
      <c r="AE468" s="31">
        <v>3.2500000000000001E-2</v>
      </c>
      <c r="AF468" s="31">
        <v>0</v>
      </c>
      <c r="AG468" s="28" t="s">
        <v>53</v>
      </c>
      <c r="AH468" s="46">
        <f t="shared" si="139"/>
        <v>3923.5</v>
      </c>
      <c r="AI468" s="43"/>
      <c r="AJ468" s="28"/>
      <c r="AK468" s="337"/>
      <c r="AL468" s="43"/>
      <c r="AM468" s="44">
        <f t="shared" si="140"/>
        <v>0</v>
      </c>
      <c r="AN468" s="43"/>
      <c r="AO468" s="28">
        <f t="shared" si="141"/>
        <v>0</v>
      </c>
      <c r="AP468" s="43"/>
      <c r="AQ468" s="323">
        <f t="shared" si="142"/>
        <v>0</v>
      </c>
      <c r="AR468" s="43"/>
      <c r="AS468" s="44">
        <f t="shared" si="143"/>
        <v>3923.5</v>
      </c>
    </row>
    <row r="469" spans="1:45" x14ac:dyDescent="0.25">
      <c r="A469" s="28"/>
      <c r="B469" s="43"/>
      <c r="C469" s="43"/>
      <c r="D469" s="43"/>
      <c r="E469" s="43" t="s">
        <v>1305</v>
      </c>
      <c r="F469" s="43" t="s">
        <v>1306</v>
      </c>
      <c r="G469" s="46">
        <f t="shared" si="130"/>
        <v>21370.444800000001</v>
      </c>
      <c r="H469" s="46">
        <f t="shared" si="131"/>
        <v>19311.313400000003</v>
      </c>
      <c r="I469" s="28" t="s">
        <v>262</v>
      </c>
      <c r="J469" s="337">
        <v>1</v>
      </c>
      <c r="K469" s="46">
        <f t="shared" si="132"/>
        <v>21370.444800000001</v>
      </c>
      <c r="L469" s="46">
        <f t="shared" si="133"/>
        <v>19311.313400000003</v>
      </c>
      <c r="M469" s="338">
        <f t="shared" si="134"/>
        <v>0</v>
      </c>
      <c r="N469" s="43" t="s">
        <v>160</v>
      </c>
      <c r="O469" s="339">
        <v>90303990</v>
      </c>
      <c r="P469" s="340">
        <f>IFERROR(VLOOKUP(O469,NCM!$A$3:$D$99,COLUMN(head_porNCM_IPI)-COLUMN(head_porNCM_NCM)+1,FALSE),"")</f>
        <v>3.2500000000000001E-2</v>
      </c>
      <c r="Q469" s="43" t="s">
        <v>1883</v>
      </c>
      <c r="R469" s="78" t="s">
        <v>210</v>
      </c>
      <c r="S469" s="341"/>
      <c r="T469" s="28" t="s">
        <v>52</v>
      </c>
      <c r="U469" s="28" t="s">
        <v>2774</v>
      </c>
      <c r="V469" s="548">
        <v>45092</v>
      </c>
      <c r="W469" s="43"/>
      <c r="X469" s="342">
        <f t="shared" si="135"/>
        <v>890.43520000000001</v>
      </c>
      <c r="Y469" s="342">
        <f t="shared" si="136"/>
        <v>0</v>
      </c>
      <c r="Z469" s="46">
        <f t="shared" si="137"/>
        <v>367.30452000000002</v>
      </c>
      <c r="AA469" s="46">
        <f t="shared" si="138"/>
        <v>1691.8268800000001</v>
      </c>
      <c r="AB469" s="43"/>
      <c r="AC469" s="44">
        <v>22260.880000000001</v>
      </c>
      <c r="AD469" s="31">
        <v>0.04</v>
      </c>
      <c r="AE469" s="31">
        <v>0</v>
      </c>
      <c r="AF469" s="31">
        <v>0</v>
      </c>
      <c r="AG469" s="28" t="s">
        <v>53</v>
      </c>
      <c r="AH469" s="46">
        <f t="shared" si="139"/>
        <v>22260.880000000001</v>
      </c>
      <c r="AI469" s="43"/>
      <c r="AJ469" s="28" t="s">
        <v>263</v>
      </c>
      <c r="AK469" s="337">
        <v>5.53</v>
      </c>
      <c r="AL469" s="43"/>
      <c r="AM469" s="44">
        <f t="shared" si="140"/>
        <v>0</v>
      </c>
      <c r="AN469" s="43"/>
      <c r="AO469" s="28">
        <f t="shared" si="141"/>
        <v>0</v>
      </c>
      <c r="AP469" s="43"/>
      <c r="AQ469" s="323">
        <f t="shared" si="142"/>
        <v>0</v>
      </c>
      <c r="AR469" s="43"/>
      <c r="AS469" s="44">
        <f t="shared" si="143"/>
        <v>22260.880000000001</v>
      </c>
    </row>
    <row r="470" spans="1:45" x14ac:dyDescent="0.25">
      <c r="A470" s="28"/>
      <c r="B470" s="43"/>
      <c r="C470" s="43"/>
      <c r="D470" s="43"/>
      <c r="E470" s="43" t="s">
        <v>1307</v>
      </c>
      <c r="F470" s="43" t="s">
        <v>1308</v>
      </c>
      <c r="G470" s="46">
        <f t="shared" si="130"/>
        <v>34007.040000000001</v>
      </c>
      <c r="H470" s="46">
        <f t="shared" si="131"/>
        <v>30730.320000000003</v>
      </c>
      <c r="I470" s="28" t="s">
        <v>262</v>
      </c>
      <c r="J470" s="337">
        <v>1</v>
      </c>
      <c r="K470" s="46">
        <f t="shared" si="132"/>
        <v>34007.040000000001</v>
      </c>
      <c r="L470" s="46">
        <f t="shared" si="133"/>
        <v>30730.320000000003</v>
      </c>
      <c r="M470" s="338">
        <f t="shared" si="134"/>
        <v>0</v>
      </c>
      <c r="N470" s="43" t="s">
        <v>160</v>
      </c>
      <c r="O470" s="339">
        <v>90303990</v>
      </c>
      <c r="P470" s="340">
        <f>IFERROR(VLOOKUP(O470,NCM!$A$3:$D$99,COLUMN(head_porNCM_IPI)-COLUMN(head_porNCM_NCM)+1,FALSE),"")</f>
        <v>3.2500000000000001E-2</v>
      </c>
      <c r="Q470" s="43" t="s">
        <v>1883</v>
      </c>
      <c r="R470" s="78" t="s">
        <v>210</v>
      </c>
      <c r="S470" s="341"/>
      <c r="T470" s="28" t="s">
        <v>52</v>
      </c>
      <c r="U470" s="28" t="s">
        <v>2774</v>
      </c>
      <c r="V470" s="548">
        <v>45092</v>
      </c>
      <c r="W470" s="43"/>
      <c r="X470" s="342">
        <f t="shared" si="135"/>
        <v>1416.96</v>
      </c>
      <c r="Y470" s="342">
        <f t="shared" si="136"/>
        <v>0</v>
      </c>
      <c r="Z470" s="46">
        <f t="shared" si="137"/>
        <v>584.49599999999998</v>
      </c>
      <c r="AA470" s="46">
        <f t="shared" si="138"/>
        <v>2692.2240000000002</v>
      </c>
      <c r="AB470" s="43"/>
      <c r="AC470" s="44">
        <v>35424</v>
      </c>
      <c r="AD470" s="31">
        <v>0.04</v>
      </c>
      <c r="AE470" s="31">
        <v>0</v>
      </c>
      <c r="AF470" s="31">
        <v>0</v>
      </c>
      <c r="AG470" s="28" t="s">
        <v>53</v>
      </c>
      <c r="AH470" s="46">
        <f t="shared" si="139"/>
        <v>35424</v>
      </c>
      <c r="AI470" s="43"/>
      <c r="AJ470" s="28" t="s">
        <v>263</v>
      </c>
      <c r="AK470" s="337">
        <v>5.53</v>
      </c>
      <c r="AL470" s="43"/>
      <c r="AM470" s="44">
        <f t="shared" si="140"/>
        <v>0</v>
      </c>
      <c r="AN470" s="43"/>
      <c r="AO470" s="28">
        <f t="shared" si="141"/>
        <v>0</v>
      </c>
      <c r="AP470" s="43"/>
      <c r="AQ470" s="323">
        <f t="shared" si="142"/>
        <v>0</v>
      </c>
      <c r="AR470" s="43"/>
      <c r="AS470" s="44">
        <f t="shared" si="143"/>
        <v>35424</v>
      </c>
    </row>
    <row r="471" spans="1:45" x14ac:dyDescent="0.25">
      <c r="A471" s="28"/>
      <c r="B471" s="43"/>
      <c r="C471" s="43"/>
      <c r="D471" s="43"/>
      <c r="E471" s="43" t="s">
        <v>1309</v>
      </c>
      <c r="F471" s="43" t="s">
        <v>1310</v>
      </c>
      <c r="G471" s="46">
        <f t="shared" si="130"/>
        <v>5312.23</v>
      </c>
      <c r="H471" s="46">
        <f t="shared" si="131"/>
        <v>4820.8487249999998</v>
      </c>
      <c r="I471" s="28" t="s">
        <v>262</v>
      </c>
      <c r="J471" s="337">
        <v>1</v>
      </c>
      <c r="K471" s="46">
        <f t="shared" si="132"/>
        <v>5312.23</v>
      </c>
      <c r="L471" s="46">
        <f t="shared" si="133"/>
        <v>4820.8487249999998</v>
      </c>
      <c r="M471" s="338">
        <f t="shared" si="134"/>
        <v>0</v>
      </c>
      <c r="N471" s="43" t="s">
        <v>669</v>
      </c>
      <c r="O471" s="339" t="s">
        <v>167</v>
      </c>
      <c r="P471" s="340" t="str">
        <f>IFERROR(VLOOKUP(O471,NCM!$A$3:$D$99,COLUMN(head_porNCM_IPI)-COLUMN(head_porNCM_NCM)+1,FALSE),"")</f>
        <v/>
      </c>
      <c r="Q471" s="43" t="s">
        <v>1883</v>
      </c>
      <c r="R471" s="78" t="s">
        <v>210</v>
      </c>
      <c r="S471" s="341"/>
      <c r="T471" s="28" t="s">
        <v>53</v>
      </c>
      <c r="U471" s="28" t="s">
        <v>2774</v>
      </c>
      <c r="V471" s="548">
        <v>45092</v>
      </c>
      <c r="W471" s="43"/>
      <c r="X471" s="342">
        <f t="shared" si="135"/>
        <v>0</v>
      </c>
      <c r="Y471" s="342">
        <f t="shared" si="136"/>
        <v>0</v>
      </c>
      <c r="Z471" s="46">
        <f t="shared" si="137"/>
        <v>87.651794999999993</v>
      </c>
      <c r="AA471" s="46">
        <f t="shared" si="138"/>
        <v>403.72947999999997</v>
      </c>
      <c r="AB471" s="43"/>
      <c r="AC471" s="44">
        <v>5312.23</v>
      </c>
      <c r="AD471" s="31">
        <v>0</v>
      </c>
      <c r="AE471" s="31">
        <v>0</v>
      </c>
      <c r="AF471" s="31">
        <v>0.05</v>
      </c>
      <c r="AG471" s="28" t="s">
        <v>53</v>
      </c>
      <c r="AH471" s="46">
        <f t="shared" si="139"/>
        <v>5312.23</v>
      </c>
      <c r="AI471" s="43"/>
      <c r="AJ471" s="28" t="s">
        <v>263</v>
      </c>
      <c r="AK471" s="337">
        <v>5.53</v>
      </c>
      <c r="AL471" s="43"/>
      <c r="AM471" s="44">
        <f t="shared" si="140"/>
        <v>0</v>
      </c>
      <c r="AN471" s="43"/>
      <c r="AO471" s="28">
        <f t="shared" si="141"/>
        <v>0</v>
      </c>
      <c r="AP471" s="43"/>
      <c r="AQ471" s="323">
        <f t="shared" si="142"/>
        <v>0</v>
      </c>
      <c r="AR471" s="43"/>
      <c r="AS471" s="44">
        <f t="shared" si="143"/>
        <v>5312.23</v>
      </c>
    </row>
    <row r="472" spans="1:45" x14ac:dyDescent="0.25">
      <c r="A472" s="28"/>
      <c r="B472" s="43"/>
      <c r="C472" s="43"/>
      <c r="D472" s="43"/>
      <c r="E472" s="43" t="s">
        <v>1311</v>
      </c>
      <c r="F472" s="43" t="s">
        <v>1312</v>
      </c>
      <c r="G472" s="46">
        <f t="shared" si="130"/>
        <v>843.9</v>
      </c>
      <c r="H472" s="46">
        <f t="shared" si="131"/>
        <v>765.83925000000011</v>
      </c>
      <c r="I472" s="28" t="s">
        <v>262</v>
      </c>
      <c r="J472" s="337">
        <v>1</v>
      </c>
      <c r="K472" s="46">
        <f t="shared" si="132"/>
        <v>843.9</v>
      </c>
      <c r="L472" s="46">
        <f t="shared" si="133"/>
        <v>765.83925000000011</v>
      </c>
      <c r="M472" s="338">
        <f t="shared" si="134"/>
        <v>0</v>
      </c>
      <c r="N472" s="43" t="s">
        <v>669</v>
      </c>
      <c r="O472" s="339" t="s">
        <v>167</v>
      </c>
      <c r="P472" s="340" t="str">
        <f>IFERROR(VLOOKUP(O472,NCM!$A$3:$D$99,COLUMN(head_porNCM_IPI)-COLUMN(head_porNCM_NCM)+1,FALSE),"")</f>
        <v/>
      </c>
      <c r="Q472" s="43" t="s">
        <v>1883</v>
      </c>
      <c r="R472" s="78" t="s">
        <v>210</v>
      </c>
      <c r="S472" s="341"/>
      <c r="T472" s="28" t="s">
        <v>53</v>
      </c>
      <c r="U472" s="28" t="s">
        <v>2774</v>
      </c>
      <c r="V472" s="548">
        <v>45092</v>
      </c>
      <c r="W472" s="43"/>
      <c r="X472" s="342">
        <f t="shared" si="135"/>
        <v>0</v>
      </c>
      <c r="Y472" s="342">
        <f t="shared" si="136"/>
        <v>0</v>
      </c>
      <c r="Z472" s="46">
        <f t="shared" si="137"/>
        <v>13.92435</v>
      </c>
      <c r="AA472" s="46">
        <f t="shared" si="138"/>
        <v>64.136399999999995</v>
      </c>
      <c r="AB472" s="43"/>
      <c r="AC472" s="44">
        <v>843.9</v>
      </c>
      <c r="AD472" s="31">
        <v>0</v>
      </c>
      <c r="AE472" s="31">
        <v>0</v>
      </c>
      <c r="AF472" s="31">
        <v>0.05</v>
      </c>
      <c r="AG472" s="28" t="s">
        <v>53</v>
      </c>
      <c r="AH472" s="46">
        <f t="shared" si="139"/>
        <v>843.9</v>
      </c>
      <c r="AI472" s="43"/>
      <c r="AJ472" s="28" t="s">
        <v>263</v>
      </c>
      <c r="AK472" s="337">
        <v>5.53</v>
      </c>
      <c r="AL472" s="43"/>
      <c r="AM472" s="44">
        <f t="shared" si="140"/>
        <v>0</v>
      </c>
      <c r="AN472" s="43"/>
      <c r="AO472" s="28">
        <f t="shared" si="141"/>
        <v>0</v>
      </c>
      <c r="AP472" s="43"/>
      <c r="AQ472" s="323">
        <f t="shared" si="142"/>
        <v>0</v>
      </c>
      <c r="AR472" s="43"/>
      <c r="AS472" s="44">
        <f t="shared" si="143"/>
        <v>843.9</v>
      </c>
    </row>
    <row r="473" spans="1:45" x14ac:dyDescent="0.25">
      <c r="A473" s="28"/>
      <c r="B473" s="43"/>
      <c r="C473" s="43"/>
      <c r="D473" s="43"/>
      <c r="E473" s="43" t="s">
        <v>1313</v>
      </c>
      <c r="F473" s="43" t="s">
        <v>1314</v>
      </c>
      <c r="G473" s="46">
        <f t="shared" si="130"/>
        <v>3626.1</v>
      </c>
      <c r="H473" s="46">
        <f t="shared" si="131"/>
        <v>3290.6857500000001</v>
      </c>
      <c r="I473" s="28" t="s">
        <v>262</v>
      </c>
      <c r="J473" s="337">
        <v>1</v>
      </c>
      <c r="K473" s="46">
        <f t="shared" si="132"/>
        <v>3626.1</v>
      </c>
      <c r="L473" s="46">
        <f t="shared" si="133"/>
        <v>3290.6857500000001</v>
      </c>
      <c r="M473" s="338">
        <f t="shared" si="134"/>
        <v>0</v>
      </c>
      <c r="N473" s="43" t="s">
        <v>669</v>
      </c>
      <c r="O473" s="339" t="s">
        <v>167</v>
      </c>
      <c r="P473" s="340" t="str">
        <f>IFERROR(VLOOKUP(O473,NCM!$A$3:$D$99,COLUMN(head_porNCM_IPI)-COLUMN(head_porNCM_NCM)+1,FALSE),"")</f>
        <v/>
      </c>
      <c r="Q473" s="43" t="s">
        <v>1883</v>
      </c>
      <c r="R473" s="78" t="s">
        <v>210</v>
      </c>
      <c r="S473" s="341"/>
      <c r="T473" s="28" t="s">
        <v>53</v>
      </c>
      <c r="U473" s="28" t="s">
        <v>2774</v>
      </c>
      <c r="V473" s="548">
        <v>45092</v>
      </c>
      <c r="W473" s="43"/>
      <c r="X473" s="342">
        <f t="shared" si="135"/>
        <v>0</v>
      </c>
      <c r="Y473" s="342">
        <f t="shared" si="136"/>
        <v>0</v>
      </c>
      <c r="Z473" s="46">
        <f t="shared" si="137"/>
        <v>59.830649999999999</v>
      </c>
      <c r="AA473" s="46">
        <f t="shared" si="138"/>
        <v>275.58359999999999</v>
      </c>
      <c r="AB473" s="43"/>
      <c r="AC473" s="44">
        <v>3626.1</v>
      </c>
      <c r="AD473" s="31">
        <v>0</v>
      </c>
      <c r="AE473" s="31">
        <v>0</v>
      </c>
      <c r="AF473" s="31">
        <v>0.05</v>
      </c>
      <c r="AG473" s="28" t="s">
        <v>53</v>
      </c>
      <c r="AH473" s="46">
        <f t="shared" si="139"/>
        <v>3626.1</v>
      </c>
      <c r="AI473" s="43"/>
      <c r="AJ473" s="28" t="s">
        <v>263</v>
      </c>
      <c r="AK473" s="337">
        <v>5.53</v>
      </c>
      <c r="AL473" s="43"/>
      <c r="AM473" s="44">
        <f t="shared" si="140"/>
        <v>0</v>
      </c>
      <c r="AN473" s="43"/>
      <c r="AO473" s="28">
        <f t="shared" si="141"/>
        <v>0</v>
      </c>
      <c r="AP473" s="43"/>
      <c r="AQ473" s="323">
        <f t="shared" si="142"/>
        <v>0</v>
      </c>
      <c r="AR473" s="43"/>
      <c r="AS473" s="44">
        <f t="shared" si="143"/>
        <v>3626.1</v>
      </c>
    </row>
    <row r="474" spans="1:45" x14ac:dyDescent="0.25">
      <c r="A474" s="28"/>
      <c r="B474" s="43"/>
      <c r="C474" s="43"/>
      <c r="D474" s="43"/>
      <c r="E474" s="43" t="s">
        <v>1970</v>
      </c>
      <c r="F474" s="43" t="s">
        <v>1971</v>
      </c>
      <c r="G474" s="46">
        <f t="shared" si="130"/>
        <v>7593</v>
      </c>
      <c r="H474" s="46">
        <f t="shared" si="131"/>
        <v>6890.6475000000009</v>
      </c>
      <c r="I474" s="28" t="s">
        <v>262</v>
      </c>
      <c r="J474" s="337">
        <v>1</v>
      </c>
      <c r="K474" s="46">
        <f t="shared" si="132"/>
        <v>7593</v>
      </c>
      <c r="L474" s="46">
        <f t="shared" si="133"/>
        <v>6890.6475000000009</v>
      </c>
      <c r="M474" s="338">
        <f t="shared" si="134"/>
        <v>0</v>
      </c>
      <c r="N474" s="43" t="s">
        <v>160</v>
      </c>
      <c r="O474" s="339">
        <v>90303990</v>
      </c>
      <c r="P474" s="340">
        <f>IFERROR(VLOOKUP(O474,NCM!$A$3:$D$99,COLUMN(head_porNCM_IPI)-COLUMN(head_porNCM_NCM)+1,FALSE),"")</f>
        <v>3.2500000000000001E-2</v>
      </c>
      <c r="Q474" s="43" t="s">
        <v>1974</v>
      </c>
      <c r="R474" s="78" t="s">
        <v>210</v>
      </c>
      <c r="S474" s="341"/>
      <c r="T474" s="28" t="s">
        <v>52</v>
      </c>
      <c r="U474" s="28" t="s">
        <v>1975</v>
      </c>
      <c r="V474" s="548">
        <v>44497</v>
      </c>
      <c r="W474" s="43"/>
      <c r="X474" s="342">
        <f t="shared" si="135"/>
        <v>0</v>
      </c>
      <c r="Y474" s="342">
        <f t="shared" si="136"/>
        <v>0</v>
      </c>
      <c r="Z474" s="46">
        <f t="shared" si="137"/>
        <v>125.28450000000001</v>
      </c>
      <c r="AA474" s="46">
        <f t="shared" si="138"/>
        <v>577.06799999999998</v>
      </c>
      <c r="AB474" s="43"/>
      <c r="AC474" s="44">
        <v>7593</v>
      </c>
      <c r="AD474" s="31">
        <v>0</v>
      </c>
      <c r="AE474" s="31">
        <v>0</v>
      </c>
      <c r="AF474" s="31">
        <v>0</v>
      </c>
      <c r="AG474" s="28" t="s">
        <v>53</v>
      </c>
      <c r="AH474" s="46">
        <f t="shared" si="139"/>
        <v>7593</v>
      </c>
      <c r="AI474" s="43"/>
      <c r="AJ474" s="28" t="s">
        <v>263</v>
      </c>
      <c r="AK474" s="337">
        <v>5.62</v>
      </c>
      <c r="AL474" s="43"/>
      <c r="AM474" s="44">
        <f t="shared" si="140"/>
        <v>0</v>
      </c>
      <c r="AN474" s="43"/>
      <c r="AO474" s="28">
        <f t="shared" si="141"/>
        <v>0</v>
      </c>
      <c r="AP474" s="43"/>
      <c r="AQ474" s="323">
        <f t="shared" si="142"/>
        <v>0</v>
      </c>
      <c r="AR474" s="43"/>
      <c r="AS474" s="44">
        <f t="shared" si="143"/>
        <v>7593</v>
      </c>
    </row>
    <row r="475" spans="1:45" x14ac:dyDescent="0.25">
      <c r="A475" s="28"/>
      <c r="B475" s="43"/>
      <c r="C475" s="43"/>
      <c r="D475" s="43" t="s">
        <v>1315</v>
      </c>
      <c r="E475" s="43"/>
      <c r="F475" s="43"/>
      <c r="G475" s="46">
        <f t="shared" si="130"/>
        <v>0</v>
      </c>
      <c r="H475" s="46">
        <f t="shared" si="131"/>
        <v>0</v>
      </c>
      <c r="I475" s="28"/>
      <c r="J475" s="337"/>
      <c r="K475" s="46" t="str">
        <f t="shared" si="132"/>
        <v/>
      </c>
      <c r="L475" s="46" t="str">
        <f t="shared" si="133"/>
        <v/>
      </c>
      <c r="M475" s="338">
        <f t="shared" si="134"/>
        <v>0</v>
      </c>
      <c r="N475" s="43"/>
      <c r="O475" s="339"/>
      <c r="P475" s="340" t="str">
        <f>IFERROR(VLOOKUP(O475,NCM!$A$3:$D$99,COLUMN(head_porNCM_IPI)-COLUMN(head_porNCM_NCM)+1,FALSE),"")</f>
        <v/>
      </c>
      <c r="Q475" s="43"/>
      <c r="R475" s="78"/>
      <c r="S475" s="341"/>
      <c r="T475" s="28"/>
      <c r="U475" s="28"/>
      <c r="V475" s="28"/>
      <c r="W475" s="43"/>
      <c r="X475" s="342">
        <f t="shared" si="135"/>
        <v>0</v>
      </c>
      <c r="Y475" s="342">
        <f t="shared" si="136"/>
        <v>0</v>
      </c>
      <c r="Z475" s="46">
        <f t="shared" si="137"/>
        <v>0</v>
      </c>
      <c r="AA475" s="46">
        <f t="shared" si="138"/>
        <v>0</v>
      </c>
      <c r="AB475" s="43"/>
      <c r="AC475" s="44">
        <v>0</v>
      </c>
      <c r="AD475" s="31"/>
      <c r="AE475" s="31"/>
      <c r="AF475" s="31"/>
      <c r="AG475" s="28"/>
      <c r="AH475" s="46">
        <f t="shared" si="139"/>
        <v>0</v>
      </c>
      <c r="AI475" s="43"/>
      <c r="AJ475" s="28"/>
      <c r="AK475" s="337"/>
      <c r="AL475" s="43"/>
      <c r="AM475" s="44">
        <f t="shared" si="140"/>
        <v>0</v>
      </c>
      <c r="AN475" s="43"/>
      <c r="AO475" s="28">
        <f t="shared" si="141"/>
        <v>0</v>
      </c>
      <c r="AP475" s="43"/>
      <c r="AQ475" s="323">
        <f t="shared" si="142"/>
        <v>0</v>
      </c>
      <c r="AR475" s="43"/>
      <c r="AS475" s="44">
        <f t="shared" si="143"/>
        <v>0</v>
      </c>
    </row>
    <row r="476" spans="1:45" x14ac:dyDescent="0.25">
      <c r="A476" s="28"/>
      <c r="B476" s="43"/>
      <c r="C476" s="43"/>
      <c r="D476" s="43" t="s">
        <v>1068</v>
      </c>
      <c r="E476" s="43"/>
      <c r="F476" s="43"/>
      <c r="G476" s="46">
        <f t="shared" si="130"/>
        <v>0</v>
      </c>
      <c r="H476" s="46">
        <f t="shared" si="131"/>
        <v>0</v>
      </c>
      <c r="I476" s="28"/>
      <c r="J476" s="337"/>
      <c r="K476" s="46" t="str">
        <f t="shared" si="132"/>
        <v/>
      </c>
      <c r="L476" s="46" t="str">
        <f t="shared" si="133"/>
        <v/>
      </c>
      <c r="M476" s="338">
        <f t="shared" si="134"/>
        <v>0</v>
      </c>
      <c r="N476" s="43"/>
      <c r="O476" s="339"/>
      <c r="P476" s="340" t="str">
        <f>IFERROR(VLOOKUP(O476,NCM!$A$3:$D$99,COLUMN(head_porNCM_IPI)-COLUMN(head_porNCM_NCM)+1,FALSE),"")</f>
        <v/>
      </c>
      <c r="Q476" s="43"/>
      <c r="R476" s="78"/>
      <c r="S476" s="341"/>
      <c r="T476" s="28"/>
      <c r="U476" s="28"/>
      <c r="V476" s="28"/>
      <c r="W476" s="43"/>
      <c r="X476" s="342">
        <f t="shared" si="135"/>
        <v>0</v>
      </c>
      <c r="Y476" s="342">
        <f t="shared" si="136"/>
        <v>0</v>
      </c>
      <c r="Z476" s="46">
        <f t="shared" si="137"/>
        <v>0</v>
      </c>
      <c r="AA476" s="46">
        <f t="shared" si="138"/>
        <v>0</v>
      </c>
      <c r="AB476" s="43"/>
      <c r="AC476" s="44">
        <v>0</v>
      </c>
      <c r="AD476" s="31"/>
      <c r="AE476" s="31"/>
      <c r="AF476" s="31"/>
      <c r="AG476" s="28"/>
      <c r="AH476" s="46">
        <f t="shared" si="139"/>
        <v>0</v>
      </c>
      <c r="AI476" s="43"/>
      <c r="AJ476" s="28"/>
      <c r="AK476" s="337"/>
      <c r="AL476" s="43"/>
      <c r="AM476" s="44">
        <f t="shared" si="140"/>
        <v>0</v>
      </c>
      <c r="AN476" s="43"/>
      <c r="AO476" s="28">
        <f t="shared" si="141"/>
        <v>0</v>
      </c>
      <c r="AP476" s="43"/>
      <c r="AQ476" s="323">
        <f t="shared" si="142"/>
        <v>0</v>
      </c>
      <c r="AR476" s="43"/>
      <c r="AS476" s="44">
        <f t="shared" si="143"/>
        <v>0</v>
      </c>
    </row>
    <row r="477" spans="1:45" x14ac:dyDescent="0.25">
      <c r="A477" s="28"/>
      <c r="B477" s="43"/>
      <c r="C477" s="43"/>
      <c r="D477" s="43"/>
      <c r="E477" s="43" t="s">
        <v>1316</v>
      </c>
      <c r="F477" s="43" t="s">
        <v>1317</v>
      </c>
      <c r="G477" s="46">
        <f t="shared" si="130"/>
        <v>28.937800000000003</v>
      </c>
      <c r="H477" s="46">
        <f t="shared" si="131"/>
        <v>25.673475000000003</v>
      </c>
      <c r="I477" s="28" t="s">
        <v>262</v>
      </c>
      <c r="J477" s="337">
        <v>0.35</v>
      </c>
      <c r="K477" s="46">
        <f t="shared" si="132"/>
        <v>10.12823</v>
      </c>
      <c r="L477" s="46">
        <f t="shared" si="133"/>
        <v>8.9857162500000012</v>
      </c>
      <c r="M477" s="338">
        <f t="shared" si="134"/>
        <v>0</v>
      </c>
      <c r="N477" s="43" t="s">
        <v>36</v>
      </c>
      <c r="O477" s="339">
        <v>85361000</v>
      </c>
      <c r="P477" s="340">
        <f>IFERROR(VLOOKUP(O477,NCM!$A$3:$D$99,COLUMN(head_porNCM_IPI)-COLUMN(head_porNCM_NCM)+1,FALSE),"")</f>
        <v>0.15</v>
      </c>
      <c r="Q477" s="43" t="s">
        <v>806</v>
      </c>
      <c r="R477" s="78" t="s">
        <v>210</v>
      </c>
      <c r="S477" s="341"/>
      <c r="T477" s="28" t="s">
        <v>52</v>
      </c>
      <c r="U477" s="28" t="s">
        <v>3113</v>
      </c>
      <c r="V477" s="548">
        <v>45469</v>
      </c>
      <c r="W477" s="43"/>
      <c r="X477" s="342">
        <f t="shared" si="135"/>
        <v>5.7878815489749424</v>
      </c>
      <c r="Y477" s="342">
        <f t="shared" si="136"/>
        <v>3.1351025056947606</v>
      </c>
      <c r="Z477" s="46">
        <f t="shared" si="137"/>
        <v>0.53055580865603647</v>
      </c>
      <c r="AA477" s="46">
        <f t="shared" si="138"/>
        <v>2.4437722095671979</v>
      </c>
      <c r="AB477" s="43"/>
      <c r="AC477" s="44">
        <v>35.29</v>
      </c>
      <c r="AD477" s="31">
        <v>0.18</v>
      </c>
      <c r="AE477" s="31">
        <v>9.7500000000000003E-2</v>
      </c>
      <c r="AF477" s="31">
        <v>0</v>
      </c>
      <c r="AG477" s="28" t="s">
        <v>53</v>
      </c>
      <c r="AH477" s="46">
        <f t="shared" si="139"/>
        <v>38.730774999999994</v>
      </c>
      <c r="AI477" s="43"/>
      <c r="AJ477" s="28" t="s">
        <v>264</v>
      </c>
      <c r="AK477" s="337"/>
      <c r="AL477" s="43"/>
      <c r="AM477" s="44">
        <f t="shared" si="140"/>
        <v>0</v>
      </c>
      <c r="AN477" s="43"/>
      <c r="AO477" s="28">
        <f t="shared" si="141"/>
        <v>0</v>
      </c>
      <c r="AP477" s="43"/>
      <c r="AQ477" s="323">
        <f t="shared" si="142"/>
        <v>0</v>
      </c>
      <c r="AR477" s="43"/>
      <c r="AS477" s="44">
        <f t="shared" si="143"/>
        <v>38.730774999999994</v>
      </c>
    </row>
    <row r="478" spans="1:45" x14ac:dyDescent="0.25">
      <c r="A478" s="28"/>
      <c r="B478" s="43"/>
      <c r="C478" s="43"/>
      <c r="D478" s="43"/>
      <c r="E478" s="43" t="s">
        <v>1318</v>
      </c>
      <c r="F478" s="43" t="s">
        <v>1319</v>
      </c>
      <c r="G478" s="46">
        <f t="shared" si="130"/>
        <v>28.937800000000003</v>
      </c>
      <c r="H478" s="46">
        <f t="shared" si="131"/>
        <v>25.673475000000003</v>
      </c>
      <c r="I478" s="28" t="s">
        <v>262</v>
      </c>
      <c r="J478" s="337">
        <v>0.35</v>
      </c>
      <c r="K478" s="46">
        <f t="shared" si="132"/>
        <v>10.12823</v>
      </c>
      <c r="L478" s="46">
        <f t="shared" si="133"/>
        <v>8.9857162500000012</v>
      </c>
      <c r="M478" s="338">
        <f t="shared" si="134"/>
        <v>0</v>
      </c>
      <c r="N478" s="43" t="s">
        <v>36</v>
      </c>
      <c r="O478" s="339">
        <v>85361000</v>
      </c>
      <c r="P478" s="340">
        <f>IFERROR(VLOOKUP(O478,NCM!$A$3:$D$99,COLUMN(head_porNCM_IPI)-COLUMN(head_porNCM_NCM)+1,FALSE),"")</f>
        <v>0.15</v>
      </c>
      <c r="Q478" s="43" t="s">
        <v>806</v>
      </c>
      <c r="R478" s="78" t="s">
        <v>210</v>
      </c>
      <c r="S478" s="341"/>
      <c r="T478" s="28" t="s">
        <v>52</v>
      </c>
      <c r="U478" s="28" t="s">
        <v>3113</v>
      </c>
      <c r="V478" s="548">
        <v>45469</v>
      </c>
      <c r="W478" s="43"/>
      <c r="X478" s="342">
        <f t="shared" si="135"/>
        <v>5.7878815489749424</v>
      </c>
      <c r="Y478" s="342">
        <f t="shared" si="136"/>
        <v>3.1351025056947606</v>
      </c>
      <c r="Z478" s="46">
        <f t="shared" si="137"/>
        <v>0.53055580865603647</v>
      </c>
      <c r="AA478" s="46">
        <f t="shared" si="138"/>
        <v>2.4437722095671979</v>
      </c>
      <c r="AB478" s="43"/>
      <c r="AC478" s="44">
        <v>35.29</v>
      </c>
      <c r="AD478" s="31">
        <v>0.18</v>
      </c>
      <c r="AE478" s="31">
        <v>9.7500000000000003E-2</v>
      </c>
      <c r="AF478" s="31">
        <v>0</v>
      </c>
      <c r="AG478" s="28" t="s">
        <v>53</v>
      </c>
      <c r="AH478" s="46">
        <f t="shared" si="139"/>
        <v>38.730774999999994</v>
      </c>
      <c r="AI478" s="43"/>
      <c r="AJ478" s="28" t="s">
        <v>264</v>
      </c>
      <c r="AK478" s="337"/>
      <c r="AL478" s="43"/>
      <c r="AM478" s="44">
        <f t="shared" si="140"/>
        <v>0</v>
      </c>
      <c r="AN478" s="43"/>
      <c r="AO478" s="28">
        <f t="shared" si="141"/>
        <v>0</v>
      </c>
      <c r="AP478" s="43"/>
      <c r="AQ478" s="323">
        <f t="shared" si="142"/>
        <v>0</v>
      </c>
      <c r="AR478" s="43"/>
      <c r="AS478" s="44">
        <f t="shared" si="143"/>
        <v>38.730774999999994</v>
      </c>
    </row>
    <row r="479" spans="1:45" x14ac:dyDescent="0.25">
      <c r="A479" s="28"/>
      <c r="B479" s="43"/>
      <c r="C479" s="43"/>
      <c r="D479" s="43"/>
      <c r="E479" s="43" t="s">
        <v>1320</v>
      </c>
      <c r="F479" s="43" t="s">
        <v>1321</v>
      </c>
      <c r="G479" s="46">
        <f t="shared" si="130"/>
        <v>57.6706</v>
      </c>
      <c r="H479" s="46">
        <f t="shared" si="131"/>
        <v>51.165075000000009</v>
      </c>
      <c r="I479" s="28" t="s">
        <v>262</v>
      </c>
      <c r="J479" s="337">
        <v>0.35</v>
      </c>
      <c r="K479" s="46">
        <f t="shared" si="132"/>
        <v>20.184709999999999</v>
      </c>
      <c r="L479" s="46">
        <f t="shared" si="133"/>
        <v>17.907776250000001</v>
      </c>
      <c r="M479" s="338">
        <f t="shared" si="134"/>
        <v>0</v>
      </c>
      <c r="N479" s="43" t="s">
        <v>36</v>
      </c>
      <c r="O479" s="339">
        <v>85361000</v>
      </c>
      <c r="P479" s="340">
        <f>IFERROR(VLOOKUP(O479,NCM!$A$3:$D$99,COLUMN(head_porNCM_IPI)-COLUMN(head_porNCM_NCM)+1,FALSE),"")</f>
        <v>0.15</v>
      </c>
      <c r="Q479" s="43" t="s">
        <v>806</v>
      </c>
      <c r="R479" s="78" t="s">
        <v>210</v>
      </c>
      <c r="S479" s="341"/>
      <c r="T479" s="28" t="s">
        <v>52</v>
      </c>
      <c r="U479" s="28" t="s">
        <v>3113</v>
      </c>
      <c r="V479" s="548">
        <v>45469</v>
      </c>
      <c r="W479" s="43"/>
      <c r="X479" s="342">
        <f t="shared" si="135"/>
        <v>11.534760820045559</v>
      </c>
      <c r="Y479" s="342">
        <f t="shared" si="136"/>
        <v>6.2479954441913321</v>
      </c>
      <c r="Z479" s="46">
        <f t="shared" si="137"/>
        <v>1.0573530751708431</v>
      </c>
      <c r="AA479" s="46">
        <f t="shared" si="138"/>
        <v>4.8702323462414583</v>
      </c>
      <c r="AB479" s="43"/>
      <c r="AC479" s="44">
        <v>70.33</v>
      </c>
      <c r="AD479" s="31">
        <v>0.18</v>
      </c>
      <c r="AE479" s="31">
        <v>9.7500000000000003E-2</v>
      </c>
      <c r="AF479" s="31">
        <v>0</v>
      </c>
      <c r="AG479" s="28" t="s">
        <v>53</v>
      </c>
      <c r="AH479" s="46">
        <f t="shared" si="139"/>
        <v>77.187174999999996</v>
      </c>
      <c r="AI479" s="43"/>
      <c r="AJ479" s="28" t="s">
        <v>264</v>
      </c>
      <c r="AK479" s="337"/>
      <c r="AL479" s="43"/>
      <c r="AM479" s="44">
        <f t="shared" si="140"/>
        <v>0</v>
      </c>
      <c r="AN479" s="43"/>
      <c r="AO479" s="28">
        <f t="shared" si="141"/>
        <v>0</v>
      </c>
      <c r="AP479" s="43"/>
      <c r="AQ479" s="323">
        <f t="shared" si="142"/>
        <v>0</v>
      </c>
      <c r="AR479" s="43"/>
      <c r="AS479" s="44">
        <f t="shared" si="143"/>
        <v>77.187174999999996</v>
      </c>
    </row>
    <row r="480" spans="1:45" x14ac:dyDescent="0.25">
      <c r="A480" s="28"/>
      <c r="B480" s="43"/>
      <c r="C480" s="43"/>
      <c r="D480" s="43" t="s">
        <v>1322</v>
      </c>
      <c r="E480" s="43"/>
      <c r="F480" s="43"/>
      <c r="G480" s="46">
        <f t="shared" si="130"/>
        <v>0</v>
      </c>
      <c r="H480" s="46">
        <f t="shared" si="131"/>
        <v>0</v>
      </c>
      <c r="I480" s="28"/>
      <c r="J480" s="337"/>
      <c r="K480" s="46" t="str">
        <f t="shared" si="132"/>
        <v/>
      </c>
      <c r="L480" s="46" t="str">
        <f t="shared" si="133"/>
        <v/>
      </c>
      <c r="M480" s="338">
        <f t="shared" si="134"/>
        <v>0</v>
      </c>
      <c r="N480" s="43"/>
      <c r="O480" s="339"/>
      <c r="P480" s="340" t="str">
        <f>IFERROR(VLOOKUP(O480,NCM!$A$3:$D$99,COLUMN(head_porNCM_IPI)-COLUMN(head_porNCM_NCM)+1,FALSE),"")</f>
        <v/>
      </c>
      <c r="Q480" s="43"/>
      <c r="R480" s="78"/>
      <c r="S480" s="341"/>
      <c r="T480" s="28"/>
      <c r="U480" s="28"/>
      <c r="V480" s="28"/>
      <c r="W480" s="43"/>
      <c r="X480" s="342">
        <f t="shared" si="135"/>
        <v>0</v>
      </c>
      <c r="Y480" s="342">
        <f t="shared" si="136"/>
        <v>0</v>
      </c>
      <c r="Z480" s="46">
        <f t="shared" si="137"/>
        <v>0</v>
      </c>
      <c r="AA480" s="46">
        <f t="shared" si="138"/>
        <v>0</v>
      </c>
      <c r="AB480" s="43"/>
      <c r="AC480" s="44">
        <v>0</v>
      </c>
      <c r="AD480" s="31"/>
      <c r="AE480" s="31"/>
      <c r="AF480" s="31"/>
      <c r="AG480" s="28"/>
      <c r="AH480" s="46">
        <f t="shared" si="139"/>
        <v>0</v>
      </c>
      <c r="AI480" s="43"/>
      <c r="AJ480" s="28"/>
      <c r="AK480" s="337"/>
      <c r="AL480" s="43"/>
      <c r="AM480" s="44">
        <f t="shared" si="140"/>
        <v>0</v>
      </c>
      <c r="AN480" s="43"/>
      <c r="AO480" s="28">
        <f t="shared" si="141"/>
        <v>0</v>
      </c>
      <c r="AP480" s="43"/>
      <c r="AQ480" s="323">
        <f t="shared" si="142"/>
        <v>0</v>
      </c>
      <c r="AR480" s="43"/>
      <c r="AS480" s="44">
        <f t="shared" si="143"/>
        <v>0</v>
      </c>
    </row>
    <row r="481" spans="1:45" x14ac:dyDescent="0.25">
      <c r="A481" s="28"/>
      <c r="B481" s="43"/>
      <c r="C481" s="43"/>
      <c r="D481" s="43"/>
      <c r="E481" s="43" t="s">
        <v>1323</v>
      </c>
      <c r="F481" s="43" t="s">
        <v>1324</v>
      </c>
      <c r="G481" s="46">
        <f t="shared" si="130"/>
        <v>427.76120000000003</v>
      </c>
      <c r="H481" s="46">
        <f t="shared" si="131"/>
        <v>379.50765000000007</v>
      </c>
      <c r="I481" s="28" t="s">
        <v>262</v>
      </c>
      <c r="J481" s="337">
        <v>0.35</v>
      </c>
      <c r="K481" s="46">
        <f t="shared" si="132"/>
        <v>149.71642</v>
      </c>
      <c r="L481" s="46">
        <f t="shared" si="133"/>
        <v>132.82767750000002</v>
      </c>
      <c r="M481" s="338">
        <f t="shared" si="134"/>
        <v>0</v>
      </c>
      <c r="N481" s="43" t="s">
        <v>162</v>
      </c>
      <c r="O481" s="339">
        <v>85362000</v>
      </c>
      <c r="P481" s="340">
        <f>IFERROR(VLOOKUP(O481,NCM!$A$3:$D$99,COLUMN(head_porNCM_IPI)-COLUMN(head_porNCM_NCM)+1,FALSE),"")</f>
        <v>0.1</v>
      </c>
      <c r="Q481" s="43" t="s">
        <v>806</v>
      </c>
      <c r="R481" s="78" t="s">
        <v>210</v>
      </c>
      <c r="S481" s="341"/>
      <c r="T481" s="28" t="s">
        <v>52</v>
      </c>
      <c r="U481" s="28" t="s">
        <v>3113</v>
      </c>
      <c r="V481" s="548">
        <v>45469</v>
      </c>
      <c r="W481" s="43"/>
      <c r="X481" s="342">
        <f t="shared" si="135"/>
        <v>88.16788732394366</v>
      </c>
      <c r="Y481" s="342">
        <f t="shared" si="136"/>
        <v>31.838403755868512</v>
      </c>
      <c r="Z481" s="46">
        <f t="shared" si="137"/>
        <v>8.0820563380281687</v>
      </c>
      <c r="AA481" s="46">
        <f t="shared" si="138"/>
        <v>37.226441314553988</v>
      </c>
      <c r="AB481" s="43"/>
      <c r="AC481" s="44">
        <v>521.66</v>
      </c>
      <c r="AD481" s="31">
        <v>0.18</v>
      </c>
      <c r="AE481" s="31">
        <v>6.5000000000000002E-2</v>
      </c>
      <c r="AF481" s="31">
        <v>0</v>
      </c>
      <c r="AG481" s="28" t="s">
        <v>53</v>
      </c>
      <c r="AH481" s="46">
        <f t="shared" si="139"/>
        <v>555.5678999999999</v>
      </c>
      <c r="AI481" s="43"/>
      <c r="AJ481" s="28" t="s">
        <v>264</v>
      </c>
      <c r="AK481" s="337"/>
      <c r="AL481" s="43"/>
      <c r="AM481" s="44">
        <f t="shared" si="140"/>
        <v>0</v>
      </c>
      <c r="AN481" s="43"/>
      <c r="AO481" s="28">
        <f t="shared" si="141"/>
        <v>0</v>
      </c>
      <c r="AP481" s="43"/>
      <c r="AQ481" s="323">
        <f t="shared" si="142"/>
        <v>0</v>
      </c>
      <c r="AR481" s="43"/>
      <c r="AS481" s="44">
        <f t="shared" si="143"/>
        <v>555.5678999999999</v>
      </c>
    </row>
    <row r="482" spans="1:45" x14ac:dyDescent="0.25">
      <c r="A482" s="28"/>
      <c r="B482" s="43"/>
      <c r="C482" s="43"/>
      <c r="D482" s="43"/>
      <c r="E482" s="43" t="s">
        <v>1325</v>
      </c>
      <c r="F482" s="43" t="s">
        <v>1326</v>
      </c>
      <c r="G482" s="46">
        <f t="shared" si="130"/>
        <v>326.45020000000005</v>
      </c>
      <c r="H482" s="46">
        <f t="shared" si="131"/>
        <v>289.62502500000005</v>
      </c>
      <c r="I482" s="28" t="s">
        <v>262</v>
      </c>
      <c r="J482" s="337">
        <v>0.35</v>
      </c>
      <c r="K482" s="46">
        <f t="shared" si="132"/>
        <v>114.25757000000002</v>
      </c>
      <c r="L482" s="46">
        <f t="shared" si="133"/>
        <v>101.36875875000001</v>
      </c>
      <c r="M482" s="338">
        <f t="shared" si="134"/>
        <v>0</v>
      </c>
      <c r="N482" s="43" t="s">
        <v>162</v>
      </c>
      <c r="O482" s="339">
        <v>85362000</v>
      </c>
      <c r="P482" s="340">
        <f>IFERROR(VLOOKUP(O482,NCM!$A$3:$D$99,COLUMN(head_porNCM_IPI)-COLUMN(head_porNCM_NCM)+1,FALSE),"")</f>
        <v>0.1</v>
      </c>
      <c r="Q482" s="43" t="s">
        <v>806</v>
      </c>
      <c r="R482" s="78" t="s">
        <v>210</v>
      </c>
      <c r="S482" s="341"/>
      <c r="T482" s="28" t="s">
        <v>52</v>
      </c>
      <c r="U482" s="28" t="s">
        <v>3113</v>
      </c>
      <c r="V482" s="548">
        <v>45469</v>
      </c>
      <c r="W482" s="43"/>
      <c r="X482" s="342">
        <f t="shared" si="135"/>
        <v>67.286197183098594</v>
      </c>
      <c r="Y482" s="342">
        <f t="shared" si="136"/>
        <v>24.297793427230033</v>
      </c>
      <c r="Z482" s="46">
        <f t="shared" si="137"/>
        <v>6.1679014084507049</v>
      </c>
      <c r="AA482" s="46">
        <f t="shared" si="138"/>
        <v>28.409727699530517</v>
      </c>
      <c r="AB482" s="43"/>
      <c r="AC482" s="44">
        <v>398.11</v>
      </c>
      <c r="AD482" s="31">
        <v>0.18</v>
      </c>
      <c r="AE482" s="31">
        <v>6.5000000000000002E-2</v>
      </c>
      <c r="AF482" s="31">
        <v>0</v>
      </c>
      <c r="AG482" s="28" t="s">
        <v>53</v>
      </c>
      <c r="AH482" s="46">
        <f t="shared" si="139"/>
        <v>423.98714999999999</v>
      </c>
      <c r="AI482" s="43"/>
      <c r="AJ482" s="28" t="s">
        <v>264</v>
      </c>
      <c r="AK482" s="337"/>
      <c r="AL482" s="43"/>
      <c r="AM482" s="44">
        <f t="shared" si="140"/>
        <v>0</v>
      </c>
      <c r="AN482" s="43"/>
      <c r="AO482" s="28">
        <f t="shared" si="141"/>
        <v>0</v>
      </c>
      <c r="AP482" s="43"/>
      <c r="AQ482" s="323">
        <f t="shared" si="142"/>
        <v>0</v>
      </c>
      <c r="AR482" s="43"/>
      <c r="AS482" s="44">
        <f t="shared" si="143"/>
        <v>423.98714999999999</v>
      </c>
    </row>
    <row r="483" spans="1:45" x14ac:dyDescent="0.25">
      <c r="A483" s="28"/>
      <c r="B483" s="43"/>
      <c r="C483" s="43"/>
      <c r="D483" s="43" t="s">
        <v>1327</v>
      </c>
      <c r="E483" s="43"/>
      <c r="F483" s="43"/>
      <c r="G483" s="46">
        <f t="shared" si="130"/>
        <v>0</v>
      </c>
      <c r="H483" s="46">
        <f t="shared" si="131"/>
        <v>0</v>
      </c>
      <c r="I483" s="28"/>
      <c r="J483" s="337"/>
      <c r="K483" s="46" t="str">
        <f t="shared" si="132"/>
        <v/>
      </c>
      <c r="L483" s="46" t="str">
        <f t="shared" si="133"/>
        <v/>
      </c>
      <c r="M483" s="338">
        <f t="shared" si="134"/>
        <v>0</v>
      </c>
      <c r="N483" s="43"/>
      <c r="O483" s="339"/>
      <c r="P483" s="340" t="str">
        <f>IFERROR(VLOOKUP(O483,NCM!$A$3:$D$99,COLUMN(head_porNCM_IPI)-COLUMN(head_porNCM_NCM)+1,FALSE),"")</f>
        <v/>
      </c>
      <c r="Q483" s="43"/>
      <c r="R483" s="78"/>
      <c r="S483" s="341"/>
      <c r="T483" s="28"/>
      <c r="U483" s="28"/>
      <c r="V483" s="28"/>
      <c r="W483" s="43"/>
      <c r="X483" s="342">
        <f t="shared" si="135"/>
        <v>0</v>
      </c>
      <c r="Y483" s="342">
        <f t="shared" si="136"/>
        <v>0</v>
      </c>
      <c r="Z483" s="46">
        <f t="shared" si="137"/>
        <v>0</v>
      </c>
      <c r="AA483" s="46">
        <f t="shared" si="138"/>
        <v>0</v>
      </c>
      <c r="AB483" s="43"/>
      <c r="AC483" s="44">
        <v>0</v>
      </c>
      <c r="AD483" s="31"/>
      <c r="AE483" s="31"/>
      <c r="AF483" s="31"/>
      <c r="AG483" s="28"/>
      <c r="AH483" s="46">
        <f t="shared" si="139"/>
        <v>0</v>
      </c>
      <c r="AI483" s="43"/>
      <c r="AJ483" s="28"/>
      <c r="AK483" s="337"/>
      <c r="AL483" s="43"/>
      <c r="AM483" s="44">
        <f t="shared" si="140"/>
        <v>0</v>
      </c>
      <c r="AN483" s="43"/>
      <c r="AO483" s="28">
        <f t="shared" si="141"/>
        <v>0</v>
      </c>
      <c r="AP483" s="43"/>
      <c r="AQ483" s="323">
        <f t="shared" si="142"/>
        <v>0</v>
      </c>
      <c r="AR483" s="43"/>
      <c r="AS483" s="44">
        <f t="shared" si="143"/>
        <v>0</v>
      </c>
    </row>
    <row r="484" spans="1:45" x14ac:dyDescent="0.25">
      <c r="A484" s="28"/>
      <c r="B484" s="43"/>
      <c r="C484" s="43"/>
      <c r="D484" s="43"/>
      <c r="E484" s="43" t="s">
        <v>1328</v>
      </c>
      <c r="F484" s="43" t="s">
        <v>1329</v>
      </c>
      <c r="G484" s="46">
        <f t="shared" si="130"/>
        <v>15631.709200000003</v>
      </c>
      <c r="H484" s="46">
        <f t="shared" si="131"/>
        <v>13868.376150000004</v>
      </c>
      <c r="I484" s="28" t="s">
        <v>262</v>
      </c>
      <c r="J484" s="337">
        <v>0.35</v>
      </c>
      <c r="K484" s="46">
        <f t="shared" si="132"/>
        <v>5471.0982200000008</v>
      </c>
      <c r="L484" s="46">
        <f t="shared" si="133"/>
        <v>4853.9316525000013</v>
      </c>
      <c r="M484" s="338">
        <f t="shared" si="134"/>
        <v>0</v>
      </c>
      <c r="N484" s="43" t="s">
        <v>162</v>
      </c>
      <c r="O484" s="339">
        <v>85362000</v>
      </c>
      <c r="P484" s="340">
        <f>IFERROR(VLOOKUP(O484,NCM!$A$3:$D$99,COLUMN(head_porNCM_IPI)-COLUMN(head_porNCM_NCM)+1,FALSE),"")</f>
        <v>0.1</v>
      </c>
      <c r="Q484" s="43" t="s">
        <v>806</v>
      </c>
      <c r="R484" s="78" t="s">
        <v>210</v>
      </c>
      <c r="S484" s="341"/>
      <c r="T484" s="28" t="s">
        <v>52</v>
      </c>
      <c r="U484" s="28" t="s">
        <v>3113</v>
      </c>
      <c r="V484" s="548">
        <v>45469</v>
      </c>
      <c r="W484" s="43"/>
      <c r="X484" s="342">
        <f t="shared" si="135"/>
        <v>3126.515535307517</v>
      </c>
      <c r="Y484" s="342">
        <f t="shared" si="136"/>
        <v>1693.529248291572</v>
      </c>
      <c r="Z484" s="46">
        <f t="shared" si="137"/>
        <v>286.59725740318908</v>
      </c>
      <c r="AA484" s="46">
        <f t="shared" si="138"/>
        <v>1320.0843371298406</v>
      </c>
      <c r="AB484" s="43"/>
      <c r="AC484" s="44">
        <v>19063.060000000001</v>
      </c>
      <c r="AD484" s="31">
        <v>0.18</v>
      </c>
      <c r="AE484" s="31">
        <v>9.7500000000000003E-2</v>
      </c>
      <c r="AF484" s="31">
        <v>0</v>
      </c>
      <c r="AG484" s="28" t="s">
        <v>53</v>
      </c>
      <c r="AH484" s="46">
        <f t="shared" si="139"/>
        <v>20921.708350000001</v>
      </c>
      <c r="AI484" s="43"/>
      <c r="AJ484" s="28" t="s">
        <v>264</v>
      </c>
      <c r="AK484" s="337"/>
      <c r="AL484" s="43"/>
      <c r="AM484" s="44">
        <f t="shared" si="140"/>
        <v>0</v>
      </c>
      <c r="AN484" s="43"/>
      <c r="AO484" s="28">
        <f t="shared" si="141"/>
        <v>0</v>
      </c>
      <c r="AP484" s="43"/>
      <c r="AQ484" s="323">
        <f t="shared" si="142"/>
        <v>0</v>
      </c>
      <c r="AR484" s="43"/>
      <c r="AS484" s="44">
        <f t="shared" si="143"/>
        <v>20921.708350000001</v>
      </c>
    </row>
    <row r="485" spans="1:45" x14ac:dyDescent="0.25">
      <c r="A485" s="28"/>
      <c r="B485" s="43"/>
      <c r="C485" s="43"/>
      <c r="D485" s="43" t="s">
        <v>1330</v>
      </c>
      <c r="E485" s="43"/>
      <c r="F485" s="43"/>
      <c r="G485" s="46">
        <f t="shared" si="130"/>
        <v>0</v>
      </c>
      <c r="H485" s="46">
        <f t="shared" si="131"/>
        <v>0</v>
      </c>
      <c r="I485" s="28"/>
      <c r="J485" s="337"/>
      <c r="K485" s="46" t="str">
        <f t="shared" si="132"/>
        <v/>
      </c>
      <c r="L485" s="46" t="str">
        <f t="shared" si="133"/>
        <v/>
      </c>
      <c r="M485" s="338">
        <f t="shared" si="134"/>
        <v>0</v>
      </c>
      <c r="N485" s="43"/>
      <c r="O485" s="339"/>
      <c r="P485" s="340" t="str">
        <f>IFERROR(VLOOKUP(O485,NCM!$A$3:$D$99,COLUMN(head_porNCM_IPI)-COLUMN(head_porNCM_NCM)+1,FALSE),"")</f>
        <v/>
      </c>
      <c r="Q485" s="43"/>
      <c r="R485" s="78"/>
      <c r="S485" s="341"/>
      <c r="T485" s="28"/>
      <c r="U485" s="28"/>
      <c r="V485" s="28"/>
      <c r="W485" s="43"/>
      <c r="X485" s="342">
        <f t="shared" si="135"/>
        <v>0</v>
      </c>
      <c r="Y485" s="342">
        <f t="shared" si="136"/>
        <v>0</v>
      </c>
      <c r="Z485" s="46">
        <f t="shared" si="137"/>
        <v>0</v>
      </c>
      <c r="AA485" s="46">
        <f t="shared" si="138"/>
        <v>0</v>
      </c>
      <c r="AB485" s="43"/>
      <c r="AC485" s="44">
        <v>0</v>
      </c>
      <c r="AD485" s="31"/>
      <c r="AE485" s="31"/>
      <c r="AF485" s="31"/>
      <c r="AG485" s="28"/>
      <c r="AH485" s="46">
        <f t="shared" si="139"/>
        <v>0</v>
      </c>
      <c r="AI485" s="43"/>
      <c r="AJ485" s="28"/>
      <c r="AK485" s="337"/>
      <c r="AL485" s="43"/>
      <c r="AM485" s="44">
        <f t="shared" si="140"/>
        <v>0</v>
      </c>
      <c r="AN485" s="43"/>
      <c r="AO485" s="28">
        <f t="shared" si="141"/>
        <v>0</v>
      </c>
      <c r="AP485" s="43"/>
      <c r="AQ485" s="323">
        <f t="shared" si="142"/>
        <v>0</v>
      </c>
      <c r="AR485" s="43"/>
      <c r="AS485" s="44">
        <f t="shared" si="143"/>
        <v>0</v>
      </c>
    </row>
    <row r="486" spans="1:45" x14ac:dyDescent="0.25">
      <c r="A486" s="28"/>
      <c r="B486" s="43"/>
      <c r="C486" s="43"/>
      <c r="D486" s="43" t="s">
        <v>1331</v>
      </c>
      <c r="E486" s="43"/>
      <c r="F486" s="43"/>
      <c r="G486" s="46">
        <f t="shared" si="130"/>
        <v>0</v>
      </c>
      <c r="H486" s="46">
        <f t="shared" si="131"/>
        <v>0</v>
      </c>
      <c r="I486" s="28"/>
      <c r="J486" s="337"/>
      <c r="K486" s="46" t="str">
        <f t="shared" si="132"/>
        <v/>
      </c>
      <c r="L486" s="46" t="str">
        <f t="shared" si="133"/>
        <v/>
      </c>
      <c r="M486" s="338">
        <f t="shared" si="134"/>
        <v>0</v>
      </c>
      <c r="N486" s="43"/>
      <c r="O486" s="339"/>
      <c r="P486" s="340" t="str">
        <f>IFERROR(VLOOKUP(O486,NCM!$A$3:$D$99,COLUMN(head_porNCM_IPI)-COLUMN(head_porNCM_NCM)+1,FALSE),"")</f>
        <v/>
      </c>
      <c r="Q486" s="43"/>
      <c r="R486" s="78"/>
      <c r="S486" s="341"/>
      <c r="T486" s="28"/>
      <c r="U486" s="28"/>
      <c r="V486" s="28"/>
      <c r="W486" s="43"/>
      <c r="X486" s="342">
        <f t="shared" si="135"/>
        <v>0</v>
      </c>
      <c r="Y486" s="342">
        <f t="shared" si="136"/>
        <v>0</v>
      </c>
      <c r="Z486" s="46">
        <f t="shared" si="137"/>
        <v>0</v>
      </c>
      <c r="AA486" s="46">
        <f t="shared" si="138"/>
        <v>0</v>
      </c>
      <c r="AB486" s="43"/>
      <c r="AC486" s="44">
        <v>0</v>
      </c>
      <c r="AD486" s="31"/>
      <c r="AE486" s="31"/>
      <c r="AF486" s="31"/>
      <c r="AG486" s="28"/>
      <c r="AH486" s="46">
        <f t="shared" si="139"/>
        <v>0</v>
      </c>
      <c r="AI486" s="43"/>
      <c r="AJ486" s="28"/>
      <c r="AK486" s="337"/>
      <c r="AL486" s="43"/>
      <c r="AM486" s="44">
        <f t="shared" si="140"/>
        <v>0</v>
      </c>
      <c r="AN486" s="43"/>
      <c r="AO486" s="28">
        <f t="shared" si="141"/>
        <v>0</v>
      </c>
      <c r="AP486" s="43"/>
      <c r="AQ486" s="323">
        <f t="shared" si="142"/>
        <v>0</v>
      </c>
      <c r="AR486" s="43"/>
      <c r="AS486" s="44">
        <f t="shared" si="143"/>
        <v>0</v>
      </c>
    </row>
    <row r="487" spans="1:45" x14ac:dyDescent="0.25">
      <c r="A487" s="28"/>
      <c r="B487" s="43"/>
      <c r="C487" s="43"/>
      <c r="D487" s="43"/>
      <c r="E487" s="43" t="s">
        <v>2054</v>
      </c>
      <c r="F487" s="43" t="s">
        <v>2055</v>
      </c>
      <c r="G487" s="46">
        <f t="shared" si="130"/>
        <v>195.65200000000002</v>
      </c>
      <c r="H487" s="46">
        <f t="shared" si="131"/>
        <v>173.58150000000003</v>
      </c>
      <c r="I487" s="28" t="s">
        <v>262</v>
      </c>
      <c r="J487" s="337">
        <v>0.35</v>
      </c>
      <c r="K487" s="46">
        <f t="shared" si="132"/>
        <v>68.478200000000001</v>
      </c>
      <c r="L487" s="46">
        <f t="shared" si="133"/>
        <v>60.75352500000001</v>
      </c>
      <c r="M487" s="338">
        <f t="shared" si="134"/>
        <v>0</v>
      </c>
      <c r="N487" s="43" t="s">
        <v>162</v>
      </c>
      <c r="O487" s="339">
        <v>85362000</v>
      </c>
      <c r="P487" s="340">
        <f>IFERROR(VLOOKUP(O487,NCM!$A$3:$D$99,COLUMN(head_porNCM_IPI)-COLUMN(head_porNCM_NCM)+1,FALSE),"")</f>
        <v>0.1</v>
      </c>
      <c r="Q487" s="43" t="s">
        <v>806</v>
      </c>
      <c r="R487" s="78" t="s">
        <v>210</v>
      </c>
      <c r="S487" s="341"/>
      <c r="T487" s="28" t="s">
        <v>52</v>
      </c>
      <c r="U487" s="28" t="s">
        <v>3113</v>
      </c>
      <c r="V487" s="548">
        <v>45469</v>
      </c>
      <c r="W487" s="43"/>
      <c r="X487" s="342">
        <f t="shared" si="135"/>
        <v>40.326760563380283</v>
      </c>
      <c r="Y487" s="342">
        <f t="shared" si="136"/>
        <v>14.562441314553979</v>
      </c>
      <c r="Z487" s="46">
        <f t="shared" si="137"/>
        <v>3.6966197183098592</v>
      </c>
      <c r="AA487" s="46">
        <f t="shared" si="138"/>
        <v>17.026854460093897</v>
      </c>
      <c r="AB487" s="43"/>
      <c r="AC487" s="44">
        <v>238.6</v>
      </c>
      <c r="AD487" s="31">
        <v>0.18</v>
      </c>
      <c r="AE487" s="31">
        <v>6.5000000000000002E-2</v>
      </c>
      <c r="AF487" s="31">
        <v>0</v>
      </c>
      <c r="AG487" s="28" t="s">
        <v>53</v>
      </c>
      <c r="AH487" s="46">
        <f t="shared" si="139"/>
        <v>254.10899999999998</v>
      </c>
      <c r="AI487" s="43"/>
      <c r="AJ487" s="28" t="s">
        <v>264</v>
      </c>
      <c r="AK487" s="337"/>
      <c r="AL487" s="43"/>
      <c r="AM487" s="44">
        <f t="shared" si="140"/>
        <v>0</v>
      </c>
      <c r="AN487" s="43"/>
      <c r="AO487" s="28">
        <f t="shared" si="141"/>
        <v>0</v>
      </c>
      <c r="AP487" s="43"/>
      <c r="AQ487" s="323">
        <f t="shared" si="142"/>
        <v>0</v>
      </c>
      <c r="AR487" s="43"/>
      <c r="AS487" s="44">
        <f t="shared" si="143"/>
        <v>254.10899999999998</v>
      </c>
    </row>
    <row r="488" spans="1:45" x14ac:dyDescent="0.25">
      <c r="A488" s="28"/>
      <c r="B488" s="43"/>
      <c r="C488" s="43"/>
      <c r="D488" s="43"/>
      <c r="E488" s="43" t="s">
        <v>2056</v>
      </c>
      <c r="F488" s="43" t="s">
        <v>2057</v>
      </c>
      <c r="G488" s="46">
        <f t="shared" si="130"/>
        <v>195.65200000000002</v>
      </c>
      <c r="H488" s="46">
        <f t="shared" si="131"/>
        <v>173.58150000000003</v>
      </c>
      <c r="I488" s="28" t="s">
        <v>262</v>
      </c>
      <c r="J488" s="337">
        <v>0.35</v>
      </c>
      <c r="K488" s="46">
        <f t="shared" si="132"/>
        <v>68.478200000000001</v>
      </c>
      <c r="L488" s="46">
        <f t="shared" si="133"/>
        <v>60.75352500000001</v>
      </c>
      <c r="M488" s="338">
        <f t="shared" si="134"/>
        <v>0</v>
      </c>
      <c r="N488" s="43" t="s">
        <v>162</v>
      </c>
      <c r="O488" s="339">
        <v>85362000</v>
      </c>
      <c r="P488" s="340">
        <f>IFERROR(VLOOKUP(O488,NCM!$A$3:$D$99,COLUMN(head_porNCM_IPI)-COLUMN(head_porNCM_NCM)+1,FALSE),"")</f>
        <v>0.1</v>
      </c>
      <c r="Q488" s="43" t="s">
        <v>806</v>
      </c>
      <c r="R488" s="78" t="s">
        <v>210</v>
      </c>
      <c r="S488" s="341"/>
      <c r="T488" s="28" t="s">
        <v>52</v>
      </c>
      <c r="U488" s="28" t="s">
        <v>3113</v>
      </c>
      <c r="V488" s="548">
        <v>45469</v>
      </c>
      <c r="W488" s="43"/>
      <c r="X488" s="342">
        <f t="shared" si="135"/>
        <v>40.326760563380283</v>
      </c>
      <c r="Y488" s="342">
        <f t="shared" si="136"/>
        <v>14.562441314553979</v>
      </c>
      <c r="Z488" s="46">
        <f t="shared" si="137"/>
        <v>3.6966197183098592</v>
      </c>
      <c r="AA488" s="46">
        <f t="shared" si="138"/>
        <v>17.026854460093897</v>
      </c>
      <c r="AB488" s="43"/>
      <c r="AC488" s="44">
        <v>238.6</v>
      </c>
      <c r="AD488" s="31">
        <v>0.18</v>
      </c>
      <c r="AE488" s="31">
        <v>6.5000000000000002E-2</v>
      </c>
      <c r="AF488" s="31">
        <v>0</v>
      </c>
      <c r="AG488" s="28" t="s">
        <v>53</v>
      </c>
      <c r="AH488" s="46">
        <f t="shared" si="139"/>
        <v>254.10899999999998</v>
      </c>
      <c r="AI488" s="43"/>
      <c r="AJ488" s="28" t="s">
        <v>264</v>
      </c>
      <c r="AK488" s="337"/>
      <c r="AL488" s="43"/>
      <c r="AM488" s="44">
        <f t="shared" si="140"/>
        <v>0</v>
      </c>
      <c r="AN488" s="43"/>
      <c r="AO488" s="28">
        <f t="shared" si="141"/>
        <v>0</v>
      </c>
      <c r="AP488" s="43"/>
      <c r="AQ488" s="323">
        <f t="shared" si="142"/>
        <v>0</v>
      </c>
      <c r="AR488" s="43"/>
      <c r="AS488" s="44">
        <f t="shared" si="143"/>
        <v>254.10899999999998</v>
      </c>
    </row>
    <row r="489" spans="1:45" x14ac:dyDescent="0.25">
      <c r="A489" s="28"/>
      <c r="B489" s="43"/>
      <c r="C489" s="43"/>
      <c r="D489" s="43"/>
      <c r="E489" s="43" t="s">
        <v>2058</v>
      </c>
      <c r="F489" s="43" t="s">
        <v>2059</v>
      </c>
      <c r="G489" s="46">
        <f t="shared" si="130"/>
        <v>195.65200000000002</v>
      </c>
      <c r="H489" s="46">
        <f t="shared" si="131"/>
        <v>173.58150000000003</v>
      </c>
      <c r="I489" s="28" t="s">
        <v>262</v>
      </c>
      <c r="J489" s="337">
        <v>0.35</v>
      </c>
      <c r="K489" s="46">
        <f t="shared" si="132"/>
        <v>68.478200000000001</v>
      </c>
      <c r="L489" s="46">
        <f t="shared" si="133"/>
        <v>60.75352500000001</v>
      </c>
      <c r="M489" s="338">
        <f t="shared" si="134"/>
        <v>0</v>
      </c>
      <c r="N489" s="43" t="s">
        <v>162</v>
      </c>
      <c r="O489" s="339">
        <v>85362000</v>
      </c>
      <c r="P489" s="340">
        <f>IFERROR(VLOOKUP(O489,NCM!$A$3:$D$99,COLUMN(head_porNCM_IPI)-COLUMN(head_porNCM_NCM)+1,FALSE),"")</f>
        <v>0.1</v>
      </c>
      <c r="Q489" s="43" t="s">
        <v>806</v>
      </c>
      <c r="R489" s="78" t="s">
        <v>210</v>
      </c>
      <c r="S489" s="341"/>
      <c r="T489" s="28" t="s">
        <v>52</v>
      </c>
      <c r="U489" s="28" t="s">
        <v>3113</v>
      </c>
      <c r="V489" s="548">
        <v>45469</v>
      </c>
      <c r="W489" s="43"/>
      <c r="X489" s="342">
        <f t="shared" si="135"/>
        <v>40.326760563380283</v>
      </c>
      <c r="Y489" s="342">
        <f t="shared" si="136"/>
        <v>14.562441314553979</v>
      </c>
      <c r="Z489" s="46">
        <f t="shared" si="137"/>
        <v>3.6966197183098592</v>
      </c>
      <c r="AA489" s="46">
        <f t="shared" si="138"/>
        <v>17.026854460093897</v>
      </c>
      <c r="AB489" s="43"/>
      <c r="AC489" s="44">
        <v>238.6</v>
      </c>
      <c r="AD489" s="31">
        <v>0.18</v>
      </c>
      <c r="AE489" s="31">
        <v>6.5000000000000002E-2</v>
      </c>
      <c r="AF489" s="31">
        <v>0</v>
      </c>
      <c r="AG489" s="28" t="s">
        <v>53</v>
      </c>
      <c r="AH489" s="46">
        <f t="shared" si="139"/>
        <v>254.10899999999998</v>
      </c>
      <c r="AI489" s="43"/>
      <c r="AJ489" s="28" t="s">
        <v>264</v>
      </c>
      <c r="AK489" s="337"/>
      <c r="AL489" s="43"/>
      <c r="AM489" s="44">
        <f t="shared" si="140"/>
        <v>0</v>
      </c>
      <c r="AN489" s="43"/>
      <c r="AO489" s="28">
        <f t="shared" si="141"/>
        <v>0</v>
      </c>
      <c r="AP489" s="43"/>
      <c r="AQ489" s="323">
        <f t="shared" si="142"/>
        <v>0</v>
      </c>
      <c r="AR489" s="43"/>
      <c r="AS489" s="44">
        <f t="shared" si="143"/>
        <v>254.10899999999998</v>
      </c>
    </row>
    <row r="490" spans="1:45" x14ac:dyDescent="0.25">
      <c r="A490" s="28"/>
      <c r="B490" s="43"/>
      <c r="C490" s="43"/>
      <c r="D490" s="43"/>
      <c r="E490" s="43" t="s">
        <v>2060</v>
      </c>
      <c r="F490" s="43" t="s">
        <v>2061</v>
      </c>
      <c r="G490" s="46">
        <f t="shared" si="130"/>
        <v>101.36840000000001</v>
      </c>
      <c r="H490" s="46">
        <f t="shared" si="131"/>
        <v>89.933550000000025</v>
      </c>
      <c r="I490" s="28" t="s">
        <v>262</v>
      </c>
      <c r="J490" s="337">
        <v>0.35</v>
      </c>
      <c r="K490" s="46">
        <f t="shared" si="132"/>
        <v>35.478940000000001</v>
      </c>
      <c r="L490" s="46">
        <f t="shared" si="133"/>
        <v>31.476742500000007</v>
      </c>
      <c r="M490" s="338">
        <f t="shared" si="134"/>
        <v>0</v>
      </c>
      <c r="N490" s="43" t="s">
        <v>162</v>
      </c>
      <c r="O490" s="339">
        <v>85362000</v>
      </c>
      <c r="P490" s="340">
        <f>IFERROR(VLOOKUP(O490,NCM!$A$3:$D$99,COLUMN(head_porNCM_IPI)-COLUMN(head_porNCM_NCM)+1,FALSE),"")</f>
        <v>0.1</v>
      </c>
      <c r="Q490" s="43" t="s">
        <v>806</v>
      </c>
      <c r="R490" s="78" t="s">
        <v>210</v>
      </c>
      <c r="S490" s="341"/>
      <c r="T490" s="28" t="s">
        <v>52</v>
      </c>
      <c r="U490" s="28" t="s">
        <v>3113</v>
      </c>
      <c r="V490" s="548">
        <v>45469</v>
      </c>
      <c r="W490" s="43"/>
      <c r="X490" s="342">
        <f t="shared" si="135"/>
        <v>20.893521126760564</v>
      </c>
      <c r="Y490" s="342">
        <f t="shared" si="136"/>
        <v>7.544882629107974</v>
      </c>
      <c r="Z490" s="46">
        <f t="shared" si="137"/>
        <v>1.9152394366197185</v>
      </c>
      <c r="AA490" s="46">
        <f t="shared" si="138"/>
        <v>8.8217089201877936</v>
      </c>
      <c r="AB490" s="43"/>
      <c r="AC490" s="44">
        <v>123.62</v>
      </c>
      <c r="AD490" s="31">
        <v>0.18</v>
      </c>
      <c r="AE490" s="31">
        <v>6.5000000000000002E-2</v>
      </c>
      <c r="AF490" s="31">
        <v>0</v>
      </c>
      <c r="AG490" s="28" t="s">
        <v>53</v>
      </c>
      <c r="AH490" s="46">
        <f t="shared" si="139"/>
        <v>131.65530000000001</v>
      </c>
      <c r="AI490" s="43"/>
      <c r="AJ490" s="28" t="s">
        <v>264</v>
      </c>
      <c r="AK490" s="337"/>
      <c r="AL490" s="43"/>
      <c r="AM490" s="44">
        <f t="shared" si="140"/>
        <v>0</v>
      </c>
      <c r="AN490" s="43"/>
      <c r="AO490" s="28">
        <f t="shared" si="141"/>
        <v>0</v>
      </c>
      <c r="AP490" s="43"/>
      <c r="AQ490" s="323">
        <f t="shared" si="142"/>
        <v>0</v>
      </c>
      <c r="AR490" s="43"/>
      <c r="AS490" s="44">
        <f t="shared" si="143"/>
        <v>131.65530000000001</v>
      </c>
    </row>
    <row r="491" spans="1:45" x14ac:dyDescent="0.25">
      <c r="A491" s="28"/>
      <c r="B491" s="43"/>
      <c r="C491" s="43"/>
      <c r="D491" s="43"/>
      <c r="E491" s="43" t="s">
        <v>2062</v>
      </c>
      <c r="F491" s="43" t="s">
        <v>2063</v>
      </c>
      <c r="G491" s="46">
        <f t="shared" si="130"/>
        <v>101.36840000000001</v>
      </c>
      <c r="H491" s="46">
        <f t="shared" si="131"/>
        <v>89.933550000000025</v>
      </c>
      <c r="I491" s="28" t="s">
        <v>262</v>
      </c>
      <c r="J491" s="337">
        <v>0.35</v>
      </c>
      <c r="K491" s="46">
        <f t="shared" si="132"/>
        <v>35.478940000000001</v>
      </c>
      <c r="L491" s="46">
        <f t="shared" si="133"/>
        <v>31.476742500000007</v>
      </c>
      <c r="M491" s="338">
        <f t="shared" si="134"/>
        <v>0</v>
      </c>
      <c r="N491" s="43" t="s">
        <v>162</v>
      </c>
      <c r="O491" s="339">
        <v>85362000</v>
      </c>
      <c r="P491" s="340">
        <f>IFERROR(VLOOKUP(O491,NCM!$A$3:$D$99,COLUMN(head_porNCM_IPI)-COLUMN(head_porNCM_NCM)+1,FALSE),"")</f>
        <v>0.1</v>
      </c>
      <c r="Q491" s="43" t="s">
        <v>806</v>
      </c>
      <c r="R491" s="78" t="s">
        <v>210</v>
      </c>
      <c r="S491" s="341"/>
      <c r="T491" s="28" t="s">
        <v>52</v>
      </c>
      <c r="U491" s="28" t="s">
        <v>3113</v>
      </c>
      <c r="V491" s="548">
        <v>45469</v>
      </c>
      <c r="W491" s="43"/>
      <c r="X491" s="342">
        <f t="shared" si="135"/>
        <v>20.893521126760564</v>
      </c>
      <c r="Y491" s="342">
        <f t="shared" si="136"/>
        <v>7.544882629107974</v>
      </c>
      <c r="Z491" s="46">
        <f t="shared" si="137"/>
        <v>1.9152394366197185</v>
      </c>
      <c r="AA491" s="46">
        <f t="shared" si="138"/>
        <v>8.8217089201877936</v>
      </c>
      <c r="AB491" s="43"/>
      <c r="AC491" s="44">
        <v>123.62</v>
      </c>
      <c r="AD491" s="31">
        <v>0.18</v>
      </c>
      <c r="AE491" s="31">
        <v>6.5000000000000002E-2</v>
      </c>
      <c r="AF491" s="31">
        <v>0</v>
      </c>
      <c r="AG491" s="28" t="s">
        <v>53</v>
      </c>
      <c r="AH491" s="46">
        <f t="shared" si="139"/>
        <v>131.65530000000001</v>
      </c>
      <c r="AI491" s="43"/>
      <c r="AJ491" s="28" t="s">
        <v>264</v>
      </c>
      <c r="AK491" s="337"/>
      <c r="AL491" s="43"/>
      <c r="AM491" s="44">
        <f t="shared" si="140"/>
        <v>0</v>
      </c>
      <c r="AN491" s="43"/>
      <c r="AO491" s="28">
        <f t="shared" si="141"/>
        <v>0</v>
      </c>
      <c r="AP491" s="43"/>
      <c r="AQ491" s="323">
        <f t="shared" si="142"/>
        <v>0</v>
      </c>
      <c r="AR491" s="43"/>
      <c r="AS491" s="44">
        <f t="shared" si="143"/>
        <v>131.65530000000001</v>
      </c>
    </row>
    <row r="492" spans="1:45" x14ac:dyDescent="0.25">
      <c r="A492" s="28"/>
      <c r="B492" s="43"/>
      <c r="C492" s="43"/>
      <c r="D492" s="43"/>
      <c r="E492" s="43" t="s">
        <v>2064</v>
      </c>
      <c r="F492" s="43" t="s">
        <v>2065</v>
      </c>
      <c r="G492" s="46">
        <f t="shared" si="130"/>
        <v>101.36840000000001</v>
      </c>
      <c r="H492" s="46">
        <f t="shared" si="131"/>
        <v>89.933550000000025</v>
      </c>
      <c r="I492" s="28" t="s">
        <v>262</v>
      </c>
      <c r="J492" s="337">
        <v>0.35</v>
      </c>
      <c r="K492" s="46">
        <f t="shared" si="132"/>
        <v>35.478940000000001</v>
      </c>
      <c r="L492" s="46">
        <f t="shared" si="133"/>
        <v>31.476742500000007</v>
      </c>
      <c r="M492" s="338">
        <f t="shared" si="134"/>
        <v>0</v>
      </c>
      <c r="N492" s="43" t="s">
        <v>162</v>
      </c>
      <c r="O492" s="339">
        <v>85362000</v>
      </c>
      <c r="P492" s="340">
        <f>IFERROR(VLOOKUP(O492,NCM!$A$3:$D$99,COLUMN(head_porNCM_IPI)-COLUMN(head_porNCM_NCM)+1,FALSE),"")</f>
        <v>0.1</v>
      </c>
      <c r="Q492" s="43" t="s">
        <v>806</v>
      </c>
      <c r="R492" s="78" t="s">
        <v>210</v>
      </c>
      <c r="S492" s="341"/>
      <c r="T492" s="28" t="s">
        <v>52</v>
      </c>
      <c r="U492" s="28" t="s">
        <v>3113</v>
      </c>
      <c r="V492" s="548">
        <v>45469</v>
      </c>
      <c r="W492" s="43"/>
      <c r="X492" s="342">
        <f t="shared" si="135"/>
        <v>20.893521126760564</v>
      </c>
      <c r="Y492" s="342">
        <f t="shared" si="136"/>
        <v>7.544882629107974</v>
      </c>
      <c r="Z492" s="46">
        <f t="shared" si="137"/>
        <v>1.9152394366197185</v>
      </c>
      <c r="AA492" s="46">
        <f t="shared" si="138"/>
        <v>8.8217089201877936</v>
      </c>
      <c r="AB492" s="43"/>
      <c r="AC492" s="44">
        <v>123.62</v>
      </c>
      <c r="AD492" s="31">
        <v>0.18</v>
      </c>
      <c r="AE492" s="31">
        <v>6.5000000000000002E-2</v>
      </c>
      <c r="AF492" s="31">
        <v>0</v>
      </c>
      <c r="AG492" s="28" t="s">
        <v>53</v>
      </c>
      <c r="AH492" s="46">
        <f t="shared" si="139"/>
        <v>131.65530000000001</v>
      </c>
      <c r="AI492" s="43"/>
      <c r="AJ492" s="28" t="s">
        <v>264</v>
      </c>
      <c r="AK492" s="337"/>
      <c r="AL492" s="43"/>
      <c r="AM492" s="44">
        <f t="shared" si="140"/>
        <v>0</v>
      </c>
      <c r="AN492" s="43"/>
      <c r="AO492" s="28">
        <f t="shared" si="141"/>
        <v>0</v>
      </c>
      <c r="AP492" s="43"/>
      <c r="AQ492" s="323">
        <f t="shared" si="142"/>
        <v>0</v>
      </c>
      <c r="AR492" s="43"/>
      <c r="AS492" s="44">
        <f t="shared" si="143"/>
        <v>131.65530000000001</v>
      </c>
    </row>
    <row r="493" spans="1:45" x14ac:dyDescent="0.25">
      <c r="A493" s="28"/>
      <c r="B493" s="43"/>
      <c r="C493" s="43"/>
      <c r="D493" s="43"/>
      <c r="E493" s="43" t="s">
        <v>2066</v>
      </c>
      <c r="F493" s="43" t="s">
        <v>2067</v>
      </c>
      <c r="G493" s="46">
        <f t="shared" si="130"/>
        <v>101.36840000000001</v>
      </c>
      <c r="H493" s="46">
        <f t="shared" si="131"/>
        <v>89.933550000000025</v>
      </c>
      <c r="I493" s="28" t="s">
        <v>262</v>
      </c>
      <c r="J493" s="337">
        <v>0.35</v>
      </c>
      <c r="K493" s="46">
        <f t="shared" si="132"/>
        <v>35.478940000000001</v>
      </c>
      <c r="L493" s="46">
        <f t="shared" si="133"/>
        <v>31.476742500000007</v>
      </c>
      <c r="M493" s="338">
        <f t="shared" si="134"/>
        <v>0</v>
      </c>
      <c r="N493" s="43" t="s">
        <v>162</v>
      </c>
      <c r="O493" s="339">
        <v>85362000</v>
      </c>
      <c r="P493" s="340">
        <f>IFERROR(VLOOKUP(O493,NCM!$A$3:$D$99,COLUMN(head_porNCM_IPI)-COLUMN(head_porNCM_NCM)+1,FALSE),"")</f>
        <v>0.1</v>
      </c>
      <c r="Q493" s="43" t="s">
        <v>806</v>
      </c>
      <c r="R493" s="78" t="s">
        <v>210</v>
      </c>
      <c r="S493" s="341"/>
      <c r="T493" s="28" t="s">
        <v>52</v>
      </c>
      <c r="U493" s="28" t="s">
        <v>3113</v>
      </c>
      <c r="V493" s="548">
        <v>45469</v>
      </c>
      <c r="W493" s="43"/>
      <c r="X493" s="342">
        <f t="shared" si="135"/>
        <v>20.893521126760564</v>
      </c>
      <c r="Y493" s="342">
        <f t="shared" si="136"/>
        <v>7.544882629107974</v>
      </c>
      <c r="Z493" s="46">
        <f t="shared" si="137"/>
        <v>1.9152394366197185</v>
      </c>
      <c r="AA493" s="46">
        <f t="shared" si="138"/>
        <v>8.8217089201877936</v>
      </c>
      <c r="AB493" s="43"/>
      <c r="AC493" s="44">
        <v>123.62</v>
      </c>
      <c r="AD493" s="31">
        <v>0.18</v>
      </c>
      <c r="AE493" s="31">
        <v>6.5000000000000002E-2</v>
      </c>
      <c r="AF493" s="31">
        <v>0</v>
      </c>
      <c r="AG493" s="28" t="s">
        <v>53</v>
      </c>
      <c r="AH493" s="46">
        <f t="shared" si="139"/>
        <v>131.65530000000001</v>
      </c>
      <c r="AI493" s="43"/>
      <c r="AJ493" s="28" t="s">
        <v>264</v>
      </c>
      <c r="AK493" s="337"/>
      <c r="AL493" s="43"/>
      <c r="AM493" s="44">
        <f t="shared" si="140"/>
        <v>0</v>
      </c>
      <c r="AN493" s="43"/>
      <c r="AO493" s="28">
        <f t="shared" si="141"/>
        <v>0</v>
      </c>
      <c r="AP493" s="43"/>
      <c r="AQ493" s="323">
        <f t="shared" si="142"/>
        <v>0</v>
      </c>
      <c r="AR493" s="43"/>
      <c r="AS493" s="44">
        <f t="shared" si="143"/>
        <v>131.65530000000001</v>
      </c>
    </row>
    <row r="494" spans="1:45" x14ac:dyDescent="0.25">
      <c r="A494" s="28"/>
      <c r="B494" s="43"/>
      <c r="C494" s="43"/>
      <c r="D494" s="43"/>
      <c r="E494" s="43" t="s">
        <v>2068</v>
      </c>
      <c r="F494" s="43" t="s">
        <v>2069</v>
      </c>
      <c r="G494" s="46">
        <f t="shared" si="130"/>
        <v>101.36840000000001</v>
      </c>
      <c r="H494" s="46">
        <f t="shared" si="131"/>
        <v>89.933550000000025</v>
      </c>
      <c r="I494" s="28" t="s">
        <v>262</v>
      </c>
      <c r="J494" s="337">
        <v>0.35</v>
      </c>
      <c r="K494" s="46">
        <f t="shared" si="132"/>
        <v>35.478940000000001</v>
      </c>
      <c r="L494" s="46">
        <f t="shared" si="133"/>
        <v>31.476742500000007</v>
      </c>
      <c r="M494" s="338">
        <f t="shared" si="134"/>
        <v>0</v>
      </c>
      <c r="N494" s="43" t="s">
        <v>162</v>
      </c>
      <c r="O494" s="339">
        <v>85362000</v>
      </c>
      <c r="P494" s="340">
        <f>IFERROR(VLOOKUP(O494,NCM!$A$3:$D$99,COLUMN(head_porNCM_IPI)-COLUMN(head_porNCM_NCM)+1,FALSE),"")</f>
        <v>0.1</v>
      </c>
      <c r="Q494" s="43" t="s">
        <v>806</v>
      </c>
      <c r="R494" s="78" t="s">
        <v>210</v>
      </c>
      <c r="S494" s="341"/>
      <c r="T494" s="28" t="s">
        <v>52</v>
      </c>
      <c r="U494" s="28" t="s">
        <v>3113</v>
      </c>
      <c r="V494" s="548">
        <v>45469</v>
      </c>
      <c r="W494" s="43"/>
      <c r="X494" s="342">
        <f t="shared" si="135"/>
        <v>20.893521126760564</v>
      </c>
      <c r="Y494" s="342">
        <f t="shared" si="136"/>
        <v>7.544882629107974</v>
      </c>
      <c r="Z494" s="46">
        <f t="shared" si="137"/>
        <v>1.9152394366197185</v>
      </c>
      <c r="AA494" s="46">
        <f t="shared" si="138"/>
        <v>8.8217089201877936</v>
      </c>
      <c r="AB494" s="43"/>
      <c r="AC494" s="44">
        <v>123.62</v>
      </c>
      <c r="AD494" s="31">
        <v>0.18</v>
      </c>
      <c r="AE494" s="31">
        <v>6.5000000000000002E-2</v>
      </c>
      <c r="AF494" s="31">
        <v>0</v>
      </c>
      <c r="AG494" s="28" t="s">
        <v>53</v>
      </c>
      <c r="AH494" s="46">
        <f t="shared" si="139"/>
        <v>131.65530000000001</v>
      </c>
      <c r="AI494" s="43"/>
      <c r="AJ494" s="28" t="s">
        <v>264</v>
      </c>
      <c r="AK494" s="337"/>
      <c r="AL494" s="43"/>
      <c r="AM494" s="44">
        <f t="shared" si="140"/>
        <v>0</v>
      </c>
      <c r="AN494" s="43"/>
      <c r="AO494" s="28">
        <f t="shared" si="141"/>
        <v>0</v>
      </c>
      <c r="AP494" s="43"/>
      <c r="AQ494" s="323">
        <f t="shared" si="142"/>
        <v>0</v>
      </c>
      <c r="AR494" s="43"/>
      <c r="AS494" s="44">
        <f t="shared" si="143"/>
        <v>131.65530000000001</v>
      </c>
    </row>
    <row r="495" spans="1:45" x14ac:dyDescent="0.25">
      <c r="A495" s="28"/>
      <c r="B495" s="43"/>
      <c r="C495" s="43"/>
      <c r="D495" s="43"/>
      <c r="E495" s="43" t="s">
        <v>2070</v>
      </c>
      <c r="F495" s="43" t="s">
        <v>2071</v>
      </c>
      <c r="G495" s="46">
        <f t="shared" si="130"/>
        <v>264.35980000000001</v>
      </c>
      <c r="H495" s="46">
        <f t="shared" si="131"/>
        <v>234.53872500000003</v>
      </c>
      <c r="I495" s="28" t="s">
        <v>262</v>
      </c>
      <c r="J495" s="337">
        <v>0.35</v>
      </c>
      <c r="K495" s="46">
        <f t="shared" si="132"/>
        <v>92.525930000000002</v>
      </c>
      <c r="L495" s="46">
        <f t="shared" si="133"/>
        <v>82.088553750000003</v>
      </c>
      <c r="M495" s="338">
        <f t="shared" si="134"/>
        <v>0</v>
      </c>
      <c r="N495" s="43" t="s">
        <v>162</v>
      </c>
      <c r="O495" s="339">
        <v>85362000</v>
      </c>
      <c r="P495" s="340">
        <f>IFERROR(VLOOKUP(O495,NCM!$A$3:$D$99,COLUMN(head_porNCM_IPI)-COLUMN(head_porNCM_NCM)+1,FALSE),"")</f>
        <v>0.1</v>
      </c>
      <c r="Q495" s="43" t="s">
        <v>806</v>
      </c>
      <c r="R495" s="78" t="s">
        <v>210</v>
      </c>
      <c r="S495" s="341"/>
      <c r="T495" s="28" t="s">
        <v>52</v>
      </c>
      <c r="U495" s="28" t="s">
        <v>3113</v>
      </c>
      <c r="V495" s="548">
        <v>45469</v>
      </c>
      <c r="W495" s="43"/>
      <c r="X495" s="342">
        <f t="shared" si="135"/>
        <v>54.48845070422535</v>
      </c>
      <c r="Y495" s="342">
        <f t="shared" si="136"/>
        <v>19.67638497652581</v>
      </c>
      <c r="Z495" s="46">
        <f t="shared" si="137"/>
        <v>4.9947746478873238</v>
      </c>
      <c r="AA495" s="46">
        <f t="shared" si="138"/>
        <v>23.006234741784038</v>
      </c>
      <c r="AB495" s="43"/>
      <c r="AC495" s="44">
        <v>322.39</v>
      </c>
      <c r="AD495" s="31">
        <v>0.18</v>
      </c>
      <c r="AE495" s="31">
        <v>6.5000000000000002E-2</v>
      </c>
      <c r="AF495" s="31">
        <v>0</v>
      </c>
      <c r="AG495" s="28" t="s">
        <v>53</v>
      </c>
      <c r="AH495" s="46">
        <f t="shared" si="139"/>
        <v>343.34535</v>
      </c>
      <c r="AI495" s="43"/>
      <c r="AJ495" s="28" t="s">
        <v>264</v>
      </c>
      <c r="AK495" s="337"/>
      <c r="AL495" s="43"/>
      <c r="AM495" s="44">
        <f t="shared" si="140"/>
        <v>0</v>
      </c>
      <c r="AN495" s="43"/>
      <c r="AO495" s="28">
        <f t="shared" si="141"/>
        <v>0</v>
      </c>
      <c r="AP495" s="43"/>
      <c r="AQ495" s="323">
        <f t="shared" si="142"/>
        <v>0</v>
      </c>
      <c r="AR495" s="43"/>
      <c r="AS495" s="44">
        <f t="shared" si="143"/>
        <v>343.34535</v>
      </c>
    </row>
    <row r="496" spans="1:45" x14ac:dyDescent="0.25">
      <c r="A496" s="28"/>
      <c r="B496" s="43"/>
      <c r="C496" s="43"/>
      <c r="D496" s="43"/>
      <c r="E496" s="43" t="s">
        <v>2072</v>
      </c>
      <c r="F496" s="43" t="s">
        <v>2073</v>
      </c>
      <c r="G496" s="46">
        <f t="shared" si="130"/>
        <v>264.35980000000001</v>
      </c>
      <c r="H496" s="46">
        <f t="shared" si="131"/>
        <v>234.53872500000003</v>
      </c>
      <c r="I496" s="28" t="s">
        <v>262</v>
      </c>
      <c r="J496" s="337">
        <v>0.35</v>
      </c>
      <c r="K496" s="46">
        <f t="shared" si="132"/>
        <v>92.525930000000002</v>
      </c>
      <c r="L496" s="46">
        <f t="shared" si="133"/>
        <v>82.088553750000003</v>
      </c>
      <c r="M496" s="338">
        <f t="shared" si="134"/>
        <v>0</v>
      </c>
      <c r="N496" s="43" t="s">
        <v>162</v>
      </c>
      <c r="O496" s="339">
        <v>85362000</v>
      </c>
      <c r="P496" s="340">
        <f>IFERROR(VLOOKUP(O496,NCM!$A$3:$D$99,COLUMN(head_porNCM_IPI)-COLUMN(head_porNCM_NCM)+1,FALSE),"")</f>
        <v>0.1</v>
      </c>
      <c r="Q496" s="43" t="s">
        <v>806</v>
      </c>
      <c r="R496" s="78" t="s">
        <v>210</v>
      </c>
      <c r="S496" s="341"/>
      <c r="T496" s="28" t="s">
        <v>52</v>
      </c>
      <c r="U496" s="28" t="s">
        <v>3113</v>
      </c>
      <c r="V496" s="548">
        <v>45469</v>
      </c>
      <c r="W496" s="43"/>
      <c r="X496" s="342">
        <f t="shared" si="135"/>
        <v>54.48845070422535</v>
      </c>
      <c r="Y496" s="342">
        <f t="shared" si="136"/>
        <v>19.67638497652581</v>
      </c>
      <c r="Z496" s="46">
        <f t="shared" si="137"/>
        <v>4.9947746478873238</v>
      </c>
      <c r="AA496" s="46">
        <f t="shared" si="138"/>
        <v>23.006234741784038</v>
      </c>
      <c r="AB496" s="43"/>
      <c r="AC496" s="44">
        <v>322.39</v>
      </c>
      <c r="AD496" s="31">
        <v>0.18</v>
      </c>
      <c r="AE496" s="31">
        <v>6.5000000000000002E-2</v>
      </c>
      <c r="AF496" s="31">
        <v>0</v>
      </c>
      <c r="AG496" s="28" t="s">
        <v>53</v>
      </c>
      <c r="AH496" s="46">
        <f t="shared" si="139"/>
        <v>343.34535</v>
      </c>
      <c r="AI496" s="43"/>
      <c r="AJ496" s="28" t="s">
        <v>264</v>
      </c>
      <c r="AK496" s="337"/>
      <c r="AL496" s="43"/>
      <c r="AM496" s="44">
        <f t="shared" si="140"/>
        <v>0</v>
      </c>
      <c r="AN496" s="43"/>
      <c r="AO496" s="28">
        <f t="shared" si="141"/>
        <v>0</v>
      </c>
      <c r="AP496" s="43"/>
      <c r="AQ496" s="323">
        <f t="shared" si="142"/>
        <v>0</v>
      </c>
      <c r="AR496" s="43"/>
      <c r="AS496" s="44">
        <f t="shared" si="143"/>
        <v>343.34535</v>
      </c>
    </row>
    <row r="497" spans="1:45" x14ac:dyDescent="0.25">
      <c r="A497" s="28"/>
      <c r="B497" s="43"/>
      <c r="C497" s="43"/>
      <c r="D497" s="43"/>
      <c r="E497" s="43" t="s">
        <v>2074</v>
      </c>
      <c r="F497" s="43" t="s">
        <v>2075</v>
      </c>
      <c r="G497" s="46">
        <f t="shared" si="130"/>
        <v>264.35980000000001</v>
      </c>
      <c r="H497" s="46">
        <f t="shared" si="131"/>
        <v>234.53872500000003</v>
      </c>
      <c r="I497" s="28" t="s">
        <v>262</v>
      </c>
      <c r="J497" s="337">
        <v>0.35</v>
      </c>
      <c r="K497" s="46">
        <f t="shared" si="132"/>
        <v>92.525930000000002</v>
      </c>
      <c r="L497" s="46">
        <f t="shared" si="133"/>
        <v>82.088553750000003</v>
      </c>
      <c r="M497" s="338">
        <f t="shared" si="134"/>
        <v>0</v>
      </c>
      <c r="N497" s="43" t="s">
        <v>162</v>
      </c>
      <c r="O497" s="339">
        <v>85362000</v>
      </c>
      <c r="P497" s="340">
        <f>IFERROR(VLOOKUP(O497,NCM!$A$3:$D$99,COLUMN(head_porNCM_IPI)-COLUMN(head_porNCM_NCM)+1,FALSE),"")</f>
        <v>0.1</v>
      </c>
      <c r="Q497" s="43" t="s">
        <v>806</v>
      </c>
      <c r="R497" s="78" t="s">
        <v>210</v>
      </c>
      <c r="S497" s="341"/>
      <c r="T497" s="28" t="s">
        <v>52</v>
      </c>
      <c r="U497" s="28" t="s">
        <v>3113</v>
      </c>
      <c r="V497" s="548">
        <v>45469</v>
      </c>
      <c r="W497" s="43"/>
      <c r="X497" s="342">
        <f t="shared" si="135"/>
        <v>54.48845070422535</v>
      </c>
      <c r="Y497" s="342">
        <f t="shared" si="136"/>
        <v>19.67638497652581</v>
      </c>
      <c r="Z497" s="46">
        <f t="shared" si="137"/>
        <v>4.9947746478873238</v>
      </c>
      <c r="AA497" s="46">
        <f t="shared" si="138"/>
        <v>23.006234741784038</v>
      </c>
      <c r="AB497" s="43"/>
      <c r="AC497" s="44">
        <v>322.39</v>
      </c>
      <c r="AD497" s="31">
        <v>0.18</v>
      </c>
      <c r="AE497" s="31">
        <v>6.5000000000000002E-2</v>
      </c>
      <c r="AF497" s="31">
        <v>0</v>
      </c>
      <c r="AG497" s="28" t="s">
        <v>53</v>
      </c>
      <c r="AH497" s="46">
        <f t="shared" si="139"/>
        <v>343.34535</v>
      </c>
      <c r="AI497" s="43"/>
      <c r="AJ497" s="28" t="s">
        <v>264</v>
      </c>
      <c r="AK497" s="337"/>
      <c r="AL497" s="43"/>
      <c r="AM497" s="44">
        <f t="shared" si="140"/>
        <v>0</v>
      </c>
      <c r="AN497" s="43"/>
      <c r="AO497" s="28">
        <f t="shared" si="141"/>
        <v>0</v>
      </c>
      <c r="AP497" s="43"/>
      <c r="AQ497" s="323">
        <f t="shared" si="142"/>
        <v>0</v>
      </c>
      <c r="AR497" s="43"/>
      <c r="AS497" s="44">
        <f t="shared" si="143"/>
        <v>343.34535</v>
      </c>
    </row>
    <row r="498" spans="1:45" x14ac:dyDescent="0.25">
      <c r="A498" s="28"/>
      <c r="B498" s="43"/>
      <c r="C498" s="43"/>
      <c r="D498" s="43"/>
      <c r="E498" s="43" t="s">
        <v>1332</v>
      </c>
      <c r="F498" s="43" t="s">
        <v>2076</v>
      </c>
      <c r="G498" s="46">
        <f t="shared" si="130"/>
        <v>193.47900000000001</v>
      </c>
      <c r="H498" s="46">
        <f t="shared" si="131"/>
        <v>171.65362500000003</v>
      </c>
      <c r="I498" s="28" t="s">
        <v>262</v>
      </c>
      <c r="J498" s="337">
        <v>0.35</v>
      </c>
      <c r="K498" s="46">
        <f t="shared" si="132"/>
        <v>67.717650000000006</v>
      </c>
      <c r="L498" s="46">
        <f t="shared" si="133"/>
        <v>60.078768750000009</v>
      </c>
      <c r="M498" s="338">
        <f t="shared" si="134"/>
        <v>0</v>
      </c>
      <c r="N498" s="43" t="s">
        <v>162</v>
      </c>
      <c r="O498" s="339">
        <v>85362000</v>
      </c>
      <c r="P498" s="340">
        <f>IFERROR(VLOOKUP(O498,NCM!$A$3:$D$99,COLUMN(head_porNCM_IPI)-COLUMN(head_porNCM_NCM)+1,FALSE),"")</f>
        <v>0.1</v>
      </c>
      <c r="Q498" s="43" t="s">
        <v>806</v>
      </c>
      <c r="R498" s="78" t="s">
        <v>210</v>
      </c>
      <c r="S498" s="341"/>
      <c r="T498" s="28" t="s">
        <v>52</v>
      </c>
      <c r="U498" s="28" t="s">
        <v>3113</v>
      </c>
      <c r="V498" s="548">
        <v>45469</v>
      </c>
      <c r="W498" s="43"/>
      <c r="X498" s="342">
        <f t="shared" si="135"/>
        <v>39.878873239436615</v>
      </c>
      <c r="Y498" s="342">
        <f t="shared" si="136"/>
        <v>14.400704225352115</v>
      </c>
      <c r="Z498" s="46">
        <f t="shared" si="137"/>
        <v>3.65556338028169</v>
      </c>
      <c r="AA498" s="46">
        <f t="shared" si="138"/>
        <v>16.837746478873239</v>
      </c>
      <c r="AB498" s="43"/>
      <c r="AC498" s="44">
        <v>235.95</v>
      </c>
      <c r="AD498" s="31">
        <v>0.18</v>
      </c>
      <c r="AE498" s="31">
        <v>6.5000000000000002E-2</v>
      </c>
      <c r="AF498" s="31">
        <v>0</v>
      </c>
      <c r="AG498" s="28" t="s">
        <v>53</v>
      </c>
      <c r="AH498" s="46">
        <f t="shared" si="139"/>
        <v>251.28674999999998</v>
      </c>
      <c r="AI498" s="43"/>
      <c r="AJ498" s="28" t="s">
        <v>264</v>
      </c>
      <c r="AK498" s="337"/>
      <c r="AL498" s="43"/>
      <c r="AM498" s="44">
        <f t="shared" si="140"/>
        <v>0</v>
      </c>
      <c r="AN498" s="43"/>
      <c r="AO498" s="28">
        <f t="shared" si="141"/>
        <v>0</v>
      </c>
      <c r="AP498" s="43"/>
      <c r="AQ498" s="323">
        <f t="shared" si="142"/>
        <v>0</v>
      </c>
      <c r="AR498" s="43"/>
      <c r="AS498" s="44">
        <f t="shared" si="143"/>
        <v>251.28674999999998</v>
      </c>
    </row>
    <row r="499" spans="1:45" x14ac:dyDescent="0.25">
      <c r="A499" s="28"/>
      <c r="B499" s="43"/>
      <c r="C499" s="43"/>
      <c r="D499" s="43"/>
      <c r="E499" s="43" t="s">
        <v>1333</v>
      </c>
      <c r="F499" s="43" t="s">
        <v>2077</v>
      </c>
      <c r="G499" s="46">
        <f t="shared" si="130"/>
        <v>193.47900000000001</v>
      </c>
      <c r="H499" s="46">
        <f t="shared" si="131"/>
        <v>171.65362500000003</v>
      </c>
      <c r="I499" s="28" t="s">
        <v>262</v>
      </c>
      <c r="J499" s="337">
        <v>0.35</v>
      </c>
      <c r="K499" s="46">
        <f t="shared" si="132"/>
        <v>67.717650000000006</v>
      </c>
      <c r="L499" s="46">
        <f t="shared" si="133"/>
        <v>60.078768750000009</v>
      </c>
      <c r="M499" s="338">
        <f t="shared" si="134"/>
        <v>0</v>
      </c>
      <c r="N499" s="43" t="s">
        <v>162</v>
      </c>
      <c r="O499" s="339">
        <v>85362000</v>
      </c>
      <c r="P499" s="340">
        <f>IFERROR(VLOOKUP(O499,NCM!$A$3:$D$99,COLUMN(head_porNCM_IPI)-COLUMN(head_porNCM_NCM)+1,FALSE),"")</f>
        <v>0.1</v>
      </c>
      <c r="Q499" s="43" t="s">
        <v>806</v>
      </c>
      <c r="R499" s="78" t="s">
        <v>210</v>
      </c>
      <c r="S499" s="341"/>
      <c r="T499" s="28" t="s">
        <v>52</v>
      </c>
      <c r="U499" s="28" t="s">
        <v>3113</v>
      </c>
      <c r="V499" s="548">
        <v>45469</v>
      </c>
      <c r="W499" s="43"/>
      <c r="X499" s="342">
        <f t="shared" si="135"/>
        <v>39.878873239436615</v>
      </c>
      <c r="Y499" s="342">
        <f t="shared" si="136"/>
        <v>14.400704225352115</v>
      </c>
      <c r="Z499" s="46">
        <f t="shared" si="137"/>
        <v>3.65556338028169</v>
      </c>
      <c r="AA499" s="46">
        <f t="shared" si="138"/>
        <v>16.837746478873239</v>
      </c>
      <c r="AB499" s="43"/>
      <c r="AC499" s="44">
        <v>235.95</v>
      </c>
      <c r="AD499" s="31">
        <v>0.18</v>
      </c>
      <c r="AE499" s="31">
        <v>6.5000000000000002E-2</v>
      </c>
      <c r="AF499" s="31">
        <v>0</v>
      </c>
      <c r="AG499" s="28" t="s">
        <v>53</v>
      </c>
      <c r="AH499" s="46">
        <f t="shared" si="139"/>
        <v>251.28674999999998</v>
      </c>
      <c r="AI499" s="43"/>
      <c r="AJ499" s="28" t="s">
        <v>264</v>
      </c>
      <c r="AK499" s="337"/>
      <c r="AL499" s="43"/>
      <c r="AM499" s="44">
        <f t="shared" si="140"/>
        <v>0</v>
      </c>
      <c r="AN499" s="43"/>
      <c r="AO499" s="28">
        <f t="shared" si="141"/>
        <v>0</v>
      </c>
      <c r="AP499" s="43"/>
      <c r="AQ499" s="323">
        <f t="shared" si="142"/>
        <v>0</v>
      </c>
      <c r="AR499" s="43"/>
      <c r="AS499" s="44">
        <f t="shared" si="143"/>
        <v>251.28674999999998</v>
      </c>
    </row>
    <row r="500" spans="1:45" x14ac:dyDescent="0.25">
      <c r="A500" s="28"/>
      <c r="B500" s="43"/>
      <c r="C500" s="43"/>
      <c r="D500" s="43" t="s">
        <v>1335</v>
      </c>
      <c r="E500" s="43"/>
      <c r="F500" s="43"/>
      <c r="G500" s="46">
        <f t="shared" si="130"/>
        <v>0</v>
      </c>
      <c r="H500" s="46">
        <f t="shared" si="131"/>
        <v>0</v>
      </c>
      <c r="I500" s="28"/>
      <c r="J500" s="337"/>
      <c r="K500" s="46" t="str">
        <f t="shared" si="132"/>
        <v/>
      </c>
      <c r="L500" s="46" t="str">
        <f t="shared" si="133"/>
        <v/>
      </c>
      <c r="M500" s="338">
        <f t="shared" si="134"/>
        <v>0</v>
      </c>
      <c r="N500" s="43"/>
      <c r="O500" s="339"/>
      <c r="P500" s="340" t="str">
        <f>IFERROR(VLOOKUP(O500,NCM!$A$3:$D$99,COLUMN(head_porNCM_IPI)-COLUMN(head_porNCM_NCM)+1,FALSE),"")</f>
        <v/>
      </c>
      <c r="Q500" s="43"/>
      <c r="R500" s="78"/>
      <c r="S500" s="341"/>
      <c r="T500" s="28"/>
      <c r="U500" s="28"/>
      <c r="V500" s="28"/>
      <c r="W500" s="43"/>
      <c r="X500" s="342">
        <f t="shared" si="135"/>
        <v>0</v>
      </c>
      <c r="Y500" s="342">
        <f t="shared" si="136"/>
        <v>0</v>
      </c>
      <c r="Z500" s="46">
        <f t="shared" si="137"/>
        <v>0</v>
      </c>
      <c r="AA500" s="46">
        <f t="shared" si="138"/>
        <v>0</v>
      </c>
      <c r="AB500" s="43"/>
      <c r="AC500" s="44">
        <v>0</v>
      </c>
      <c r="AD500" s="31"/>
      <c r="AE500" s="31"/>
      <c r="AF500" s="31"/>
      <c r="AG500" s="28"/>
      <c r="AH500" s="46">
        <f t="shared" si="139"/>
        <v>0</v>
      </c>
      <c r="AI500" s="43"/>
      <c r="AJ500" s="28"/>
      <c r="AK500" s="337"/>
      <c r="AL500" s="43"/>
      <c r="AM500" s="44">
        <f t="shared" si="140"/>
        <v>0</v>
      </c>
      <c r="AN500" s="43"/>
      <c r="AO500" s="28">
        <f t="shared" si="141"/>
        <v>0</v>
      </c>
      <c r="AP500" s="43"/>
      <c r="AQ500" s="323">
        <f t="shared" si="142"/>
        <v>0</v>
      </c>
      <c r="AR500" s="43"/>
      <c r="AS500" s="44">
        <f t="shared" si="143"/>
        <v>0</v>
      </c>
    </row>
    <row r="501" spans="1:45" x14ac:dyDescent="0.25">
      <c r="A501" s="28"/>
      <c r="B501" s="43"/>
      <c r="C501" s="43"/>
      <c r="D501" s="43"/>
      <c r="E501" s="43" t="s">
        <v>2078</v>
      </c>
      <c r="F501" s="43" t="s">
        <v>2079</v>
      </c>
      <c r="G501" s="46">
        <f t="shared" si="130"/>
        <v>606.12760000000003</v>
      </c>
      <c r="H501" s="46">
        <f t="shared" si="131"/>
        <v>537.75345000000004</v>
      </c>
      <c r="I501" s="28" t="s">
        <v>262</v>
      </c>
      <c r="J501" s="337">
        <v>0.35</v>
      </c>
      <c r="K501" s="46">
        <f t="shared" si="132"/>
        <v>212.14465999999999</v>
      </c>
      <c r="L501" s="46">
        <f t="shared" si="133"/>
        <v>188.2137075</v>
      </c>
      <c r="M501" s="338">
        <f t="shared" si="134"/>
        <v>0</v>
      </c>
      <c r="N501" s="43" t="s">
        <v>162</v>
      </c>
      <c r="O501" s="339">
        <v>85362000</v>
      </c>
      <c r="P501" s="340">
        <f>IFERROR(VLOOKUP(O501,NCM!$A$3:$D$99,COLUMN(head_porNCM_IPI)-COLUMN(head_porNCM_NCM)+1,FALSE),"")</f>
        <v>0.1</v>
      </c>
      <c r="Q501" s="43" t="s">
        <v>806</v>
      </c>
      <c r="R501" s="78" t="s">
        <v>210</v>
      </c>
      <c r="S501" s="341"/>
      <c r="T501" s="28" t="s">
        <v>52</v>
      </c>
      <c r="U501" s="28" t="s">
        <v>3113</v>
      </c>
      <c r="V501" s="548">
        <v>45469</v>
      </c>
      <c r="W501" s="43"/>
      <c r="X501" s="342">
        <f t="shared" si="135"/>
        <v>124.93183098591548</v>
      </c>
      <c r="Y501" s="342">
        <f t="shared" si="136"/>
        <v>45.114272300469452</v>
      </c>
      <c r="Z501" s="46">
        <f t="shared" si="137"/>
        <v>11.452084507042255</v>
      </c>
      <c r="AA501" s="46">
        <f t="shared" si="138"/>
        <v>52.748995305164314</v>
      </c>
      <c r="AB501" s="43"/>
      <c r="AC501" s="44">
        <v>739.18</v>
      </c>
      <c r="AD501" s="31">
        <v>0.18</v>
      </c>
      <c r="AE501" s="31">
        <v>6.5000000000000002E-2</v>
      </c>
      <c r="AF501" s="31">
        <v>0</v>
      </c>
      <c r="AG501" s="28" t="s">
        <v>53</v>
      </c>
      <c r="AH501" s="46">
        <f t="shared" si="139"/>
        <v>787.22669999999994</v>
      </c>
      <c r="AI501" s="43"/>
      <c r="AJ501" s="28" t="s">
        <v>264</v>
      </c>
      <c r="AK501" s="337"/>
      <c r="AL501" s="43"/>
      <c r="AM501" s="44">
        <f t="shared" si="140"/>
        <v>0</v>
      </c>
      <c r="AN501" s="43"/>
      <c r="AO501" s="28">
        <f t="shared" si="141"/>
        <v>0</v>
      </c>
      <c r="AP501" s="43"/>
      <c r="AQ501" s="323">
        <f t="shared" si="142"/>
        <v>0</v>
      </c>
      <c r="AR501" s="43"/>
      <c r="AS501" s="44">
        <f t="shared" si="143"/>
        <v>787.22669999999994</v>
      </c>
    </row>
    <row r="502" spans="1:45" x14ac:dyDescent="0.25">
      <c r="A502" s="28"/>
      <c r="B502" s="43"/>
      <c r="C502" s="43"/>
      <c r="D502" s="43"/>
      <c r="E502" s="43" t="s">
        <v>2080</v>
      </c>
      <c r="F502" s="43" t="s">
        <v>2081</v>
      </c>
      <c r="G502" s="46">
        <f t="shared" si="130"/>
        <v>606.12760000000003</v>
      </c>
      <c r="H502" s="46">
        <f t="shared" si="131"/>
        <v>537.75345000000004</v>
      </c>
      <c r="I502" s="28" t="s">
        <v>262</v>
      </c>
      <c r="J502" s="337">
        <v>0.35</v>
      </c>
      <c r="K502" s="46">
        <f t="shared" si="132"/>
        <v>212.14465999999999</v>
      </c>
      <c r="L502" s="46">
        <f t="shared" si="133"/>
        <v>188.2137075</v>
      </c>
      <c r="M502" s="338">
        <f t="shared" si="134"/>
        <v>0</v>
      </c>
      <c r="N502" s="43" t="s">
        <v>162</v>
      </c>
      <c r="O502" s="339">
        <v>85362000</v>
      </c>
      <c r="P502" s="340">
        <f>IFERROR(VLOOKUP(O502,NCM!$A$3:$D$99,COLUMN(head_porNCM_IPI)-COLUMN(head_porNCM_NCM)+1,FALSE),"")</f>
        <v>0.1</v>
      </c>
      <c r="Q502" s="43" t="s">
        <v>806</v>
      </c>
      <c r="R502" s="78" t="s">
        <v>210</v>
      </c>
      <c r="S502" s="341"/>
      <c r="T502" s="28" t="s">
        <v>52</v>
      </c>
      <c r="U502" s="28" t="s">
        <v>3113</v>
      </c>
      <c r="V502" s="548">
        <v>45469</v>
      </c>
      <c r="W502" s="43"/>
      <c r="X502" s="342">
        <f t="shared" si="135"/>
        <v>124.93183098591548</v>
      </c>
      <c r="Y502" s="342">
        <f t="shared" si="136"/>
        <v>45.114272300469452</v>
      </c>
      <c r="Z502" s="46">
        <f t="shared" si="137"/>
        <v>11.452084507042255</v>
      </c>
      <c r="AA502" s="46">
        <f t="shared" si="138"/>
        <v>52.748995305164314</v>
      </c>
      <c r="AB502" s="43"/>
      <c r="AC502" s="44">
        <v>739.18</v>
      </c>
      <c r="AD502" s="31">
        <v>0.18</v>
      </c>
      <c r="AE502" s="31">
        <v>6.5000000000000002E-2</v>
      </c>
      <c r="AF502" s="31">
        <v>0</v>
      </c>
      <c r="AG502" s="28" t="s">
        <v>53</v>
      </c>
      <c r="AH502" s="46">
        <f t="shared" si="139"/>
        <v>787.22669999999994</v>
      </c>
      <c r="AI502" s="43"/>
      <c r="AJ502" s="28" t="s">
        <v>264</v>
      </c>
      <c r="AK502" s="337"/>
      <c r="AL502" s="43"/>
      <c r="AM502" s="44">
        <f t="shared" si="140"/>
        <v>0</v>
      </c>
      <c r="AN502" s="43"/>
      <c r="AO502" s="28">
        <f t="shared" si="141"/>
        <v>0</v>
      </c>
      <c r="AP502" s="43"/>
      <c r="AQ502" s="323">
        <f t="shared" si="142"/>
        <v>0</v>
      </c>
      <c r="AR502" s="43"/>
      <c r="AS502" s="44">
        <f t="shared" si="143"/>
        <v>787.22669999999994</v>
      </c>
    </row>
    <row r="503" spans="1:45" x14ac:dyDescent="0.25">
      <c r="A503" s="28"/>
      <c r="B503" s="43"/>
      <c r="C503" s="43"/>
      <c r="D503" s="43"/>
      <c r="E503" s="43" t="s">
        <v>2082</v>
      </c>
      <c r="F503" s="43" t="s">
        <v>2083</v>
      </c>
      <c r="G503" s="46">
        <f t="shared" si="130"/>
        <v>606.12760000000003</v>
      </c>
      <c r="H503" s="46">
        <f t="shared" si="131"/>
        <v>537.75345000000004</v>
      </c>
      <c r="I503" s="28" t="s">
        <v>262</v>
      </c>
      <c r="J503" s="337">
        <v>0.35</v>
      </c>
      <c r="K503" s="46">
        <f t="shared" si="132"/>
        <v>212.14465999999999</v>
      </c>
      <c r="L503" s="46">
        <f t="shared" si="133"/>
        <v>188.2137075</v>
      </c>
      <c r="M503" s="338">
        <f t="shared" si="134"/>
        <v>0</v>
      </c>
      <c r="N503" s="43" t="s">
        <v>162</v>
      </c>
      <c r="O503" s="339">
        <v>85362000</v>
      </c>
      <c r="P503" s="340">
        <f>IFERROR(VLOOKUP(O503,NCM!$A$3:$D$99,COLUMN(head_porNCM_IPI)-COLUMN(head_porNCM_NCM)+1,FALSE),"")</f>
        <v>0.1</v>
      </c>
      <c r="Q503" s="43" t="s">
        <v>806</v>
      </c>
      <c r="R503" s="78" t="s">
        <v>210</v>
      </c>
      <c r="S503" s="341"/>
      <c r="T503" s="28" t="s">
        <v>52</v>
      </c>
      <c r="U503" s="28" t="s">
        <v>3113</v>
      </c>
      <c r="V503" s="548">
        <v>45469</v>
      </c>
      <c r="W503" s="43"/>
      <c r="X503" s="342">
        <f t="shared" si="135"/>
        <v>124.93183098591548</v>
      </c>
      <c r="Y503" s="342">
        <f t="shared" si="136"/>
        <v>45.114272300469452</v>
      </c>
      <c r="Z503" s="46">
        <f t="shared" si="137"/>
        <v>11.452084507042255</v>
      </c>
      <c r="AA503" s="46">
        <f t="shared" si="138"/>
        <v>52.748995305164314</v>
      </c>
      <c r="AB503" s="43"/>
      <c r="AC503" s="44">
        <v>739.18</v>
      </c>
      <c r="AD503" s="31">
        <v>0.18</v>
      </c>
      <c r="AE503" s="31">
        <v>6.5000000000000002E-2</v>
      </c>
      <c r="AF503" s="31">
        <v>0</v>
      </c>
      <c r="AG503" s="28" t="s">
        <v>53</v>
      </c>
      <c r="AH503" s="46">
        <f t="shared" si="139"/>
        <v>787.22669999999994</v>
      </c>
      <c r="AI503" s="43"/>
      <c r="AJ503" s="28" t="s">
        <v>264</v>
      </c>
      <c r="AK503" s="337"/>
      <c r="AL503" s="43"/>
      <c r="AM503" s="44">
        <f t="shared" si="140"/>
        <v>0</v>
      </c>
      <c r="AN503" s="43"/>
      <c r="AO503" s="28">
        <f t="shared" si="141"/>
        <v>0</v>
      </c>
      <c r="AP503" s="43"/>
      <c r="AQ503" s="323">
        <f t="shared" si="142"/>
        <v>0</v>
      </c>
      <c r="AR503" s="43"/>
      <c r="AS503" s="44">
        <f t="shared" si="143"/>
        <v>787.22669999999994</v>
      </c>
    </row>
    <row r="504" spans="1:45" x14ac:dyDescent="0.25">
      <c r="A504" s="28"/>
      <c r="B504" s="43"/>
      <c r="C504" s="43"/>
      <c r="D504" s="43"/>
      <c r="E504" s="43" t="s">
        <v>2084</v>
      </c>
      <c r="F504" s="43" t="s">
        <v>2085</v>
      </c>
      <c r="G504" s="46">
        <f t="shared" ref="G504:G567" si="144">AC504*(1-AD504)</f>
        <v>283.00659999999999</v>
      </c>
      <c r="H504" s="46">
        <f t="shared" ref="H504:H567" si="145">AC504*(1-AD504-pis_naocum-cofins_naocum)</f>
        <v>251.08207500000006</v>
      </c>
      <c r="I504" s="28" t="s">
        <v>262</v>
      </c>
      <c r="J504" s="337">
        <v>0.35</v>
      </c>
      <c r="K504" s="46">
        <f t="shared" ref="K504:K567" si="146">IFERROR(G504*J504*VLOOKUP(I504,tbl_cambio,2,FALSE),"")</f>
        <v>99.052309999999991</v>
      </c>
      <c r="L504" s="46">
        <f t="shared" ref="L504:L567" si="147">IFERROR(H504*J504*VLOOKUP(I504,tbl_cambio,2,FALSE),"")</f>
        <v>87.878726250000014</v>
      </c>
      <c r="M504" s="338">
        <f t="shared" ref="M504:M567" si="148">SUMIF(col_item,"="&amp;E504,col_qtd)</f>
        <v>0</v>
      </c>
      <c r="N504" s="43" t="s">
        <v>162</v>
      </c>
      <c r="O504" s="339">
        <v>85362000</v>
      </c>
      <c r="P504" s="340">
        <f>IFERROR(VLOOKUP(O504,NCM!$A$3:$D$99,COLUMN(head_porNCM_IPI)-COLUMN(head_porNCM_NCM)+1,FALSE),"")</f>
        <v>0.1</v>
      </c>
      <c r="Q504" s="43" t="s">
        <v>806</v>
      </c>
      <c r="R504" s="78" t="s">
        <v>210</v>
      </c>
      <c r="S504" s="341"/>
      <c r="T504" s="28" t="s">
        <v>52</v>
      </c>
      <c r="U504" s="28" t="s">
        <v>3113</v>
      </c>
      <c r="V504" s="548">
        <v>45469</v>
      </c>
      <c r="W504" s="43"/>
      <c r="X504" s="342">
        <f t="shared" ref="X504:X567" si="149">(AC504-Y504)*AD504</f>
        <v>58.331830985915495</v>
      </c>
      <c r="Y504" s="342">
        <f t="shared" ref="Y504:Y567" si="150">AC504-AC504/(1+AE504)</f>
        <v>21.06427230046944</v>
      </c>
      <c r="Z504" s="46">
        <f t="shared" ref="Z504:Z567" si="151">(AC504-Y504)*pis_naocum</f>
        <v>5.3470845070422541</v>
      </c>
      <c r="AA504" s="46">
        <f t="shared" ref="AA504:AA567" si="152">(AC504-Y504)*cofins_naocum</f>
        <v>24.62899530516432</v>
      </c>
      <c r="AB504" s="43"/>
      <c r="AC504" s="44">
        <v>345.13</v>
      </c>
      <c r="AD504" s="31">
        <v>0.18</v>
      </c>
      <c r="AE504" s="31">
        <v>6.5000000000000002E-2</v>
      </c>
      <c r="AF504" s="31">
        <v>0</v>
      </c>
      <c r="AG504" s="28" t="s">
        <v>53</v>
      </c>
      <c r="AH504" s="46">
        <f t="shared" ref="AH504:AH567" si="153">AC504*(1+AE504)</f>
        <v>367.56344999999999</v>
      </c>
      <c r="AI504" s="43"/>
      <c r="AJ504" s="28" t="s">
        <v>264</v>
      </c>
      <c r="AK504" s="337"/>
      <c r="AL504" s="43"/>
      <c r="AM504" s="44">
        <f t="shared" ref="AM504:AM567" si="154">IF(AND(AJ504&lt;&gt;"",AK504&gt;0),AQ504*(VLOOKUP(AJ504,tbl_cambio,2,FALSE)/AK504-1),0)</f>
        <v>0</v>
      </c>
      <c r="AN504" s="43"/>
      <c r="AO504" s="28">
        <f t="shared" ref="AO504:AO567" si="155">IF(T504="Sim",ROUNDUP(M504*sobress_pc,0),0)</f>
        <v>0</v>
      </c>
      <c r="AP504" s="43"/>
      <c r="AQ504" s="323">
        <f t="shared" ref="AQ504:AQ567" si="156">SUMIFS(col_custoTotal,col_fatdir,"Não",col_item,E504)</f>
        <v>0</v>
      </c>
      <c r="AR504" s="43"/>
      <c r="AS504" s="44">
        <f t="shared" ref="AS504:AS567" si="157">IFERROR(AH504*VLOOKUP(I504,tbl_cambio,2,FALSE),0)</f>
        <v>367.56344999999999</v>
      </c>
    </row>
    <row r="505" spans="1:45" x14ac:dyDescent="0.25">
      <c r="A505" s="28"/>
      <c r="B505" s="43"/>
      <c r="C505" s="43"/>
      <c r="D505" s="43"/>
      <c r="E505" s="43" t="s">
        <v>2086</v>
      </c>
      <c r="F505" s="43" t="s">
        <v>2087</v>
      </c>
      <c r="G505" s="46">
        <f t="shared" si="144"/>
        <v>283.00659999999999</v>
      </c>
      <c r="H505" s="46">
        <f t="shared" si="145"/>
        <v>251.08207500000006</v>
      </c>
      <c r="I505" s="28" t="s">
        <v>262</v>
      </c>
      <c r="J505" s="337">
        <v>0.35</v>
      </c>
      <c r="K505" s="46">
        <f t="shared" si="146"/>
        <v>99.052309999999991</v>
      </c>
      <c r="L505" s="46">
        <f t="shared" si="147"/>
        <v>87.878726250000014</v>
      </c>
      <c r="M505" s="338">
        <f t="shared" si="148"/>
        <v>0</v>
      </c>
      <c r="N505" s="43" t="s">
        <v>162</v>
      </c>
      <c r="O505" s="339">
        <v>85362000</v>
      </c>
      <c r="P505" s="340">
        <f>IFERROR(VLOOKUP(O505,NCM!$A$3:$D$99,COLUMN(head_porNCM_IPI)-COLUMN(head_porNCM_NCM)+1,FALSE),"")</f>
        <v>0.1</v>
      </c>
      <c r="Q505" s="43" t="s">
        <v>806</v>
      </c>
      <c r="R505" s="78" t="s">
        <v>210</v>
      </c>
      <c r="S505" s="341"/>
      <c r="T505" s="28" t="s">
        <v>52</v>
      </c>
      <c r="U505" s="28" t="s">
        <v>3113</v>
      </c>
      <c r="V505" s="548">
        <v>45469</v>
      </c>
      <c r="W505" s="43"/>
      <c r="X505" s="342">
        <f t="shared" si="149"/>
        <v>58.331830985915495</v>
      </c>
      <c r="Y505" s="342">
        <f t="shared" si="150"/>
        <v>21.06427230046944</v>
      </c>
      <c r="Z505" s="46">
        <f t="shared" si="151"/>
        <v>5.3470845070422541</v>
      </c>
      <c r="AA505" s="46">
        <f t="shared" si="152"/>
        <v>24.62899530516432</v>
      </c>
      <c r="AB505" s="43"/>
      <c r="AC505" s="44">
        <v>345.13</v>
      </c>
      <c r="AD505" s="31">
        <v>0.18</v>
      </c>
      <c r="AE505" s="31">
        <v>6.5000000000000002E-2</v>
      </c>
      <c r="AF505" s="31">
        <v>0</v>
      </c>
      <c r="AG505" s="28" t="s">
        <v>53</v>
      </c>
      <c r="AH505" s="46">
        <f t="shared" si="153"/>
        <v>367.56344999999999</v>
      </c>
      <c r="AI505" s="43"/>
      <c r="AJ505" s="28" t="s">
        <v>264</v>
      </c>
      <c r="AK505" s="337"/>
      <c r="AL505" s="43"/>
      <c r="AM505" s="44">
        <f t="shared" si="154"/>
        <v>0</v>
      </c>
      <c r="AN505" s="43"/>
      <c r="AO505" s="28">
        <f t="shared" si="155"/>
        <v>0</v>
      </c>
      <c r="AP505" s="43"/>
      <c r="AQ505" s="323">
        <f t="shared" si="156"/>
        <v>0</v>
      </c>
      <c r="AR505" s="43"/>
      <c r="AS505" s="44">
        <f t="shared" si="157"/>
        <v>367.56344999999999</v>
      </c>
    </row>
    <row r="506" spans="1:45" x14ac:dyDescent="0.25">
      <c r="A506" s="28"/>
      <c r="B506" s="43"/>
      <c r="C506" s="43"/>
      <c r="D506" s="43"/>
      <c r="E506" s="43" t="s">
        <v>2088</v>
      </c>
      <c r="F506" s="43" t="s">
        <v>2089</v>
      </c>
      <c r="G506" s="46">
        <f t="shared" si="144"/>
        <v>283.00659999999999</v>
      </c>
      <c r="H506" s="46">
        <f t="shared" si="145"/>
        <v>251.08207500000006</v>
      </c>
      <c r="I506" s="28" t="s">
        <v>262</v>
      </c>
      <c r="J506" s="337">
        <v>0.35</v>
      </c>
      <c r="K506" s="46">
        <f t="shared" si="146"/>
        <v>99.052309999999991</v>
      </c>
      <c r="L506" s="46">
        <f t="shared" si="147"/>
        <v>87.878726250000014</v>
      </c>
      <c r="M506" s="338">
        <f t="shared" si="148"/>
        <v>0</v>
      </c>
      <c r="N506" s="43" t="s">
        <v>162</v>
      </c>
      <c r="O506" s="339">
        <v>85362000</v>
      </c>
      <c r="P506" s="340">
        <f>IFERROR(VLOOKUP(O506,NCM!$A$3:$D$99,COLUMN(head_porNCM_IPI)-COLUMN(head_porNCM_NCM)+1,FALSE),"")</f>
        <v>0.1</v>
      </c>
      <c r="Q506" s="43" t="s">
        <v>806</v>
      </c>
      <c r="R506" s="78" t="s">
        <v>210</v>
      </c>
      <c r="S506" s="341"/>
      <c r="T506" s="28" t="s">
        <v>52</v>
      </c>
      <c r="U506" s="28" t="s">
        <v>3113</v>
      </c>
      <c r="V506" s="548">
        <v>45469</v>
      </c>
      <c r="W506" s="43"/>
      <c r="X506" s="342">
        <f t="shared" si="149"/>
        <v>58.331830985915495</v>
      </c>
      <c r="Y506" s="342">
        <f t="shared" si="150"/>
        <v>21.06427230046944</v>
      </c>
      <c r="Z506" s="46">
        <f t="shared" si="151"/>
        <v>5.3470845070422541</v>
      </c>
      <c r="AA506" s="46">
        <f t="shared" si="152"/>
        <v>24.62899530516432</v>
      </c>
      <c r="AB506" s="43"/>
      <c r="AC506" s="44">
        <v>345.13</v>
      </c>
      <c r="AD506" s="31">
        <v>0.18</v>
      </c>
      <c r="AE506" s="31">
        <v>6.5000000000000002E-2</v>
      </c>
      <c r="AF506" s="31">
        <v>0</v>
      </c>
      <c r="AG506" s="28" t="s">
        <v>53</v>
      </c>
      <c r="AH506" s="46">
        <f t="shared" si="153"/>
        <v>367.56344999999999</v>
      </c>
      <c r="AI506" s="43"/>
      <c r="AJ506" s="28" t="s">
        <v>264</v>
      </c>
      <c r="AK506" s="337"/>
      <c r="AL506" s="43"/>
      <c r="AM506" s="44">
        <f t="shared" si="154"/>
        <v>0</v>
      </c>
      <c r="AN506" s="43"/>
      <c r="AO506" s="28">
        <f t="shared" si="155"/>
        <v>0</v>
      </c>
      <c r="AP506" s="43"/>
      <c r="AQ506" s="323">
        <f t="shared" si="156"/>
        <v>0</v>
      </c>
      <c r="AR506" s="43"/>
      <c r="AS506" s="44">
        <f t="shared" si="157"/>
        <v>367.56344999999999</v>
      </c>
    </row>
    <row r="507" spans="1:45" x14ac:dyDescent="0.25">
      <c r="A507" s="28"/>
      <c r="B507" s="43"/>
      <c r="C507" s="43"/>
      <c r="D507" s="43"/>
      <c r="E507" s="43" t="s">
        <v>2090</v>
      </c>
      <c r="F507" s="43" t="s">
        <v>2091</v>
      </c>
      <c r="G507" s="46">
        <f t="shared" si="144"/>
        <v>283.00659999999999</v>
      </c>
      <c r="H507" s="46">
        <f t="shared" si="145"/>
        <v>251.08207500000006</v>
      </c>
      <c r="I507" s="28" t="s">
        <v>262</v>
      </c>
      <c r="J507" s="337">
        <v>0.35</v>
      </c>
      <c r="K507" s="46">
        <f t="shared" si="146"/>
        <v>99.052309999999991</v>
      </c>
      <c r="L507" s="46">
        <f t="shared" si="147"/>
        <v>87.878726250000014</v>
      </c>
      <c r="M507" s="338">
        <f t="shared" si="148"/>
        <v>0</v>
      </c>
      <c r="N507" s="43" t="s">
        <v>162</v>
      </c>
      <c r="O507" s="339">
        <v>85362000</v>
      </c>
      <c r="P507" s="340">
        <f>IFERROR(VLOOKUP(O507,NCM!$A$3:$D$99,COLUMN(head_porNCM_IPI)-COLUMN(head_porNCM_NCM)+1,FALSE),"")</f>
        <v>0.1</v>
      </c>
      <c r="Q507" s="43" t="s">
        <v>806</v>
      </c>
      <c r="R507" s="78" t="s">
        <v>210</v>
      </c>
      <c r="S507" s="341"/>
      <c r="T507" s="28" t="s">
        <v>52</v>
      </c>
      <c r="U507" s="28" t="s">
        <v>3113</v>
      </c>
      <c r="V507" s="548">
        <v>45469</v>
      </c>
      <c r="W507" s="43"/>
      <c r="X507" s="342">
        <f t="shared" si="149"/>
        <v>58.331830985915495</v>
      </c>
      <c r="Y507" s="342">
        <f t="shared" si="150"/>
        <v>21.06427230046944</v>
      </c>
      <c r="Z507" s="46">
        <f t="shared" si="151"/>
        <v>5.3470845070422541</v>
      </c>
      <c r="AA507" s="46">
        <f t="shared" si="152"/>
        <v>24.62899530516432</v>
      </c>
      <c r="AB507" s="43"/>
      <c r="AC507" s="44">
        <v>345.13</v>
      </c>
      <c r="AD507" s="31">
        <v>0.18</v>
      </c>
      <c r="AE507" s="31">
        <v>6.5000000000000002E-2</v>
      </c>
      <c r="AF507" s="31">
        <v>0</v>
      </c>
      <c r="AG507" s="28" t="s">
        <v>53</v>
      </c>
      <c r="AH507" s="46">
        <f t="shared" si="153"/>
        <v>367.56344999999999</v>
      </c>
      <c r="AI507" s="43"/>
      <c r="AJ507" s="28" t="s">
        <v>264</v>
      </c>
      <c r="AK507" s="337"/>
      <c r="AL507" s="43"/>
      <c r="AM507" s="44">
        <f t="shared" si="154"/>
        <v>0</v>
      </c>
      <c r="AN507" s="43"/>
      <c r="AO507" s="28">
        <f t="shared" si="155"/>
        <v>0</v>
      </c>
      <c r="AP507" s="43"/>
      <c r="AQ507" s="323">
        <f t="shared" si="156"/>
        <v>0</v>
      </c>
      <c r="AR507" s="43"/>
      <c r="AS507" s="44">
        <f t="shared" si="157"/>
        <v>367.56344999999999</v>
      </c>
    </row>
    <row r="508" spans="1:45" x14ac:dyDescent="0.25">
      <c r="A508" s="28"/>
      <c r="B508" s="43"/>
      <c r="C508" s="43"/>
      <c r="D508" s="43"/>
      <c r="E508" s="43" t="s">
        <v>2092</v>
      </c>
      <c r="F508" s="43" t="s">
        <v>2093</v>
      </c>
      <c r="G508" s="46">
        <f t="shared" si="144"/>
        <v>283.00659999999999</v>
      </c>
      <c r="H508" s="46">
        <f t="shared" si="145"/>
        <v>251.08207500000006</v>
      </c>
      <c r="I508" s="28" t="s">
        <v>262</v>
      </c>
      <c r="J508" s="337">
        <v>0.35</v>
      </c>
      <c r="K508" s="46">
        <f t="shared" si="146"/>
        <v>99.052309999999991</v>
      </c>
      <c r="L508" s="46">
        <f t="shared" si="147"/>
        <v>87.878726250000014</v>
      </c>
      <c r="M508" s="338">
        <f t="shared" si="148"/>
        <v>0</v>
      </c>
      <c r="N508" s="43" t="s">
        <v>162</v>
      </c>
      <c r="O508" s="339">
        <v>85362000</v>
      </c>
      <c r="P508" s="340">
        <f>IFERROR(VLOOKUP(O508,NCM!$A$3:$D$99,COLUMN(head_porNCM_IPI)-COLUMN(head_porNCM_NCM)+1,FALSE),"")</f>
        <v>0.1</v>
      </c>
      <c r="Q508" s="43" t="s">
        <v>806</v>
      </c>
      <c r="R508" s="78" t="s">
        <v>210</v>
      </c>
      <c r="S508" s="341"/>
      <c r="T508" s="28" t="s">
        <v>52</v>
      </c>
      <c r="U508" s="28" t="s">
        <v>3113</v>
      </c>
      <c r="V508" s="548">
        <v>45469</v>
      </c>
      <c r="W508" s="43"/>
      <c r="X508" s="342">
        <f t="shared" si="149"/>
        <v>58.331830985915495</v>
      </c>
      <c r="Y508" s="342">
        <f t="shared" si="150"/>
        <v>21.06427230046944</v>
      </c>
      <c r="Z508" s="46">
        <f t="shared" si="151"/>
        <v>5.3470845070422541</v>
      </c>
      <c r="AA508" s="46">
        <f t="shared" si="152"/>
        <v>24.62899530516432</v>
      </c>
      <c r="AB508" s="43"/>
      <c r="AC508" s="44">
        <v>345.13</v>
      </c>
      <c r="AD508" s="31">
        <v>0.18</v>
      </c>
      <c r="AE508" s="31">
        <v>6.5000000000000002E-2</v>
      </c>
      <c r="AF508" s="31">
        <v>0</v>
      </c>
      <c r="AG508" s="28" t="s">
        <v>53</v>
      </c>
      <c r="AH508" s="46">
        <f t="shared" si="153"/>
        <v>367.56344999999999</v>
      </c>
      <c r="AI508" s="43"/>
      <c r="AJ508" s="28" t="s">
        <v>264</v>
      </c>
      <c r="AK508" s="337"/>
      <c r="AL508" s="43"/>
      <c r="AM508" s="44">
        <f t="shared" si="154"/>
        <v>0</v>
      </c>
      <c r="AN508" s="43"/>
      <c r="AO508" s="28">
        <f t="shared" si="155"/>
        <v>0</v>
      </c>
      <c r="AP508" s="43"/>
      <c r="AQ508" s="323">
        <f t="shared" si="156"/>
        <v>0</v>
      </c>
      <c r="AR508" s="43"/>
      <c r="AS508" s="44">
        <f t="shared" si="157"/>
        <v>367.56344999999999</v>
      </c>
    </row>
    <row r="509" spans="1:45" x14ac:dyDescent="0.25">
      <c r="A509" s="28"/>
      <c r="B509" s="43"/>
      <c r="C509" s="43"/>
      <c r="D509" s="43"/>
      <c r="E509" s="43" t="s">
        <v>2094</v>
      </c>
      <c r="F509" s="43" t="s">
        <v>2095</v>
      </c>
      <c r="G509" s="46">
        <f t="shared" si="144"/>
        <v>606.12760000000003</v>
      </c>
      <c r="H509" s="46">
        <f t="shared" si="145"/>
        <v>537.75345000000004</v>
      </c>
      <c r="I509" s="28" t="s">
        <v>262</v>
      </c>
      <c r="J509" s="337">
        <v>0.35</v>
      </c>
      <c r="K509" s="46">
        <f t="shared" si="146"/>
        <v>212.14465999999999</v>
      </c>
      <c r="L509" s="46">
        <f t="shared" si="147"/>
        <v>188.2137075</v>
      </c>
      <c r="M509" s="338">
        <f t="shared" si="148"/>
        <v>0</v>
      </c>
      <c r="N509" s="43" t="s">
        <v>162</v>
      </c>
      <c r="O509" s="339">
        <v>85362000</v>
      </c>
      <c r="P509" s="340">
        <f>IFERROR(VLOOKUP(O509,NCM!$A$3:$D$99,COLUMN(head_porNCM_IPI)-COLUMN(head_porNCM_NCM)+1,FALSE),"")</f>
        <v>0.1</v>
      </c>
      <c r="Q509" s="43" t="s">
        <v>806</v>
      </c>
      <c r="R509" s="78" t="s">
        <v>210</v>
      </c>
      <c r="S509" s="341"/>
      <c r="T509" s="28" t="s">
        <v>52</v>
      </c>
      <c r="U509" s="28" t="s">
        <v>3113</v>
      </c>
      <c r="V509" s="548">
        <v>45469</v>
      </c>
      <c r="W509" s="43"/>
      <c r="X509" s="342">
        <f t="shared" si="149"/>
        <v>124.93183098591548</v>
      </c>
      <c r="Y509" s="342">
        <f t="shared" si="150"/>
        <v>45.114272300469452</v>
      </c>
      <c r="Z509" s="46">
        <f t="shared" si="151"/>
        <v>11.452084507042255</v>
      </c>
      <c r="AA509" s="46">
        <f t="shared" si="152"/>
        <v>52.748995305164314</v>
      </c>
      <c r="AB509" s="43"/>
      <c r="AC509" s="44">
        <v>739.18</v>
      </c>
      <c r="AD509" s="31">
        <v>0.18</v>
      </c>
      <c r="AE509" s="31">
        <v>6.5000000000000002E-2</v>
      </c>
      <c r="AF509" s="31">
        <v>0</v>
      </c>
      <c r="AG509" s="28" t="s">
        <v>53</v>
      </c>
      <c r="AH509" s="46">
        <f t="shared" si="153"/>
        <v>787.22669999999994</v>
      </c>
      <c r="AI509" s="43"/>
      <c r="AJ509" s="28" t="s">
        <v>264</v>
      </c>
      <c r="AK509" s="337"/>
      <c r="AL509" s="43"/>
      <c r="AM509" s="44">
        <f t="shared" si="154"/>
        <v>0</v>
      </c>
      <c r="AN509" s="43"/>
      <c r="AO509" s="28">
        <f t="shared" si="155"/>
        <v>0</v>
      </c>
      <c r="AP509" s="43"/>
      <c r="AQ509" s="323">
        <f t="shared" si="156"/>
        <v>0</v>
      </c>
      <c r="AR509" s="43"/>
      <c r="AS509" s="44">
        <f t="shared" si="157"/>
        <v>787.22669999999994</v>
      </c>
    </row>
    <row r="510" spans="1:45" x14ac:dyDescent="0.25">
      <c r="A510" s="28"/>
      <c r="B510" s="43"/>
      <c r="C510" s="43"/>
      <c r="D510" s="43"/>
      <c r="E510" s="43" t="s">
        <v>2096</v>
      </c>
      <c r="F510" s="43" t="s">
        <v>2097</v>
      </c>
      <c r="G510" s="46">
        <f t="shared" si="144"/>
        <v>606.12760000000003</v>
      </c>
      <c r="H510" s="46">
        <f t="shared" si="145"/>
        <v>537.75345000000004</v>
      </c>
      <c r="I510" s="28" t="s">
        <v>262</v>
      </c>
      <c r="J510" s="337">
        <v>0.35</v>
      </c>
      <c r="K510" s="46">
        <f t="shared" si="146"/>
        <v>212.14465999999999</v>
      </c>
      <c r="L510" s="46">
        <f t="shared" si="147"/>
        <v>188.2137075</v>
      </c>
      <c r="M510" s="338">
        <f t="shared" si="148"/>
        <v>0</v>
      </c>
      <c r="N510" s="43" t="s">
        <v>162</v>
      </c>
      <c r="O510" s="339">
        <v>85362000</v>
      </c>
      <c r="P510" s="340">
        <f>IFERROR(VLOOKUP(O510,NCM!$A$3:$D$99,COLUMN(head_porNCM_IPI)-COLUMN(head_porNCM_NCM)+1,FALSE),"")</f>
        <v>0.1</v>
      </c>
      <c r="Q510" s="43" t="s">
        <v>806</v>
      </c>
      <c r="R510" s="78" t="s">
        <v>210</v>
      </c>
      <c r="S510" s="341"/>
      <c r="T510" s="28" t="s">
        <v>52</v>
      </c>
      <c r="U510" s="28" t="s">
        <v>3113</v>
      </c>
      <c r="V510" s="548">
        <v>45469</v>
      </c>
      <c r="W510" s="43"/>
      <c r="X510" s="342">
        <f t="shared" si="149"/>
        <v>124.93183098591548</v>
      </c>
      <c r="Y510" s="342">
        <f t="shared" si="150"/>
        <v>45.114272300469452</v>
      </c>
      <c r="Z510" s="46">
        <f t="shared" si="151"/>
        <v>11.452084507042255</v>
      </c>
      <c r="AA510" s="46">
        <f t="shared" si="152"/>
        <v>52.748995305164314</v>
      </c>
      <c r="AB510" s="43"/>
      <c r="AC510" s="44">
        <v>739.18</v>
      </c>
      <c r="AD510" s="31">
        <v>0.18</v>
      </c>
      <c r="AE510" s="31">
        <v>6.5000000000000002E-2</v>
      </c>
      <c r="AF510" s="31">
        <v>0</v>
      </c>
      <c r="AG510" s="28" t="s">
        <v>53</v>
      </c>
      <c r="AH510" s="46">
        <f t="shared" si="153"/>
        <v>787.22669999999994</v>
      </c>
      <c r="AI510" s="43"/>
      <c r="AJ510" s="28" t="s">
        <v>264</v>
      </c>
      <c r="AK510" s="337"/>
      <c r="AL510" s="43"/>
      <c r="AM510" s="44">
        <f t="shared" si="154"/>
        <v>0</v>
      </c>
      <c r="AN510" s="43"/>
      <c r="AO510" s="28">
        <f t="shared" si="155"/>
        <v>0</v>
      </c>
      <c r="AP510" s="43"/>
      <c r="AQ510" s="323">
        <f t="shared" si="156"/>
        <v>0</v>
      </c>
      <c r="AR510" s="43"/>
      <c r="AS510" s="44">
        <f t="shared" si="157"/>
        <v>787.22669999999994</v>
      </c>
    </row>
    <row r="511" spans="1:45" x14ac:dyDescent="0.25">
      <c r="A511" s="28"/>
      <c r="B511" s="43"/>
      <c r="C511" s="43"/>
      <c r="D511" s="43"/>
      <c r="E511" s="43" t="s">
        <v>2098</v>
      </c>
      <c r="F511" s="43" t="s">
        <v>2099</v>
      </c>
      <c r="G511" s="46">
        <f t="shared" si="144"/>
        <v>606.12760000000003</v>
      </c>
      <c r="H511" s="46">
        <f t="shared" si="145"/>
        <v>537.75345000000004</v>
      </c>
      <c r="I511" s="28" t="s">
        <v>262</v>
      </c>
      <c r="J511" s="337">
        <v>0.35</v>
      </c>
      <c r="K511" s="46">
        <f t="shared" si="146"/>
        <v>212.14465999999999</v>
      </c>
      <c r="L511" s="46">
        <f t="shared" si="147"/>
        <v>188.2137075</v>
      </c>
      <c r="M511" s="338">
        <f t="shared" si="148"/>
        <v>0</v>
      </c>
      <c r="N511" s="43" t="s">
        <v>162</v>
      </c>
      <c r="O511" s="339">
        <v>85362000</v>
      </c>
      <c r="P511" s="340">
        <f>IFERROR(VLOOKUP(O511,NCM!$A$3:$D$99,COLUMN(head_porNCM_IPI)-COLUMN(head_porNCM_NCM)+1,FALSE),"")</f>
        <v>0.1</v>
      </c>
      <c r="Q511" s="43" t="s">
        <v>806</v>
      </c>
      <c r="R511" s="78" t="s">
        <v>210</v>
      </c>
      <c r="S511" s="341"/>
      <c r="T511" s="28" t="s">
        <v>52</v>
      </c>
      <c r="U511" s="28" t="s">
        <v>3113</v>
      </c>
      <c r="V511" s="548">
        <v>45469</v>
      </c>
      <c r="W511" s="43"/>
      <c r="X511" s="342">
        <f t="shared" si="149"/>
        <v>124.93183098591548</v>
      </c>
      <c r="Y511" s="342">
        <f t="shared" si="150"/>
        <v>45.114272300469452</v>
      </c>
      <c r="Z511" s="46">
        <f t="shared" si="151"/>
        <v>11.452084507042255</v>
      </c>
      <c r="AA511" s="46">
        <f t="shared" si="152"/>
        <v>52.748995305164314</v>
      </c>
      <c r="AB511" s="43"/>
      <c r="AC511" s="44">
        <v>739.18</v>
      </c>
      <c r="AD511" s="31">
        <v>0.18</v>
      </c>
      <c r="AE511" s="31">
        <v>6.5000000000000002E-2</v>
      </c>
      <c r="AF511" s="31">
        <v>0</v>
      </c>
      <c r="AG511" s="28" t="s">
        <v>53</v>
      </c>
      <c r="AH511" s="46">
        <f t="shared" si="153"/>
        <v>787.22669999999994</v>
      </c>
      <c r="AI511" s="43"/>
      <c r="AJ511" s="28" t="s">
        <v>264</v>
      </c>
      <c r="AK511" s="337"/>
      <c r="AL511" s="43"/>
      <c r="AM511" s="44">
        <f t="shared" si="154"/>
        <v>0</v>
      </c>
      <c r="AN511" s="43"/>
      <c r="AO511" s="28">
        <f t="shared" si="155"/>
        <v>0</v>
      </c>
      <c r="AP511" s="43"/>
      <c r="AQ511" s="323">
        <f t="shared" si="156"/>
        <v>0</v>
      </c>
      <c r="AR511" s="43"/>
      <c r="AS511" s="44">
        <f t="shared" si="157"/>
        <v>787.22669999999994</v>
      </c>
    </row>
    <row r="512" spans="1:45" x14ac:dyDescent="0.25">
      <c r="A512" s="28"/>
      <c r="B512" s="43"/>
      <c r="C512" s="43"/>
      <c r="D512" s="43"/>
      <c r="E512" s="43" t="s">
        <v>2100</v>
      </c>
      <c r="F512" s="43" t="s">
        <v>2101</v>
      </c>
      <c r="G512" s="46">
        <f t="shared" si="144"/>
        <v>396.94560000000001</v>
      </c>
      <c r="H512" s="46">
        <f t="shared" si="145"/>
        <v>352.16820000000007</v>
      </c>
      <c r="I512" s="28" t="s">
        <v>262</v>
      </c>
      <c r="J512" s="337">
        <v>0.35</v>
      </c>
      <c r="K512" s="46">
        <f t="shared" si="146"/>
        <v>138.93096</v>
      </c>
      <c r="L512" s="46">
        <f t="shared" si="147"/>
        <v>123.25887000000002</v>
      </c>
      <c r="M512" s="338">
        <f t="shared" si="148"/>
        <v>0</v>
      </c>
      <c r="N512" s="43" t="s">
        <v>162</v>
      </c>
      <c r="O512" s="339">
        <v>85362000</v>
      </c>
      <c r="P512" s="340">
        <f>IFERROR(VLOOKUP(O512,NCM!$A$3:$D$99,COLUMN(head_porNCM_IPI)-COLUMN(head_porNCM_NCM)+1,FALSE),"")</f>
        <v>0.1</v>
      </c>
      <c r="Q512" s="43" t="s">
        <v>806</v>
      </c>
      <c r="R512" s="78" t="s">
        <v>210</v>
      </c>
      <c r="S512" s="341"/>
      <c r="T512" s="28" t="s">
        <v>52</v>
      </c>
      <c r="U512" s="28" t="s">
        <v>3113</v>
      </c>
      <c r="V512" s="548">
        <v>45469</v>
      </c>
      <c r="W512" s="43"/>
      <c r="X512" s="342">
        <f t="shared" si="149"/>
        <v>81.816338028169014</v>
      </c>
      <c r="Y512" s="342">
        <f t="shared" si="150"/>
        <v>29.544788732394352</v>
      </c>
      <c r="Z512" s="46">
        <f t="shared" si="151"/>
        <v>7.4998309859154935</v>
      </c>
      <c r="AA512" s="46">
        <f t="shared" si="152"/>
        <v>34.544676056338027</v>
      </c>
      <c r="AB512" s="43"/>
      <c r="AC512" s="44">
        <v>484.08</v>
      </c>
      <c r="AD512" s="31">
        <v>0.18</v>
      </c>
      <c r="AE512" s="31">
        <v>6.5000000000000002E-2</v>
      </c>
      <c r="AF512" s="31">
        <v>0</v>
      </c>
      <c r="AG512" s="28" t="s">
        <v>53</v>
      </c>
      <c r="AH512" s="46">
        <f t="shared" si="153"/>
        <v>515.54519999999991</v>
      </c>
      <c r="AI512" s="43"/>
      <c r="AJ512" s="28" t="s">
        <v>264</v>
      </c>
      <c r="AK512" s="337"/>
      <c r="AL512" s="43"/>
      <c r="AM512" s="44">
        <f t="shared" si="154"/>
        <v>0</v>
      </c>
      <c r="AN512" s="43"/>
      <c r="AO512" s="28">
        <f t="shared" si="155"/>
        <v>0</v>
      </c>
      <c r="AP512" s="43"/>
      <c r="AQ512" s="323">
        <f t="shared" si="156"/>
        <v>0</v>
      </c>
      <c r="AR512" s="43"/>
      <c r="AS512" s="44">
        <f t="shared" si="157"/>
        <v>515.54519999999991</v>
      </c>
    </row>
    <row r="513" spans="1:45" x14ac:dyDescent="0.25">
      <c r="A513" s="28"/>
      <c r="B513" s="43"/>
      <c r="C513" s="43"/>
      <c r="D513" s="43"/>
      <c r="E513" s="43" t="s">
        <v>2102</v>
      </c>
      <c r="F513" s="43" t="s">
        <v>2103</v>
      </c>
      <c r="G513" s="46">
        <f t="shared" si="144"/>
        <v>408.39280000000002</v>
      </c>
      <c r="H513" s="46">
        <f t="shared" si="145"/>
        <v>362.3241000000001</v>
      </c>
      <c r="I513" s="28" t="s">
        <v>262</v>
      </c>
      <c r="J513" s="337">
        <v>0.35</v>
      </c>
      <c r="K513" s="46">
        <f t="shared" si="146"/>
        <v>142.93747999999999</v>
      </c>
      <c r="L513" s="46">
        <f t="shared" si="147"/>
        <v>126.81343500000003</v>
      </c>
      <c r="M513" s="338">
        <f t="shared" si="148"/>
        <v>0</v>
      </c>
      <c r="N513" s="43" t="s">
        <v>162</v>
      </c>
      <c r="O513" s="339">
        <v>85362000</v>
      </c>
      <c r="P513" s="340">
        <f>IFERROR(VLOOKUP(O513,NCM!$A$3:$D$99,COLUMN(head_porNCM_IPI)-COLUMN(head_porNCM_NCM)+1,FALSE),"")</f>
        <v>0.1</v>
      </c>
      <c r="Q513" s="43" t="s">
        <v>806</v>
      </c>
      <c r="R513" s="78" t="s">
        <v>210</v>
      </c>
      <c r="S513" s="341"/>
      <c r="T513" s="28" t="s">
        <v>52</v>
      </c>
      <c r="U513" s="28" t="s">
        <v>3113</v>
      </c>
      <c r="V513" s="548">
        <v>45469</v>
      </c>
      <c r="W513" s="43"/>
      <c r="X513" s="342">
        <f t="shared" si="149"/>
        <v>84.175774647887337</v>
      </c>
      <c r="Y513" s="342">
        <f t="shared" si="150"/>
        <v>30.396807511737052</v>
      </c>
      <c r="Z513" s="46">
        <f t="shared" si="151"/>
        <v>7.7161126760563397</v>
      </c>
      <c r="AA513" s="46">
        <f t="shared" si="152"/>
        <v>35.540882629107983</v>
      </c>
      <c r="AB513" s="43"/>
      <c r="AC513" s="44">
        <v>498.04</v>
      </c>
      <c r="AD513" s="31">
        <v>0.18</v>
      </c>
      <c r="AE513" s="31">
        <v>6.5000000000000002E-2</v>
      </c>
      <c r="AF513" s="31">
        <v>0</v>
      </c>
      <c r="AG513" s="28" t="s">
        <v>53</v>
      </c>
      <c r="AH513" s="46">
        <f t="shared" si="153"/>
        <v>530.4126</v>
      </c>
      <c r="AI513" s="43"/>
      <c r="AJ513" s="28" t="s">
        <v>264</v>
      </c>
      <c r="AK513" s="337"/>
      <c r="AL513" s="43"/>
      <c r="AM513" s="44">
        <f t="shared" si="154"/>
        <v>0</v>
      </c>
      <c r="AN513" s="43"/>
      <c r="AO513" s="28">
        <f t="shared" si="155"/>
        <v>0</v>
      </c>
      <c r="AP513" s="43"/>
      <c r="AQ513" s="323">
        <f t="shared" si="156"/>
        <v>0</v>
      </c>
      <c r="AR513" s="43"/>
      <c r="AS513" s="44">
        <f t="shared" si="157"/>
        <v>530.4126</v>
      </c>
    </row>
    <row r="514" spans="1:45" x14ac:dyDescent="0.25">
      <c r="A514" s="28"/>
      <c r="B514" s="43"/>
      <c r="C514" s="43"/>
      <c r="D514" s="43" t="s">
        <v>1336</v>
      </c>
      <c r="E514" s="43"/>
      <c r="F514" s="43"/>
      <c r="G514" s="46">
        <f t="shared" si="144"/>
        <v>0</v>
      </c>
      <c r="H514" s="46">
        <f t="shared" si="145"/>
        <v>0</v>
      </c>
      <c r="I514" s="28"/>
      <c r="J514" s="337"/>
      <c r="K514" s="46" t="str">
        <f t="shared" si="146"/>
        <v/>
      </c>
      <c r="L514" s="46" t="str">
        <f t="shared" si="147"/>
        <v/>
      </c>
      <c r="M514" s="338">
        <f t="shared" si="148"/>
        <v>0</v>
      </c>
      <c r="N514" s="43"/>
      <c r="O514" s="339"/>
      <c r="P514" s="340" t="str">
        <f>IFERROR(VLOOKUP(O514,NCM!$A$3:$D$99,COLUMN(head_porNCM_IPI)-COLUMN(head_porNCM_NCM)+1,FALSE),"")</f>
        <v/>
      </c>
      <c r="Q514" s="43"/>
      <c r="R514" s="78"/>
      <c r="S514" s="341"/>
      <c r="T514" s="28"/>
      <c r="U514" s="28"/>
      <c r="V514" s="28"/>
      <c r="W514" s="43"/>
      <c r="X514" s="342">
        <f t="shared" si="149"/>
        <v>0</v>
      </c>
      <c r="Y514" s="342">
        <f t="shared" si="150"/>
        <v>0</v>
      </c>
      <c r="Z514" s="46">
        <f t="shared" si="151"/>
        <v>0</v>
      </c>
      <c r="AA514" s="46">
        <f t="shared" si="152"/>
        <v>0</v>
      </c>
      <c r="AB514" s="43"/>
      <c r="AC514" s="44">
        <v>0</v>
      </c>
      <c r="AD514" s="31"/>
      <c r="AE514" s="31"/>
      <c r="AF514" s="31"/>
      <c r="AG514" s="28"/>
      <c r="AH514" s="46">
        <f t="shared" si="153"/>
        <v>0</v>
      </c>
      <c r="AI514" s="43"/>
      <c r="AJ514" s="28"/>
      <c r="AK514" s="337"/>
      <c r="AL514" s="43"/>
      <c r="AM514" s="44">
        <f t="shared" si="154"/>
        <v>0</v>
      </c>
      <c r="AN514" s="43"/>
      <c r="AO514" s="28">
        <f t="shared" si="155"/>
        <v>0</v>
      </c>
      <c r="AP514" s="43"/>
      <c r="AQ514" s="323">
        <f t="shared" si="156"/>
        <v>0</v>
      </c>
      <c r="AR514" s="43"/>
      <c r="AS514" s="44">
        <f t="shared" si="157"/>
        <v>0</v>
      </c>
    </row>
    <row r="515" spans="1:45" x14ac:dyDescent="0.25">
      <c r="A515" s="28"/>
      <c r="B515" s="43"/>
      <c r="C515" s="43"/>
      <c r="D515" s="43"/>
      <c r="E515" s="43" t="s">
        <v>2104</v>
      </c>
      <c r="F515" s="43" t="s">
        <v>2105</v>
      </c>
      <c r="G515" s="46">
        <f t="shared" si="144"/>
        <v>872.84080000000006</v>
      </c>
      <c r="H515" s="46">
        <f t="shared" si="145"/>
        <v>774.3801000000002</v>
      </c>
      <c r="I515" s="28" t="s">
        <v>262</v>
      </c>
      <c r="J515" s="337">
        <v>0.35</v>
      </c>
      <c r="K515" s="46">
        <f t="shared" si="146"/>
        <v>305.49428</v>
      </c>
      <c r="L515" s="46">
        <f t="shared" si="147"/>
        <v>271.03303500000004</v>
      </c>
      <c r="M515" s="338">
        <f t="shared" si="148"/>
        <v>0</v>
      </c>
      <c r="N515" s="43" t="s">
        <v>162</v>
      </c>
      <c r="O515" s="339">
        <v>85362000</v>
      </c>
      <c r="P515" s="340">
        <f>IFERROR(VLOOKUP(O515,NCM!$A$3:$D$99,COLUMN(head_porNCM_IPI)-COLUMN(head_porNCM_NCM)+1,FALSE),"")</f>
        <v>0.1</v>
      </c>
      <c r="Q515" s="43" t="s">
        <v>806</v>
      </c>
      <c r="R515" s="78" t="s">
        <v>210</v>
      </c>
      <c r="S515" s="341"/>
      <c r="T515" s="28" t="s">
        <v>52</v>
      </c>
      <c r="U515" s="28" t="s">
        <v>3113</v>
      </c>
      <c r="V515" s="548">
        <v>45469</v>
      </c>
      <c r="W515" s="43"/>
      <c r="X515" s="342">
        <f t="shared" si="149"/>
        <v>179.90535211267607</v>
      </c>
      <c r="Y515" s="342">
        <f t="shared" si="150"/>
        <v>64.965821596244041</v>
      </c>
      <c r="Z515" s="46">
        <f t="shared" si="151"/>
        <v>16.491323943661975</v>
      </c>
      <c r="AA515" s="46">
        <f t="shared" si="152"/>
        <v>75.960037558685457</v>
      </c>
      <c r="AB515" s="43"/>
      <c r="AC515" s="44">
        <v>1064.44</v>
      </c>
      <c r="AD515" s="31">
        <v>0.18</v>
      </c>
      <c r="AE515" s="31">
        <v>6.5000000000000002E-2</v>
      </c>
      <c r="AF515" s="31">
        <v>0</v>
      </c>
      <c r="AG515" s="28" t="s">
        <v>53</v>
      </c>
      <c r="AH515" s="46">
        <f t="shared" si="153"/>
        <v>1133.6286</v>
      </c>
      <c r="AI515" s="43"/>
      <c r="AJ515" s="28" t="s">
        <v>264</v>
      </c>
      <c r="AK515" s="337"/>
      <c r="AL515" s="43"/>
      <c r="AM515" s="44">
        <f t="shared" si="154"/>
        <v>0</v>
      </c>
      <c r="AN515" s="43"/>
      <c r="AO515" s="28">
        <f t="shared" si="155"/>
        <v>0</v>
      </c>
      <c r="AP515" s="43"/>
      <c r="AQ515" s="323">
        <f t="shared" si="156"/>
        <v>0</v>
      </c>
      <c r="AR515" s="43"/>
      <c r="AS515" s="44">
        <f t="shared" si="157"/>
        <v>1133.6286</v>
      </c>
    </row>
    <row r="516" spans="1:45" x14ac:dyDescent="0.25">
      <c r="A516" s="28"/>
      <c r="B516" s="43"/>
      <c r="C516" s="43"/>
      <c r="D516" s="43"/>
      <c r="E516" s="43" t="s">
        <v>2106</v>
      </c>
      <c r="F516" s="43" t="s">
        <v>2107</v>
      </c>
      <c r="G516" s="46">
        <f t="shared" si="144"/>
        <v>872.84080000000006</v>
      </c>
      <c r="H516" s="46">
        <f t="shared" si="145"/>
        <v>774.3801000000002</v>
      </c>
      <c r="I516" s="28" t="s">
        <v>262</v>
      </c>
      <c r="J516" s="337">
        <v>0.35</v>
      </c>
      <c r="K516" s="46">
        <f t="shared" si="146"/>
        <v>305.49428</v>
      </c>
      <c r="L516" s="46">
        <f t="shared" si="147"/>
        <v>271.03303500000004</v>
      </c>
      <c r="M516" s="338">
        <f t="shared" si="148"/>
        <v>0</v>
      </c>
      <c r="N516" s="43" t="s">
        <v>162</v>
      </c>
      <c r="O516" s="339">
        <v>85362000</v>
      </c>
      <c r="P516" s="340">
        <f>IFERROR(VLOOKUP(O516,NCM!$A$3:$D$99,COLUMN(head_porNCM_IPI)-COLUMN(head_porNCM_NCM)+1,FALSE),"")</f>
        <v>0.1</v>
      </c>
      <c r="Q516" s="43" t="s">
        <v>806</v>
      </c>
      <c r="R516" s="78" t="s">
        <v>210</v>
      </c>
      <c r="S516" s="341"/>
      <c r="T516" s="28" t="s">
        <v>52</v>
      </c>
      <c r="U516" s="28" t="s">
        <v>3113</v>
      </c>
      <c r="V516" s="548">
        <v>45469</v>
      </c>
      <c r="W516" s="43"/>
      <c r="X516" s="342">
        <f t="shared" si="149"/>
        <v>179.90535211267607</v>
      </c>
      <c r="Y516" s="342">
        <f t="shared" si="150"/>
        <v>64.965821596244041</v>
      </c>
      <c r="Z516" s="46">
        <f t="shared" si="151"/>
        <v>16.491323943661975</v>
      </c>
      <c r="AA516" s="46">
        <f t="shared" si="152"/>
        <v>75.960037558685457</v>
      </c>
      <c r="AB516" s="43"/>
      <c r="AC516" s="44">
        <v>1064.44</v>
      </c>
      <c r="AD516" s="31">
        <v>0.18</v>
      </c>
      <c r="AE516" s="31">
        <v>6.5000000000000002E-2</v>
      </c>
      <c r="AF516" s="31">
        <v>0</v>
      </c>
      <c r="AG516" s="28" t="s">
        <v>53</v>
      </c>
      <c r="AH516" s="46">
        <f t="shared" si="153"/>
        <v>1133.6286</v>
      </c>
      <c r="AI516" s="43"/>
      <c r="AJ516" s="28" t="s">
        <v>264</v>
      </c>
      <c r="AK516" s="337"/>
      <c r="AL516" s="43"/>
      <c r="AM516" s="44">
        <f t="shared" si="154"/>
        <v>0</v>
      </c>
      <c r="AN516" s="43"/>
      <c r="AO516" s="28">
        <f t="shared" si="155"/>
        <v>0</v>
      </c>
      <c r="AP516" s="43"/>
      <c r="AQ516" s="323">
        <f t="shared" si="156"/>
        <v>0</v>
      </c>
      <c r="AR516" s="43"/>
      <c r="AS516" s="44">
        <f t="shared" si="157"/>
        <v>1133.6286</v>
      </c>
    </row>
    <row r="517" spans="1:45" x14ac:dyDescent="0.25">
      <c r="A517" s="28"/>
      <c r="B517" s="43"/>
      <c r="C517" s="43"/>
      <c r="D517" s="43"/>
      <c r="E517" s="43" t="s">
        <v>2108</v>
      </c>
      <c r="F517" s="43" t="s">
        <v>2109</v>
      </c>
      <c r="G517" s="46">
        <f t="shared" si="144"/>
        <v>872.84080000000006</v>
      </c>
      <c r="H517" s="46">
        <f t="shared" si="145"/>
        <v>774.3801000000002</v>
      </c>
      <c r="I517" s="28" t="s">
        <v>262</v>
      </c>
      <c r="J517" s="337">
        <v>0.35</v>
      </c>
      <c r="K517" s="46">
        <f t="shared" si="146"/>
        <v>305.49428</v>
      </c>
      <c r="L517" s="46">
        <f t="shared" si="147"/>
        <v>271.03303500000004</v>
      </c>
      <c r="M517" s="338">
        <f t="shared" si="148"/>
        <v>0</v>
      </c>
      <c r="N517" s="43" t="s">
        <v>162</v>
      </c>
      <c r="O517" s="339">
        <v>85362000</v>
      </c>
      <c r="P517" s="340">
        <f>IFERROR(VLOOKUP(O517,NCM!$A$3:$D$99,COLUMN(head_porNCM_IPI)-COLUMN(head_porNCM_NCM)+1,FALSE),"")</f>
        <v>0.1</v>
      </c>
      <c r="Q517" s="43" t="s">
        <v>806</v>
      </c>
      <c r="R517" s="78" t="s">
        <v>210</v>
      </c>
      <c r="S517" s="341"/>
      <c r="T517" s="28" t="s">
        <v>52</v>
      </c>
      <c r="U517" s="28" t="s">
        <v>3113</v>
      </c>
      <c r="V517" s="548">
        <v>45469</v>
      </c>
      <c r="W517" s="43"/>
      <c r="X517" s="342">
        <f t="shared" si="149"/>
        <v>179.90535211267607</v>
      </c>
      <c r="Y517" s="342">
        <f t="shared" si="150"/>
        <v>64.965821596244041</v>
      </c>
      <c r="Z517" s="46">
        <f t="shared" si="151"/>
        <v>16.491323943661975</v>
      </c>
      <c r="AA517" s="46">
        <f t="shared" si="152"/>
        <v>75.960037558685457</v>
      </c>
      <c r="AB517" s="43"/>
      <c r="AC517" s="44">
        <v>1064.44</v>
      </c>
      <c r="AD517" s="31">
        <v>0.18</v>
      </c>
      <c r="AE517" s="31">
        <v>6.5000000000000002E-2</v>
      </c>
      <c r="AF517" s="31">
        <v>0</v>
      </c>
      <c r="AG517" s="28" t="s">
        <v>53</v>
      </c>
      <c r="AH517" s="46">
        <f t="shared" si="153"/>
        <v>1133.6286</v>
      </c>
      <c r="AI517" s="43"/>
      <c r="AJ517" s="28" t="s">
        <v>264</v>
      </c>
      <c r="AK517" s="337"/>
      <c r="AL517" s="43"/>
      <c r="AM517" s="44">
        <f t="shared" si="154"/>
        <v>0</v>
      </c>
      <c r="AN517" s="43"/>
      <c r="AO517" s="28">
        <f t="shared" si="155"/>
        <v>0</v>
      </c>
      <c r="AP517" s="43"/>
      <c r="AQ517" s="323">
        <f t="shared" si="156"/>
        <v>0</v>
      </c>
      <c r="AR517" s="43"/>
      <c r="AS517" s="44">
        <f t="shared" si="157"/>
        <v>1133.6286</v>
      </c>
    </row>
    <row r="518" spans="1:45" x14ac:dyDescent="0.25">
      <c r="A518" s="28"/>
      <c r="B518" s="43"/>
      <c r="C518" s="43"/>
      <c r="D518" s="43"/>
      <c r="E518" s="43" t="s">
        <v>2110</v>
      </c>
      <c r="F518" s="43" t="s">
        <v>2111</v>
      </c>
      <c r="G518" s="46">
        <f t="shared" si="144"/>
        <v>498.71580000000006</v>
      </c>
      <c r="H518" s="46">
        <f t="shared" si="145"/>
        <v>442.45822500000014</v>
      </c>
      <c r="I518" s="28" t="s">
        <v>262</v>
      </c>
      <c r="J518" s="337">
        <v>0.35</v>
      </c>
      <c r="K518" s="46">
        <f t="shared" si="146"/>
        <v>174.55053000000001</v>
      </c>
      <c r="L518" s="46">
        <f t="shared" si="147"/>
        <v>154.86037875000005</v>
      </c>
      <c r="M518" s="338">
        <f t="shared" si="148"/>
        <v>0</v>
      </c>
      <c r="N518" s="43" t="s">
        <v>162</v>
      </c>
      <c r="O518" s="339">
        <v>85362000</v>
      </c>
      <c r="P518" s="340">
        <f>IFERROR(VLOOKUP(O518,NCM!$A$3:$D$99,COLUMN(head_porNCM_IPI)-COLUMN(head_porNCM_NCM)+1,FALSE),"")</f>
        <v>0.1</v>
      </c>
      <c r="Q518" s="43" t="s">
        <v>806</v>
      </c>
      <c r="R518" s="78" t="s">
        <v>210</v>
      </c>
      <c r="S518" s="341"/>
      <c r="T518" s="28" t="s">
        <v>52</v>
      </c>
      <c r="U518" s="28" t="s">
        <v>3113</v>
      </c>
      <c r="V518" s="548">
        <v>45469</v>
      </c>
      <c r="W518" s="43"/>
      <c r="X518" s="342">
        <f t="shared" si="149"/>
        <v>102.79267605633804</v>
      </c>
      <c r="Y518" s="342">
        <f t="shared" si="150"/>
        <v>37.119577464788676</v>
      </c>
      <c r="Z518" s="46">
        <f t="shared" si="151"/>
        <v>9.4226619718309887</v>
      </c>
      <c r="AA518" s="46">
        <f t="shared" si="152"/>
        <v>43.401352112676065</v>
      </c>
      <c r="AB518" s="43"/>
      <c r="AC518" s="44">
        <v>608.19000000000005</v>
      </c>
      <c r="AD518" s="31">
        <v>0.18</v>
      </c>
      <c r="AE518" s="31">
        <v>6.5000000000000002E-2</v>
      </c>
      <c r="AF518" s="31">
        <v>0</v>
      </c>
      <c r="AG518" s="28" t="s">
        <v>53</v>
      </c>
      <c r="AH518" s="46">
        <f t="shared" si="153"/>
        <v>647.72235000000001</v>
      </c>
      <c r="AI518" s="43"/>
      <c r="AJ518" s="28" t="s">
        <v>264</v>
      </c>
      <c r="AK518" s="337"/>
      <c r="AL518" s="43"/>
      <c r="AM518" s="44">
        <f t="shared" si="154"/>
        <v>0</v>
      </c>
      <c r="AN518" s="43"/>
      <c r="AO518" s="28">
        <f t="shared" si="155"/>
        <v>0</v>
      </c>
      <c r="AP518" s="43"/>
      <c r="AQ518" s="323">
        <f t="shared" si="156"/>
        <v>0</v>
      </c>
      <c r="AR518" s="43"/>
      <c r="AS518" s="44">
        <f t="shared" si="157"/>
        <v>647.72235000000001</v>
      </c>
    </row>
    <row r="519" spans="1:45" x14ac:dyDescent="0.25">
      <c r="A519" s="28"/>
      <c r="B519" s="43"/>
      <c r="C519" s="43"/>
      <c r="D519" s="43"/>
      <c r="E519" s="43" t="s">
        <v>2112</v>
      </c>
      <c r="F519" s="43" t="s">
        <v>2113</v>
      </c>
      <c r="G519" s="46">
        <f t="shared" si="144"/>
        <v>498.71580000000006</v>
      </c>
      <c r="H519" s="46">
        <f t="shared" si="145"/>
        <v>442.45822500000014</v>
      </c>
      <c r="I519" s="28" t="s">
        <v>262</v>
      </c>
      <c r="J519" s="337">
        <v>0.35</v>
      </c>
      <c r="K519" s="46">
        <f t="shared" si="146"/>
        <v>174.55053000000001</v>
      </c>
      <c r="L519" s="46">
        <f t="shared" si="147"/>
        <v>154.86037875000005</v>
      </c>
      <c r="M519" s="338">
        <f t="shared" si="148"/>
        <v>0</v>
      </c>
      <c r="N519" s="43" t="s">
        <v>162</v>
      </c>
      <c r="O519" s="339">
        <v>85362000</v>
      </c>
      <c r="P519" s="340">
        <f>IFERROR(VLOOKUP(O519,NCM!$A$3:$D$99,COLUMN(head_porNCM_IPI)-COLUMN(head_porNCM_NCM)+1,FALSE),"")</f>
        <v>0.1</v>
      </c>
      <c r="Q519" s="43" t="s">
        <v>806</v>
      </c>
      <c r="R519" s="78" t="s">
        <v>210</v>
      </c>
      <c r="S519" s="341"/>
      <c r="T519" s="28" t="s">
        <v>52</v>
      </c>
      <c r="U519" s="28" t="s">
        <v>3113</v>
      </c>
      <c r="V519" s="548">
        <v>45469</v>
      </c>
      <c r="W519" s="43"/>
      <c r="X519" s="342">
        <f t="shared" si="149"/>
        <v>102.79267605633804</v>
      </c>
      <c r="Y519" s="342">
        <f t="shared" si="150"/>
        <v>37.119577464788676</v>
      </c>
      <c r="Z519" s="46">
        <f t="shared" si="151"/>
        <v>9.4226619718309887</v>
      </c>
      <c r="AA519" s="46">
        <f t="shared" si="152"/>
        <v>43.401352112676065</v>
      </c>
      <c r="AB519" s="43"/>
      <c r="AC519" s="44">
        <v>608.19000000000005</v>
      </c>
      <c r="AD519" s="31">
        <v>0.18</v>
      </c>
      <c r="AE519" s="31">
        <v>6.5000000000000002E-2</v>
      </c>
      <c r="AF519" s="31">
        <v>0</v>
      </c>
      <c r="AG519" s="28" t="s">
        <v>53</v>
      </c>
      <c r="AH519" s="46">
        <f t="shared" si="153"/>
        <v>647.72235000000001</v>
      </c>
      <c r="AI519" s="43"/>
      <c r="AJ519" s="28" t="s">
        <v>264</v>
      </c>
      <c r="AK519" s="337"/>
      <c r="AL519" s="43"/>
      <c r="AM519" s="44">
        <f t="shared" si="154"/>
        <v>0</v>
      </c>
      <c r="AN519" s="43"/>
      <c r="AO519" s="28">
        <f t="shared" si="155"/>
        <v>0</v>
      </c>
      <c r="AP519" s="43"/>
      <c r="AQ519" s="323">
        <f t="shared" si="156"/>
        <v>0</v>
      </c>
      <c r="AR519" s="43"/>
      <c r="AS519" s="44">
        <f t="shared" si="157"/>
        <v>647.72235000000001</v>
      </c>
    </row>
    <row r="520" spans="1:45" x14ac:dyDescent="0.25">
      <c r="A520" s="28"/>
      <c r="B520" s="43"/>
      <c r="C520" s="43"/>
      <c r="D520" s="43"/>
      <c r="E520" s="43" t="s">
        <v>2114</v>
      </c>
      <c r="F520" s="43" t="s">
        <v>2115</v>
      </c>
      <c r="G520" s="46">
        <f t="shared" si="144"/>
        <v>498.71580000000006</v>
      </c>
      <c r="H520" s="46">
        <f t="shared" si="145"/>
        <v>442.45822500000014</v>
      </c>
      <c r="I520" s="28" t="s">
        <v>262</v>
      </c>
      <c r="J520" s="337">
        <v>0.35</v>
      </c>
      <c r="K520" s="46">
        <f t="shared" si="146"/>
        <v>174.55053000000001</v>
      </c>
      <c r="L520" s="46">
        <f t="shared" si="147"/>
        <v>154.86037875000005</v>
      </c>
      <c r="M520" s="338">
        <f t="shared" si="148"/>
        <v>0</v>
      </c>
      <c r="N520" s="43" t="s">
        <v>162</v>
      </c>
      <c r="O520" s="339">
        <v>85362000</v>
      </c>
      <c r="P520" s="340">
        <f>IFERROR(VLOOKUP(O520,NCM!$A$3:$D$99,COLUMN(head_porNCM_IPI)-COLUMN(head_porNCM_NCM)+1,FALSE),"")</f>
        <v>0.1</v>
      </c>
      <c r="Q520" s="43" t="s">
        <v>806</v>
      </c>
      <c r="R520" s="78" t="s">
        <v>210</v>
      </c>
      <c r="S520" s="341"/>
      <c r="T520" s="28" t="s">
        <v>52</v>
      </c>
      <c r="U520" s="28" t="s">
        <v>3113</v>
      </c>
      <c r="V520" s="548">
        <v>45469</v>
      </c>
      <c r="W520" s="43"/>
      <c r="X520" s="342">
        <f t="shared" si="149"/>
        <v>102.79267605633804</v>
      </c>
      <c r="Y520" s="342">
        <f t="shared" si="150"/>
        <v>37.119577464788676</v>
      </c>
      <c r="Z520" s="46">
        <f t="shared" si="151"/>
        <v>9.4226619718309887</v>
      </c>
      <c r="AA520" s="46">
        <f t="shared" si="152"/>
        <v>43.401352112676065</v>
      </c>
      <c r="AB520" s="43"/>
      <c r="AC520" s="44">
        <v>608.19000000000005</v>
      </c>
      <c r="AD520" s="31">
        <v>0.18</v>
      </c>
      <c r="AE520" s="31">
        <v>6.5000000000000002E-2</v>
      </c>
      <c r="AF520" s="31">
        <v>0</v>
      </c>
      <c r="AG520" s="28" t="s">
        <v>53</v>
      </c>
      <c r="AH520" s="46">
        <f t="shared" si="153"/>
        <v>647.72235000000001</v>
      </c>
      <c r="AI520" s="43"/>
      <c r="AJ520" s="28" t="s">
        <v>264</v>
      </c>
      <c r="AK520" s="337"/>
      <c r="AL520" s="43"/>
      <c r="AM520" s="44">
        <f t="shared" si="154"/>
        <v>0</v>
      </c>
      <c r="AN520" s="43"/>
      <c r="AO520" s="28">
        <f t="shared" si="155"/>
        <v>0</v>
      </c>
      <c r="AP520" s="43"/>
      <c r="AQ520" s="323">
        <f t="shared" si="156"/>
        <v>0</v>
      </c>
      <c r="AR520" s="43"/>
      <c r="AS520" s="44">
        <f t="shared" si="157"/>
        <v>647.72235000000001</v>
      </c>
    </row>
    <row r="521" spans="1:45" x14ac:dyDescent="0.25">
      <c r="A521" s="28"/>
      <c r="B521" s="43"/>
      <c r="C521" s="43"/>
      <c r="D521" s="43"/>
      <c r="E521" s="43" t="s">
        <v>2116</v>
      </c>
      <c r="F521" s="43" t="s">
        <v>2117</v>
      </c>
      <c r="G521" s="46">
        <f t="shared" si="144"/>
        <v>498.71580000000006</v>
      </c>
      <c r="H521" s="46">
        <f t="shared" si="145"/>
        <v>442.45822500000014</v>
      </c>
      <c r="I521" s="28" t="s">
        <v>262</v>
      </c>
      <c r="J521" s="337">
        <v>0.35</v>
      </c>
      <c r="K521" s="46">
        <f t="shared" si="146"/>
        <v>174.55053000000001</v>
      </c>
      <c r="L521" s="46">
        <f t="shared" si="147"/>
        <v>154.86037875000005</v>
      </c>
      <c r="M521" s="338">
        <f t="shared" si="148"/>
        <v>0</v>
      </c>
      <c r="N521" s="43" t="s">
        <v>162</v>
      </c>
      <c r="O521" s="339">
        <v>85362000</v>
      </c>
      <c r="P521" s="340">
        <f>IFERROR(VLOOKUP(O521,NCM!$A$3:$D$99,COLUMN(head_porNCM_IPI)-COLUMN(head_porNCM_NCM)+1,FALSE),"")</f>
        <v>0.1</v>
      </c>
      <c r="Q521" s="43" t="s">
        <v>806</v>
      </c>
      <c r="R521" s="78" t="s">
        <v>210</v>
      </c>
      <c r="S521" s="341"/>
      <c r="T521" s="28" t="s">
        <v>52</v>
      </c>
      <c r="U521" s="28" t="s">
        <v>3113</v>
      </c>
      <c r="V521" s="548">
        <v>45469</v>
      </c>
      <c r="W521" s="43"/>
      <c r="X521" s="342">
        <f t="shared" si="149"/>
        <v>102.79267605633804</v>
      </c>
      <c r="Y521" s="342">
        <f t="shared" si="150"/>
        <v>37.119577464788676</v>
      </c>
      <c r="Z521" s="46">
        <f t="shared" si="151"/>
        <v>9.4226619718309887</v>
      </c>
      <c r="AA521" s="46">
        <f t="shared" si="152"/>
        <v>43.401352112676065</v>
      </c>
      <c r="AB521" s="43"/>
      <c r="AC521" s="44">
        <v>608.19000000000005</v>
      </c>
      <c r="AD521" s="31">
        <v>0.18</v>
      </c>
      <c r="AE521" s="31">
        <v>6.5000000000000002E-2</v>
      </c>
      <c r="AF521" s="31">
        <v>0</v>
      </c>
      <c r="AG521" s="28" t="s">
        <v>53</v>
      </c>
      <c r="AH521" s="46">
        <f t="shared" si="153"/>
        <v>647.72235000000001</v>
      </c>
      <c r="AI521" s="43"/>
      <c r="AJ521" s="28" t="s">
        <v>264</v>
      </c>
      <c r="AK521" s="337"/>
      <c r="AL521" s="43"/>
      <c r="AM521" s="44">
        <f t="shared" si="154"/>
        <v>0</v>
      </c>
      <c r="AN521" s="43"/>
      <c r="AO521" s="28">
        <f t="shared" si="155"/>
        <v>0</v>
      </c>
      <c r="AP521" s="43"/>
      <c r="AQ521" s="323">
        <f t="shared" si="156"/>
        <v>0</v>
      </c>
      <c r="AR521" s="43"/>
      <c r="AS521" s="44">
        <f t="shared" si="157"/>
        <v>647.72235000000001</v>
      </c>
    </row>
    <row r="522" spans="1:45" x14ac:dyDescent="0.25">
      <c r="A522" s="28"/>
      <c r="B522" s="43"/>
      <c r="C522" s="43"/>
      <c r="D522" s="43"/>
      <c r="E522" s="43" t="s">
        <v>2118</v>
      </c>
      <c r="F522" s="43" t="s">
        <v>2119</v>
      </c>
      <c r="G522" s="46">
        <f t="shared" si="144"/>
        <v>498.71580000000006</v>
      </c>
      <c r="H522" s="46">
        <f t="shared" si="145"/>
        <v>442.45822500000014</v>
      </c>
      <c r="I522" s="28" t="s">
        <v>262</v>
      </c>
      <c r="J522" s="337">
        <v>0.35</v>
      </c>
      <c r="K522" s="46">
        <f t="shared" si="146"/>
        <v>174.55053000000001</v>
      </c>
      <c r="L522" s="46">
        <f t="shared" si="147"/>
        <v>154.86037875000005</v>
      </c>
      <c r="M522" s="338">
        <f t="shared" si="148"/>
        <v>0</v>
      </c>
      <c r="N522" s="43" t="s">
        <v>162</v>
      </c>
      <c r="O522" s="339">
        <v>85362000</v>
      </c>
      <c r="P522" s="340">
        <f>IFERROR(VLOOKUP(O522,NCM!$A$3:$D$99,COLUMN(head_porNCM_IPI)-COLUMN(head_porNCM_NCM)+1,FALSE),"")</f>
        <v>0.1</v>
      </c>
      <c r="Q522" s="43" t="s">
        <v>806</v>
      </c>
      <c r="R522" s="78" t="s">
        <v>210</v>
      </c>
      <c r="S522" s="341"/>
      <c r="T522" s="28" t="s">
        <v>52</v>
      </c>
      <c r="U522" s="28" t="s">
        <v>3113</v>
      </c>
      <c r="V522" s="548">
        <v>45469</v>
      </c>
      <c r="W522" s="43"/>
      <c r="X522" s="342">
        <f t="shared" si="149"/>
        <v>102.79267605633804</v>
      </c>
      <c r="Y522" s="342">
        <f t="shared" si="150"/>
        <v>37.119577464788676</v>
      </c>
      <c r="Z522" s="46">
        <f t="shared" si="151"/>
        <v>9.4226619718309887</v>
      </c>
      <c r="AA522" s="46">
        <f t="shared" si="152"/>
        <v>43.401352112676065</v>
      </c>
      <c r="AB522" s="43"/>
      <c r="AC522" s="44">
        <v>608.19000000000005</v>
      </c>
      <c r="AD522" s="31">
        <v>0.18</v>
      </c>
      <c r="AE522" s="31">
        <v>6.5000000000000002E-2</v>
      </c>
      <c r="AF522" s="31">
        <v>0</v>
      </c>
      <c r="AG522" s="28" t="s">
        <v>53</v>
      </c>
      <c r="AH522" s="46">
        <f t="shared" si="153"/>
        <v>647.72235000000001</v>
      </c>
      <c r="AI522" s="43"/>
      <c r="AJ522" s="28" t="s">
        <v>264</v>
      </c>
      <c r="AK522" s="337"/>
      <c r="AL522" s="43"/>
      <c r="AM522" s="44">
        <f t="shared" si="154"/>
        <v>0</v>
      </c>
      <c r="AN522" s="43"/>
      <c r="AO522" s="28">
        <f t="shared" si="155"/>
        <v>0</v>
      </c>
      <c r="AP522" s="43"/>
      <c r="AQ522" s="323">
        <f t="shared" si="156"/>
        <v>0</v>
      </c>
      <c r="AR522" s="43"/>
      <c r="AS522" s="44">
        <f t="shared" si="157"/>
        <v>647.72235000000001</v>
      </c>
    </row>
    <row r="523" spans="1:45" x14ac:dyDescent="0.25">
      <c r="A523" s="28"/>
      <c r="B523" s="43"/>
      <c r="C523" s="43"/>
      <c r="D523" s="43"/>
      <c r="E523" s="43" t="s">
        <v>2120</v>
      </c>
      <c r="F523" s="43" t="s">
        <v>2121</v>
      </c>
      <c r="G523" s="46">
        <f t="shared" si="144"/>
        <v>673.53160000000003</v>
      </c>
      <c r="H523" s="46">
        <f t="shared" si="145"/>
        <v>597.5539500000001</v>
      </c>
      <c r="I523" s="28" t="s">
        <v>262</v>
      </c>
      <c r="J523" s="337">
        <v>0.35</v>
      </c>
      <c r="K523" s="46">
        <f t="shared" si="146"/>
        <v>235.73605999999998</v>
      </c>
      <c r="L523" s="46">
        <f t="shared" si="147"/>
        <v>209.14388250000002</v>
      </c>
      <c r="M523" s="338">
        <f t="shared" si="148"/>
        <v>0</v>
      </c>
      <c r="N523" s="43" t="s">
        <v>162</v>
      </c>
      <c r="O523" s="339">
        <v>85362000</v>
      </c>
      <c r="P523" s="340">
        <f>IFERROR(VLOOKUP(O523,NCM!$A$3:$D$99,COLUMN(head_porNCM_IPI)-COLUMN(head_porNCM_NCM)+1,FALSE),"")</f>
        <v>0.1</v>
      </c>
      <c r="Q523" s="43" t="s">
        <v>806</v>
      </c>
      <c r="R523" s="78" t="s">
        <v>210</v>
      </c>
      <c r="S523" s="341"/>
      <c r="T523" s="28" t="s">
        <v>52</v>
      </c>
      <c r="U523" s="28" t="s">
        <v>3113</v>
      </c>
      <c r="V523" s="548">
        <v>45469</v>
      </c>
      <c r="W523" s="43"/>
      <c r="X523" s="342">
        <f t="shared" si="149"/>
        <v>138.82478873239435</v>
      </c>
      <c r="Y523" s="342">
        <f t="shared" si="150"/>
        <v>50.131173708920187</v>
      </c>
      <c r="Z523" s="46">
        <f t="shared" si="151"/>
        <v>12.725605633802818</v>
      </c>
      <c r="AA523" s="46">
        <f t="shared" si="152"/>
        <v>58.614910798122061</v>
      </c>
      <c r="AB523" s="43"/>
      <c r="AC523" s="44">
        <v>821.38</v>
      </c>
      <c r="AD523" s="31">
        <v>0.18</v>
      </c>
      <c r="AE523" s="31">
        <v>6.5000000000000002E-2</v>
      </c>
      <c r="AF523" s="31">
        <v>0</v>
      </c>
      <c r="AG523" s="28" t="s">
        <v>53</v>
      </c>
      <c r="AH523" s="46">
        <f t="shared" si="153"/>
        <v>874.76969999999994</v>
      </c>
      <c r="AI523" s="43"/>
      <c r="AJ523" s="28" t="s">
        <v>264</v>
      </c>
      <c r="AK523" s="337"/>
      <c r="AL523" s="43"/>
      <c r="AM523" s="44">
        <f t="shared" si="154"/>
        <v>0</v>
      </c>
      <c r="AN523" s="43"/>
      <c r="AO523" s="28">
        <f t="shared" si="155"/>
        <v>0</v>
      </c>
      <c r="AP523" s="43"/>
      <c r="AQ523" s="323">
        <f t="shared" si="156"/>
        <v>0</v>
      </c>
      <c r="AR523" s="43"/>
      <c r="AS523" s="44">
        <f t="shared" si="157"/>
        <v>874.76969999999994</v>
      </c>
    </row>
    <row r="524" spans="1:45" x14ac:dyDescent="0.25">
      <c r="A524" s="28"/>
      <c r="B524" s="43"/>
      <c r="C524" s="43"/>
      <c r="D524" s="43"/>
      <c r="E524" s="43" t="s">
        <v>2122</v>
      </c>
      <c r="F524" s="43" t="s">
        <v>2123</v>
      </c>
      <c r="G524" s="46">
        <f t="shared" si="144"/>
        <v>673.53160000000003</v>
      </c>
      <c r="H524" s="46">
        <f t="shared" si="145"/>
        <v>597.5539500000001</v>
      </c>
      <c r="I524" s="28" t="s">
        <v>262</v>
      </c>
      <c r="J524" s="337">
        <v>0.35</v>
      </c>
      <c r="K524" s="46">
        <f t="shared" si="146"/>
        <v>235.73605999999998</v>
      </c>
      <c r="L524" s="46">
        <f t="shared" si="147"/>
        <v>209.14388250000002</v>
      </c>
      <c r="M524" s="338">
        <f t="shared" si="148"/>
        <v>0</v>
      </c>
      <c r="N524" s="43" t="s">
        <v>162</v>
      </c>
      <c r="O524" s="339">
        <v>85362000</v>
      </c>
      <c r="P524" s="340">
        <f>IFERROR(VLOOKUP(O524,NCM!$A$3:$D$99,COLUMN(head_porNCM_IPI)-COLUMN(head_porNCM_NCM)+1,FALSE),"")</f>
        <v>0.1</v>
      </c>
      <c r="Q524" s="43" t="s">
        <v>806</v>
      </c>
      <c r="R524" s="78" t="s">
        <v>210</v>
      </c>
      <c r="S524" s="341"/>
      <c r="T524" s="28" t="s">
        <v>52</v>
      </c>
      <c r="U524" s="28" t="s">
        <v>3113</v>
      </c>
      <c r="V524" s="548">
        <v>45469</v>
      </c>
      <c r="W524" s="43"/>
      <c r="X524" s="342">
        <f t="shared" si="149"/>
        <v>138.82478873239435</v>
      </c>
      <c r="Y524" s="342">
        <f t="shared" si="150"/>
        <v>50.131173708920187</v>
      </c>
      <c r="Z524" s="46">
        <f t="shared" si="151"/>
        <v>12.725605633802818</v>
      </c>
      <c r="AA524" s="46">
        <f t="shared" si="152"/>
        <v>58.614910798122061</v>
      </c>
      <c r="AB524" s="43"/>
      <c r="AC524" s="44">
        <v>821.38</v>
      </c>
      <c r="AD524" s="31">
        <v>0.18</v>
      </c>
      <c r="AE524" s="31">
        <v>6.5000000000000002E-2</v>
      </c>
      <c r="AF524" s="31">
        <v>0</v>
      </c>
      <c r="AG524" s="28" t="s">
        <v>53</v>
      </c>
      <c r="AH524" s="46">
        <f t="shared" si="153"/>
        <v>874.76969999999994</v>
      </c>
      <c r="AI524" s="43"/>
      <c r="AJ524" s="28" t="s">
        <v>264</v>
      </c>
      <c r="AK524" s="337"/>
      <c r="AL524" s="43"/>
      <c r="AM524" s="44">
        <f t="shared" si="154"/>
        <v>0</v>
      </c>
      <c r="AN524" s="43"/>
      <c r="AO524" s="28">
        <f t="shared" si="155"/>
        <v>0</v>
      </c>
      <c r="AP524" s="43"/>
      <c r="AQ524" s="323">
        <f t="shared" si="156"/>
        <v>0</v>
      </c>
      <c r="AR524" s="43"/>
      <c r="AS524" s="44">
        <f t="shared" si="157"/>
        <v>874.76969999999994</v>
      </c>
    </row>
    <row r="525" spans="1:45" x14ac:dyDescent="0.25">
      <c r="A525" s="28"/>
      <c r="B525" s="43"/>
      <c r="C525" s="43"/>
      <c r="D525" s="43"/>
      <c r="E525" s="43" t="s">
        <v>2124</v>
      </c>
      <c r="F525" s="43" t="s">
        <v>2125</v>
      </c>
      <c r="G525" s="46">
        <f t="shared" si="144"/>
        <v>673.53160000000003</v>
      </c>
      <c r="H525" s="46">
        <f t="shared" si="145"/>
        <v>597.5539500000001</v>
      </c>
      <c r="I525" s="28" t="s">
        <v>262</v>
      </c>
      <c r="J525" s="337">
        <v>0.35</v>
      </c>
      <c r="K525" s="46">
        <f t="shared" si="146"/>
        <v>235.73605999999998</v>
      </c>
      <c r="L525" s="46">
        <f t="shared" si="147"/>
        <v>209.14388250000002</v>
      </c>
      <c r="M525" s="338">
        <f t="shared" si="148"/>
        <v>0</v>
      </c>
      <c r="N525" s="43" t="s">
        <v>162</v>
      </c>
      <c r="O525" s="339">
        <v>85362000</v>
      </c>
      <c r="P525" s="340">
        <f>IFERROR(VLOOKUP(O525,NCM!$A$3:$D$99,COLUMN(head_porNCM_IPI)-COLUMN(head_porNCM_NCM)+1,FALSE),"")</f>
        <v>0.1</v>
      </c>
      <c r="Q525" s="43" t="s">
        <v>806</v>
      </c>
      <c r="R525" s="78" t="s">
        <v>210</v>
      </c>
      <c r="S525" s="341"/>
      <c r="T525" s="28" t="s">
        <v>52</v>
      </c>
      <c r="U525" s="28" t="s">
        <v>3113</v>
      </c>
      <c r="V525" s="548">
        <v>45469</v>
      </c>
      <c r="W525" s="43"/>
      <c r="X525" s="342">
        <f t="shared" si="149"/>
        <v>138.82478873239435</v>
      </c>
      <c r="Y525" s="342">
        <f t="shared" si="150"/>
        <v>50.131173708920187</v>
      </c>
      <c r="Z525" s="46">
        <f t="shared" si="151"/>
        <v>12.725605633802818</v>
      </c>
      <c r="AA525" s="46">
        <f t="shared" si="152"/>
        <v>58.614910798122061</v>
      </c>
      <c r="AB525" s="43"/>
      <c r="AC525" s="44">
        <v>821.38</v>
      </c>
      <c r="AD525" s="31">
        <v>0.18</v>
      </c>
      <c r="AE525" s="31">
        <v>6.5000000000000002E-2</v>
      </c>
      <c r="AF525" s="31">
        <v>0</v>
      </c>
      <c r="AG525" s="28" t="s">
        <v>53</v>
      </c>
      <c r="AH525" s="46">
        <f t="shared" si="153"/>
        <v>874.76969999999994</v>
      </c>
      <c r="AI525" s="43"/>
      <c r="AJ525" s="28" t="s">
        <v>264</v>
      </c>
      <c r="AK525" s="337"/>
      <c r="AL525" s="43"/>
      <c r="AM525" s="44">
        <f t="shared" si="154"/>
        <v>0</v>
      </c>
      <c r="AN525" s="43"/>
      <c r="AO525" s="28">
        <f t="shared" si="155"/>
        <v>0</v>
      </c>
      <c r="AP525" s="43"/>
      <c r="AQ525" s="323">
        <f t="shared" si="156"/>
        <v>0</v>
      </c>
      <c r="AR525" s="43"/>
      <c r="AS525" s="44">
        <f t="shared" si="157"/>
        <v>874.76969999999994</v>
      </c>
    </row>
    <row r="526" spans="1:45" x14ac:dyDescent="0.25">
      <c r="A526" s="28"/>
      <c r="B526" s="43"/>
      <c r="C526" s="43"/>
      <c r="D526" s="43"/>
      <c r="E526" s="43" t="s">
        <v>1337</v>
      </c>
      <c r="F526" s="43" t="s">
        <v>2126</v>
      </c>
      <c r="G526" s="46">
        <f t="shared" si="144"/>
        <v>594.30320000000006</v>
      </c>
      <c r="H526" s="46">
        <f t="shared" si="145"/>
        <v>527.26290000000006</v>
      </c>
      <c r="I526" s="28" t="s">
        <v>262</v>
      </c>
      <c r="J526" s="337">
        <v>0.35</v>
      </c>
      <c r="K526" s="46">
        <f t="shared" si="146"/>
        <v>208.00612000000001</v>
      </c>
      <c r="L526" s="46">
        <f t="shared" si="147"/>
        <v>184.54201500000002</v>
      </c>
      <c r="M526" s="338">
        <f t="shared" si="148"/>
        <v>0</v>
      </c>
      <c r="N526" s="43" t="s">
        <v>162</v>
      </c>
      <c r="O526" s="339">
        <v>85362000</v>
      </c>
      <c r="P526" s="340">
        <f>IFERROR(VLOOKUP(O526,NCM!$A$3:$D$99,COLUMN(head_porNCM_IPI)-COLUMN(head_porNCM_NCM)+1,FALSE),"")</f>
        <v>0.1</v>
      </c>
      <c r="Q526" s="43" t="s">
        <v>806</v>
      </c>
      <c r="R526" s="78" t="s">
        <v>210</v>
      </c>
      <c r="S526" s="341"/>
      <c r="T526" s="28" t="s">
        <v>52</v>
      </c>
      <c r="U526" s="28" t="s">
        <v>3113</v>
      </c>
      <c r="V526" s="548">
        <v>45469</v>
      </c>
      <c r="W526" s="43"/>
      <c r="X526" s="342">
        <f t="shared" si="149"/>
        <v>122.49464788732395</v>
      </c>
      <c r="Y526" s="342">
        <f t="shared" si="150"/>
        <v>44.234178403755777</v>
      </c>
      <c r="Z526" s="46">
        <f t="shared" si="151"/>
        <v>11.228676056338029</v>
      </c>
      <c r="AA526" s="46">
        <f t="shared" si="152"/>
        <v>51.719962441314557</v>
      </c>
      <c r="AB526" s="43"/>
      <c r="AC526" s="44">
        <v>724.76</v>
      </c>
      <c r="AD526" s="31">
        <v>0.18</v>
      </c>
      <c r="AE526" s="31">
        <v>6.5000000000000002E-2</v>
      </c>
      <c r="AF526" s="31">
        <v>0</v>
      </c>
      <c r="AG526" s="28" t="s">
        <v>53</v>
      </c>
      <c r="AH526" s="46">
        <f t="shared" si="153"/>
        <v>771.86939999999993</v>
      </c>
      <c r="AI526" s="43"/>
      <c r="AJ526" s="28" t="s">
        <v>264</v>
      </c>
      <c r="AK526" s="337"/>
      <c r="AL526" s="43"/>
      <c r="AM526" s="44">
        <f t="shared" si="154"/>
        <v>0</v>
      </c>
      <c r="AN526" s="43"/>
      <c r="AO526" s="28">
        <f t="shared" si="155"/>
        <v>0</v>
      </c>
      <c r="AP526" s="43"/>
      <c r="AQ526" s="323">
        <f t="shared" si="156"/>
        <v>0</v>
      </c>
      <c r="AR526" s="43"/>
      <c r="AS526" s="44">
        <f t="shared" si="157"/>
        <v>771.86939999999993</v>
      </c>
    </row>
    <row r="527" spans="1:45" x14ac:dyDescent="0.25">
      <c r="A527" s="28"/>
      <c r="B527" s="43"/>
      <c r="C527" s="43"/>
      <c r="D527" s="43"/>
      <c r="E527" s="43" t="s">
        <v>1338</v>
      </c>
      <c r="F527" s="43" t="s">
        <v>2127</v>
      </c>
      <c r="G527" s="46">
        <f t="shared" si="144"/>
        <v>622.96220000000005</v>
      </c>
      <c r="H527" s="46">
        <f t="shared" si="145"/>
        <v>552.68902500000013</v>
      </c>
      <c r="I527" s="28" t="s">
        <v>262</v>
      </c>
      <c r="J527" s="337">
        <v>0.35</v>
      </c>
      <c r="K527" s="46">
        <f t="shared" si="146"/>
        <v>218.03677000000002</v>
      </c>
      <c r="L527" s="46">
        <f t="shared" si="147"/>
        <v>193.44115875000003</v>
      </c>
      <c r="M527" s="338">
        <f t="shared" si="148"/>
        <v>0</v>
      </c>
      <c r="N527" s="43" t="s">
        <v>162</v>
      </c>
      <c r="O527" s="339">
        <v>85362000</v>
      </c>
      <c r="P527" s="340">
        <f>IFERROR(VLOOKUP(O527,NCM!$A$3:$D$99,COLUMN(head_porNCM_IPI)-COLUMN(head_porNCM_NCM)+1,FALSE),"")</f>
        <v>0.1</v>
      </c>
      <c r="Q527" s="43" t="s">
        <v>806</v>
      </c>
      <c r="R527" s="78" t="s">
        <v>210</v>
      </c>
      <c r="S527" s="341"/>
      <c r="T527" s="28" t="s">
        <v>52</v>
      </c>
      <c r="U527" s="28" t="s">
        <v>3113</v>
      </c>
      <c r="V527" s="548">
        <v>45469</v>
      </c>
      <c r="W527" s="43"/>
      <c r="X527" s="342">
        <f t="shared" si="149"/>
        <v>128.40169014084509</v>
      </c>
      <c r="Y527" s="342">
        <f t="shared" si="150"/>
        <v>46.367276995305133</v>
      </c>
      <c r="Z527" s="46">
        <f t="shared" si="151"/>
        <v>11.770154929577467</v>
      </c>
      <c r="AA527" s="46">
        <f t="shared" si="152"/>
        <v>54.21404694835681</v>
      </c>
      <c r="AB527" s="43"/>
      <c r="AC527" s="44">
        <v>759.71</v>
      </c>
      <c r="AD527" s="31">
        <v>0.18</v>
      </c>
      <c r="AE527" s="31">
        <v>6.5000000000000002E-2</v>
      </c>
      <c r="AF527" s="31">
        <v>0</v>
      </c>
      <c r="AG527" s="28" t="s">
        <v>53</v>
      </c>
      <c r="AH527" s="46">
        <f t="shared" si="153"/>
        <v>809.09114999999997</v>
      </c>
      <c r="AI527" s="43"/>
      <c r="AJ527" s="28" t="s">
        <v>264</v>
      </c>
      <c r="AK527" s="337"/>
      <c r="AL527" s="43"/>
      <c r="AM527" s="44">
        <f t="shared" si="154"/>
        <v>0</v>
      </c>
      <c r="AN527" s="43"/>
      <c r="AO527" s="28">
        <f t="shared" si="155"/>
        <v>0</v>
      </c>
      <c r="AP527" s="43"/>
      <c r="AQ527" s="323">
        <f t="shared" si="156"/>
        <v>0</v>
      </c>
      <c r="AR527" s="43"/>
      <c r="AS527" s="44">
        <f t="shared" si="157"/>
        <v>809.09114999999997</v>
      </c>
    </row>
    <row r="528" spans="1:45" x14ac:dyDescent="0.25">
      <c r="A528" s="28"/>
      <c r="B528" s="43"/>
      <c r="C528" s="43"/>
      <c r="D528" s="43" t="s">
        <v>1334</v>
      </c>
      <c r="E528" s="43"/>
      <c r="F528" s="43"/>
      <c r="G528" s="46">
        <f t="shared" si="144"/>
        <v>0</v>
      </c>
      <c r="H528" s="46">
        <f t="shared" si="145"/>
        <v>0</v>
      </c>
      <c r="I528" s="28"/>
      <c r="J528" s="337"/>
      <c r="K528" s="46" t="str">
        <f t="shared" si="146"/>
        <v/>
      </c>
      <c r="L528" s="46" t="str">
        <f t="shared" si="147"/>
        <v/>
      </c>
      <c r="M528" s="338">
        <f t="shared" si="148"/>
        <v>0</v>
      </c>
      <c r="N528" s="43"/>
      <c r="O528" s="339"/>
      <c r="P528" s="340" t="str">
        <f>IFERROR(VLOOKUP(O528,NCM!$A$3:$D$99,COLUMN(head_porNCM_IPI)-COLUMN(head_porNCM_NCM)+1,FALSE),"")</f>
        <v/>
      </c>
      <c r="Q528" s="43"/>
      <c r="R528" s="78"/>
      <c r="S528" s="341"/>
      <c r="T528" s="28"/>
      <c r="U528" s="28"/>
      <c r="V528" s="28"/>
      <c r="W528" s="43"/>
      <c r="X528" s="342">
        <f t="shared" si="149"/>
        <v>0</v>
      </c>
      <c r="Y528" s="342">
        <f t="shared" si="150"/>
        <v>0</v>
      </c>
      <c r="Z528" s="46">
        <f t="shared" si="151"/>
        <v>0</v>
      </c>
      <c r="AA528" s="46">
        <f t="shared" si="152"/>
        <v>0</v>
      </c>
      <c r="AB528" s="43"/>
      <c r="AC528" s="44">
        <v>0</v>
      </c>
      <c r="AD528" s="31"/>
      <c r="AE528" s="31"/>
      <c r="AF528" s="31"/>
      <c r="AG528" s="28"/>
      <c r="AH528" s="46">
        <f t="shared" si="153"/>
        <v>0</v>
      </c>
      <c r="AI528" s="43"/>
      <c r="AJ528" s="28"/>
      <c r="AK528" s="337"/>
      <c r="AL528" s="43"/>
      <c r="AM528" s="44">
        <f t="shared" si="154"/>
        <v>0</v>
      </c>
      <c r="AN528" s="43"/>
      <c r="AO528" s="28">
        <f t="shared" si="155"/>
        <v>0</v>
      </c>
      <c r="AP528" s="43"/>
      <c r="AQ528" s="323">
        <f t="shared" si="156"/>
        <v>0</v>
      </c>
      <c r="AR528" s="43"/>
      <c r="AS528" s="44">
        <f t="shared" si="157"/>
        <v>0</v>
      </c>
    </row>
    <row r="529" spans="1:45" x14ac:dyDescent="0.25">
      <c r="A529" s="28"/>
      <c r="B529" s="43"/>
      <c r="C529" s="43"/>
      <c r="D529" s="43"/>
      <c r="E529" s="43" t="s">
        <v>2128</v>
      </c>
      <c r="F529" s="43" t="s">
        <v>2129</v>
      </c>
      <c r="G529" s="46">
        <f t="shared" si="144"/>
        <v>292.64980000000003</v>
      </c>
      <c r="H529" s="46">
        <f t="shared" si="145"/>
        <v>259.63747500000005</v>
      </c>
      <c r="I529" s="28" t="s">
        <v>262</v>
      </c>
      <c r="J529" s="337">
        <v>0.35</v>
      </c>
      <c r="K529" s="46">
        <f t="shared" si="146"/>
        <v>102.42743</v>
      </c>
      <c r="L529" s="46">
        <f t="shared" si="147"/>
        <v>90.87311625000001</v>
      </c>
      <c r="M529" s="338">
        <f t="shared" si="148"/>
        <v>0</v>
      </c>
      <c r="N529" s="43" t="s">
        <v>162</v>
      </c>
      <c r="O529" s="339">
        <v>85362000</v>
      </c>
      <c r="P529" s="340">
        <f>IFERROR(VLOOKUP(O529,NCM!$A$3:$D$99,COLUMN(head_porNCM_IPI)-COLUMN(head_porNCM_NCM)+1,FALSE),"")</f>
        <v>0.1</v>
      </c>
      <c r="Q529" s="43" t="s">
        <v>806</v>
      </c>
      <c r="R529" s="78" t="s">
        <v>210</v>
      </c>
      <c r="S529" s="341"/>
      <c r="T529" s="28" t="s">
        <v>52</v>
      </c>
      <c r="U529" s="28" t="s">
        <v>3113</v>
      </c>
      <c r="V529" s="548">
        <v>45469</v>
      </c>
      <c r="W529" s="43"/>
      <c r="X529" s="342">
        <f t="shared" si="149"/>
        <v>60.31943661971831</v>
      </c>
      <c r="Y529" s="342">
        <f t="shared" si="150"/>
        <v>21.782018779342707</v>
      </c>
      <c r="Z529" s="46">
        <f t="shared" si="151"/>
        <v>5.529281690140845</v>
      </c>
      <c r="AA529" s="46">
        <f t="shared" si="152"/>
        <v>25.468206572769951</v>
      </c>
      <c r="AB529" s="43"/>
      <c r="AC529" s="44">
        <v>356.89</v>
      </c>
      <c r="AD529" s="31">
        <v>0.18</v>
      </c>
      <c r="AE529" s="31">
        <v>6.5000000000000002E-2</v>
      </c>
      <c r="AF529" s="31">
        <v>0</v>
      </c>
      <c r="AG529" s="28" t="s">
        <v>53</v>
      </c>
      <c r="AH529" s="46">
        <f t="shared" si="153"/>
        <v>380.08784999999995</v>
      </c>
      <c r="AI529" s="43"/>
      <c r="AJ529" s="28" t="s">
        <v>264</v>
      </c>
      <c r="AK529" s="337"/>
      <c r="AL529" s="43"/>
      <c r="AM529" s="44">
        <f t="shared" si="154"/>
        <v>0</v>
      </c>
      <c r="AN529" s="43"/>
      <c r="AO529" s="28">
        <f t="shared" si="155"/>
        <v>0</v>
      </c>
      <c r="AP529" s="43"/>
      <c r="AQ529" s="323">
        <f t="shared" si="156"/>
        <v>0</v>
      </c>
      <c r="AR529" s="43"/>
      <c r="AS529" s="44">
        <f t="shared" si="157"/>
        <v>380.08784999999995</v>
      </c>
    </row>
    <row r="530" spans="1:45" x14ac:dyDescent="0.25">
      <c r="A530" s="28"/>
      <c r="B530" s="43"/>
      <c r="C530" s="43"/>
      <c r="D530" s="43"/>
      <c r="E530" s="43" t="s">
        <v>2130</v>
      </c>
      <c r="F530" s="43" t="s">
        <v>2131</v>
      </c>
      <c r="G530" s="46">
        <f t="shared" si="144"/>
        <v>292.64980000000003</v>
      </c>
      <c r="H530" s="46">
        <f t="shared" si="145"/>
        <v>259.63747500000005</v>
      </c>
      <c r="I530" s="28" t="s">
        <v>262</v>
      </c>
      <c r="J530" s="337">
        <v>0.35</v>
      </c>
      <c r="K530" s="46">
        <f t="shared" si="146"/>
        <v>102.42743</v>
      </c>
      <c r="L530" s="46">
        <f t="shared" si="147"/>
        <v>90.87311625000001</v>
      </c>
      <c r="M530" s="338">
        <f t="shared" si="148"/>
        <v>0</v>
      </c>
      <c r="N530" s="43" t="s">
        <v>162</v>
      </c>
      <c r="O530" s="339">
        <v>85362000</v>
      </c>
      <c r="P530" s="340">
        <f>IFERROR(VLOOKUP(O530,NCM!$A$3:$D$99,COLUMN(head_porNCM_IPI)-COLUMN(head_porNCM_NCM)+1,FALSE),"")</f>
        <v>0.1</v>
      </c>
      <c r="Q530" s="43" t="s">
        <v>806</v>
      </c>
      <c r="R530" s="78" t="s">
        <v>210</v>
      </c>
      <c r="S530" s="341"/>
      <c r="T530" s="28" t="s">
        <v>52</v>
      </c>
      <c r="U530" s="28" t="s">
        <v>3113</v>
      </c>
      <c r="V530" s="548">
        <v>45469</v>
      </c>
      <c r="W530" s="43"/>
      <c r="X530" s="342">
        <f t="shared" si="149"/>
        <v>60.31943661971831</v>
      </c>
      <c r="Y530" s="342">
        <f t="shared" si="150"/>
        <v>21.782018779342707</v>
      </c>
      <c r="Z530" s="46">
        <f t="shared" si="151"/>
        <v>5.529281690140845</v>
      </c>
      <c r="AA530" s="46">
        <f t="shared" si="152"/>
        <v>25.468206572769951</v>
      </c>
      <c r="AB530" s="43"/>
      <c r="AC530" s="44">
        <v>356.89</v>
      </c>
      <c r="AD530" s="31">
        <v>0.18</v>
      </c>
      <c r="AE530" s="31">
        <v>6.5000000000000002E-2</v>
      </c>
      <c r="AF530" s="31">
        <v>0</v>
      </c>
      <c r="AG530" s="28" t="s">
        <v>53</v>
      </c>
      <c r="AH530" s="46">
        <f t="shared" si="153"/>
        <v>380.08784999999995</v>
      </c>
      <c r="AI530" s="43"/>
      <c r="AJ530" s="28" t="s">
        <v>264</v>
      </c>
      <c r="AK530" s="337"/>
      <c r="AL530" s="43"/>
      <c r="AM530" s="44">
        <f t="shared" si="154"/>
        <v>0</v>
      </c>
      <c r="AN530" s="43"/>
      <c r="AO530" s="28">
        <f t="shared" si="155"/>
        <v>0</v>
      </c>
      <c r="AP530" s="43"/>
      <c r="AQ530" s="323">
        <f t="shared" si="156"/>
        <v>0</v>
      </c>
      <c r="AR530" s="43"/>
      <c r="AS530" s="44">
        <f t="shared" si="157"/>
        <v>380.08784999999995</v>
      </c>
    </row>
    <row r="531" spans="1:45" x14ac:dyDescent="0.25">
      <c r="A531" s="28"/>
      <c r="B531" s="43"/>
      <c r="C531" s="43"/>
      <c r="D531" s="43"/>
      <c r="E531" s="43" t="s">
        <v>2132</v>
      </c>
      <c r="F531" s="43" t="s">
        <v>2133</v>
      </c>
      <c r="G531" s="46">
        <f t="shared" si="144"/>
        <v>147.09979999999999</v>
      </c>
      <c r="H531" s="46">
        <f t="shared" si="145"/>
        <v>130.50622500000003</v>
      </c>
      <c r="I531" s="28" t="s">
        <v>262</v>
      </c>
      <c r="J531" s="337">
        <v>0.35</v>
      </c>
      <c r="K531" s="46">
        <f t="shared" si="146"/>
        <v>51.484929999999991</v>
      </c>
      <c r="L531" s="46">
        <f t="shared" si="147"/>
        <v>45.67717875000001</v>
      </c>
      <c r="M531" s="338">
        <f t="shared" si="148"/>
        <v>0</v>
      </c>
      <c r="N531" s="43" t="s">
        <v>162</v>
      </c>
      <c r="O531" s="339">
        <v>85362000</v>
      </c>
      <c r="P531" s="340">
        <f>IFERROR(VLOOKUP(O531,NCM!$A$3:$D$99,COLUMN(head_porNCM_IPI)-COLUMN(head_porNCM_NCM)+1,FALSE),"")</f>
        <v>0.1</v>
      </c>
      <c r="Q531" s="43" t="s">
        <v>806</v>
      </c>
      <c r="R531" s="78" t="s">
        <v>210</v>
      </c>
      <c r="S531" s="341"/>
      <c r="T531" s="28" t="s">
        <v>52</v>
      </c>
      <c r="U531" s="28" t="s">
        <v>3113</v>
      </c>
      <c r="V531" s="548">
        <v>45469</v>
      </c>
      <c r="W531" s="43"/>
      <c r="X531" s="342">
        <f t="shared" si="149"/>
        <v>30.319436619718307</v>
      </c>
      <c r="Y531" s="342">
        <f t="shared" si="150"/>
        <v>10.948685446009392</v>
      </c>
      <c r="Z531" s="46">
        <f t="shared" si="151"/>
        <v>2.779281690140845</v>
      </c>
      <c r="AA531" s="46">
        <f t="shared" si="152"/>
        <v>12.801539906103285</v>
      </c>
      <c r="AB531" s="43"/>
      <c r="AC531" s="44">
        <v>179.39</v>
      </c>
      <c r="AD531" s="31">
        <v>0.18</v>
      </c>
      <c r="AE531" s="31">
        <v>6.5000000000000002E-2</v>
      </c>
      <c r="AF531" s="31">
        <v>0</v>
      </c>
      <c r="AG531" s="28" t="s">
        <v>53</v>
      </c>
      <c r="AH531" s="46">
        <f t="shared" si="153"/>
        <v>191.05034999999998</v>
      </c>
      <c r="AI531" s="43"/>
      <c r="AJ531" s="28" t="s">
        <v>264</v>
      </c>
      <c r="AK531" s="337"/>
      <c r="AL531" s="43"/>
      <c r="AM531" s="44">
        <f t="shared" si="154"/>
        <v>0</v>
      </c>
      <c r="AN531" s="43"/>
      <c r="AO531" s="28">
        <f t="shared" si="155"/>
        <v>0</v>
      </c>
      <c r="AP531" s="43"/>
      <c r="AQ531" s="323">
        <f t="shared" si="156"/>
        <v>0</v>
      </c>
      <c r="AR531" s="43"/>
      <c r="AS531" s="44">
        <f t="shared" si="157"/>
        <v>191.05034999999998</v>
      </c>
    </row>
    <row r="532" spans="1:45" x14ac:dyDescent="0.25">
      <c r="A532" s="28"/>
      <c r="B532" s="43"/>
      <c r="C532" s="43"/>
      <c r="D532" s="43"/>
      <c r="E532" s="43" t="s">
        <v>2134</v>
      </c>
      <c r="F532" s="43" t="s">
        <v>2135</v>
      </c>
      <c r="G532" s="46">
        <f t="shared" si="144"/>
        <v>147.09979999999999</v>
      </c>
      <c r="H532" s="46">
        <f t="shared" si="145"/>
        <v>130.50622500000003</v>
      </c>
      <c r="I532" s="28" t="s">
        <v>262</v>
      </c>
      <c r="J532" s="337">
        <v>0.35</v>
      </c>
      <c r="K532" s="46">
        <f t="shared" si="146"/>
        <v>51.484929999999991</v>
      </c>
      <c r="L532" s="46">
        <f t="shared" si="147"/>
        <v>45.67717875000001</v>
      </c>
      <c r="M532" s="338">
        <f t="shared" si="148"/>
        <v>0</v>
      </c>
      <c r="N532" s="43" t="s">
        <v>162</v>
      </c>
      <c r="O532" s="339">
        <v>85362000</v>
      </c>
      <c r="P532" s="340">
        <f>IFERROR(VLOOKUP(O532,NCM!$A$3:$D$99,COLUMN(head_porNCM_IPI)-COLUMN(head_porNCM_NCM)+1,FALSE),"")</f>
        <v>0.1</v>
      </c>
      <c r="Q532" s="43" t="s">
        <v>806</v>
      </c>
      <c r="R532" s="78" t="s">
        <v>210</v>
      </c>
      <c r="S532" s="341"/>
      <c r="T532" s="28" t="s">
        <v>52</v>
      </c>
      <c r="U532" s="28" t="s">
        <v>3113</v>
      </c>
      <c r="V532" s="548">
        <v>45469</v>
      </c>
      <c r="W532" s="43"/>
      <c r="X532" s="342">
        <f t="shared" si="149"/>
        <v>30.319436619718307</v>
      </c>
      <c r="Y532" s="342">
        <f t="shared" si="150"/>
        <v>10.948685446009392</v>
      </c>
      <c r="Z532" s="46">
        <f t="shared" si="151"/>
        <v>2.779281690140845</v>
      </c>
      <c r="AA532" s="46">
        <f t="shared" si="152"/>
        <v>12.801539906103285</v>
      </c>
      <c r="AB532" s="43"/>
      <c r="AC532" s="44">
        <v>179.39</v>
      </c>
      <c r="AD532" s="31">
        <v>0.18</v>
      </c>
      <c r="AE532" s="31">
        <v>6.5000000000000002E-2</v>
      </c>
      <c r="AF532" s="31">
        <v>0</v>
      </c>
      <c r="AG532" s="28" t="s">
        <v>53</v>
      </c>
      <c r="AH532" s="46">
        <f t="shared" si="153"/>
        <v>191.05034999999998</v>
      </c>
      <c r="AI532" s="43"/>
      <c r="AJ532" s="28" t="s">
        <v>264</v>
      </c>
      <c r="AK532" s="337"/>
      <c r="AL532" s="43"/>
      <c r="AM532" s="44">
        <f t="shared" si="154"/>
        <v>0</v>
      </c>
      <c r="AN532" s="43"/>
      <c r="AO532" s="28">
        <f t="shared" si="155"/>
        <v>0</v>
      </c>
      <c r="AP532" s="43"/>
      <c r="AQ532" s="323">
        <f t="shared" si="156"/>
        <v>0</v>
      </c>
      <c r="AR532" s="43"/>
      <c r="AS532" s="44">
        <f t="shared" si="157"/>
        <v>191.05034999999998</v>
      </c>
    </row>
    <row r="533" spans="1:45" x14ac:dyDescent="0.25">
      <c r="A533" s="28"/>
      <c r="B533" s="43"/>
      <c r="C533" s="43"/>
      <c r="D533" s="43"/>
      <c r="E533" s="43" t="s">
        <v>2136</v>
      </c>
      <c r="F533" s="43" t="s">
        <v>2137</v>
      </c>
      <c r="G533" s="46">
        <f t="shared" si="144"/>
        <v>147.09979999999999</v>
      </c>
      <c r="H533" s="46">
        <f t="shared" si="145"/>
        <v>130.50622500000003</v>
      </c>
      <c r="I533" s="28" t="s">
        <v>262</v>
      </c>
      <c r="J533" s="337">
        <v>0.35</v>
      </c>
      <c r="K533" s="46">
        <f t="shared" si="146"/>
        <v>51.484929999999991</v>
      </c>
      <c r="L533" s="46">
        <f t="shared" si="147"/>
        <v>45.67717875000001</v>
      </c>
      <c r="M533" s="338">
        <f t="shared" si="148"/>
        <v>0</v>
      </c>
      <c r="N533" s="43" t="s">
        <v>162</v>
      </c>
      <c r="O533" s="339">
        <v>85362000</v>
      </c>
      <c r="P533" s="340">
        <f>IFERROR(VLOOKUP(O533,NCM!$A$3:$D$99,COLUMN(head_porNCM_IPI)-COLUMN(head_porNCM_NCM)+1,FALSE),"")</f>
        <v>0.1</v>
      </c>
      <c r="Q533" s="43" t="s">
        <v>806</v>
      </c>
      <c r="R533" s="78" t="s">
        <v>210</v>
      </c>
      <c r="S533" s="341"/>
      <c r="T533" s="28" t="s">
        <v>52</v>
      </c>
      <c r="U533" s="28" t="s">
        <v>3113</v>
      </c>
      <c r="V533" s="548">
        <v>45469</v>
      </c>
      <c r="W533" s="43"/>
      <c r="X533" s="342">
        <f t="shared" si="149"/>
        <v>30.319436619718307</v>
      </c>
      <c r="Y533" s="342">
        <f t="shared" si="150"/>
        <v>10.948685446009392</v>
      </c>
      <c r="Z533" s="46">
        <f t="shared" si="151"/>
        <v>2.779281690140845</v>
      </c>
      <c r="AA533" s="46">
        <f t="shared" si="152"/>
        <v>12.801539906103285</v>
      </c>
      <c r="AB533" s="43"/>
      <c r="AC533" s="44">
        <v>179.39</v>
      </c>
      <c r="AD533" s="31">
        <v>0.18</v>
      </c>
      <c r="AE533" s="31">
        <v>6.5000000000000002E-2</v>
      </c>
      <c r="AF533" s="31">
        <v>0</v>
      </c>
      <c r="AG533" s="28" t="s">
        <v>53</v>
      </c>
      <c r="AH533" s="46">
        <f t="shared" si="153"/>
        <v>191.05034999999998</v>
      </c>
      <c r="AI533" s="43"/>
      <c r="AJ533" s="28" t="s">
        <v>264</v>
      </c>
      <c r="AK533" s="337"/>
      <c r="AL533" s="43"/>
      <c r="AM533" s="44">
        <f t="shared" si="154"/>
        <v>0</v>
      </c>
      <c r="AN533" s="43"/>
      <c r="AO533" s="28">
        <f t="shared" si="155"/>
        <v>0</v>
      </c>
      <c r="AP533" s="43"/>
      <c r="AQ533" s="323">
        <f t="shared" si="156"/>
        <v>0</v>
      </c>
      <c r="AR533" s="43"/>
      <c r="AS533" s="44">
        <f t="shared" si="157"/>
        <v>191.05034999999998</v>
      </c>
    </row>
    <row r="534" spans="1:45" x14ac:dyDescent="0.25">
      <c r="A534" s="28"/>
      <c r="B534" s="43"/>
      <c r="C534" s="43"/>
      <c r="D534" s="43"/>
      <c r="E534" s="43" t="s">
        <v>2138</v>
      </c>
      <c r="F534" s="43" t="s">
        <v>2139</v>
      </c>
      <c r="G534" s="46">
        <f t="shared" si="144"/>
        <v>147.09979999999999</v>
      </c>
      <c r="H534" s="46">
        <f t="shared" si="145"/>
        <v>130.50622500000003</v>
      </c>
      <c r="I534" s="28" t="s">
        <v>262</v>
      </c>
      <c r="J534" s="337">
        <v>0.35</v>
      </c>
      <c r="K534" s="46">
        <f t="shared" si="146"/>
        <v>51.484929999999991</v>
      </c>
      <c r="L534" s="46">
        <f t="shared" si="147"/>
        <v>45.67717875000001</v>
      </c>
      <c r="M534" s="338">
        <f t="shared" si="148"/>
        <v>0</v>
      </c>
      <c r="N534" s="43" t="s">
        <v>162</v>
      </c>
      <c r="O534" s="339">
        <v>85362000</v>
      </c>
      <c r="P534" s="340">
        <f>IFERROR(VLOOKUP(O534,NCM!$A$3:$D$99,COLUMN(head_porNCM_IPI)-COLUMN(head_porNCM_NCM)+1,FALSE),"")</f>
        <v>0.1</v>
      </c>
      <c r="Q534" s="43" t="s">
        <v>806</v>
      </c>
      <c r="R534" s="78" t="s">
        <v>210</v>
      </c>
      <c r="S534" s="341"/>
      <c r="T534" s="28" t="s">
        <v>52</v>
      </c>
      <c r="U534" s="28" t="s">
        <v>3113</v>
      </c>
      <c r="V534" s="548">
        <v>45469</v>
      </c>
      <c r="W534" s="43"/>
      <c r="X534" s="342">
        <f t="shared" si="149"/>
        <v>30.319436619718307</v>
      </c>
      <c r="Y534" s="342">
        <f t="shared" si="150"/>
        <v>10.948685446009392</v>
      </c>
      <c r="Z534" s="46">
        <f t="shared" si="151"/>
        <v>2.779281690140845</v>
      </c>
      <c r="AA534" s="46">
        <f t="shared" si="152"/>
        <v>12.801539906103285</v>
      </c>
      <c r="AB534" s="43"/>
      <c r="AC534" s="44">
        <v>179.39</v>
      </c>
      <c r="AD534" s="31">
        <v>0.18</v>
      </c>
      <c r="AE534" s="31">
        <v>6.5000000000000002E-2</v>
      </c>
      <c r="AF534" s="31">
        <v>0</v>
      </c>
      <c r="AG534" s="28" t="s">
        <v>53</v>
      </c>
      <c r="AH534" s="46">
        <f t="shared" si="153"/>
        <v>191.05034999999998</v>
      </c>
      <c r="AI534" s="43"/>
      <c r="AJ534" s="28" t="s">
        <v>264</v>
      </c>
      <c r="AK534" s="337"/>
      <c r="AL534" s="43"/>
      <c r="AM534" s="44">
        <f t="shared" si="154"/>
        <v>0</v>
      </c>
      <c r="AN534" s="43"/>
      <c r="AO534" s="28">
        <f t="shared" si="155"/>
        <v>0</v>
      </c>
      <c r="AP534" s="43"/>
      <c r="AQ534" s="323">
        <f t="shared" si="156"/>
        <v>0</v>
      </c>
      <c r="AR534" s="43"/>
      <c r="AS534" s="44">
        <f t="shared" si="157"/>
        <v>191.05034999999998</v>
      </c>
    </row>
    <row r="535" spans="1:45" x14ac:dyDescent="0.25">
      <c r="A535" s="28"/>
      <c r="B535" s="43"/>
      <c r="C535" s="43"/>
      <c r="D535" s="43"/>
      <c r="E535" s="43" t="s">
        <v>2140</v>
      </c>
      <c r="F535" s="43" t="s">
        <v>2141</v>
      </c>
      <c r="G535" s="46">
        <f t="shared" si="144"/>
        <v>147.09979999999999</v>
      </c>
      <c r="H535" s="46">
        <f t="shared" si="145"/>
        <v>130.50622500000003</v>
      </c>
      <c r="I535" s="28" t="s">
        <v>262</v>
      </c>
      <c r="J535" s="337">
        <v>0.35</v>
      </c>
      <c r="K535" s="46">
        <f t="shared" si="146"/>
        <v>51.484929999999991</v>
      </c>
      <c r="L535" s="46">
        <f t="shared" si="147"/>
        <v>45.67717875000001</v>
      </c>
      <c r="M535" s="338">
        <f t="shared" si="148"/>
        <v>0</v>
      </c>
      <c r="N535" s="43" t="s">
        <v>162</v>
      </c>
      <c r="O535" s="339">
        <v>85362000</v>
      </c>
      <c r="P535" s="340">
        <f>IFERROR(VLOOKUP(O535,NCM!$A$3:$D$99,COLUMN(head_porNCM_IPI)-COLUMN(head_porNCM_NCM)+1,FALSE),"")</f>
        <v>0.1</v>
      </c>
      <c r="Q535" s="43" t="s">
        <v>806</v>
      </c>
      <c r="R535" s="78" t="s">
        <v>210</v>
      </c>
      <c r="S535" s="341"/>
      <c r="T535" s="28" t="s">
        <v>52</v>
      </c>
      <c r="U535" s="28" t="s">
        <v>3113</v>
      </c>
      <c r="V535" s="548">
        <v>45469</v>
      </c>
      <c r="W535" s="43"/>
      <c r="X535" s="342">
        <f t="shared" si="149"/>
        <v>30.319436619718307</v>
      </c>
      <c r="Y535" s="342">
        <f t="shared" si="150"/>
        <v>10.948685446009392</v>
      </c>
      <c r="Z535" s="46">
        <f t="shared" si="151"/>
        <v>2.779281690140845</v>
      </c>
      <c r="AA535" s="46">
        <f t="shared" si="152"/>
        <v>12.801539906103285</v>
      </c>
      <c r="AB535" s="43"/>
      <c r="AC535" s="44">
        <v>179.39</v>
      </c>
      <c r="AD535" s="31">
        <v>0.18</v>
      </c>
      <c r="AE535" s="31">
        <v>6.5000000000000002E-2</v>
      </c>
      <c r="AF535" s="31">
        <v>0</v>
      </c>
      <c r="AG535" s="28" t="s">
        <v>53</v>
      </c>
      <c r="AH535" s="46">
        <f t="shared" si="153"/>
        <v>191.05034999999998</v>
      </c>
      <c r="AI535" s="43"/>
      <c r="AJ535" s="28" t="s">
        <v>264</v>
      </c>
      <c r="AK535" s="337"/>
      <c r="AL535" s="43"/>
      <c r="AM535" s="44">
        <f t="shared" si="154"/>
        <v>0</v>
      </c>
      <c r="AN535" s="43"/>
      <c r="AO535" s="28">
        <f t="shared" si="155"/>
        <v>0</v>
      </c>
      <c r="AP535" s="43"/>
      <c r="AQ535" s="323">
        <f t="shared" si="156"/>
        <v>0</v>
      </c>
      <c r="AR535" s="43"/>
      <c r="AS535" s="44">
        <f t="shared" si="157"/>
        <v>191.05034999999998</v>
      </c>
    </row>
    <row r="536" spans="1:45" x14ac:dyDescent="0.25">
      <c r="A536" s="28"/>
      <c r="B536" s="43"/>
      <c r="C536" s="43"/>
      <c r="D536" s="43"/>
      <c r="E536" s="43" t="s">
        <v>2142</v>
      </c>
      <c r="F536" s="43" t="s">
        <v>2143</v>
      </c>
      <c r="G536" s="46">
        <f t="shared" si="144"/>
        <v>394.7398</v>
      </c>
      <c r="H536" s="46">
        <f t="shared" si="145"/>
        <v>350.21122500000007</v>
      </c>
      <c r="I536" s="28" t="s">
        <v>262</v>
      </c>
      <c r="J536" s="337">
        <v>0.35</v>
      </c>
      <c r="K536" s="46">
        <f t="shared" si="146"/>
        <v>138.15893</v>
      </c>
      <c r="L536" s="46">
        <f t="shared" si="147"/>
        <v>122.57392875000002</v>
      </c>
      <c r="M536" s="338">
        <f t="shared" si="148"/>
        <v>0</v>
      </c>
      <c r="N536" s="43" t="s">
        <v>162</v>
      </c>
      <c r="O536" s="339">
        <v>85362000</v>
      </c>
      <c r="P536" s="340">
        <f>IFERROR(VLOOKUP(O536,NCM!$A$3:$D$99,COLUMN(head_porNCM_IPI)-COLUMN(head_porNCM_NCM)+1,FALSE),"")</f>
        <v>0.1</v>
      </c>
      <c r="Q536" s="43" t="s">
        <v>806</v>
      </c>
      <c r="R536" s="78" t="s">
        <v>210</v>
      </c>
      <c r="S536" s="341"/>
      <c r="T536" s="28" t="s">
        <v>52</v>
      </c>
      <c r="U536" s="28" t="s">
        <v>3113</v>
      </c>
      <c r="V536" s="548">
        <v>45469</v>
      </c>
      <c r="W536" s="43"/>
      <c r="X536" s="342">
        <f t="shared" si="149"/>
        <v>81.36169014084507</v>
      </c>
      <c r="Y536" s="342">
        <f t="shared" si="150"/>
        <v>29.380610328638454</v>
      </c>
      <c r="Z536" s="46">
        <f t="shared" si="151"/>
        <v>7.4581549295774661</v>
      </c>
      <c r="AA536" s="46">
        <f t="shared" si="152"/>
        <v>34.352713615023475</v>
      </c>
      <c r="AB536" s="43"/>
      <c r="AC536" s="44">
        <v>481.39</v>
      </c>
      <c r="AD536" s="31">
        <v>0.18</v>
      </c>
      <c r="AE536" s="31">
        <v>6.5000000000000002E-2</v>
      </c>
      <c r="AF536" s="31">
        <v>0</v>
      </c>
      <c r="AG536" s="28" t="s">
        <v>53</v>
      </c>
      <c r="AH536" s="46">
        <f t="shared" si="153"/>
        <v>512.68034999999998</v>
      </c>
      <c r="AI536" s="43"/>
      <c r="AJ536" s="28" t="s">
        <v>264</v>
      </c>
      <c r="AK536" s="337"/>
      <c r="AL536" s="43"/>
      <c r="AM536" s="44">
        <f t="shared" si="154"/>
        <v>0</v>
      </c>
      <c r="AN536" s="43"/>
      <c r="AO536" s="28">
        <f t="shared" si="155"/>
        <v>0</v>
      </c>
      <c r="AP536" s="43"/>
      <c r="AQ536" s="323">
        <f t="shared" si="156"/>
        <v>0</v>
      </c>
      <c r="AR536" s="43"/>
      <c r="AS536" s="44">
        <f t="shared" si="157"/>
        <v>512.68034999999998</v>
      </c>
    </row>
    <row r="537" spans="1:45" x14ac:dyDescent="0.25">
      <c r="A537" s="28"/>
      <c r="B537" s="43"/>
      <c r="C537" s="43"/>
      <c r="D537" s="43"/>
      <c r="E537" s="43" t="s">
        <v>2144</v>
      </c>
      <c r="F537" s="43" t="s">
        <v>2145</v>
      </c>
      <c r="G537" s="46">
        <f t="shared" si="144"/>
        <v>394.7398</v>
      </c>
      <c r="H537" s="46">
        <f t="shared" si="145"/>
        <v>350.21122500000007</v>
      </c>
      <c r="I537" s="28" t="s">
        <v>262</v>
      </c>
      <c r="J537" s="337">
        <v>0.35</v>
      </c>
      <c r="K537" s="46">
        <f t="shared" si="146"/>
        <v>138.15893</v>
      </c>
      <c r="L537" s="46">
        <f t="shared" si="147"/>
        <v>122.57392875000002</v>
      </c>
      <c r="M537" s="338">
        <f t="shared" si="148"/>
        <v>0</v>
      </c>
      <c r="N537" s="43" t="s">
        <v>162</v>
      </c>
      <c r="O537" s="339">
        <v>85362000</v>
      </c>
      <c r="P537" s="340">
        <f>IFERROR(VLOOKUP(O537,NCM!$A$3:$D$99,COLUMN(head_porNCM_IPI)-COLUMN(head_porNCM_NCM)+1,FALSE),"")</f>
        <v>0.1</v>
      </c>
      <c r="Q537" s="43" t="s">
        <v>806</v>
      </c>
      <c r="R537" s="78" t="s">
        <v>210</v>
      </c>
      <c r="S537" s="341"/>
      <c r="T537" s="28" t="s">
        <v>52</v>
      </c>
      <c r="U537" s="28" t="s">
        <v>3113</v>
      </c>
      <c r="V537" s="548">
        <v>45469</v>
      </c>
      <c r="W537" s="43"/>
      <c r="X537" s="342">
        <f t="shared" si="149"/>
        <v>81.36169014084507</v>
      </c>
      <c r="Y537" s="342">
        <f t="shared" si="150"/>
        <v>29.380610328638454</v>
      </c>
      <c r="Z537" s="46">
        <f t="shared" si="151"/>
        <v>7.4581549295774661</v>
      </c>
      <c r="AA537" s="46">
        <f t="shared" si="152"/>
        <v>34.352713615023475</v>
      </c>
      <c r="AB537" s="43"/>
      <c r="AC537" s="44">
        <v>481.39</v>
      </c>
      <c r="AD537" s="31">
        <v>0.18</v>
      </c>
      <c r="AE537" s="31">
        <v>6.5000000000000002E-2</v>
      </c>
      <c r="AF537" s="31">
        <v>0</v>
      </c>
      <c r="AG537" s="28" t="s">
        <v>53</v>
      </c>
      <c r="AH537" s="46">
        <f t="shared" si="153"/>
        <v>512.68034999999998</v>
      </c>
      <c r="AI537" s="43"/>
      <c r="AJ537" s="28" t="s">
        <v>264</v>
      </c>
      <c r="AK537" s="337"/>
      <c r="AL537" s="43"/>
      <c r="AM537" s="44">
        <f t="shared" si="154"/>
        <v>0</v>
      </c>
      <c r="AN537" s="43"/>
      <c r="AO537" s="28">
        <f t="shared" si="155"/>
        <v>0</v>
      </c>
      <c r="AP537" s="43"/>
      <c r="AQ537" s="323">
        <f t="shared" si="156"/>
        <v>0</v>
      </c>
      <c r="AR537" s="43"/>
      <c r="AS537" s="44">
        <f t="shared" si="157"/>
        <v>512.68034999999998</v>
      </c>
    </row>
    <row r="538" spans="1:45" x14ac:dyDescent="0.25">
      <c r="A538" s="28"/>
      <c r="B538" s="43"/>
      <c r="C538" s="43"/>
      <c r="D538" s="43" t="s">
        <v>1339</v>
      </c>
      <c r="E538" s="43"/>
      <c r="F538" s="43"/>
      <c r="G538" s="46">
        <f t="shared" si="144"/>
        <v>0</v>
      </c>
      <c r="H538" s="46">
        <f t="shared" si="145"/>
        <v>0</v>
      </c>
      <c r="I538" s="28"/>
      <c r="J538" s="337"/>
      <c r="K538" s="46" t="str">
        <f t="shared" si="146"/>
        <v/>
      </c>
      <c r="L538" s="46" t="str">
        <f t="shared" si="147"/>
        <v/>
      </c>
      <c r="M538" s="338">
        <f t="shared" si="148"/>
        <v>0</v>
      </c>
      <c r="N538" s="43"/>
      <c r="O538" s="339"/>
      <c r="P538" s="340" t="str">
        <f>IFERROR(VLOOKUP(O538,NCM!$A$3:$D$99,COLUMN(head_porNCM_IPI)-COLUMN(head_porNCM_NCM)+1,FALSE),"")</f>
        <v/>
      </c>
      <c r="Q538" s="43"/>
      <c r="R538" s="78"/>
      <c r="S538" s="341"/>
      <c r="T538" s="28"/>
      <c r="U538" s="28"/>
      <c r="V538" s="28"/>
      <c r="W538" s="43"/>
      <c r="X538" s="342">
        <f t="shared" si="149"/>
        <v>0</v>
      </c>
      <c r="Y538" s="342">
        <f t="shared" si="150"/>
        <v>0</v>
      </c>
      <c r="Z538" s="46">
        <f t="shared" si="151"/>
        <v>0</v>
      </c>
      <c r="AA538" s="46">
        <f t="shared" si="152"/>
        <v>0</v>
      </c>
      <c r="AB538" s="43"/>
      <c r="AC538" s="44">
        <v>0</v>
      </c>
      <c r="AD538" s="31"/>
      <c r="AE538" s="31"/>
      <c r="AF538" s="31"/>
      <c r="AG538" s="28"/>
      <c r="AH538" s="46">
        <f t="shared" si="153"/>
        <v>0</v>
      </c>
      <c r="AI538" s="43"/>
      <c r="AJ538" s="28"/>
      <c r="AK538" s="337"/>
      <c r="AL538" s="43"/>
      <c r="AM538" s="44">
        <f t="shared" si="154"/>
        <v>0</v>
      </c>
      <c r="AN538" s="43"/>
      <c r="AO538" s="28">
        <f t="shared" si="155"/>
        <v>0</v>
      </c>
      <c r="AP538" s="43"/>
      <c r="AQ538" s="323">
        <f t="shared" si="156"/>
        <v>0</v>
      </c>
      <c r="AR538" s="43"/>
      <c r="AS538" s="44">
        <f t="shared" si="157"/>
        <v>0</v>
      </c>
    </row>
    <row r="539" spans="1:45" x14ac:dyDescent="0.25">
      <c r="A539" s="28"/>
      <c r="B539" s="43"/>
      <c r="C539" s="43"/>
      <c r="D539" s="43"/>
      <c r="E539" s="43" t="s">
        <v>2146</v>
      </c>
      <c r="F539" s="43" t="s">
        <v>2147</v>
      </c>
      <c r="G539" s="46">
        <f t="shared" si="144"/>
        <v>1261.9636</v>
      </c>
      <c r="H539" s="46">
        <f t="shared" si="145"/>
        <v>1119.6079500000003</v>
      </c>
      <c r="I539" s="28" t="s">
        <v>262</v>
      </c>
      <c r="J539" s="337">
        <v>0.35</v>
      </c>
      <c r="K539" s="46">
        <f t="shared" si="146"/>
        <v>441.68725999999998</v>
      </c>
      <c r="L539" s="46">
        <f t="shared" si="147"/>
        <v>391.86278250000009</v>
      </c>
      <c r="M539" s="338">
        <f t="shared" si="148"/>
        <v>0</v>
      </c>
      <c r="N539" s="43" t="s">
        <v>162</v>
      </c>
      <c r="O539" s="339">
        <v>85362000</v>
      </c>
      <c r="P539" s="340">
        <f>IFERROR(VLOOKUP(O539,NCM!$A$3:$D$99,COLUMN(head_porNCM_IPI)-COLUMN(head_porNCM_NCM)+1,FALSE),"")</f>
        <v>0.1</v>
      </c>
      <c r="Q539" s="43" t="s">
        <v>806</v>
      </c>
      <c r="R539" s="78" t="s">
        <v>210</v>
      </c>
      <c r="S539" s="341"/>
      <c r="T539" s="28" t="s">
        <v>52</v>
      </c>
      <c r="U539" s="28" t="s">
        <v>3113</v>
      </c>
      <c r="V539" s="548">
        <v>45469</v>
      </c>
      <c r="W539" s="43"/>
      <c r="X539" s="342">
        <f t="shared" si="149"/>
        <v>260.10929577464793</v>
      </c>
      <c r="Y539" s="342">
        <f t="shared" si="150"/>
        <v>93.928356807511591</v>
      </c>
      <c r="Z539" s="46">
        <f t="shared" si="151"/>
        <v>23.843352112676062</v>
      </c>
      <c r="AA539" s="46">
        <f t="shared" si="152"/>
        <v>109.82392488262911</v>
      </c>
      <c r="AB539" s="43"/>
      <c r="AC539" s="44">
        <v>1538.98</v>
      </c>
      <c r="AD539" s="31">
        <v>0.18</v>
      </c>
      <c r="AE539" s="31">
        <v>6.5000000000000002E-2</v>
      </c>
      <c r="AF539" s="31">
        <v>0</v>
      </c>
      <c r="AG539" s="28" t="s">
        <v>53</v>
      </c>
      <c r="AH539" s="46">
        <f t="shared" si="153"/>
        <v>1639.0137</v>
      </c>
      <c r="AI539" s="43"/>
      <c r="AJ539" s="28" t="s">
        <v>264</v>
      </c>
      <c r="AK539" s="337"/>
      <c r="AL539" s="43"/>
      <c r="AM539" s="44">
        <f t="shared" si="154"/>
        <v>0</v>
      </c>
      <c r="AN539" s="43"/>
      <c r="AO539" s="28">
        <f t="shared" si="155"/>
        <v>0</v>
      </c>
      <c r="AP539" s="43"/>
      <c r="AQ539" s="323">
        <f t="shared" si="156"/>
        <v>0</v>
      </c>
      <c r="AR539" s="43"/>
      <c r="AS539" s="44">
        <f t="shared" si="157"/>
        <v>1639.0137</v>
      </c>
    </row>
    <row r="540" spans="1:45" x14ac:dyDescent="0.25">
      <c r="A540" s="28"/>
      <c r="B540" s="43"/>
      <c r="C540" s="43"/>
      <c r="D540" s="43"/>
      <c r="E540" s="43" t="s">
        <v>2148</v>
      </c>
      <c r="F540" s="43" t="s">
        <v>2149</v>
      </c>
      <c r="G540" s="46">
        <f t="shared" si="144"/>
        <v>1261.9636</v>
      </c>
      <c r="H540" s="46">
        <f t="shared" si="145"/>
        <v>1119.6079500000003</v>
      </c>
      <c r="I540" s="28" t="s">
        <v>262</v>
      </c>
      <c r="J540" s="337">
        <v>0.35</v>
      </c>
      <c r="K540" s="46">
        <f t="shared" si="146"/>
        <v>441.68725999999998</v>
      </c>
      <c r="L540" s="46">
        <f t="shared" si="147"/>
        <v>391.86278250000009</v>
      </c>
      <c r="M540" s="338">
        <f t="shared" si="148"/>
        <v>0</v>
      </c>
      <c r="N540" s="43" t="s">
        <v>162</v>
      </c>
      <c r="O540" s="339">
        <v>85362000</v>
      </c>
      <c r="P540" s="340">
        <f>IFERROR(VLOOKUP(O540,NCM!$A$3:$D$99,COLUMN(head_porNCM_IPI)-COLUMN(head_porNCM_NCM)+1,FALSE),"")</f>
        <v>0.1</v>
      </c>
      <c r="Q540" s="43" t="s">
        <v>806</v>
      </c>
      <c r="R540" s="78" t="s">
        <v>210</v>
      </c>
      <c r="S540" s="341"/>
      <c r="T540" s="28" t="s">
        <v>52</v>
      </c>
      <c r="U540" s="28" t="s">
        <v>3113</v>
      </c>
      <c r="V540" s="548">
        <v>45469</v>
      </c>
      <c r="W540" s="43"/>
      <c r="X540" s="342">
        <f t="shared" si="149"/>
        <v>260.10929577464793</v>
      </c>
      <c r="Y540" s="342">
        <f t="shared" si="150"/>
        <v>93.928356807511591</v>
      </c>
      <c r="Z540" s="46">
        <f t="shared" si="151"/>
        <v>23.843352112676062</v>
      </c>
      <c r="AA540" s="46">
        <f t="shared" si="152"/>
        <v>109.82392488262911</v>
      </c>
      <c r="AB540" s="43"/>
      <c r="AC540" s="44">
        <v>1538.98</v>
      </c>
      <c r="AD540" s="31">
        <v>0.18</v>
      </c>
      <c r="AE540" s="31">
        <v>6.5000000000000002E-2</v>
      </c>
      <c r="AF540" s="31">
        <v>0</v>
      </c>
      <c r="AG540" s="28" t="s">
        <v>53</v>
      </c>
      <c r="AH540" s="46">
        <f t="shared" si="153"/>
        <v>1639.0137</v>
      </c>
      <c r="AI540" s="43"/>
      <c r="AJ540" s="28" t="s">
        <v>264</v>
      </c>
      <c r="AK540" s="337"/>
      <c r="AL540" s="43"/>
      <c r="AM540" s="44">
        <f t="shared" si="154"/>
        <v>0</v>
      </c>
      <c r="AN540" s="43"/>
      <c r="AO540" s="28">
        <f t="shared" si="155"/>
        <v>0</v>
      </c>
      <c r="AP540" s="43"/>
      <c r="AQ540" s="323">
        <f t="shared" si="156"/>
        <v>0</v>
      </c>
      <c r="AR540" s="43"/>
      <c r="AS540" s="44">
        <f t="shared" si="157"/>
        <v>1639.0137</v>
      </c>
    </row>
    <row r="541" spans="1:45" x14ac:dyDescent="0.25">
      <c r="A541" s="28"/>
      <c r="B541" s="43"/>
      <c r="C541" s="43"/>
      <c r="D541" s="43"/>
      <c r="E541" s="43" t="s">
        <v>2150</v>
      </c>
      <c r="F541" s="43" t="s">
        <v>2151</v>
      </c>
      <c r="G541" s="46">
        <f t="shared" si="144"/>
        <v>820.27060000000006</v>
      </c>
      <c r="H541" s="46">
        <f t="shared" si="145"/>
        <v>727.74007500000016</v>
      </c>
      <c r="I541" s="28" t="s">
        <v>262</v>
      </c>
      <c r="J541" s="337">
        <v>0.35</v>
      </c>
      <c r="K541" s="46">
        <f t="shared" si="146"/>
        <v>287.09471000000002</v>
      </c>
      <c r="L541" s="46">
        <f t="shared" si="147"/>
        <v>254.70902625000005</v>
      </c>
      <c r="M541" s="338">
        <f t="shared" si="148"/>
        <v>0</v>
      </c>
      <c r="N541" s="43" t="s">
        <v>162</v>
      </c>
      <c r="O541" s="339">
        <v>85362000</v>
      </c>
      <c r="P541" s="340">
        <f>IFERROR(VLOOKUP(O541,NCM!$A$3:$D$99,COLUMN(head_porNCM_IPI)-COLUMN(head_porNCM_NCM)+1,FALSE),"")</f>
        <v>0.1</v>
      </c>
      <c r="Q541" s="43" t="s">
        <v>806</v>
      </c>
      <c r="R541" s="78" t="s">
        <v>210</v>
      </c>
      <c r="S541" s="341"/>
      <c r="T541" s="28" t="s">
        <v>52</v>
      </c>
      <c r="U541" s="28" t="s">
        <v>3113</v>
      </c>
      <c r="V541" s="548">
        <v>45469</v>
      </c>
      <c r="W541" s="43"/>
      <c r="X541" s="342">
        <f t="shared" si="149"/>
        <v>169.06985915492959</v>
      </c>
      <c r="Y541" s="342">
        <f t="shared" si="150"/>
        <v>61.053004694835636</v>
      </c>
      <c r="Z541" s="46">
        <f t="shared" si="151"/>
        <v>15.498070422535214</v>
      </c>
      <c r="AA541" s="46">
        <f t="shared" si="152"/>
        <v>71.385051643192497</v>
      </c>
      <c r="AB541" s="43"/>
      <c r="AC541" s="44">
        <v>1000.33</v>
      </c>
      <c r="AD541" s="31">
        <v>0.18</v>
      </c>
      <c r="AE541" s="31">
        <v>6.5000000000000002E-2</v>
      </c>
      <c r="AF541" s="31">
        <v>0</v>
      </c>
      <c r="AG541" s="28" t="s">
        <v>53</v>
      </c>
      <c r="AH541" s="46">
        <f t="shared" si="153"/>
        <v>1065.3514499999999</v>
      </c>
      <c r="AI541" s="43"/>
      <c r="AJ541" s="28" t="s">
        <v>264</v>
      </c>
      <c r="AK541" s="337"/>
      <c r="AL541" s="43"/>
      <c r="AM541" s="44">
        <f t="shared" si="154"/>
        <v>0</v>
      </c>
      <c r="AN541" s="43"/>
      <c r="AO541" s="28">
        <f t="shared" si="155"/>
        <v>0</v>
      </c>
      <c r="AP541" s="43"/>
      <c r="AQ541" s="323">
        <f t="shared" si="156"/>
        <v>0</v>
      </c>
      <c r="AR541" s="43"/>
      <c r="AS541" s="44">
        <f t="shared" si="157"/>
        <v>1065.3514499999999</v>
      </c>
    </row>
    <row r="542" spans="1:45" x14ac:dyDescent="0.25">
      <c r="A542" s="28"/>
      <c r="B542" s="43"/>
      <c r="C542" s="43"/>
      <c r="D542" s="43"/>
      <c r="E542" s="43" t="s">
        <v>2152</v>
      </c>
      <c r="F542" s="43" t="s">
        <v>2153</v>
      </c>
      <c r="G542" s="46">
        <f t="shared" si="144"/>
        <v>820.27060000000006</v>
      </c>
      <c r="H542" s="46">
        <f t="shared" si="145"/>
        <v>727.74007500000016</v>
      </c>
      <c r="I542" s="28" t="s">
        <v>262</v>
      </c>
      <c r="J542" s="337">
        <v>0.35</v>
      </c>
      <c r="K542" s="46">
        <f t="shared" si="146"/>
        <v>287.09471000000002</v>
      </c>
      <c r="L542" s="46">
        <f t="shared" si="147"/>
        <v>254.70902625000005</v>
      </c>
      <c r="M542" s="338">
        <f t="shared" si="148"/>
        <v>0</v>
      </c>
      <c r="N542" s="43" t="s">
        <v>162</v>
      </c>
      <c r="O542" s="339">
        <v>85362000</v>
      </c>
      <c r="P542" s="340">
        <f>IFERROR(VLOOKUP(O542,NCM!$A$3:$D$99,COLUMN(head_porNCM_IPI)-COLUMN(head_porNCM_NCM)+1,FALSE),"")</f>
        <v>0.1</v>
      </c>
      <c r="Q542" s="43" t="s">
        <v>806</v>
      </c>
      <c r="R542" s="78" t="s">
        <v>210</v>
      </c>
      <c r="S542" s="341"/>
      <c r="T542" s="28" t="s">
        <v>52</v>
      </c>
      <c r="U542" s="28" t="s">
        <v>3113</v>
      </c>
      <c r="V542" s="548">
        <v>45469</v>
      </c>
      <c r="W542" s="43"/>
      <c r="X542" s="342">
        <f t="shared" si="149"/>
        <v>169.06985915492959</v>
      </c>
      <c r="Y542" s="342">
        <f t="shared" si="150"/>
        <v>61.053004694835636</v>
      </c>
      <c r="Z542" s="46">
        <f t="shared" si="151"/>
        <v>15.498070422535214</v>
      </c>
      <c r="AA542" s="46">
        <f t="shared" si="152"/>
        <v>71.385051643192497</v>
      </c>
      <c r="AB542" s="43"/>
      <c r="AC542" s="44">
        <v>1000.33</v>
      </c>
      <c r="AD542" s="31">
        <v>0.18</v>
      </c>
      <c r="AE542" s="31">
        <v>6.5000000000000002E-2</v>
      </c>
      <c r="AF542" s="31">
        <v>0</v>
      </c>
      <c r="AG542" s="28" t="s">
        <v>53</v>
      </c>
      <c r="AH542" s="46">
        <f t="shared" si="153"/>
        <v>1065.3514499999999</v>
      </c>
      <c r="AI542" s="43"/>
      <c r="AJ542" s="28" t="s">
        <v>264</v>
      </c>
      <c r="AK542" s="337"/>
      <c r="AL542" s="43"/>
      <c r="AM542" s="44">
        <f t="shared" si="154"/>
        <v>0</v>
      </c>
      <c r="AN542" s="43"/>
      <c r="AO542" s="28">
        <f t="shared" si="155"/>
        <v>0</v>
      </c>
      <c r="AP542" s="43"/>
      <c r="AQ542" s="323">
        <f t="shared" si="156"/>
        <v>0</v>
      </c>
      <c r="AR542" s="43"/>
      <c r="AS542" s="44">
        <f t="shared" si="157"/>
        <v>1065.3514499999999</v>
      </c>
    </row>
    <row r="543" spans="1:45" x14ac:dyDescent="0.25">
      <c r="A543" s="28"/>
      <c r="B543" s="43"/>
      <c r="C543" s="43"/>
      <c r="D543" s="43"/>
      <c r="E543" s="43" t="s">
        <v>2154</v>
      </c>
      <c r="F543" s="43" t="s">
        <v>2155</v>
      </c>
      <c r="G543" s="46">
        <f t="shared" si="144"/>
        <v>820.27060000000006</v>
      </c>
      <c r="H543" s="46">
        <f t="shared" si="145"/>
        <v>727.74007500000016</v>
      </c>
      <c r="I543" s="28" t="s">
        <v>262</v>
      </c>
      <c r="J543" s="337">
        <v>0.35</v>
      </c>
      <c r="K543" s="46">
        <f t="shared" si="146"/>
        <v>287.09471000000002</v>
      </c>
      <c r="L543" s="46">
        <f t="shared" si="147"/>
        <v>254.70902625000005</v>
      </c>
      <c r="M543" s="338">
        <f t="shared" si="148"/>
        <v>0</v>
      </c>
      <c r="N543" s="43" t="s">
        <v>162</v>
      </c>
      <c r="O543" s="339">
        <v>85362000</v>
      </c>
      <c r="P543" s="340">
        <f>IFERROR(VLOOKUP(O543,NCM!$A$3:$D$99,COLUMN(head_porNCM_IPI)-COLUMN(head_porNCM_NCM)+1,FALSE),"")</f>
        <v>0.1</v>
      </c>
      <c r="Q543" s="43" t="s">
        <v>806</v>
      </c>
      <c r="R543" s="78" t="s">
        <v>210</v>
      </c>
      <c r="S543" s="341"/>
      <c r="T543" s="28" t="s">
        <v>52</v>
      </c>
      <c r="U543" s="28" t="s">
        <v>3113</v>
      </c>
      <c r="V543" s="548">
        <v>45469</v>
      </c>
      <c r="W543" s="43"/>
      <c r="X543" s="342">
        <f t="shared" si="149"/>
        <v>169.06985915492959</v>
      </c>
      <c r="Y543" s="342">
        <f t="shared" si="150"/>
        <v>61.053004694835636</v>
      </c>
      <c r="Z543" s="46">
        <f t="shared" si="151"/>
        <v>15.498070422535214</v>
      </c>
      <c r="AA543" s="46">
        <f t="shared" si="152"/>
        <v>71.385051643192497</v>
      </c>
      <c r="AB543" s="43"/>
      <c r="AC543" s="44">
        <v>1000.33</v>
      </c>
      <c r="AD543" s="31">
        <v>0.18</v>
      </c>
      <c r="AE543" s="31">
        <v>6.5000000000000002E-2</v>
      </c>
      <c r="AF543" s="31">
        <v>0</v>
      </c>
      <c r="AG543" s="28" t="s">
        <v>53</v>
      </c>
      <c r="AH543" s="46">
        <f t="shared" si="153"/>
        <v>1065.3514499999999</v>
      </c>
      <c r="AI543" s="43"/>
      <c r="AJ543" s="28" t="s">
        <v>264</v>
      </c>
      <c r="AK543" s="337"/>
      <c r="AL543" s="43"/>
      <c r="AM543" s="44">
        <f t="shared" si="154"/>
        <v>0</v>
      </c>
      <c r="AN543" s="43"/>
      <c r="AO543" s="28">
        <f t="shared" si="155"/>
        <v>0</v>
      </c>
      <c r="AP543" s="43"/>
      <c r="AQ543" s="323">
        <f t="shared" si="156"/>
        <v>0</v>
      </c>
      <c r="AR543" s="43"/>
      <c r="AS543" s="44">
        <f t="shared" si="157"/>
        <v>1065.3514499999999</v>
      </c>
    </row>
    <row r="544" spans="1:45" x14ac:dyDescent="0.25">
      <c r="A544" s="28"/>
      <c r="B544" s="43"/>
      <c r="C544" s="43"/>
      <c r="D544" s="43"/>
      <c r="E544" s="43" t="s">
        <v>2156</v>
      </c>
      <c r="F544" s="43" t="s">
        <v>2157</v>
      </c>
      <c r="G544" s="46">
        <f t="shared" si="144"/>
        <v>820.27060000000006</v>
      </c>
      <c r="H544" s="46">
        <f t="shared" si="145"/>
        <v>727.74007500000016</v>
      </c>
      <c r="I544" s="28" t="s">
        <v>262</v>
      </c>
      <c r="J544" s="337">
        <v>0.35</v>
      </c>
      <c r="K544" s="46">
        <f t="shared" si="146"/>
        <v>287.09471000000002</v>
      </c>
      <c r="L544" s="46">
        <f t="shared" si="147"/>
        <v>254.70902625000005</v>
      </c>
      <c r="M544" s="338">
        <f t="shared" si="148"/>
        <v>0</v>
      </c>
      <c r="N544" s="43" t="s">
        <v>162</v>
      </c>
      <c r="O544" s="339">
        <v>85362000</v>
      </c>
      <c r="P544" s="340">
        <f>IFERROR(VLOOKUP(O544,NCM!$A$3:$D$99,COLUMN(head_porNCM_IPI)-COLUMN(head_porNCM_NCM)+1,FALSE),"")</f>
        <v>0.1</v>
      </c>
      <c r="Q544" s="43" t="s">
        <v>806</v>
      </c>
      <c r="R544" s="78" t="s">
        <v>210</v>
      </c>
      <c r="S544" s="341"/>
      <c r="T544" s="28" t="s">
        <v>52</v>
      </c>
      <c r="U544" s="28" t="s">
        <v>3113</v>
      </c>
      <c r="V544" s="548">
        <v>45469</v>
      </c>
      <c r="W544" s="43"/>
      <c r="X544" s="342">
        <f t="shared" si="149"/>
        <v>169.06985915492959</v>
      </c>
      <c r="Y544" s="342">
        <f t="shared" si="150"/>
        <v>61.053004694835636</v>
      </c>
      <c r="Z544" s="46">
        <f t="shared" si="151"/>
        <v>15.498070422535214</v>
      </c>
      <c r="AA544" s="46">
        <f t="shared" si="152"/>
        <v>71.385051643192497</v>
      </c>
      <c r="AB544" s="43"/>
      <c r="AC544" s="44">
        <v>1000.33</v>
      </c>
      <c r="AD544" s="31">
        <v>0.18</v>
      </c>
      <c r="AE544" s="31">
        <v>6.5000000000000002E-2</v>
      </c>
      <c r="AF544" s="31">
        <v>0</v>
      </c>
      <c r="AG544" s="28" t="s">
        <v>53</v>
      </c>
      <c r="AH544" s="46">
        <f t="shared" si="153"/>
        <v>1065.3514499999999</v>
      </c>
      <c r="AI544" s="43"/>
      <c r="AJ544" s="28" t="s">
        <v>264</v>
      </c>
      <c r="AK544" s="337"/>
      <c r="AL544" s="43"/>
      <c r="AM544" s="44">
        <f t="shared" si="154"/>
        <v>0</v>
      </c>
      <c r="AN544" s="43"/>
      <c r="AO544" s="28">
        <f t="shared" si="155"/>
        <v>0</v>
      </c>
      <c r="AP544" s="43"/>
      <c r="AQ544" s="323">
        <f t="shared" si="156"/>
        <v>0</v>
      </c>
      <c r="AR544" s="43"/>
      <c r="AS544" s="44">
        <f t="shared" si="157"/>
        <v>1065.3514499999999</v>
      </c>
    </row>
    <row r="545" spans="1:45" x14ac:dyDescent="0.25">
      <c r="A545" s="28"/>
      <c r="B545" s="43"/>
      <c r="C545" s="43"/>
      <c r="D545" s="43"/>
      <c r="E545" s="43" t="s">
        <v>2158</v>
      </c>
      <c r="F545" s="43" t="s">
        <v>2159</v>
      </c>
      <c r="G545" s="46">
        <f t="shared" si="144"/>
        <v>1051.6090000000002</v>
      </c>
      <c r="H545" s="46">
        <f t="shared" si="145"/>
        <v>932.98237500000027</v>
      </c>
      <c r="I545" s="28" t="s">
        <v>262</v>
      </c>
      <c r="J545" s="337">
        <v>0.35</v>
      </c>
      <c r="K545" s="46">
        <f t="shared" si="146"/>
        <v>368.06315000000001</v>
      </c>
      <c r="L545" s="46">
        <f t="shared" si="147"/>
        <v>326.5438312500001</v>
      </c>
      <c r="M545" s="338">
        <f t="shared" si="148"/>
        <v>0</v>
      </c>
      <c r="N545" s="43" t="s">
        <v>162</v>
      </c>
      <c r="O545" s="339">
        <v>85362000</v>
      </c>
      <c r="P545" s="340">
        <f>IFERROR(VLOOKUP(O545,NCM!$A$3:$D$99,COLUMN(head_porNCM_IPI)-COLUMN(head_porNCM_NCM)+1,FALSE),"")</f>
        <v>0.1</v>
      </c>
      <c r="Q545" s="43" t="s">
        <v>806</v>
      </c>
      <c r="R545" s="78" t="s">
        <v>210</v>
      </c>
      <c r="S545" s="341"/>
      <c r="T545" s="28" t="s">
        <v>52</v>
      </c>
      <c r="U545" s="28" t="s">
        <v>3113</v>
      </c>
      <c r="V545" s="548">
        <v>45469</v>
      </c>
      <c r="W545" s="43"/>
      <c r="X545" s="342">
        <f t="shared" si="149"/>
        <v>216.75211267605636</v>
      </c>
      <c r="Y545" s="342">
        <f t="shared" si="150"/>
        <v>78.271596244131388</v>
      </c>
      <c r="Z545" s="46">
        <f t="shared" si="151"/>
        <v>19.868943661971834</v>
      </c>
      <c r="AA545" s="46">
        <f t="shared" si="152"/>
        <v>91.517558685446019</v>
      </c>
      <c r="AB545" s="43"/>
      <c r="AC545" s="44">
        <v>1282.45</v>
      </c>
      <c r="AD545" s="31">
        <v>0.18</v>
      </c>
      <c r="AE545" s="31">
        <v>6.5000000000000002E-2</v>
      </c>
      <c r="AF545" s="31">
        <v>0</v>
      </c>
      <c r="AG545" s="28" t="s">
        <v>53</v>
      </c>
      <c r="AH545" s="46">
        <f t="shared" si="153"/>
        <v>1365.80925</v>
      </c>
      <c r="AI545" s="43"/>
      <c r="AJ545" s="28" t="s">
        <v>264</v>
      </c>
      <c r="AK545" s="337"/>
      <c r="AL545" s="43"/>
      <c r="AM545" s="44">
        <f t="shared" si="154"/>
        <v>0</v>
      </c>
      <c r="AN545" s="43"/>
      <c r="AO545" s="28">
        <f t="shared" si="155"/>
        <v>0</v>
      </c>
      <c r="AP545" s="43"/>
      <c r="AQ545" s="323">
        <f t="shared" si="156"/>
        <v>0</v>
      </c>
      <c r="AR545" s="43"/>
      <c r="AS545" s="44">
        <f t="shared" si="157"/>
        <v>1365.80925</v>
      </c>
    </row>
    <row r="546" spans="1:45" x14ac:dyDescent="0.25">
      <c r="A546" s="28"/>
      <c r="B546" s="43"/>
      <c r="C546" s="43"/>
      <c r="D546" s="43"/>
      <c r="E546" s="43" t="s">
        <v>2160</v>
      </c>
      <c r="F546" s="43" t="s">
        <v>2161</v>
      </c>
      <c r="G546" s="46">
        <f t="shared" si="144"/>
        <v>1051.6090000000002</v>
      </c>
      <c r="H546" s="46">
        <f t="shared" si="145"/>
        <v>932.98237500000027</v>
      </c>
      <c r="I546" s="28" t="s">
        <v>262</v>
      </c>
      <c r="J546" s="337">
        <v>0.35</v>
      </c>
      <c r="K546" s="46">
        <f t="shared" si="146"/>
        <v>368.06315000000001</v>
      </c>
      <c r="L546" s="46">
        <f t="shared" si="147"/>
        <v>326.5438312500001</v>
      </c>
      <c r="M546" s="338">
        <f t="shared" si="148"/>
        <v>0</v>
      </c>
      <c r="N546" s="43" t="s">
        <v>162</v>
      </c>
      <c r="O546" s="339">
        <v>85362000</v>
      </c>
      <c r="P546" s="340">
        <f>IFERROR(VLOOKUP(O546,NCM!$A$3:$D$99,COLUMN(head_porNCM_IPI)-COLUMN(head_porNCM_NCM)+1,FALSE),"")</f>
        <v>0.1</v>
      </c>
      <c r="Q546" s="43" t="s">
        <v>806</v>
      </c>
      <c r="R546" s="78" t="s">
        <v>210</v>
      </c>
      <c r="S546" s="341"/>
      <c r="T546" s="28" t="s">
        <v>52</v>
      </c>
      <c r="U546" s="28" t="s">
        <v>3113</v>
      </c>
      <c r="V546" s="548">
        <v>45469</v>
      </c>
      <c r="W546" s="43"/>
      <c r="X546" s="342">
        <f t="shared" si="149"/>
        <v>216.75211267605636</v>
      </c>
      <c r="Y546" s="342">
        <f t="shared" si="150"/>
        <v>78.271596244131388</v>
      </c>
      <c r="Z546" s="46">
        <f t="shared" si="151"/>
        <v>19.868943661971834</v>
      </c>
      <c r="AA546" s="46">
        <f t="shared" si="152"/>
        <v>91.517558685446019</v>
      </c>
      <c r="AB546" s="43"/>
      <c r="AC546" s="44">
        <v>1282.45</v>
      </c>
      <c r="AD546" s="31">
        <v>0.18</v>
      </c>
      <c r="AE546" s="31">
        <v>6.5000000000000002E-2</v>
      </c>
      <c r="AF546" s="31">
        <v>0</v>
      </c>
      <c r="AG546" s="28" t="s">
        <v>53</v>
      </c>
      <c r="AH546" s="46">
        <f t="shared" si="153"/>
        <v>1365.80925</v>
      </c>
      <c r="AI546" s="43"/>
      <c r="AJ546" s="28" t="s">
        <v>264</v>
      </c>
      <c r="AK546" s="337"/>
      <c r="AL546" s="43"/>
      <c r="AM546" s="44">
        <f t="shared" si="154"/>
        <v>0</v>
      </c>
      <c r="AN546" s="43"/>
      <c r="AO546" s="28">
        <f t="shared" si="155"/>
        <v>0</v>
      </c>
      <c r="AP546" s="43"/>
      <c r="AQ546" s="323">
        <f t="shared" si="156"/>
        <v>0</v>
      </c>
      <c r="AR546" s="43"/>
      <c r="AS546" s="44">
        <f t="shared" si="157"/>
        <v>1365.80925</v>
      </c>
    </row>
    <row r="547" spans="1:45" x14ac:dyDescent="0.25">
      <c r="A547" s="28"/>
      <c r="B547" s="43"/>
      <c r="C547" s="43"/>
      <c r="D547" s="43"/>
      <c r="E547" s="43" t="s">
        <v>2162</v>
      </c>
      <c r="F547" s="43" t="s">
        <v>2163</v>
      </c>
      <c r="G547" s="46">
        <f t="shared" si="144"/>
        <v>1051.6090000000002</v>
      </c>
      <c r="H547" s="46">
        <f t="shared" si="145"/>
        <v>932.98237500000027</v>
      </c>
      <c r="I547" s="28" t="s">
        <v>262</v>
      </c>
      <c r="J547" s="337">
        <v>0.35</v>
      </c>
      <c r="K547" s="46">
        <f t="shared" si="146"/>
        <v>368.06315000000001</v>
      </c>
      <c r="L547" s="46">
        <f t="shared" si="147"/>
        <v>326.5438312500001</v>
      </c>
      <c r="M547" s="338">
        <f t="shared" si="148"/>
        <v>0</v>
      </c>
      <c r="N547" s="43" t="s">
        <v>162</v>
      </c>
      <c r="O547" s="339">
        <v>85362000</v>
      </c>
      <c r="P547" s="340">
        <f>IFERROR(VLOOKUP(O547,NCM!$A$3:$D$99,COLUMN(head_porNCM_IPI)-COLUMN(head_porNCM_NCM)+1,FALSE),"")</f>
        <v>0.1</v>
      </c>
      <c r="Q547" s="43" t="s">
        <v>806</v>
      </c>
      <c r="R547" s="78" t="s">
        <v>210</v>
      </c>
      <c r="S547" s="341"/>
      <c r="T547" s="28" t="s">
        <v>52</v>
      </c>
      <c r="U547" s="28" t="s">
        <v>3113</v>
      </c>
      <c r="V547" s="548">
        <v>45469</v>
      </c>
      <c r="W547" s="43"/>
      <c r="X547" s="342">
        <f t="shared" si="149"/>
        <v>216.75211267605636</v>
      </c>
      <c r="Y547" s="342">
        <f t="shared" si="150"/>
        <v>78.271596244131388</v>
      </c>
      <c r="Z547" s="46">
        <f t="shared" si="151"/>
        <v>19.868943661971834</v>
      </c>
      <c r="AA547" s="46">
        <f t="shared" si="152"/>
        <v>91.517558685446019</v>
      </c>
      <c r="AB547" s="43"/>
      <c r="AC547" s="44">
        <v>1282.45</v>
      </c>
      <c r="AD547" s="31">
        <v>0.18</v>
      </c>
      <c r="AE547" s="31">
        <v>6.5000000000000002E-2</v>
      </c>
      <c r="AF547" s="31">
        <v>0</v>
      </c>
      <c r="AG547" s="28" t="s">
        <v>53</v>
      </c>
      <c r="AH547" s="46">
        <f t="shared" si="153"/>
        <v>1365.80925</v>
      </c>
      <c r="AI547" s="43"/>
      <c r="AJ547" s="28" t="s">
        <v>264</v>
      </c>
      <c r="AK547" s="337"/>
      <c r="AL547" s="43"/>
      <c r="AM547" s="44">
        <f t="shared" si="154"/>
        <v>0</v>
      </c>
      <c r="AN547" s="43"/>
      <c r="AO547" s="28">
        <f t="shared" si="155"/>
        <v>0</v>
      </c>
      <c r="AP547" s="43"/>
      <c r="AQ547" s="323">
        <f t="shared" si="156"/>
        <v>0</v>
      </c>
      <c r="AR547" s="43"/>
      <c r="AS547" s="44">
        <f t="shared" si="157"/>
        <v>1365.80925</v>
      </c>
    </row>
    <row r="548" spans="1:45" x14ac:dyDescent="0.25">
      <c r="A548" s="28"/>
      <c r="B548" s="43"/>
      <c r="C548" s="43"/>
      <c r="D548" s="43" t="s">
        <v>1340</v>
      </c>
      <c r="E548" s="43"/>
      <c r="F548" s="43"/>
      <c r="G548" s="46">
        <f t="shared" si="144"/>
        <v>0</v>
      </c>
      <c r="H548" s="46">
        <f t="shared" si="145"/>
        <v>0</v>
      </c>
      <c r="I548" s="28"/>
      <c r="J548" s="337"/>
      <c r="K548" s="46" t="str">
        <f t="shared" si="146"/>
        <v/>
      </c>
      <c r="L548" s="46" t="str">
        <f t="shared" si="147"/>
        <v/>
      </c>
      <c r="M548" s="338">
        <f t="shared" si="148"/>
        <v>0</v>
      </c>
      <c r="N548" s="43"/>
      <c r="O548" s="339"/>
      <c r="P548" s="340" t="str">
        <f>IFERROR(VLOOKUP(O548,NCM!$A$3:$D$99,COLUMN(head_porNCM_IPI)-COLUMN(head_porNCM_NCM)+1,FALSE),"")</f>
        <v/>
      </c>
      <c r="Q548" s="43"/>
      <c r="R548" s="78"/>
      <c r="S548" s="341"/>
      <c r="T548" s="28"/>
      <c r="U548" s="28"/>
      <c r="V548" s="28"/>
      <c r="W548" s="43"/>
      <c r="X548" s="342">
        <f t="shared" si="149"/>
        <v>0</v>
      </c>
      <c r="Y548" s="342">
        <f t="shared" si="150"/>
        <v>0</v>
      </c>
      <c r="Z548" s="46">
        <f t="shared" si="151"/>
        <v>0</v>
      </c>
      <c r="AA548" s="46">
        <f t="shared" si="152"/>
        <v>0</v>
      </c>
      <c r="AB548" s="43"/>
      <c r="AC548" s="44">
        <v>0</v>
      </c>
      <c r="AD548" s="31"/>
      <c r="AE548" s="31"/>
      <c r="AF548" s="31"/>
      <c r="AG548" s="28"/>
      <c r="AH548" s="46">
        <f t="shared" si="153"/>
        <v>0</v>
      </c>
      <c r="AI548" s="43"/>
      <c r="AJ548" s="28"/>
      <c r="AK548" s="337"/>
      <c r="AL548" s="43"/>
      <c r="AM548" s="44">
        <f t="shared" si="154"/>
        <v>0</v>
      </c>
      <c r="AN548" s="43"/>
      <c r="AO548" s="28">
        <f t="shared" si="155"/>
        <v>0</v>
      </c>
      <c r="AP548" s="43"/>
      <c r="AQ548" s="323">
        <f t="shared" si="156"/>
        <v>0</v>
      </c>
      <c r="AR548" s="43"/>
      <c r="AS548" s="44">
        <f t="shared" si="157"/>
        <v>0</v>
      </c>
    </row>
    <row r="549" spans="1:45" x14ac:dyDescent="0.25">
      <c r="A549" s="28"/>
      <c r="B549" s="43"/>
      <c r="C549" s="43"/>
      <c r="D549" s="43"/>
      <c r="E549" s="43" t="s">
        <v>1341</v>
      </c>
      <c r="F549" s="43" t="s">
        <v>1342</v>
      </c>
      <c r="G549" s="46">
        <f t="shared" si="144"/>
        <v>169.14140000000003</v>
      </c>
      <c r="H549" s="46">
        <f t="shared" si="145"/>
        <v>150.06142500000004</v>
      </c>
      <c r="I549" s="28" t="s">
        <v>262</v>
      </c>
      <c r="J549" s="337">
        <v>0.35</v>
      </c>
      <c r="K549" s="46">
        <f t="shared" si="146"/>
        <v>59.199490000000004</v>
      </c>
      <c r="L549" s="46">
        <f t="shared" si="147"/>
        <v>52.521498750000013</v>
      </c>
      <c r="M549" s="338">
        <f t="shared" si="148"/>
        <v>0</v>
      </c>
      <c r="N549" s="43" t="s">
        <v>162</v>
      </c>
      <c r="O549" s="339">
        <v>85389090</v>
      </c>
      <c r="P549" s="340">
        <f>IFERROR(VLOOKUP(O549,NCM!$A$3:$D$99,COLUMN(head_porNCM_IPI)-COLUMN(head_porNCM_NCM)+1,FALSE),"")</f>
        <v>0.15</v>
      </c>
      <c r="Q549" s="43" t="s">
        <v>806</v>
      </c>
      <c r="R549" s="78" t="s">
        <v>210</v>
      </c>
      <c r="S549" s="341"/>
      <c r="T549" s="28" t="s">
        <v>52</v>
      </c>
      <c r="U549" s="28" t="s">
        <v>3113</v>
      </c>
      <c r="V549" s="548">
        <v>45469</v>
      </c>
      <c r="W549" s="43"/>
      <c r="X549" s="342">
        <f t="shared" si="149"/>
        <v>33.830159453302969</v>
      </c>
      <c r="Y549" s="342">
        <f t="shared" si="150"/>
        <v>18.324669703872416</v>
      </c>
      <c r="Z549" s="46">
        <f t="shared" si="151"/>
        <v>3.1010979498861055</v>
      </c>
      <c r="AA549" s="46">
        <f t="shared" si="152"/>
        <v>14.283845102505698</v>
      </c>
      <c r="AB549" s="43"/>
      <c r="AC549" s="44">
        <v>206.27</v>
      </c>
      <c r="AD549" s="31">
        <v>0.18</v>
      </c>
      <c r="AE549" s="31">
        <v>9.7500000000000003E-2</v>
      </c>
      <c r="AF549" s="31">
        <v>0</v>
      </c>
      <c r="AG549" s="28" t="s">
        <v>53</v>
      </c>
      <c r="AH549" s="46">
        <f t="shared" si="153"/>
        <v>226.381325</v>
      </c>
      <c r="AI549" s="43"/>
      <c r="AJ549" s="28" t="s">
        <v>264</v>
      </c>
      <c r="AK549" s="337"/>
      <c r="AL549" s="43"/>
      <c r="AM549" s="44">
        <f t="shared" si="154"/>
        <v>0</v>
      </c>
      <c r="AN549" s="43"/>
      <c r="AO549" s="28">
        <f t="shared" si="155"/>
        <v>0</v>
      </c>
      <c r="AP549" s="43"/>
      <c r="AQ549" s="323">
        <f t="shared" si="156"/>
        <v>0</v>
      </c>
      <c r="AR549" s="43"/>
      <c r="AS549" s="44">
        <f t="shared" si="157"/>
        <v>226.381325</v>
      </c>
    </row>
    <row r="550" spans="1:45" x14ac:dyDescent="0.25">
      <c r="A550" s="28"/>
      <c r="B550" s="43"/>
      <c r="C550" s="43"/>
      <c r="D550" s="43"/>
      <c r="E550" s="43" t="s">
        <v>1343</v>
      </c>
      <c r="F550" s="43" t="s">
        <v>1344</v>
      </c>
      <c r="G550" s="46">
        <f t="shared" si="144"/>
        <v>173.3562</v>
      </c>
      <c r="H550" s="46">
        <f t="shared" si="145"/>
        <v>153.80077500000002</v>
      </c>
      <c r="I550" s="28" t="s">
        <v>262</v>
      </c>
      <c r="J550" s="337">
        <v>0.35</v>
      </c>
      <c r="K550" s="46">
        <f t="shared" si="146"/>
        <v>60.674669999999999</v>
      </c>
      <c r="L550" s="46">
        <f t="shared" si="147"/>
        <v>53.830271250000003</v>
      </c>
      <c r="M550" s="338">
        <f t="shared" si="148"/>
        <v>0</v>
      </c>
      <c r="N550" s="43" t="s">
        <v>162</v>
      </c>
      <c r="O550" s="339">
        <v>85389090</v>
      </c>
      <c r="P550" s="340">
        <f>IFERROR(VLOOKUP(O550,NCM!$A$3:$D$99,COLUMN(head_porNCM_IPI)-COLUMN(head_porNCM_NCM)+1,FALSE),"")</f>
        <v>0.15</v>
      </c>
      <c r="Q550" s="43" t="s">
        <v>806</v>
      </c>
      <c r="R550" s="78" t="s">
        <v>210</v>
      </c>
      <c r="S550" s="341"/>
      <c r="T550" s="28" t="s">
        <v>52</v>
      </c>
      <c r="U550" s="28" t="s">
        <v>3113</v>
      </c>
      <c r="V550" s="548">
        <v>45469</v>
      </c>
      <c r="W550" s="43"/>
      <c r="X550" s="342">
        <f t="shared" si="149"/>
        <v>34.673166287015945</v>
      </c>
      <c r="Y550" s="342">
        <f t="shared" si="150"/>
        <v>18.78129840546697</v>
      </c>
      <c r="Z550" s="46">
        <f t="shared" si="151"/>
        <v>3.1783735763097951</v>
      </c>
      <c r="AA550" s="46">
        <f t="shared" si="152"/>
        <v>14.639781321184509</v>
      </c>
      <c r="AB550" s="43"/>
      <c r="AC550" s="44">
        <v>211.41</v>
      </c>
      <c r="AD550" s="31">
        <v>0.18</v>
      </c>
      <c r="AE550" s="31">
        <v>9.7500000000000003E-2</v>
      </c>
      <c r="AF550" s="31">
        <v>0</v>
      </c>
      <c r="AG550" s="28" t="s">
        <v>53</v>
      </c>
      <c r="AH550" s="46">
        <f t="shared" si="153"/>
        <v>232.02247499999999</v>
      </c>
      <c r="AI550" s="43"/>
      <c r="AJ550" s="28" t="s">
        <v>264</v>
      </c>
      <c r="AK550" s="337"/>
      <c r="AL550" s="43"/>
      <c r="AM550" s="44">
        <f t="shared" si="154"/>
        <v>0</v>
      </c>
      <c r="AN550" s="43"/>
      <c r="AO550" s="28">
        <f t="shared" si="155"/>
        <v>0</v>
      </c>
      <c r="AP550" s="43"/>
      <c r="AQ550" s="323">
        <f t="shared" si="156"/>
        <v>0</v>
      </c>
      <c r="AR550" s="43"/>
      <c r="AS550" s="44">
        <f t="shared" si="157"/>
        <v>232.02247499999999</v>
      </c>
    </row>
    <row r="551" spans="1:45" x14ac:dyDescent="0.25">
      <c r="A551" s="28"/>
      <c r="B551" s="43"/>
      <c r="C551" s="43"/>
      <c r="D551" s="43" t="s">
        <v>1345</v>
      </c>
      <c r="E551" s="43"/>
      <c r="F551" s="43"/>
      <c r="G551" s="46">
        <f t="shared" si="144"/>
        <v>0</v>
      </c>
      <c r="H551" s="46">
        <f t="shared" si="145"/>
        <v>0</v>
      </c>
      <c r="I551" s="28"/>
      <c r="J551" s="337"/>
      <c r="K551" s="46" t="str">
        <f t="shared" si="146"/>
        <v/>
      </c>
      <c r="L551" s="46" t="str">
        <f t="shared" si="147"/>
        <v/>
      </c>
      <c r="M551" s="338">
        <f t="shared" si="148"/>
        <v>0</v>
      </c>
      <c r="N551" s="43"/>
      <c r="O551" s="339"/>
      <c r="P551" s="340" t="str">
        <f>IFERROR(VLOOKUP(O551,NCM!$A$3:$D$99,COLUMN(head_porNCM_IPI)-COLUMN(head_porNCM_NCM)+1,FALSE),"")</f>
        <v/>
      </c>
      <c r="Q551" s="43"/>
      <c r="R551" s="78"/>
      <c r="S551" s="341"/>
      <c r="T551" s="28"/>
      <c r="U551" s="28"/>
      <c r="V551" s="28"/>
      <c r="W551" s="43"/>
      <c r="X551" s="342">
        <f t="shared" si="149"/>
        <v>0</v>
      </c>
      <c r="Y551" s="342">
        <f t="shared" si="150"/>
        <v>0</v>
      </c>
      <c r="Z551" s="46">
        <f t="shared" si="151"/>
        <v>0</v>
      </c>
      <c r="AA551" s="46">
        <f t="shared" si="152"/>
        <v>0</v>
      </c>
      <c r="AB551" s="43"/>
      <c r="AC551" s="44">
        <v>0</v>
      </c>
      <c r="AD551" s="31"/>
      <c r="AE551" s="31"/>
      <c r="AF551" s="31"/>
      <c r="AG551" s="28"/>
      <c r="AH551" s="46">
        <f t="shared" si="153"/>
        <v>0</v>
      </c>
      <c r="AI551" s="43"/>
      <c r="AJ551" s="28"/>
      <c r="AK551" s="337"/>
      <c r="AL551" s="43"/>
      <c r="AM551" s="44">
        <f t="shared" si="154"/>
        <v>0</v>
      </c>
      <c r="AN551" s="43"/>
      <c r="AO551" s="28">
        <f t="shared" si="155"/>
        <v>0</v>
      </c>
      <c r="AP551" s="43"/>
      <c r="AQ551" s="323">
        <f t="shared" si="156"/>
        <v>0</v>
      </c>
      <c r="AR551" s="43"/>
      <c r="AS551" s="44">
        <f t="shared" si="157"/>
        <v>0</v>
      </c>
    </row>
    <row r="552" spans="1:45" x14ac:dyDescent="0.25">
      <c r="A552" s="28"/>
      <c r="B552" s="43"/>
      <c r="C552" s="43"/>
      <c r="D552" s="43" t="s">
        <v>1346</v>
      </c>
      <c r="E552" s="43"/>
      <c r="F552" s="43"/>
      <c r="G552" s="46">
        <f t="shared" si="144"/>
        <v>0</v>
      </c>
      <c r="H552" s="46">
        <f t="shared" si="145"/>
        <v>0</v>
      </c>
      <c r="I552" s="28"/>
      <c r="J552" s="337"/>
      <c r="K552" s="46" t="str">
        <f t="shared" si="146"/>
        <v/>
      </c>
      <c r="L552" s="46" t="str">
        <f t="shared" si="147"/>
        <v/>
      </c>
      <c r="M552" s="338">
        <f t="shared" si="148"/>
        <v>0</v>
      </c>
      <c r="N552" s="43"/>
      <c r="O552" s="339"/>
      <c r="P552" s="340" t="str">
        <f>IFERROR(VLOOKUP(O552,NCM!$A$3:$D$99,COLUMN(head_porNCM_IPI)-COLUMN(head_porNCM_NCM)+1,FALSE),"")</f>
        <v/>
      </c>
      <c r="Q552" s="43"/>
      <c r="R552" s="78"/>
      <c r="S552" s="341"/>
      <c r="T552" s="28"/>
      <c r="U552" s="28"/>
      <c r="V552" s="28"/>
      <c r="W552" s="43"/>
      <c r="X552" s="342">
        <f t="shared" si="149"/>
        <v>0</v>
      </c>
      <c r="Y552" s="342">
        <f t="shared" si="150"/>
        <v>0</v>
      </c>
      <c r="Z552" s="46">
        <f t="shared" si="151"/>
        <v>0</v>
      </c>
      <c r="AA552" s="46">
        <f t="shared" si="152"/>
        <v>0</v>
      </c>
      <c r="AB552" s="43"/>
      <c r="AC552" s="44">
        <v>0</v>
      </c>
      <c r="AD552" s="31"/>
      <c r="AE552" s="31"/>
      <c r="AF552" s="31"/>
      <c r="AG552" s="28"/>
      <c r="AH552" s="46">
        <f t="shared" si="153"/>
        <v>0</v>
      </c>
      <c r="AI552" s="43"/>
      <c r="AJ552" s="28"/>
      <c r="AK552" s="337"/>
      <c r="AL552" s="43"/>
      <c r="AM552" s="44">
        <f t="shared" si="154"/>
        <v>0</v>
      </c>
      <c r="AN552" s="43"/>
      <c r="AO552" s="28">
        <f t="shared" si="155"/>
        <v>0</v>
      </c>
      <c r="AP552" s="43"/>
      <c r="AQ552" s="323">
        <f t="shared" si="156"/>
        <v>0</v>
      </c>
      <c r="AR552" s="43"/>
      <c r="AS552" s="44">
        <f t="shared" si="157"/>
        <v>0</v>
      </c>
    </row>
    <row r="553" spans="1:45" x14ac:dyDescent="0.25">
      <c r="A553" s="28"/>
      <c r="B553" s="43"/>
      <c r="C553" s="43"/>
      <c r="D553" s="43"/>
      <c r="E553" s="43" t="s">
        <v>1347</v>
      </c>
      <c r="F553" s="43" t="s">
        <v>1348</v>
      </c>
      <c r="G553" s="46">
        <f t="shared" si="144"/>
        <v>830.23360000000002</v>
      </c>
      <c r="H553" s="46">
        <f t="shared" si="145"/>
        <v>736.57920000000013</v>
      </c>
      <c r="I553" s="28" t="s">
        <v>262</v>
      </c>
      <c r="J553" s="337">
        <v>0.35</v>
      </c>
      <c r="K553" s="46">
        <f t="shared" si="146"/>
        <v>290.58175999999997</v>
      </c>
      <c r="L553" s="46">
        <f t="shared" si="147"/>
        <v>257.80272000000002</v>
      </c>
      <c r="M553" s="338">
        <f t="shared" si="148"/>
        <v>0</v>
      </c>
      <c r="N553" s="43" t="s">
        <v>161</v>
      </c>
      <c r="O553" s="339">
        <v>85362000</v>
      </c>
      <c r="P553" s="340">
        <f>IFERROR(VLOOKUP(O553,NCM!$A$3:$D$99,COLUMN(head_porNCM_IPI)-COLUMN(head_porNCM_NCM)+1,FALSE),"")</f>
        <v>0.1</v>
      </c>
      <c r="Q553" s="43" t="s">
        <v>806</v>
      </c>
      <c r="R553" s="78" t="s">
        <v>210</v>
      </c>
      <c r="S553" s="341"/>
      <c r="T553" s="28" t="s">
        <v>52</v>
      </c>
      <c r="U553" s="28" t="s">
        <v>3113</v>
      </c>
      <c r="V553" s="548">
        <v>45469</v>
      </c>
      <c r="W553" s="43"/>
      <c r="X553" s="342">
        <f t="shared" si="149"/>
        <v>171.12338028169015</v>
      </c>
      <c r="Y553" s="342">
        <f t="shared" si="150"/>
        <v>61.794553990610325</v>
      </c>
      <c r="Z553" s="46">
        <f t="shared" si="151"/>
        <v>15.68630985915493</v>
      </c>
      <c r="AA553" s="46">
        <f t="shared" si="152"/>
        <v>72.252093896713617</v>
      </c>
      <c r="AB553" s="43"/>
      <c r="AC553" s="44">
        <v>1012.48</v>
      </c>
      <c r="AD553" s="31">
        <v>0.18</v>
      </c>
      <c r="AE553" s="31">
        <v>6.5000000000000002E-2</v>
      </c>
      <c r="AF553" s="31">
        <v>0</v>
      </c>
      <c r="AG553" s="28" t="s">
        <v>53</v>
      </c>
      <c r="AH553" s="46">
        <f t="shared" si="153"/>
        <v>1078.2911999999999</v>
      </c>
      <c r="AI553" s="43"/>
      <c r="AJ553" s="28" t="s">
        <v>264</v>
      </c>
      <c r="AK553" s="337"/>
      <c r="AL553" s="43"/>
      <c r="AM553" s="44">
        <f t="shared" si="154"/>
        <v>0</v>
      </c>
      <c r="AN553" s="43"/>
      <c r="AO553" s="28">
        <f t="shared" si="155"/>
        <v>0</v>
      </c>
      <c r="AP553" s="43"/>
      <c r="AQ553" s="323">
        <f t="shared" si="156"/>
        <v>0</v>
      </c>
      <c r="AR553" s="43"/>
      <c r="AS553" s="44">
        <f t="shared" si="157"/>
        <v>1078.2911999999999</v>
      </c>
    </row>
    <row r="554" spans="1:45" x14ac:dyDescent="0.25">
      <c r="A554" s="28"/>
      <c r="B554" s="43"/>
      <c r="C554" s="43"/>
      <c r="D554" s="43"/>
      <c r="E554" s="43" t="s">
        <v>1349</v>
      </c>
      <c r="F554" s="43" t="s">
        <v>1350</v>
      </c>
      <c r="G554" s="46">
        <f t="shared" si="144"/>
        <v>830.23360000000002</v>
      </c>
      <c r="H554" s="46">
        <f t="shared" si="145"/>
        <v>736.57920000000013</v>
      </c>
      <c r="I554" s="28" t="s">
        <v>262</v>
      </c>
      <c r="J554" s="337">
        <v>0.35</v>
      </c>
      <c r="K554" s="46">
        <f t="shared" si="146"/>
        <v>290.58175999999997</v>
      </c>
      <c r="L554" s="46">
        <f t="shared" si="147"/>
        <v>257.80272000000002</v>
      </c>
      <c r="M554" s="338">
        <f t="shared" si="148"/>
        <v>0</v>
      </c>
      <c r="N554" s="43" t="s">
        <v>161</v>
      </c>
      <c r="O554" s="339">
        <v>85362000</v>
      </c>
      <c r="P554" s="340">
        <f>IFERROR(VLOOKUP(O554,NCM!$A$3:$D$99,COLUMN(head_porNCM_IPI)-COLUMN(head_porNCM_NCM)+1,FALSE),"")</f>
        <v>0.1</v>
      </c>
      <c r="Q554" s="43" t="s">
        <v>806</v>
      </c>
      <c r="R554" s="78" t="s">
        <v>210</v>
      </c>
      <c r="S554" s="341"/>
      <c r="T554" s="28" t="s">
        <v>52</v>
      </c>
      <c r="U554" s="28" t="s">
        <v>3113</v>
      </c>
      <c r="V554" s="548">
        <v>45469</v>
      </c>
      <c r="W554" s="43"/>
      <c r="X554" s="342">
        <f t="shared" si="149"/>
        <v>171.12338028169015</v>
      </c>
      <c r="Y554" s="342">
        <f t="shared" si="150"/>
        <v>61.794553990610325</v>
      </c>
      <c r="Z554" s="46">
        <f t="shared" si="151"/>
        <v>15.68630985915493</v>
      </c>
      <c r="AA554" s="46">
        <f t="shared" si="152"/>
        <v>72.252093896713617</v>
      </c>
      <c r="AB554" s="43"/>
      <c r="AC554" s="44">
        <v>1012.48</v>
      </c>
      <c r="AD554" s="31">
        <v>0.18</v>
      </c>
      <c r="AE554" s="31">
        <v>6.5000000000000002E-2</v>
      </c>
      <c r="AF554" s="31">
        <v>0</v>
      </c>
      <c r="AG554" s="28" t="s">
        <v>53</v>
      </c>
      <c r="AH554" s="46">
        <f t="shared" si="153"/>
        <v>1078.2911999999999</v>
      </c>
      <c r="AI554" s="43"/>
      <c r="AJ554" s="28" t="s">
        <v>264</v>
      </c>
      <c r="AK554" s="337"/>
      <c r="AL554" s="43"/>
      <c r="AM554" s="44">
        <f t="shared" si="154"/>
        <v>0</v>
      </c>
      <c r="AN554" s="43"/>
      <c r="AO554" s="28">
        <f t="shared" si="155"/>
        <v>0</v>
      </c>
      <c r="AP554" s="43"/>
      <c r="AQ554" s="323">
        <f t="shared" si="156"/>
        <v>0</v>
      </c>
      <c r="AR554" s="43"/>
      <c r="AS554" s="44">
        <f t="shared" si="157"/>
        <v>1078.2911999999999</v>
      </c>
    </row>
    <row r="555" spans="1:45" x14ac:dyDescent="0.25">
      <c r="A555" s="28"/>
      <c r="B555" s="43"/>
      <c r="C555" s="43"/>
      <c r="D555" s="43"/>
      <c r="E555" s="43" t="s">
        <v>1351</v>
      </c>
      <c r="F555" s="43" t="s">
        <v>1352</v>
      </c>
      <c r="G555" s="46">
        <f t="shared" si="144"/>
        <v>830.23360000000002</v>
      </c>
      <c r="H555" s="46">
        <f t="shared" si="145"/>
        <v>736.57920000000013</v>
      </c>
      <c r="I555" s="28" t="s">
        <v>262</v>
      </c>
      <c r="J555" s="337">
        <v>0.35</v>
      </c>
      <c r="K555" s="46">
        <f t="shared" si="146"/>
        <v>290.58175999999997</v>
      </c>
      <c r="L555" s="46">
        <f t="shared" si="147"/>
        <v>257.80272000000002</v>
      </c>
      <c r="M555" s="338">
        <f t="shared" si="148"/>
        <v>0</v>
      </c>
      <c r="N555" s="43" t="s">
        <v>161</v>
      </c>
      <c r="O555" s="339">
        <v>85362000</v>
      </c>
      <c r="P555" s="340">
        <f>IFERROR(VLOOKUP(O555,NCM!$A$3:$D$99,COLUMN(head_porNCM_IPI)-COLUMN(head_porNCM_NCM)+1,FALSE),"")</f>
        <v>0.1</v>
      </c>
      <c r="Q555" s="43" t="s">
        <v>806</v>
      </c>
      <c r="R555" s="78" t="s">
        <v>210</v>
      </c>
      <c r="S555" s="341"/>
      <c r="T555" s="28" t="s">
        <v>52</v>
      </c>
      <c r="U555" s="28" t="s">
        <v>3113</v>
      </c>
      <c r="V555" s="548">
        <v>45469</v>
      </c>
      <c r="W555" s="43"/>
      <c r="X555" s="342">
        <f t="shared" si="149"/>
        <v>171.12338028169015</v>
      </c>
      <c r="Y555" s="342">
        <f t="shared" si="150"/>
        <v>61.794553990610325</v>
      </c>
      <c r="Z555" s="46">
        <f t="shared" si="151"/>
        <v>15.68630985915493</v>
      </c>
      <c r="AA555" s="46">
        <f t="shared" si="152"/>
        <v>72.252093896713617</v>
      </c>
      <c r="AB555" s="43"/>
      <c r="AC555" s="44">
        <v>1012.48</v>
      </c>
      <c r="AD555" s="31">
        <v>0.18</v>
      </c>
      <c r="AE555" s="31">
        <v>6.5000000000000002E-2</v>
      </c>
      <c r="AF555" s="31">
        <v>0</v>
      </c>
      <c r="AG555" s="28" t="s">
        <v>53</v>
      </c>
      <c r="AH555" s="46">
        <f t="shared" si="153"/>
        <v>1078.2911999999999</v>
      </c>
      <c r="AI555" s="43"/>
      <c r="AJ555" s="28" t="s">
        <v>264</v>
      </c>
      <c r="AK555" s="337"/>
      <c r="AL555" s="43"/>
      <c r="AM555" s="44">
        <f t="shared" si="154"/>
        <v>0</v>
      </c>
      <c r="AN555" s="43"/>
      <c r="AO555" s="28">
        <f t="shared" si="155"/>
        <v>0</v>
      </c>
      <c r="AP555" s="43"/>
      <c r="AQ555" s="323">
        <f t="shared" si="156"/>
        <v>0</v>
      </c>
      <c r="AR555" s="43"/>
      <c r="AS555" s="44">
        <f t="shared" si="157"/>
        <v>1078.2911999999999</v>
      </c>
    </row>
    <row r="556" spans="1:45" x14ac:dyDescent="0.25">
      <c r="A556" s="28"/>
      <c r="B556" s="43"/>
      <c r="C556" s="43"/>
      <c r="D556" s="43"/>
      <c r="E556" s="43" t="s">
        <v>1353</v>
      </c>
      <c r="F556" s="43" t="s">
        <v>1354</v>
      </c>
      <c r="G556" s="46">
        <f t="shared" si="144"/>
        <v>291.56740000000002</v>
      </c>
      <c r="H556" s="46">
        <f t="shared" si="145"/>
        <v>258.67717500000003</v>
      </c>
      <c r="I556" s="28" t="s">
        <v>262</v>
      </c>
      <c r="J556" s="337">
        <v>0.35</v>
      </c>
      <c r="K556" s="46">
        <f t="shared" si="146"/>
        <v>102.04859</v>
      </c>
      <c r="L556" s="46">
        <f t="shared" si="147"/>
        <v>90.537011250000006</v>
      </c>
      <c r="M556" s="338">
        <f t="shared" si="148"/>
        <v>0</v>
      </c>
      <c r="N556" s="43" t="s">
        <v>161</v>
      </c>
      <c r="O556" s="339">
        <v>85389090</v>
      </c>
      <c r="P556" s="340">
        <f>IFERROR(VLOOKUP(O556,NCM!$A$3:$D$99,COLUMN(head_porNCM_IPI)-COLUMN(head_porNCM_NCM)+1,FALSE),"")</f>
        <v>0.15</v>
      </c>
      <c r="Q556" s="43" t="s">
        <v>806</v>
      </c>
      <c r="R556" s="78" t="s">
        <v>210</v>
      </c>
      <c r="S556" s="341"/>
      <c r="T556" s="28" t="s">
        <v>52</v>
      </c>
      <c r="U556" s="28" t="s">
        <v>3113</v>
      </c>
      <c r="V556" s="548">
        <v>45469</v>
      </c>
      <c r="W556" s="43"/>
      <c r="X556" s="342">
        <f t="shared" si="149"/>
        <v>58.316719817767648</v>
      </c>
      <c r="Y556" s="342">
        <f t="shared" si="150"/>
        <v>31.588223234624138</v>
      </c>
      <c r="Z556" s="46">
        <f t="shared" si="151"/>
        <v>5.3456993166287017</v>
      </c>
      <c r="AA556" s="46">
        <f t="shared" si="152"/>
        <v>24.622615034168565</v>
      </c>
      <c r="AB556" s="43"/>
      <c r="AC556" s="44">
        <v>355.57</v>
      </c>
      <c r="AD556" s="31">
        <v>0.18</v>
      </c>
      <c r="AE556" s="31">
        <v>9.7500000000000003E-2</v>
      </c>
      <c r="AF556" s="31">
        <v>0</v>
      </c>
      <c r="AG556" s="28" t="s">
        <v>53</v>
      </c>
      <c r="AH556" s="46">
        <f t="shared" si="153"/>
        <v>390.23807499999998</v>
      </c>
      <c r="AI556" s="43"/>
      <c r="AJ556" s="28" t="s">
        <v>264</v>
      </c>
      <c r="AK556" s="337"/>
      <c r="AL556" s="43"/>
      <c r="AM556" s="44">
        <f t="shared" si="154"/>
        <v>0</v>
      </c>
      <c r="AN556" s="43"/>
      <c r="AO556" s="28">
        <f t="shared" si="155"/>
        <v>0</v>
      </c>
      <c r="AP556" s="43"/>
      <c r="AQ556" s="323">
        <f t="shared" si="156"/>
        <v>0</v>
      </c>
      <c r="AR556" s="43"/>
      <c r="AS556" s="44">
        <f t="shared" si="157"/>
        <v>390.23807499999998</v>
      </c>
    </row>
    <row r="557" spans="1:45" x14ac:dyDescent="0.25">
      <c r="A557" s="28"/>
      <c r="B557" s="43"/>
      <c r="C557" s="43"/>
      <c r="D557" s="43" t="s">
        <v>1355</v>
      </c>
      <c r="E557" s="43"/>
      <c r="F557" s="43"/>
      <c r="G557" s="46">
        <f t="shared" si="144"/>
        <v>0</v>
      </c>
      <c r="H557" s="46">
        <f t="shared" si="145"/>
        <v>0</v>
      </c>
      <c r="I557" s="28"/>
      <c r="J557" s="337"/>
      <c r="K557" s="46" t="str">
        <f t="shared" si="146"/>
        <v/>
      </c>
      <c r="L557" s="46" t="str">
        <f t="shared" si="147"/>
        <v/>
      </c>
      <c r="M557" s="338">
        <f t="shared" si="148"/>
        <v>0</v>
      </c>
      <c r="N557" s="43"/>
      <c r="O557" s="339"/>
      <c r="P557" s="340" t="str">
        <f>IFERROR(VLOOKUP(O557,NCM!$A$3:$D$99,COLUMN(head_porNCM_IPI)-COLUMN(head_porNCM_NCM)+1,FALSE),"")</f>
        <v/>
      </c>
      <c r="Q557" s="43"/>
      <c r="R557" s="78"/>
      <c r="S557" s="341"/>
      <c r="T557" s="28"/>
      <c r="U557" s="28"/>
      <c r="V557" s="28"/>
      <c r="W557" s="43"/>
      <c r="X557" s="342">
        <f t="shared" si="149"/>
        <v>0</v>
      </c>
      <c r="Y557" s="342">
        <f t="shared" si="150"/>
        <v>0</v>
      </c>
      <c r="Z557" s="46">
        <f t="shared" si="151"/>
        <v>0</v>
      </c>
      <c r="AA557" s="46">
        <f t="shared" si="152"/>
        <v>0</v>
      </c>
      <c r="AB557" s="43"/>
      <c r="AC557" s="44">
        <v>0</v>
      </c>
      <c r="AD557" s="31"/>
      <c r="AE557" s="31"/>
      <c r="AF557" s="31"/>
      <c r="AG557" s="28"/>
      <c r="AH557" s="46">
        <f t="shared" si="153"/>
        <v>0</v>
      </c>
      <c r="AI557" s="43"/>
      <c r="AJ557" s="28"/>
      <c r="AK557" s="337"/>
      <c r="AL557" s="43"/>
      <c r="AM557" s="44">
        <f t="shared" si="154"/>
        <v>0</v>
      </c>
      <c r="AN557" s="43"/>
      <c r="AO557" s="28">
        <f t="shared" si="155"/>
        <v>0</v>
      </c>
      <c r="AP557" s="43"/>
      <c r="AQ557" s="323">
        <f t="shared" si="156"/>
        <v>0</v>
      </c>
      <c r="AR557" s="43"/>
      <c r="AS557" s="44">
        <f t="shared" si="157"/>
        <v>0</v>
      </c>
    </row>
    <row r="558" spans="1:45" x14ac:dyDescent="0.25">
      <c r="A558" s="28"/>
      <c r="B558" s="43"/>
      <c r="C558" s="43"/>
      <c r="D558" s="43"/>
      <c r="E558" s="43" t="s">
        <v>1356</v>
      </c>
      <c r="F558" s="43" t="s">
        <v>1357</v>
      </c>
      <c r="G558" s="46">
        <f t="shared" si="144"/>
        <v>2996.3210000000004</v>
      </c>
      <c r="H558" s="46">
        <f t="shared" si="145"/>
        <v>2658.3213750000004</v>
      </c>
      <c r="I558" s="28" t="s">
        <v>262</v>
      </c>
      <c r="J558" s="337">
        <v>0.35</v>
      </c>
      <c r="K558" s="46">
        <f t="shared" si="146"/>
        <v>1048.71235</v>
      </c>
      <c r="L558" s="46">
        <f t="shared" si="147"/>
        <v>930.41248125000004</v>
      </c>
      <c r="M558" s="338">
        <f t="shared" si="148"/>
        <v>0</v>
      </c>
      <c r="N558" s="43" t="s">
        <v>161</v>
      </c>
      <c r="O558" s="339">
        <v>85362000</v>
      </c>
      <c r="P558" s="340">
        <f>IFERROR(VLOOKUP(O558,NCM!$A$3:$D$99,COLUMN(head_porNCM_IPI)-COLUMN(head_porNCM_NCM)+1,FALSE),"")</f>
        <v>0.1</v>
      </c>
      <c r="Q558" s="43" t="s">
        <v>806</v>
      </c>
      <c r="R558" s="78" t="s">
        <v>210</v>
      </c>
      <c r="S558" s="341"/>
      <c r="T558" s="28" t="s">
        <v>52</v>
      </c>
      <c r="U558" s="28" t="s">
        <v>3113</v>
      </c>
      <c r="V558" s="548">
        <v>45469</v>
      </c>
      <c r="W558" s="43"/>
      <c r="X558" s="342">
        <f t="shared" si="149"/>
        <v>617.58591549295784</v>
      </c>
      <c r="Y558" s="342">
        <f t="shared" si="150"/>
        <v>223.01713615023436</v>
      </c>
      <c r="Z558" s="46">
        <f t="shared" si="151"/>
        <v>56.612042253521139</v>
      </c>
      <c r="AA558" s="46">
        <f t="shared" si="152"/>
        <v>260.75849765258221</v>
      </c>
      <c r="AB558" s="43"/>
      <c r="AC558" s="44">
        <v>3654.05</v>
      </c>
      <c r="AD558" s="31">
        <v>0.18</v>
      </c>
      <c r="AE558" s="31">
        <v>6.5000000000000002E-2</v>
      </c>
      <c r="AF558" s="31">
        <v>0</v>
      </c>
      <c r="AG558" s="28" t="s">
        <v>53</v>
      </c>
      <c r="AH558" s="46">
        <f t="shared" si="153"/>
        <v>3891.5632500000002</v>
      </c>
      <c r="AI558" s="43"/>
      <c r="AJ558" s="28" t="s">
        <v>264</v>
      </c>
      <c r="AK558" s="337"/>
      <c r="AL558" s="43"/>
      <c r="AM558" s="44">
        <f t="shared" si="154"/>
        <v>0</v>
      </c>
      <c r="AN558" s="43"/>
      <c r="AO558" s="28">
        <f t="shared" si="155"/>
        <v>0</v>
      </c>
      <c r="AP558" s="43"/>
      <c r="AQ558" s="323">
        <f t="shared" si="156"/>
        <v>0</v>
      </c>
      <c r="AR558" s="43"/>
      <c r="AS558" s="44">
        <f t="shared" si="157"/>
        <v>3891.5632500000002</v>
      </c>
    </row>
    <row r="559" spans="1:45" x14ac:dyDescent="0.25">
      <c r="A559" s="28"/>
      <c r="B559" s="43"/>
      <c r="C559" s="43"/>
      <c r="D559" s="43"/>
      <c r="E559" s="43" t="s">
        <v>1358</v>
      </c>
      <c r="F559" s="43" t="s">
        <v>1359</v>
      </c>
      <c r="G559" s="46">
        <f t="shared" si="144"/>
        <v>3121.7728000000002</v>
      </c>
      <c r="H559" s="46">
        <f t="shared" si="145"/>
        <v>2769.6216000000004</v>
      </c>
      <c r="I559" s="28" t="s">
        <v>262</v>
      </c>
      <c r="J559" s="337">
        <v>0.35</v>
      </c>
      <c r="K559" s="46">
        <f t="shared" si="146"/>
        <v>1092.62048</v>
      </c>
      <c r="L559" s="46">
        <f t="shared" si="147"/>
        <v>969.36756000000003</v>
      </c>
      <c r="M559" s="338">
        <f t="shared" si="148"/>
        <v>0</v>
      </c>
      <c r="N559" s="43" t="s">
        <v>161</v>
      </c>
      <c r="O559" s="339">
        <v>85362000</v>
      </c>
      <c r="P559" s="340">
        <f>IFERROR(VLOOKUP(O559,NCM!$A$3:$D$99,COLUMN(head_porNCM_IPI)-COLUMN(head_porNCM_NCM)+1,FALSE),"")</f>
        <v>0.1</v>
      </c>
      <c r="Q559" s="43" t="s">
        <v>806</v>
      </c>
      <c r="R559" s="78" t="s">
        <v>210</v>
      </c>
      <c r="S559" s="341"/>
      <c r="T559" s="28" t="s">
        <v>52</v>
      </c>
      <c r="U559" s="28" t="s">
        <v>3113</v>
      </c>
      <c r="V559" s="548">
        <v>45469</v>
      </c>
      <c r="W559" s="43"/>
      <c r="X559" s="342">
        <f t="shared" si="149"/>
        <v>643.44338028169022</v>
      </c>
      <c r="Y559" s="342">
        <f t="shared" si="150"/>
        <v>232.35455399060993</v>
      </c>
      <c r="Z559" s="46">
        <f t="shared" si="151"/>
        <v>58.982309859154938</v>
      </c>
      <c r="AA559" s="46">
        <f t="shared" si="152"/>
        <v>271.67609389671361</v>
      </c>
      <c r="AB559" s="43"/>
      <c r="AC559" s="44">
        <v>3807.04</v>
      </c>
      <c r="AD559" s="31">
        <v>0.18</v>
      </c>
      <c r="AE559" s="31">
        <v>6.5000000000000002E-2</v>
      </c>
      <c r="AF559" s="31">
        <v>0</v>
      </c>
      <c r="AG559" s="28" t="s">
        <v>53</v>
      </c>
      <c r="AH559" s="46">
        <f t="shared" si="153"/>
        <v>4054.4975999999997</v>
      </c>
      <c r="AI559" s="43"/>
      <c r="AJ559" s="28" t="s">
        <v>264</v>
      </c>
      <c r="AK559" s="337"/>
      <c r="AL559" s="43"/>
      <c r="AM559" s="44">
        <f t="shared" si="154"/>
        <v>0</v>
      </c>
      <c r="AN559" s="43"/>
      <c r="AO559" s="28">
        <f t="shared" si="155"/>
        <v>0</v>
      </c>
      <c r="AP559" s="43"/>
      <c r="AQ559" s="323">
        <f t="shared" si="156"/>
        <v>0</v>
      </c>
      <c r="AR559" s="43"/>
      <c r="AS559" s="44">
        <f t="shared" si="157"/>
        <v>4054.4975999999997</v>
      </c>
    </row>
    <row r="560" spans="1:45" x14ac:dyDescent="0.25">
      <c r="A560" s="28"/>
      <c r="B560" s="43"/>
      <c r="C560" s="43"/>
      <c r="D560" s="43"/>
      <c r="E560" s="43" t="s">
        <v>1360</v>
      </c>
      <c r="F560" s="43" t="s">
        <v>1361</v>
      </c>
      <c r="G560" s="46">
        <f t="shared" si="144"/>
        <v>5122.6466</v>
      </c>
      <c r="H560" s="46">
        <f t="shared" si="145"/>
        <v>4544.7870750000011</v>
      </c>
      <c r="I560" s="28" t="s">
        <v>262</v>
      </c>
      <c r="J560" s="337">
        <v>0.35</v>
      </c>
      <c r="K560" s="46">
        <f t="shared" si="146"/>
        <v>1792.9263099999998</v>
      </c>
      <c r="L560" s="46">
        <f t="shared" si="147"/>
        <v>1590.6754762500002</v>
      </c>
      <c r="M560" s="338">
        <f t="shared" si="148"/>
        <v>0</v>
      </c>
      <c r="N560" s="43" t="s">
        <v>161</v>
      </c>
      <c r="O560" s="339">
        <v>85362000</v>
      </c>
      <c r="P560" s="340">
        <f>IFERROR(VLOOKUP(O560,NCM!$A$3:$D$99,COLUMN(head_porNCM_IPI)-COLUMN(head_porNCM_NCM)+1,FALSE),"")</f>
        <v>0.1</v>
      </c>
      <c r="Q560" s="43" t="s">
        <v>806</v>
      </c>
      <c r="R560" s="78" t="s">
        <v>210</v>
      </c>
      <c r="S560" s="341"/>
      <c r="T560" s="28" t="s">
        <v>52</v>
      </c>
      <c r="U560" s="28" t="s">
        <v>3113</v>
      </c>
      <c r="V560" s="548">
        <v>45469</v>
      </c>
      <c r="W560" s="43"/>
      <c r="X560" s="342">
        <f t="shared" si="149"/>
        <v>1055.852957746479</v>
      </c>
      <c r="Y560" s="342">
        <f t="shared" si="150"/>
        <v>381.28023474178372</v>
      </c>
      <c r="Z560" s="46">
        <f t="shared" si="151"/>
        <v>96.786521126760576</v>
      </c>
      <c r="AA560" s="46">
        <f t="shared" si="152"/>
        <v>445.80458215962443</v>
      </c>
      <c r="AB560" s="43"/>
      <c r="AC560" s="44">
        <v>6247.13</v>
      </c>
      <c r="AD560" s="31">
        <v>0.18</v>
      </c>
      <c r="AE560" s="31">
        <v>6.5000000000000002E-2</v>
      </c>
      <c r="AF560" s="31">
        <v>0</v>
      </c>
      <c r="AG560" s="28" t="s">
        <v>53</v>
      </c>
      <c r="AH560" s="46">
        <f t="shared" si="153"/>
        <v>6653.1934499999998</v>
      </c>
      <c r="AI560" s="43"/>
      <c r="AJ560" s="28" t="s">
        <v>264</v>
      </c>
      <c r="AK560" s="337"/>
      <c r="AL560" s="43"/>
      <c r="AM560" s="44">
        <f t="shared" si="154"/>
        <v>0</v>
      </c>
      <c r="AN560" s="43"/>
      <c r="AO560" s="28">
        <f t="shared" si="155"/>
        <v>0</v>
      </c>
      <c r="AP560" s="43"/>
      <c r="AQ560" s="323">
        <f t="shared" si="156"/>
        <v>0</v>
      </c>
      <c r="AR560" s="43"/>
      <c r="AS560" s="44">
        <f t="shared" si="157"/>
        <v>6653.1934499999998</v>
      </c>
    </row>
    <row r="561" spans="1:45" x14ac:dyDescent="0.25">
      <c r="A561" s="28"/>
      <c r="B561" s="43"/>
      <c r="C561" s="43"/>
      <c r="D561" s="43"/>
      <c r="E561" s="43" t="s">
        <v>1362</v>
      </c>
      <c r="F561" s="43" t="s">
        <v>1363</v>
      </c>
      <c r="G561" s="46">
        <f t="shared" si="144"/>
        <v>2665.8117999999999</v>
      </c>
      <c r="H561" s="46">
        <f t="shared" si="145"/>
        <v>2365.0952250000005</v>
      </c>
      <c r="I561" s="28" t="s">
        <v>262</v>
      </c>
      <c r="J561" s="337">
        <v>0.35</v>
      </c>
      <c r="K561" s="46">
        <f t="shared" si="146"/>
        <v>933.03412999999989</v>
      </c>
      <c r="L561" s="46">
        <f t="shared" si="147"/>
        <v>827.78332875000012</v>
      </c>
      <c r="M561" s="338">
        <f t="shared" si="148"/>
        <v>0</v>
      </c>
      <c r="N561" s="43" t="s">
        <v>161</v>
      </c>
      <c r="O561" s="339">
        <v>85362000</v>
      </c>
      <c r="P561" s="340">
        <f>IFERROR(VLOOKUP(O561,NCM!$A$3:$D$99,COLUMN(head_porNCM_IPI)-COLUMN(head_porNCM_NCM)+1,FALSE),"")</f>
        <v>0.1</v>
      </c>
      <c r="Q561" s="43" t="s">
        <v>806</v>
      </c>
      <c r="R561" s="78" t="s">
        <v>210</v>
      </c>
      <c r="S561" s="341"/>
      <c r="T561" s="28" t="s">
        <v>52</v>
      </c>
      <c r="U561" s="28" t="s">
        <v>3113</v>
      </c>
      <c r="V561" s="548">
        <v>45469</v>
      </c>
      <c r="W561" s="43"/>
      <c r="X561" s="342">
        <f t="shared" si="149"/>
        <v>549.46309859154928</v>
      </c>
      <c r="Y561" s="342">
        <f t="shared" si="150"/>
        <v>198.41723004694813</v>
      </c>
      <c r="Z561" s="46">
        <f t="shared" si="151"/>
        <v>50.367450704225355</v>
      </c>
      <c r="AA561" s="46">
        <f t="shared" si="152"/>
        <v>231.99553051643193</v>
      </c>
      <c r="AB561" s="43"/>
      <c r="AC561" s="44">
        <v>3250.99</v>
      </c>
      <c r="AD561" s="31">
        <v>0.18</v>
      </c>
      <c r="AE561" s="31">
        <v>6.5000000000000002E-2</v>
      </c>
      <c r="AF561" s="31">
        <v>0</v>
      </c>
      <c r="AG561" s="28" t="s">
        <v>53</v>
      </c>
      <c r="AH561" s="46">
        <f t="shared" si="153"/>
        <v>3462.3043499999994</v>
      </c>
      <c r="AI561" s="43"/>
      <c r="AJ561" s="28" t="s">
        <v>264</v>
      </c>
      <c r="AK561" s="337"/>
      <c r="AL561" s="43"/>
      <c r="AM561" s="44">
        <f t="shared" si="154"/>
        <v>0</v>
      </c>
      <c r="AN561" s="43"/>
      <c r="AO561" s="28">
        <f t="shared" si="155"/>
        <v>0</v>
      </c>
      <c r="AP561" s="43"/>
      <c r="AQ561" s="323">
        <f t="shared" si="156"/>
        <v>0</v>
      </c>
      <c r="AR561" s="43"/>
      <c r="AS561" s="44">
        <f t="shared" si="157"/>
        <v>3462.3043499999994</v>
      </c>
    </row>
    <row r="562" spans="1:45" x14ac:dyDescent="0.25">
      <c r="A562" s="28"/>
      <c r="B562" s="43"/>
      <c r="C562" s="43"/>
      <c r="D562" s="43"/>
      <c r="E562" s="43" t="s">
        <v>1364</v>
      </c>
      <c r="F562" s="43" t="s">
        <v>1365</v>
      </c>
      <c r="G562" s="46">
        <f t="shared" si="144"/>
        <v>2777.34</v>
      </c>
      <c r="H562" s="46">
        <f t="shared" si="145"/>
        <v>2464.0425000000005</v>
      </c>
      <c r="I562" s="28" t="s">
        <v>262</v>
      </c>
      <c r="J562" s="337">
        <v>0.35</v>
      </c>
      <c r="K562" s="46">
        <f t="shared" si="146"/>
        <v>972.06899999999996</v>
      </c>
      <c r="L562" s="46">
        <f t="shared" si="147"/>
        <v>862.41487500000017</v>
      </c>
      <c r="M562" s="338">
        <f t="shared" si="148"/>
        <v>0</v>
      </c>
      <c r="N562" s="43" t="s">
        <v>161</v>
      </c>
      <c r="O562" s="339">
        <v>85362000</v>
      </c>
      <c r="P562" s="340">
        <f>IFERROR(VLOOKUP(O562,NCM!$A$3:$D$99,COLUMN(head_porNCM_IPI)-COLUMN(head_porNCM_NCM)+1,FALSE),"")</f>
        <v>0.1</v>
      </c>
      <c r="Q562" s="43" t="s">
        <v>806</v>
      </c>
      <c r="R562" s="78" t="s">
        <v>210</v>
      </c>
      <c r="S562" s="341"/>
      <c r="T562" s="28" t="s">
        <v>52</v>
      </c>
      <c r="U562" s="28" t="s">
        <v>3113</v>
      </c>
      <c r="V562" s="548">
        <v>45469</v>
      </c>
      <c r="W562" s="43"/>
      <c r="X562" s="342">
        <f t="shared" si="149"/>
        <v>572.45070422535207</v>
      </c>
      <c r="Y562" s="342">
        <f t="shared" si="150"/>
        <v>206.71830985915494</v>
      </c>
      <c r="Z562" s="46">
        <f t="shared" si="151"/>
        <v>52.474647887323947</v>
      </c>
      <c r="AA562" s="46">
        <f t="shared" si="152"/>
        <v>241.70140845070421</v>
      </c>
      <c r="AB562" s="43"/>
      <c r="AC562" s="44">
        <v>3387</v>
      </c>
      <c r="AD562" s="31">
        <v>0.18</v>
      </c>
      <c r="AE562" s="31">
        <v>6.5000000000000002E-2</v>
      </c>
      <c r="AF562" s="31">
        <v>0</v>
      </c>
      <c r="AG562" s="28" t="s">
        <v>53</v>
      </c>
      <c r="AH562" s="46">
        <f t="shared" si="153"/>
        <v>3607.1549999999997</v>
      </c>
      <c r="AI562" s="43"/>
      <c r="AJ562" s="28" t="s">
        <v>264</v>
      </c>
      <c r="AK562" s="337"/>
      <c r="AL562" s="43"/>
      <c r="AM562" s="44">
        <f t="shared" si="154"/>
        <v>0</v>
      </c>
      <c r="AN562" s="43"/>
      <c r="AO562" s="28">
        <f t="shared" si="155"/>
        <v>0</v>
      </c>
      <c r="AP562" s="43"/>
      <c r="AQ562" s="323">
        <f t="shared" si="156"/>
        <v>0</v>
      </c>
      <c r="AR562" s="43"/>
      <c r="AS562" s="44">
        <f t="shared" si="157"/>
        <v>3607.1549999999997</v>
      </c>
    </row>
    <row r="563" spans="1:45" x14ac:dyDescent="0.25">
      <c r="A563" s="28"/>
      <c r="B563" s="43"/>
      <c r="C563" s="43"/>
      <c r="D563" s="43"/>
      <c r="E563" s="43" t="s">
        <v>1366</v>
      </c>
      <c r="F563" s="43" t="s">
        <v>1367</v>
      </c>
      <c r="G563" s="46">
        <f t="shared" si="144"/>
        <v>5122.6466</v>
      </c>
      <c r="H563" s="46">
        <f t="shared" si="145"/>
        <v>4544.7870750000011</v>
      </c>
      <c r="I563" s="28" t="s">
        <v>262</v>
      </c>
      <c r="J563" s="337">
        <v>0.35</v>
      </c>
      <c r="K563" s="46">
        <f t="shared" si="146"/>
        <v>1792.9263099999998</v>
      </c>
      <c r="L563" s="46">
        <f t="shared" si="147"/>
        <v>1590.6754762500002</v>
      </c>
      <c r="M563" s="338">
        <f t="shared" si="148"/>
        <v>0</v>
      </c>
      <c r="N563" s="43" t="s">
        <v>161</v>
      </c>
      <c r="O563" s="339">
        <v>85362000</v>
      </c>
      <c r="P563" s="340">
        <f>IFERROR(VLOOKUP(O563,NCM!$A$3:$D$99,COLUMN(head_porNCM_IPI)-COLUMN(head_porNCM_NCM)+1,FALSE),"")</f>
        <v>0.1</v>
      </c>
      <c r="Q563" s="43" t="s">
        <v>806</v>
      </c>
      <c r="R563" s="78" t="s">
        <v>210</v>
      </c>
      <c r="S563" s="341"/>
      <c r="T563" s="28" t="s">
        <v>52</v>
      </c>
      <c r="U563" s="28" t="s">
        <v>3113</v>
      </c>
      <c r="V563" s="548">
        <v>45469</v>
      </c>
      <c r="W563" s="43"/>
      <c r="X563" s="342">
        <f t="shared" si="149"/>
        <v>1055.852957746479</v>
      </c>
      <c r="Y563" s="342">
        <f t="shared" si="150"/>
        <v>381.28023474178372</v>
      </c>
      <c r="Z563" s="46">
        <f t="shared" si="151"/>
        <v>96.786521126760576</v>
      </c>
      <c r="AA563" s="46">
        <f t="shared" si="152"/>
        <v>445.80458215962443</v>
      </c>
      <c r="AB563" s="43"/>
      <c r="AC563" s="44">
        <v>6247.13</v>
      </c>
      <c r="AD563" s="31">
        <v>0.18</v>
      </c>
      <c r="AE563" s="31">
        <v>6.5000000000000002E-2</v>
      </c>
      <c r="AF563" s="31">
        <v>0</v>
      </c>
      <c r="AG563" s="28" t="s">
        <v>53</v>
      </c>
      <c r="AH563" s="46">
        <f t="shared" si="153"/>
        <v>6653.1934499999998</v>
      </c>
      <c r="AI563" s="43"/>
      <c r="AJ563" s="28" t="s">
        <v>264</v>
      </c>
      <c r="AK563" s="337"/>
      <c r="AL563" s="43"/>
      <c r="AM563" s="44">
        <f t="shared" si="154"/>
        <v>0</v>
      </c>
      <c r="AN563" s="43"/>
      <c r="AO563" s="28">
        <f t="shared" si="155"/>
        <v>0</v>
      </c>
      <c r="AP563" s="43"/>
      <c r="AQ563" s="323">
        <f t="shared" si="156"/>
        <v>0</v>
      </c>
      <c r="AR563" s="43"/>
      <c r="AS563" s="44">
        <f t="shared" si="157"/>
        <v>6653.1934499999998</v>
      </c>
    </row>
    <row r="564" spans="1:45" x14ac:dyDescent="0.25">
      <c r="A564" s="28"/>
      <c r="B564" s="43"/>
      <c r="C564" s="43"/>
      <c r="D564" s="43"/>
      <c r="E564" s="43" t="s">
        <v>1368</v>
      </c>
      <c r="F564" s="43" t="s">
        <v>1369</v>
      </c>
      <c r="G564" s="46">
        <f t="shared" si="144"/>
        <v>734.65440000000001</v>
      </c>
      <c r="H564" s="46">
        <f t="shared" si="145"/>
        <v>651.78180000000009</v>
      </c>
      <c r="I564" s="28" t="s">
        <v>262</v>
      </c>
      <c r="J564" s="337">
        <v>0.35</v>
      </c>
      <c r="K564" s="46">
        <f t="shared" si="146"/>
        <v>257.12903999999997</v>
      </c>
      <c r="L564" s="46">
        <f t="shared" si="147"/>
        <v>228.12363000000002</v>
      </c>
      <c r="M564" s="338">
        <f t="shared" si="148"/>
        <v>0</v>
      </c>
      <c r="N564" s="43" t="s">
        <v>161</v>
      </c>
      <c r="O564" s="339">
        <v>85389090</v>
      </c>
      <c r="P564" s="340">
        <f>IFERROR(VLOOKUP(O564,NCM!$A$3:$D$99,COLUMN(head_porNCM_IPI)-COLUMN(head_porNCM_NCM)+1,FALSE),"")</f>
        <v>0.15</v>
      </c>
      <c r="Q564" s="43" t="s">
        <v>806</v>
      </c>
      <c r="R564" s="78" t="s">
        <v>210</v>
      </c>
      <c r="S564" s="341"/>
      <c r="T564" s="28" t="s">
        <v>52</v>
      </c>
      <c r="U564" s="28" t="s">
        <v>3113</v>
      </c>
      <c r="V564" s="548">
        <v>45469</v>
      </c>
      <c r="W564" s="43"/>
      <c r="X564" s="342">
        <f t="shared" si="149"/>
        <v>146.93904328018223</v>
      </c>
      <c r="Y564" s="342">
        <f t="shared" si="150"/>
        <v>79.591981776765351</v>
      </c>
      <c r="Z564" s="46">
        <f t="shared" si="151"/>
        <v>13.469412300683372</v>
      </c>
      <c r="AA564" s="46">
        <f t="shared" si="152"/>
        <v>62.040929384965828</v>
      </c>
      <c r="AB564" s="43"/>
      <c r="AC564" s="44">
        <v>895.92</v>
      </c>
      <c r="AD564" s="31">
        <v>0.18</v>
      </c>
      <c r="AE564" s="31">
        <v>9.7500000000000003E-2</v>
      </c>
      <c r="AF564" s="31">
        <v>0</v>
      </c>
      <c r="AG564" s="28" t="s">
        <v>53</v>
      </c>
      <c r="AH564" s="46">
        <f t="shared" si="153"/>
        <v>983.27219999999988</v>
      </c>
      <c r="AI564" s="43"/>
      <c r="AJ564" s="28" t="s">
        <v>264</v>
      </c>
      <c r="AK564" s="337"/>
      <c r="AL564" s="43"/>
      <c r="AM564" s="44">
        <f t="shared" si="154"/>
        <v>0</v>
      </c>
      <c r="AN564" s="43"/>
      <c r="AO564" s="28">
        <f t="shared" si="155"/>
        <v>0</v>
      </c>
      <c r="AP564" s="43"/>
      <c r="AQ564" s="323">
        <f t="shared" si="156"/>
        <v>0</v>
      </c>
      <c r="AR564" s="43"/>
      <c r="AS564" s="44">
        <f t="shared" si="157"/>
        <v>983.27219999999988</v>
      </c>
    </row>
    <row r="565" spans="1:45" x14ac:dyDescent="0.25">
      <c r="A565" s="28"/>
      <c r="B565" s="43"/>
      <c r="C565" s="43"/>
      <c r="D565" s="43"/>
      <c r="E565" s="43" t="s">
        <v>1370</v>
      </c>
      <c r="F565" s="43" t="s">
        <v>1371</v>
      </c>
      <c r="G565" s="46">
        <f t="shared" si="144"/>
        <v>1700.6308000000001</v>
      </c>
      <c r="H565" s="46">
        <f t="shared" si="145"/>
        <v>1508.7913500000004</v>
      </c>
      <c r="I565" s="28" t="s">
        <v>262</v>
      </c>
      <c r="J565" s="337">
        <v>0.35</v>
      </c>
      <c r="K565" s="46">
        <f t="shared" si="146"/>
        <v>595.22077999999999</v>
      </c>
      <c r="L565" s="46">
        <f t="shared" si="147"/>
        <v>528.07697250000012</v>
      </c>
      <c r="M565" s="338">
        <f t="shared" si="148"/>
        <v>0</v>
      </c>
      <c r="N565" s="43" t="s">
        <v>161</v>
      </c>
      <c r="O565" s="339">
        <v>85389090</v>
      </c>
      <c r="P565" s="340">
        <f>IFERROR(VLOOKUP(O565,NCM!$A$3:$D$99,COLUMN(head_porNCM_IPI)-COLUMN(head_porNCM_NCM)+1,FALSE),"")</f>
        <v>0.15</v>
      </c>
      <c r="Q565" s="43" t="s">
        <v>806</v>
      </c>
      <c r="R565" s="78" t="s">
        <v>210</v>
      </c>
      <c r="S565" s="341"/>
      <c r="T565" s="28" t="s">
        <v>52</v>
      </c>
      <c r="U565" s="28" t="s">
        <v>3113</v>
      </c>
      <c r="V565" s="548">
        <v>45469</v>
      </c>
      <c r="W565" s="43"/>
      <c r="X565" s="342">
        <f t="shared" si="149"/>
        <v>340.14505694760823</v>
      </c>
      <c r="Y565" s="342">
        <f t="shared" si="150"/>
        <v>184.2452391799543</v>
      </c>
      <c r="Z565" s="46">
        <f t="shared" si="151"/>
        <v>31.179963553530758</v>
      </c>
      <c r="AA565" s="46">
        <f t="shared" si="152"/>
        <v>143.61680182232348</v>
      </c>
      <c r="AB565" s="43"/>
      <c r="AC565" s="44">
        <v>2073.94</v>
      </c>
      <c r="AD565" s="31">
        <v>0.18</v>
      </c>
      <c r="AE565" s="31">
        <v>9.7500000000000003E-2</v>
      </c>
      <c r="AF565" s="31">
        <v>0</v>
      </c>
      <c r="AG565" s="28" t="s">
        <v>53</v>
      </c>
      <c r="AH565" s="46">
        <f t="shared" si="153"/>
        <v>2276.1491499999997</v>
      </c>
      <c r="AI565" s="43"/>
      <c r="AJ565" s="28" t="s">
        <v>264</v>
      </c>
      <c r="AK565" s="337"/>
      <c r="AL565" s="43"/>
      <c r="AM565" s="44">
        <f t="shared" si="154"/>
        <v>0</v>
      </c>
      <c r="AN565" s="43"/>
      <c r="AO565" s="28">
        <f t="shared" si="155"/>
        <v>0</v>
      </c>
      <c r="AP565" s="43"/>
      <c r="AQ565" s="323">
        <f t="shared" si="156"/>
        <v>0</v>
      </c>
      <c r="AR565" s="43"/>
      <c r="AS565" s="44">
        <f t="shared" si="157"/>
        <v>2276.1491499999997</v>
      </c>
    </row>
    <row r="566" spans="1:45" x14ac:dyDescent="0.25">
      <c r="A566" s="28"/>
      <c r="B566" s="43"/>
      <c r="C566" s="43"/>
      <c r="D566" s="43" t="s">
        <v>1372</v>
      </c>
      <c r="E566" s="43"/>
      <c r="F566" s="43"/>
      <c r="G566" s="46">
        <f t="shared" si="144"/>
        <v>0</v>
      </c>
      <c r="H566" s="46">
        <f t="shared" si="145"/>
        <v>0</v>
      </c>
      <c r="I566" s="28"/>
      <c r="J566" s="337"/>
      <c r="K566" s="46" t="str">
        <f t="shared" si="146"/>
        <v/>
      </c>
      <c r="L566" s="46" t="str">
        <f t="shared" si="147"/>
        <v/>
      </c>
      <c r="M566" s="338">
        <f t="shared" si="148"/>
        <v>0</v>
      </c>
      <c r="N566" s="43"/>
      <c r="O566" s="339"/>
      <c r="P566" s="340" t="str">
        <f>IFERROR(VLOOKUP(O566,NCM!$A$3:$D$99,COLUMN(head_porNCM_IPI)-COLUMN(head_porNCM_NCM)+1,FALSE),"")</f>
        <v/>
      </c>
      <c r="Q566" s="43"/>
      <c r="R566" s="78"/>
      <c r="S566" s="341"/>
      <c r="T566" s="28"/>
      <c r="U566" s="28"/>
      <c r="V566" s="28"/>
      <c r="W566" s="43"/>
      <c r="X566" s="342">
        <f t="shared" si="149"/>
        <v>0</v>
      </c>
      <c r="Y566" s="342">
        <f t="shared" si="150"/>
        <v>0</v>
      </c>
      <c r="Z566" s="46">
        <f t="shared" si="151"/>
        <v>0</v>
      </c>
      <c r="AA566" s="46">
        <f t="shared" si="152"/>
        <v>0</v>
      </c>
      <c r="AB566" s="43"/>
      <c r="AC566" s="44">
        <v>0</v>
      </c>
      <c r="AD566" s="31"/>
      <c r="AE566" s="31"/>
      <c r="AF566" s="31"/>
      <c r="AG566" s="28"/>
      <c r="AH566" s="46">
        <f t="shared" si="153"/>
        <v>0</v>
      </c>
      <c r="AI566" s="43"/>
      <c r="AJ566" s="28"/>
      <c r="AK566" s="337"/>
      <c r="AL566" s="43"/>
      <c r="AM566" s="44">
        <f t="shared" si="154"/>
        <v>0</v>
      </c>
      <c r="AN566" s="43"/>
      <c r="AO566" s="28">
        <f t="shared" si="155"/>
        <v>0</v>
      </c>
      <c r="AP566" s="43"/>
      <c r="AQ566" s="323">
        <f t="shared" si="156"/>
        <v>0</v>
      </c>
      <c r="AR566" s="43"/>
      <c r="AS566" s="44">
        <f t="shared" si="157"/>
        <v>0</v>
      </c>
    </row>
    <row r="567" spans="1:45" x14ac:dyDescent="0.25">
      <c r="A567" s="28"/>
      <c r="B567" s="43"/>
      <c r="C567" s="43"/>
      <c r="D567" s="43"/>
      <c r="E567" s="43" t="s">
        <v>1373</v>
      </c>
      <c r="F567" s="43" t="s">
        <v>1374</v>
      </c>
      <c r="G567" s="46">
        <f t="shared" si="144"/>
        <v>1777.8994000000002</v>
      </c>
      <c r="H567" s="46">
        <f t="shared" si="145"/>
        <v>1577.3436750000003</v>
      </c>
      <c r="I567" s="28" t="s">
        <v>262</v>
      </c>
      <c r="J567" s="337">
        <v>0.35</v>
      </c>
      <c r="K567" s="46">
        <f t="shared" si="146"/>
        <v>622.26479000000006</v>
      </c>
      <c r="L567" s="46">
        <f t="shared" si="147"/>
        <v>552.07028625000009</v>
      </c>
      <c r="M567" s="338">
        <f t="shared" si="148"/>
        <v>0</v>
      </c>
      <c r="N567" s="43" t="s">
        <v>161</v>
      </c>
      <c r="O567" s="339">
        <v>85362000</v>
      </c>
      <c r="P567" s="340">
        <f>IFERROR(VLOOKUP(O567,NCM!$A$3:$D$99,COLUMN(head_porNCM_IPI)-COLUMN(head_porNCM_NCM)+1,FALSE),"")</f>
        <v>0.1</v>
      </c>
      <c r="Q567" s="43" t="s">
        <v>806</v>
      </c>
      <c r="R567" s="78" t="s">
        <v>210</v>
      </c>
      <c r="S567" s="341"/>
      <c r="T567" s="28" t="s">
        <v>52</v>
      </c>
      <c r="U567" s="28" t="s">
        <v>3113</v>
      </c>
      <c r="V567" s="548">
        <v>45469</v>
      </c>
      <c r="W567" s="43"/>
      <c r="X567" s="342">
        <f t="shared" si="149"/>
        <v>366.4512676056338</v>
      </c>
      <c r="Y567" s="342">
        <f t="shared" si="150"/>
        <v>132.32962441314544</v>
      </c>
      <c r="Z567" s="46">
        <f t="shared" si="151"/>
        <v>33.591366197183106</v>
      </c>
      <c r="AA567" s="46">
        <f t="shared" si="152"/>
        <v>154.72386854460095</v>
      </c>
      <c r="AB567" s="43"/>
      <c r="AC567" s="44">
        <v>2168.17</v>
      </c>
      <c r="AD567" s="31">
        <v>0.18</v>
      </c>
      <c r="AE567" s="31">
        <v>6.5000000000000002E-2</v>
      </c>
      <c r="AF567" s="31">
        <v>0</v>
      </c>
      <c r="AG567" s="28" t="s">
        <v>53</v>
      </c>
      <c r="AH567" s="46">
        <f t="shared" si="153"/>
        <v>2309.1010499999998</v>
      </c>
      <c r="AI567" s="43"/>
      <c r="AJ567" s="28" t="s">
        <v>264</v>
      </c>
      <c r="AK567" s="337"/>
      <c r="AL567" s="43"/>
      <c r="AM567" s="44">
        <f t="shared" si="154"/>
        <v>0</v>
      </c>
      <c r="AN567" s="43"/>
      <c r="AO567" s="28">
        <f t="shared" si="155"/>
        <v>0</v>
      </c>
      <c r="AP567" s="43"/>
      <c r="AQ567" s="323">
        <f t="shared" si="156"/>
        <v>0</v>
      </c>
      <c r="AR567" s="43"/>
      <c r="AS567" s="44">
        <f t="shared" si="157"/>
        <v>2309.1010499999998</v>
      </c>
    </row>
    <row r="568" spans="1:45" x14ac:dyDescent="0.25">
      <c r="A568" s="28"/>
      <c r="B568" s="43"/>
      <c r="C568" s="43"/>
      <c r="D568" s="43"/>
      <c r="E568" s="43" t="s">
        <v>1375</v>
      </c>
      <c r="F568" s="43" t="s">
        <v>1376</v>
      </c>
      <c r="G568" s="46">
        <f t="shared" ref="G568:G631" si="158">AC568*(1-AD568)</f>
        <v>617.34520000000009</v>
      </c>
      <c r="H568" s="46">
        <f t="shared" ref="H568:H631" si="159">AC568*(1-AD568-pis_naocum-cofins_naocum)</f>
        <v>547.70565000000011</v>
      </c>
      <c r="I568" s="28" t="s">
        <v>262</v>
      </c>
      <c r="J568" s="337">
        <v>0.35</v>
      </c>
      <c r="K568" s="46">
        <f t="shared" ref="K568:K631" si="160">IFERROR(G568*J568*VLOOKUP(I568,tbl_cambio,2,FALSE),"")</f>
        <v>216.07082000000003</v>
      </c>
      <c r="L568" s="46">
        <f t="shared" ref="L568:L631" si="161">IFERROR(H568*J568*VLOOKUP(I568,tbl_cambio,2,FALSE),"")</f>
        <v>191.69697750000003</v>
      </c>
      <c r="M568" s="338">
        <f t="shared" ref="M568:M631" si="162">SUMIF(col_item,"="&amp;E568,col_qtd)</f>
        <v>0</v>
      </c>
      <c r="N568" s="43" t="s">
        <v>161</v>
      </c>
      <c r="O568" s="339">
        <v>85362000</v>
      </c>
      <c r="P568" s="340">
        <f>IFERROR(VLOOKUP(O568,NCM!$A$3:$D$99,COLUMN(head_porNCM_IPI)-COLUMN(head_porNCM_NCM)+1,FALSE),"")</f>
        <v>0.1</v>
      </c>
      <c r="Q568" s="43" t="s">
        <v>806</v>
      </c>
      <c r="R568" s="78" t="s">
        <v>210</v>
      </c>
      <c r="S568" s="341"/>
      <c r="T568" s="28" t="s">
        <v>52</v>
      </c>
      <c r="U568" s="28" t="s">
        <v>3113</v>
      </c>
      <c r="V568" s="548">
        <v>45469</v>
      </c>
      <c r="W568" s="43"/>
      <c r="X568" s="342">
        <f t="shared" ref="X568:X631" si="163">(AC568-Y568)*AD568</f>
        <v>123.47589977220957</v>
      </c>
      <c r="Y568" s="342">
        <f t="shared" ref="Y568:Y631" si="164">AC568-AC568/(1+AE568)</f>
        <v>66.882779043280152</v>
      </c>
      <c r="Z568" s="46">
        <f t="shared" ref="Z568:Z631" si="165">(AC568-Y568)*pis_naocum</f>
        <v>11.318624145785877</v>
      </c>
      <c r="AA568" s="46">
        <f t="shared" ref="AA568:AA631" si="166">(AC568-Y568)*cofins_naocum</f>
        <v>52.134268792710706</v>
      </c>
      <c r="AB568" s="43"/>
      <c r="AC568" s="44">
        <v>752.86</v>
      </c>
      <c r="AD568" s="31">
        <v>0.18</v>
      </c>
      <c r="AE568" s="31">
        <v>9.7500000000000003E-2</v>
      </c>
      <c r="AF568" s="31">
        <v>0</v>
      </c>
      <c r="AG568" s="28" t="s">
        <v>53</v>
      </c>
      <c r="AH568" s="46">
        <f t="shared" ref="AH568:AH631" si="167">AC568*(1+AE568)</f>
        <v>826.26384999999993</v>
      </c>
      <c r="AI568" s="43"/>
      <c r="AJ568" s="28" t="s">
        <v>264</v>
      </c>
      <c r="AK568" s="337"/>
      <c r="AL568" s="43"/>
      <c r="AM568" s="44">
        <f t="shared" ref="AM568:AM631" si="168">IF(AND(AJ568&lt;&gt;"",AK568&gt;0),AQ568*(VLOOKUP(AJ568,tbl_cambio,2,FALSE)/AK568-1),0)</f>
        <v>0</v>
      </c>
      <c r="AN568" s="43"/>
      <c r="AO568" s="28">
        <f t="shared" ref="AO568:AO631" si="169">IF(T568="Sim",ROUNDUP(M568*sobress_pc,0),0)</f>
        <v>0</v>
      </c>
      <c r="AP568" s="43"/>
      <c r="AQ568" s="323">
        <f t="shared" ref="AQ568:AQ631" si="170">SUMIFS(col_custoTotal,col_fatdir,"Não",col_item,E568)</f>
        <v>0</v>
      </c>
      <c r="AR568" s="43"/>
      <c r="AS568" s="44">
        <f t="shared" ref="AS568:AS631" si="171">IFERROR(AH568*VLOOKUP(I568,tbl_cambio,2,FALSE),0)</f>
        <v>826.26384999999993</v>
      </c>
    </row>
    <row r="569" spans="1:45" x14ac:dyDescent="0.25">
      <c r="A569" s="28"/>
      <c r="B569" s="43"/>
      <c r="C569" s="43"/>
      <c r="D569" s="43"/>
      <c r="E569" s="43" t="s">
        <v>1377</v>
      </c>
      <c r="F569" s="43" t="s">
        <v>1378</v>
      </c>
      <c r="G569" s="46">
        <f t="shared" si="158"/>
        <v>830.66820000000007</v>
      </c>
      <c r="H569" s="46">
        <f t="shared" si="159"/>
        <v>736.96477500000015</v>
      </c>
      <c r="I569" s="28" t="s">
        <v>262</v>
      </c>
      <c r="J569" s="337">
        <v>0.35</v>
      </c>
      <c r="K569" s="46">
        <f t="shared" si="160"/>
        <v>290.73387000000002</v>
      </c>
      <c r="L569" s="46">
        <f t="shared" si="161"/>
        <v>257.93767125000005</v>
      </c>
      <c r="M569" s="338">
        <f t="shared" si="162"/>
        <v>0</v>
      </c>
      <c r="N569" s="43" t="s">
        <v>161</v>
      </c>
      <c r="O569" s="339">
        <v>85362000</v>
      </c>
      <c r="P569" s="340">
        <f>IFERROR(VLOOKUP(O569,NCM!$A$3:$D$99,COLUMN(head_porNCM_IPI)-COLUMN(head_porNCM_NCM)+1,FALSE),"")</f>
        <v>0.1</v>
      </c>
      <c r="Q569" s="43" t="s">
        <v>806</v>
      </c>
      <c r="R569" s="78" t="s">
        <v>210</v>
      </c>
      <c r="S569" s="341"/>
      <c r="T569" s="28" t="s">
        <v>52</v>
      </c>
      <c r="U569" s="28" t="s">
        <v>3113</v>
      </c>
      <c r="V569" s="548">
        <v>45469</v>
      </c>
      <c r="W569" s="43"/>
      <c r="X569" s="342">
        <f t="shared" si="163"/>
        <v>166.14287015945331</v>
      </c>
      <c r="Y569" s="342">
        <f t="shared" si="164"/>
        <v>89.994054669703814</v>
      </c>
      <c r="Z569" s="46">
        <f t="shared" si="165"/>
        <v>15.229763097949888</v>
      </c>
      <c r="AA569" s="46">
        <f t="shared" si="166"/>
        <v>70.149211845102514</v>
      </c>
      <c r="AB569" s="43"/>
      <c r="AC569" s="44">
        <v>1013.01</v>
      </c>
      <c r="AD569" s="31">
        <v>0.18</v>
      </c>
      <c r="AE569" s="31">
        <v>9.7500000000000003E-2</v>
      </c>
      <c r="AF569" s="31">
        <v>0</v>
      </c>
      <c r="AG569" s="28" t="s">
        <v>53</v>
      </c>
      <c r="AH569" s="46">
        <f t="shared" si="167"/>
        <v>1111.7784749999998</v>
      </c>
      <c r="AI569" s="43"/>
      <c r="AJ569" s="28" t="s">
        <v>264</v>
      </c>
      <c r="AK569" s="337"/>
      <c r="AL569" s="43"/>
      <c r="AM569" s="44">
        <f t="shared" si="168"/>
        <v>0</v>
      </c>
      <c r="AN569" s="43"/>
      <c r="AO569" s="28">
        <f t="shared" si="169"/>
        <v>0</v>
      </c>
      <c r="AP569" s="43"/>
      <c r="AQ569" s="323">
        <f t="shared" si="170"/>
        <v>0</v>
      </c>
      <c r="AR569" s="43"/>
      <c r="AS569" s="44">
        <f t="shared" si="171"/>
        <v>1111.7784749999998</v>
      </c>
    </row>
    <row r="570" spans="1:45" x14ac:dyDescent="0.25">
      <c r="A570" s="28"/>
      <c r="B570" s="43"/>
      <c r="C570" s="43"/>
      <c r="D570" s="43"/>
      <c r="E570" s="43" t="s">
        <v>1379</v>
      </c>
      <c r="F570" s="43" t="s">
        <v>1380</v>
      </c>
      <c r="G570" s="46">
        <f t="shared" si="158"/>
        <v>3437.8582000000006</v>
      </c>
      <c r="H570" s="46">
        <f t="shared" si="159"/>
        <v>3050.0510250000007</v>
      </c>
      <c r="I570" s="28" t="s">
        <v>262</v>
      </c>
      <c r="J570" s="337">
        <v>0.35</v>
      </c>
      <c r="K570" s="46">
        <f t="shared" si="160"/>
        <v>1203.2503700000002</v>
      </c>
      <c r="L570" s="46">
        <f t="shared" si="161"/>
        <v>1067.5178587500002</v>
      </c>
      <c r="M570" s="338">
        <f t="shared" si="162"/>
        <v>0</v>
      </c>
      <c r="N570" s="43" t="s">
        <v>161</v>
      </c>
      <c r="O570" s="339">
        <v>85362000</v>
      </c>
      <c r="P570" s="340">
        <f>IFERROR(VLOOKUP(O570,NCM!$A$3:$D$99,COLUMN(head_porNCM_IPI)-COLUMN(head_porNCM_NCM)+1,FALSE),"")</f>
        <v>0.1</v>
      </c>
      <c r="Q570" s="43" t="s">
        <v>806</v>
      </c>
      <c r="R570" s="78" t="s">
        <v>210</v>
      </c>
      <c r="S570" s="341"/>
      <c r="T570" s="28" t="s">
        <v>52</v>
      </c>
      <c r="U570" s="28" t="s">
        <v>3113</v>
      </c>
      <c r="V570" s="548">
        <v>45469</v>
      </c>
      <c r="W570" s="43"/>
      <c r="X570" s="342">
        <f t="shared" si="163"/>
        <v>708.59323943661968</v>
      </c>
      <c r="Y570" s="342">
        <f t="shared" si="164"/>
        <v>255.88089201877938</v>
      </c>
      <c r="Z570" s="46">
        <f t="shared" si="165"/>
        <v>64.954380281690149</v>
      </c>
      <c r="AA570" s="46">
        <f t="shared" si="166"/>
        <v>299.18381220657278</v>
      </c>
      <c r="AB570" s="43"/>
      <c r="AC570" s="44">
        <v>4192.51</v>
      </c>
      <c r="AD570" s="31">
        <v>0.18</v>
      </c>
      <c r="AE570" s="31">
        <v>6.5000000000000002E-2</v>
      </c>
      <c r="AF570" s="31">
        <v>0</v>
      </c>
      <c r="AG570" s="28" t="s">
        <v>53</v>
      </c>
      <c r="AH570" s="46">
        <f t="shared" si="167"/>
        <v>4465.02315</v>
      </c>
      <c r="AI570" s="43"/>
      <c r="AJ570" s="28" t="s">
        <v>264</v>
      </c>
      <c r="AK570" s="337"/>
      <c r="AL570" s="43"/>
      <c r="AM570" s="44">
        <f t="shared" si="168"/>
        <v>0</v>
      </c>
      <c r="AN570" s="43"/>
      <c r="AO570" s="28">
        <f t="shared" si="169"/>
        <v>0</v>
      </c>
      <c r="AP570" s="43"/>
      <c r="AQ570" s="323">
        <f t="shared" si="170"/>
        <v>0</v>
      </c>
      <c r="AR570" s="43"/>
      <c r="AS570" s="44">
        <f t="shared" si="171"/>
        <v>4465.02315</v>
      </c>
    </row>
    <row r="571" spans="1:45" x14ac:dyDescent="0.25">
      <c r="A571" s="28"/>
      <c r="B571" s="43"/>
      <c r="C571" s="43"/>
      <c r="D571" s="43"/>
      <c r="E571" s="43" t="s">
        <v>1381</v>
      </c>
      <c r="F571" s="43" t="s">
        <v>1382</v>
      </c>
      <c r="G571" s="46">
        <f t="shared" si="158"/>
        <v>1777.8994000000002</v>
      </c>
      <c r="H571" s="46">
        <f t="shared" si="159"/>
        <v>1577.3436750000003</v>
      </c>
      <c r="I571" s="28" t="s">
        <v>262</v>
      </c>
      <c r="J571" s="337">
        <v>0.35</v>
      </c>
      <c r="K571" s="46">
        <f t="shared" si="160"/>
        <v>622.26479000000006</v>
      </c>
      <c r="L571" s="46">
        <f t="shared" si="161"/>
        <v>552.07028625000009</v>
      </c>
      <c r="M571" s="338">
        <f t="shared" si="162"/>
        <v>0</v>
      </c>
      <c r="N571" s="43" t="s">
        <v>161</v>
      </c>
      <c r="O571" s="339">
        <v>85362000</v>
      </c>
      <c r="P571" s="340">
        <f>IFERROR(VLOOKUP(O571,NCM!$A$3:$D$99,COLUMN(head_porNCM_IPI)-COLUMN(head_porNCM_NCM)+1,FALSE),"")</f>
        <v>0.1</v>
      </c>
      <c r="Q571" s="43" t="s">
        <v>806</v>
      </c>
      <c r="R571" s="78" t="s">
        <v>210</v>
      </c>
      <c r="S571" s="341"/>
      <c r="T571" s="28" t="s">
        <v>52</v>
      </c>
      <c r="U571" s="28" t="s">
        <v>3113</v>
      </c>
      <c r="V571" s="548">
        <v>45469</v>
      </c>
      <c r="W571" s="43"/>
      <c r="X571" s="342">
        <f t="shared" si="163"/>
        <v>366.4512676056338</v>
      </c>
      <c r="Y571" s="342">
        <f t="shared" si="164"/>
        <v>132.32962441314544</v>
      </c>
      <c r="Z571" s="46">
        <f t="shared" si="165"/>
        <v>33.591366197183106</v>
      </c>
      <c r="AA571" s="46">
        <f t="shared" si="166"/>
        <v>154.72386854460095</v>
      </c>
      <c r="AB571" s="43"/>
      <c r="AC571" s="44">
        <v>2168.17</v>
      </c>
      <c r="AD571" s="31">
        <v>0.18</v>
      </c>
      <c r="AE571" s="31">
        <v>6.5000000000000002E-2</v>
      </c>
      <c r="AF571" s="31">
        <v>0</v>
      </c>
      <c r="AG571" s="28" t="s">
        <v>53</v>
      </c>
      <c r="AH571" s="46">
        <f t="shared" si="167"/>
        <v>2309.1010499999998</v>
      </c>
      <c r="AI571" s="43"/>
      <c r="AJ571" s="28" t="s">
        <v>264</v>
      </c>
      <c r="AK571" s="337"/>
      <c r="AL571" s="43"/>
      <c r="AM571" s="44">
        <f t="shared" si="168"/>
        <v>0</v>
      </c>
      <c r="AN571" s="43"/>
      <c r="AO571" s="28">
        <f t="shared" si="169"/>
        <v>0</v>
      </c>
      <c r="AP571" s="43"/>
      <c r="AQ571" s="323">
        <f t="shared" si="170"/>
        <v>0</v>
      </c>
      <c r="AR571" s="43"/>
      <c r="AS571" s="44">
        <f t="shared" si="171"/>
        <v>2309.1010499999998</v>
      </c>
    </row>
    <row r="572" spans="1:45" x14ac:dyDescent="0.25">
      <c r="A572" s="28"/>
      <c r="B572" s="43"/>
      <c r="C572" s="43"/>
      <c r="D572" s="43"/>
      <c r="E572" s="43" t="s">
        <v>1383</v>
      </c>
      <c r="F572" s="43" t="s">
        <v>1384</v>
      </c>
      <c r="G572" s="46">
        <f t="shared" si="158"/>
        <v>2469.3070000000002</v>
      </c>
      <c r="H572" s="46">
        <f t="shared" si="159"/>
        <v>2190.7571250000005</v>
      </c>
      <c r="I572" s="28" t="s">
        <v>262</v>
      </c>
      <c r="J572" s="337">
        <v>0.35</v>
      </c>
      <c r="K572" s="46">
        <f t="shared" si="160"/>
        <v>864.25745000000006</v>
      </c>
      <c r="L572" s="46">
        <f t="shared" si="161"/>
        <v>766.76499375000014</v>
      </c>
      <c r="M572" s="338">
        <f t="shared" si="162"/>
        <v>0</v>
      </c>
      <c r="N572" s="43" t="s">
        <v>161</v>
      </c>
      <c r="O572" s="339">
        <v>85362000</v>
      </c>
      <c r="P572" s="340">
        <f>IFERROR(VLOOKUP(O572,NCM!$A$3:$D$99,COLUMN(head_porNCM_IPI)-COLUMN(head_porNCM_NCM)+1,FALSE),"")</f>
        <v>0.1</v>
      </c>
      <c r="Q572" s="43" t="s">
        <v>806</v>
      </c>
      <c r="R572" s="78" t="s">
        <v>210</v>
      </c>
      <c r="S572" s="341"/>
      <c r="T572" s="28" t="s">
        <v>52</v>
      </c>
      <c r="U572" s="28" t="s">
        <v>3113</v>
      </c>
      <c r="V572" s="548">
        <v>45469</v>
      </c>
      <c r="W572" s="43"/>
      <c r="X572" s="342">
        <f t="shared" si="163"/>
        <v>508.96056338028166</v>
      </c>
      <c r="Y572" s="342">
        <f t="shared" si="164"/>
        <v>183.79131455399056</v>
      </c>
      <c r="Z572" s="46">
        <f t="shared" si="165"/>
        <v>46.654718309859156</v>
      </c>
      <c r="AA572" s="46">
        <f t="shared" si="166"/>
        <v>214.8944600938967</v>
      </c>
      <c r="AB572" s="43"/>
      <c r="AC572" s="44">
        <v>3011.35</v>
      </c>
      <c r="AD572" s="31">
        <v>0.18</v>
      </c>
      <c r="AE572" s="31">
        <v>6.5000000000000002E-2</v>
      </c>
      <c r="AF572" s="31">
        <v>0</v>
      </c>
      <c r="AG572" s="28" t="s">
        <v>53</v>
      </c>
      <c r="AH572" s="46">
        <f t="shared" si="167"/>
        <v>3207.0877499999997</v>
      </c>
      <c r="AI572" s="43"/>
      <c r="AJ572" s="28" t="s">
        <v>264</v>
      </c>
      <c r="AK572" s="337"/>
      <c r="AL572" s="43"/>
      <c r="AM572" s="44">
        <f t="shared" si="168"/>
        <v>0</v>
      </c>
      <c r="AN572" s="43"/>
      <c r="AO572" s="28">
        <f t="shared" si="169"/>
        <v>0</v>
      </c>
      <c r="AP572" s="43"/>
      <c r="AQ572" s="323">
        <f t="shared" si="170"/>
        <v>0</v>
      </c>
      <c r="AR572" s="43"/>
      <c r="AS572" s="44">
        <f t="shared" si="171"/>
        <v>3207.0877499999997</v>
      </c>
    </row>
    <row r="573" spans="1:45" x14ac:dyDescent="0.25">
      <c r="A573" s="28"/>
      <c r="B573" s="43"/>
      <c r="C573" s="43"/>
      <c r="D573" s="43"/>
      <c r="E573" s="43" t="s">
        <v>1385</v>
      </c>
      <c r="F573" s="43" t="s">
        <v>1386</v>
      </c>
      <c r="G573" s="46">
        <f t="shared" si="158"/>
        <v>1975.462</v>
      </c>
      <c r="H573" s="46">
        <f t="shared" si="159"/>
        <v>1752.6202500000004</v>
      </c>
      <c r="I573" s="28" t="s">
        <v>262</v>
      </c>
      <c r="J573" s="337">
        <v>0.35</v>
      </c>
      <c r="K573" s="46">
        <f t="shared" si="160"/>
        <v>691.4117</v>
      </c>
      <c r="L573" s="46">
        <f t="shared" si="161"/>
        <v>613.41708750000009</v>
      </c>
      <c r="M573" s="338">
        <f t="shared" si="162"/>
        <v>0</v>
      </c>
      <c r="N573" s="43" t="s">
        <v>161</v>
      </c>
      <c r="O573" s="339">
        <v>85362000</v>
      </c>
      <c r="P573" s="340">
        <f>IFERROR(VLOOKUP(O573,NCM!$A$3:$D$99,COLUMN(head_porNCM_IPI)-COLUMN(head_porNCM_NCM)+1,FALSE),"")</f>
        <v>0.1</v>
      </c>
      <c r="Q573" s="43" t="s">
        <v>806</v>
      </c>
      <c r="R573" s="78" t="s">
        <v>210</v>
      </c>
      <c r="S573" s="341"/>
      <c r="T573" s="28" t="s">
        <v>52</v>
      </c>
      <c r="U573" s="28" t="s">
        <v>3113</v>
      </c>
      <c r="V573" s="548">
        <v>45469</v>
      </c>
      <c r="W573" s="43"/>
      <c r="X573" s="342">
        <f t="shared" si="163"/>
        <v>407.17183098591551</v>
      </c>
      <c r="Y573" s="342">
        <f t="shared" si="164"/>
        <v>147.03427230046918</v>
      </c>
      <c r="Z573" s="46">
        <f t="shared" si="165"/>
        <v>37.324084507042258</v>
      </c>
      <c r="AA573" s="46">
        <f t="shared" si="166"/>
        <v>171.91699530516433</v>
      </c>
      <c r="AB573" s="43"/>
      <c r="AC573" s="44">
        <v>2409.1</v>
      </c>
      <c r="AD573" s="31">
        <v>0.18</v>
      </c>
      <c r="AE573" s="31">
        <v>6.5000000000000002E-2</v>
      </c>
      <c r="AF573" s="31">
        <v>0</v>
      </c>
      <c r="AG573" s="28" t="s">
        <v>53</v>
      </c>
      <c r="AH573" s="46">
        <f t="shared" si="167"/>
        <v>2565.6914999999999</v>
      </c>
      <c r="AI573" s="43"/>
      <c r="AJ573" s="28" t="s">
        <v>264</v>
      </c>
      <c r="AK573" s="337"/>
      <c r="AL573" s="43"/>
      <c r="AM573" s="44">
        <f t="shared" si="168"/>
        <v>0</v>
      </c>
      <c r="AN573" s="43"/>
      <c r="AO573" s="28">
        <f t="shared" si="169"/>
        <v>0</v>
      </c>
      <c r="AP573" s="43"/>
      <c r="AQ573" s="323">
        <f t="shared" si="170"/>
        <v>0</v>
      </c>
      <c r="AR573" s="43"/>
      <c r="AS573" s="44">
        <f t="shared" si="171"/>
        <v>2565.6914999999999</v>
      </c>
    </row>
    <row r="574" spans="1:45" x14ac:dyDescent="0.25">
      <c r="A574" s="28"/>
      <c r="B574" s="43"/>
      <c r="C574" s="43"/>
      <c r="D574" s="43"/>
      <c r="E574" s="43" t="s">
        <v>1387</v>
      </c>
      <c r="F574" s="43" t="s">
        <v>1388</v>
      </c>
      <c r="G574" s="46">
        <f t="shared" si="158"/>
        <v>1975.462</v>
      </c>
      <c r="H574" s="46">
        <f t="shared" si="159"/>
        <v>1752.6202500000004</v>
      </c>
      <c r="I574" s="28" t="s">
        <v>262</v>
      </c>
      <c r="J574" s="337">
        <v>0.35</v>
      </c>
      <c r="K574" s="46">
        <f t="shared" si="160"/>
        <v>691.4117</v>
      </c>
      <c r="L574" s="46">
        <f t="shared" si="161"/>
        <v>613.41708750000009</v>
      </c>
      <c r="M574" s="338">
        <f t="shared" si="162"/>
        <v>0</v>
      </c>
      <c r="N574" s="43" t="s">
        <v>161</v>
      </c>
      <c r="O574" s="339">
        <v>85362000</v>
      </c>
      <c r="P574" s="340">
        <f>IFERROR(VLOOKUP(O574,NCM!$A$3:$D$99,COLUMN(head_porNCM_IPI)-COLUMN(head_porNCM_NCM)+1,FALSE),"")</f>
        <v>0.1</v>
      </c>
      <c r="Q574" s="43" t="s">
        <v>806</v>
      </c>
      <c r="R574" s="78" t="s">
        <v>210</v>
      </c>
      <c r="S574" s="341"/>
      <c r="T574" s="28" t="s">
        <v>52</v>
      </c>
      <c r="U574" s="28" t="s">
        <v>3113</v>
      </c>
      <c r="V574" s="548">
        <v>45469</v>
      </c>
      <c r="W574" s="43"/>
      <c r="X574" s="342">
        <f t="shared" si="163"/>
        <v>407.17183098591551</v>
      </c>
      <c r="Y574" s="342">
        <f t="shared" si="164"/>
        <v>147.03427230046918</v>
      </c>
      <c r="Z574" s="46">
        <f t="shared" si="165"/>
        <v>37.324084507042258</v>
      </c>
      <c r="AA574" s="46">
        <f t="shared" si="166"/>
        <v>171.91699530516433</v>
      </c>
      <c r="AB574" s="43"/>
      <c r="AC574" s="44">
        <v>2409.1</v>
      </c>
      <c r="AD574" s="31">
        <v>0.18</v>
      </c>
      <c r="AE574" s="31">
        <v>6.5000000000000002E-2</v>
      </c>
      <c r="AF574" s="31">
        <v>0</v>
      </c>
      <c r="AG574" s="28" t="s">
        <v>53</v>
      </c>
      <c r="AH574" s="46">
        <f t="shared" si="167"/>
        <v>2565.6914999999999</v>
      </c>
      <c r="AI574" s="43"/>
      <c r="AJ574" s="28" t="s">
        <v>264</v>
      </c>
      <c r="AK574" s="337"/>
      <c r="AL574" s="43"/>
      <c r="AM574" s="44">
        <f t="shared" si="168"/>
        <v>0</v>
      </c>
      <c r="AN574" s="43"/>
      <c r="AO574" s="28">
        <f t="shared" si="169"/>
        <v>0</v>
      </c>
      <c r="AP574" s="43"/>
      <c r="AQ574" s="323">
        <f t="shared" si="170"/>
        <v>0</v>
      </c>
      <c r="AR574" s="43"/>
      <c r="AS574" s="44">
        <f t="shared" si="171"/>
        <v>2565.6914999999999</v>
      </c>
    </row>
    <row r="575" spans="1:45" x14ac:dyDescent="0.25">
      <c r="A575" s="28"/>
      <c r="B575" s="43"/>
      <c r="C575" s="43"/>
      <c r="D575" s="43"/>
      <c r="E575" s="43" t="s">
        <v>1389</v>
      </c>
      <c r="F575" s="43" t="s">
        <v>1390</v>
      </c>
      <c r="G575" s="46">
        <f t="shared" si="158"/>
        <v>1975.462</v>
      </c>
      <c r="H575" s="46">
        <f t="shared" si="159"/>
        <v>1752.6202500000004</v>
      </c>
      <c r="I575" s="28" t="s">
        <v>262</v>
      </c>
      <c r="J575" s="337">
        <v>0.35</v>
      </c>
      <c r="K575" s="46">
        <f t="shared" si="160"/>
        <v>691.4117</v>
      </c>
      <c r="L575" s="46">
        <f t="shared" si="161"/>
        <v>613.41708750000009</v>
      </c>
      <c r="M575" s="338">
        <f t="shared" si="162"/>
        <v>0</v>
      </c>
      <c r="N575" s="43" t="s">
        <v>161</v>
      </c>
      <c r="O575" s="339">
        <v>85362000</v>
      </c>
      <c r="P575" s="340">
        <f>IFERROR(VLOOKUP(O575,NCM!$A$3:$D$99,COLUMN(head_porNCM_IPI)-COLUMN(head_porNCM_NCM)+1,FALSE),"")</f>
        <v>0.1</v>
      </c>
      <c r="Q575" s="43" t="s">
        <v>806</v>
      </c>
      <c r="R575" s="78" t="s">
        <v>210</v>
      </c>
      <c r="S575" s="341"/>
      <c r="T575" s="28" t="s">
        <v>52</v>
      </c>
      <c r="U575" s="28" t="s">
        <v>3113</v>
      </c>
      <c r="V575" s="548">
        <v>45469</v>
      </c>
      <c r="W575" s="43"/>
      <c r="X575" s="342">
        <f t="shared" si="163"/>
        <v>407.17183098591551</v>
      </c>
      <c r="Y575" s="342">
        <f t="shared" si="164"/>
        <v>147.03427230046918</v>
      </c>
      <c r="Z575" s="46">
        <f t="shared" si="165"/>
        <v>37.324084507042258</v>
      </c>
      <c r="AA575" s="46">
        <f t="shared" si="166"/>
        <v>171.91699530516433</v>
      </c>
      <c r="AB575" s="43"/>
      <c r="AC575" s="44">
        <v>2409.1</v>
      </c>
      <c r="AD575" s="31">
        <v>0.18</v>
      </c>
      <c r="AE575" s="31">
        <v>6.5000000000000002E-2</v>
      </c>
      <c r="AF575" s="31">
        <v>0</v>
      </c>
      <c r="AG575" s="28" t="s">
        <v>53</v>
      </c>
      <c r="AH575" s="46">
        <f t="shared" si="167"/>
        <v>2565.6914999999999</v>
      </c>
      <c r="AI575" s="43"/>
      <c r="AJ575" s="28" t="s">
        <v>264</v>
      </c>
      <c r="AK575" s="337"/>
      <c r="AL575" s="43"/>
      <c r="AM575" s="44">
        <f t="shared" si="168"/>
        <v>0</v>
      </c>
      <c r="AN575" s="43"/>
      <c r="AO575" s="28">
        <f t="shared" si="169"/>
        <v>0</v>
      </c>
      <c r="AP575" s="43"/>
      <c r="AQ575" s="323">
        <f t="shared" si="170"/>
        <v>0</v>
      </c>
      <c r="AR575" s="43"/>
      <c r="AS575" s="44">
        <f t="shared" si="171"/>
        <v>2565.6914999999999</v>
      </c>
    </row>
    <row r="576" spans="1:45" x14ac:dyDescent="0.25">
      <c r="A576" s="28"/>
      <c r="B576" s="43"/>
      <c r="C576" s="43"/>
      <c r="D576" s="43"/>
      <c r="E576" s="43" t="s">
        <v>1391</v>
      </c>
      <c r="F576" s="43" t="s">
        <v>1392</v>
      </c>
      <c r="G576" s="46">
        <f t="shared" si="158"/>
        <v>1975.462</v>
      </c>
      <c r="H576" s="46">
        <f t="shared" si="159"/>
        <v>1752.6202500000004</v>
      </c>
      <c r="I576" s="28" t="s">
        <v>262</v>
      </c>
      <c r="J576" s="337">
        <v>0.35</v>
      </c>
      <c r="K576" s="46">
        <f t="shared" si="160"/>
        <v>691.4117</v>
      </c>
      <c r="L576" s="46">
        <f t="shared" si="161"/>
        <v>613.41708750000009</v>
      </c>
      <c r="M576" s="338">
        <f t="shared" si="162"/>
        <v>0</v>
      </c>
      <c r="N576" s="43" t="s">
        <v>161</v>
      </c>
      <c r="O576" s="339">
        <v>85362000</v>
      </c>
      <c r="P576" s="340">
        <f>IFERROR(VLOOKUP(O576,NCM!$A$3:$D$99,COLUMN(head_porNCM_IPI)-COLUMN(head_porNCM_NCM)+1,FALSE),"")</f>
        <v>0.1</v>
      </c>
      <c r="Q576" s="43" t="s">
        <v>806</v>
      </c>
      <c r="R576" s="78" t="s">
        <v>210</v>
      </c>
      <c r="S576" s="341"/>
      <c r="T576" s="28" t="s">
        <v>52</v>
      </c>
      <c r="U576" s="28" t="s">
        <v>3113</v>
      </c>
      <c r="V576" s="548">
        <v>45469</v>
      </c>
      <c r="W576" s="43"/>
      <c r="X576" s="342">
        <f t="shared" si="163"/>
        <v>407.17183098591551</v>
      </c>
      <c r="Y576" s="342">
        <f t="shared" si="164"/>
        <v>147.03427230046918</v>
      </c>
      <c r="Z576" s="46">
        <f t="shared" si="165"/>
        <v>37.324084507042258</v>
      </c>
      <c r="AA576" s="46">
        <f t="shared" si="166"/>
        <v>171.91699530516433</v>
      </c>
      <c r="AB576" s="43"/>
      <c r="AC576" s="44">
        <v>2409.1</v>
      </c>
      <c r="AD576" s="31">
        <v>0.18</v>
      </c>
      <c r="AE576" s="31">
        <v>6.5000000000000002E-2</v>
      </c>
      <c r="AF576" s="31">
        <v>0</v>
      </c>
      <c r="AG576" s="28" t="s">
        <v>53</v>
      </c>
      <c r="AH576" s="46">
        <f t="shared" si="167"/>
        <v>2565.6914999999999</v>
      </c>
      <c r="AI576" s="43"/>
      <c r="AJ576" s="28" t="s">
        <v>264</v>
      </c>
      <c r="AK576" s="337"/>
      <c r="AL576" s="43"/>
      <c r="AM576" s="44">
        <f t="shared" si="168"/>
        <v>0</v>
      </c>
      <c r="AN576" s="43"/>
      <c r="AO576" s="28">
        <f t="shared" si="169"/>
        <v>0</v>
      </c>
      <c r="AP576" s="43"/>
      <c r="AQ576" s="323">
        <f t="shared" si="170"/>
        <v>0</v>
      </c>
      <c r="AR576" s="43"/>
      <c r="AS576" s="44">
        <f t="shared" si="171"/>
        <v>2565.6914999999999</v>
      </c>
    </row>
    <row r="577" spans="1:45" x14ac:dyDescent="0.25">
      <c r="A577" s="28"/>
      <c r="B577" s="43"/>
      <c r="C577" s="43"/>
      <c r="D577" s="43"/>
      <c r="E577" s="43" t="s">
        <v>1393</v>
      </c>
      <c r="F577" s="43" t="s">
        <v>1394</v>
      </c>
      <c r="G577" s="46">
        <f t="shared" si="158"/>
        <v>1975.462</v>
      </c>
      <c r="H577" s="46">
        <f t="shared" si="159"/>
        <v>1752.6202500000004</v>
      </c>
      <c r="I577" s="28" t="s">
        <v>262</v>
      </c>
      <c r="J577" s="337">
        <v>0.35</v>
      </c>
      <c r="K577" s="46">
        <f t="shared" si="160"/>
        <v>691.4117</v>
      </c>
      <c r="L577" s="46">
        <f t="shared" si="161"/>
        <v>613.41708750000009</v>
      </c>
      <c r="M577" s="338">
        <f t="shared" si="162"/>
        <v>0</v>
      </c>
      <c r="N577" s="43" t="s">
        <v>161</v>
      </c>
      <c r="O577" s="339">
        <v>85362000</v>
      </c>
      <c r="P577" s="340">
        <f>IFERROR(VLOOKUP(O577,NCM!$A$3:$D$99,COLUMN(head_porNCM_IPI)-COLUMN(head_porNCM_NCM)+1,FALSE),"")</f>
        <v>0.1</v>
      </c>
      <c r="Q577" s="43" t="s">
        <v>806</v>
      </c>
      <c r="R577" s="78" t="s">
        <v>210</v>
      </c>
      <c r="S577" s="341"/>
      <c r="T577" s="28" t="s">
        <v>52</v>
      </c>
      <c r="U577" s="28" t="s">
        <v>3113</v>
      </c>
      <c r="V577" s="548">
        <v>45469</v>
      </c>
      <c r="W577" s="43"/>
      <c r="X577" s="342">
        <f t="shared" si="163"/>
        <v>407.17183098591551</v>
      </c>
      <c r="Y577" s="342">
        <f t="shared" si="164"/>
        <v>147.03427230046918</v>
      </c>
      <c r="Z577" s="46">
        <f t="shared" si="165"/>
        <v>37.324084507042258</v>
      </c>
      <c r="AA577" s="46">
        <f t="shared" si="166"/>
        <v>171.91699530516433</v>
      </c>
      <c r="AB577" s="43"/>
      <c r="AC577" s="44">
        <v>2409.1</v>
      </c>
      <c r="AD577" s="31">
        <v>0.18</v>
      </c>
      <c r="AE577" s="31">
        <v>6.5000000000000002E-2</v>
      </c>
      <c r="AF577" s="31">
        <v>0</v>
      </c>
      <c r="AG577" s="28" t="s">
        <v>53</v>
      </c>
      <c r="AH577" s="46">
        <f t="shared" si="167"/>
        <v>2565.6914999999999</v>
      </c>
      <c r="AI577" s="43"/>
      <c r="AJ577" s="28" t="s">
        <v>264</v>
      </c>
      <c r="AK577" s="337"/>
      <c r="AL577" s="43"/>
      <c r="AM577" s="44">
        <f t="shared" si="168"/>
        <v>0</v>
      </c>
      <c r="AN577" s="43"/>
      <c r="AO577" s="28">
        <f t="shared" si="169"/>
        <v>0</v>
      </c>
      <c r="AP577" s="43"/>
      <c r="AQ577" s="323">
        <f t="shared" si="170"/>
        <v>0</v>
      </c>
      <c r="AR577" s="43"/>
      <c r="AS577" s="44">
        <f t="shared" si="171"/>
        <v>2565.6914999999999</v>
      </c>
    </row>
    <row r="578" spans="1:45" x14ac:dyDescent="0.25">
      <c r="A578" s="28"/>
      <c r="B578" s="43"/>
      <c r="C578" s="43"/>
      <c r="D578" s="43"/>
      <c r="E578" s="43" t="s">
        <v>1395</v>
      </c>
      <c r="F578" s="43" t="s">
        <v>1396</v>
      </c>
      <c r="G578" s="46">
        <f t="shared" si="158"/>
        <v>3819.2074000000002</v>
      </c>
      <c r="H578" s="46">
        <f t="shared" si="159"/>
        <v>3388.3821750000006</v>
      </c>
      <c r="I578" s="28" t="s">
        <v>262</v>
      </c>
      <c r="J578" s="337">
        <v>0.35</v>
      </c>
      <c r="K578" s="46">
        <f t="shared" si="160"/>
        <v>1336.7225900000001</v>
      </c>
      <c r="L578" s="46">
        <f t="shared" si="161"/>
        <v>1185.9337612500001</v>
      </c>
      <c r="M578" s="338">
        <f t="shared" si="162"/>
        <v>0</v>
      </c>
      <c r="N578" s="43" t="s">
        <v>161</v>
      </c>
      <c r="O578" s="339">
        <v>85362000</v>
      </c>
      <c r="P578" s="340">
        <f>IFERROR(VLOOKUP(O578,NCM!$A$3:$D$99,COLUMN(head_porNCM_IPI)-COLUMN(head_porNCM_NCM)+1,FALSE),"")</f>
        <v>0.1</v>
      </c>
      <c r="Q578" s="43" t="s">
        <v>806</v>
      </c>
      <c r="R578" s="78" t="s">
        <v>210</v>
      </c>
      <c r="S578" s="341"/>
      <c r="T578" s="28" t="s">
        <v>52</v>
      </c>
      <c r="U578" s="28" t="s">
        <v>3113</v>
      </c>
      <c r="V578" s="548">
        <v>45469</v>
      </c>
      <c r="W578" s="43"/>
      <c r="X578" s="342">
        <f t="shared" si="163"/>
        <v>787.19492957746468</v>
      </c>
      <c r="Y578" s="342">
        <f t="shared" si="164"/>
        <v>284.26483568075128</v>
      </c>
      <c r="Z578" s="46">
        <f t="shared" si="165"/>
        <v>72.15953521126761</v>
      </c>
      <c r="AA578" s="46">
        <f t="shared" si="166"/>
        <v>332.37119248826286</v>
      </c>
      <c r="AB578" s="43"/>
      <c r="AC578" s="44">
        <v>4657.57</v>
      </c>
      <c r="AD578" s="31">
        <v>0.18</v>
      </c>
      <c r="AE578" s="31">
        <v>6.5000000000000002E-2</v>
      </c>
      <c r="AF578" s="31">
        <v>0</v>
      </c>
      <c r="AG578" s="28" t="s">
        <v>53</v>
      </c>
      <c r="AH578" s="46">
        <f t="shared" si="167"/>
        <v>4960.3120499999995</v>
      </c>
      <c r="AI578" s="43"/>
      <c r="AJ578" s="28" t="s">
        <v>264</v>
      </c>
      <c r="AK578" s="337"/>
      <c r="AL578" s="43"/>
      <c r="AM578" s="44">
        <f t="shared" si="168"/>
        <v>0</v>
      </c>
      <c r="AN578" s="43"/>
      <c r="AO578" s="28">
        <f t="shared" si="169"/>
        <v>0</v>
      </c>
      <c r="AP578" s="43"/>
      <c r="AQ578" s="323">
        <f t="shared" si="170"/>
        <v>0</v>
      </c>
      <c r="AR578" s="43"/>
      <c r="AS578" s="44">
        <f t="shared" si="171"/>
        <v>4960.3120499999995</v>
      </c>
    </row>
    <row r="579" spans="1:45" x14ac:dyDescent="0.25">
      <c r="A579" s="28"/>
      <c r="B579" s="43"/>
      <c r="C579" s="43"/>
      <c r="D579" s="43"/>
      <c r="E579" s="43" t="s">
        <v>1397</v>
      </c>
      <c r="F579" s="43" t="s">
        <v>1398</v>
      </c>
      <c r="G579" s="46">
        <f t="shared" si="158"/>
        <v>3819.2074000000002</v>
      </c>
      <c r="H579" s="46">
        <f t="shared" si="159"/>
        <v>3388.3821750000006</v>
      </c>
      <c r="I579" s="28" t="s">
        <v>262</v>
      </c>
      <c r="J579" s="337">
        <v>0.35</v>
      </c>
      <c r="K579" s="46">
        <f t="shared" si="160"/>
        <v>1336.7225900000001</v>
      </c>
      <c r="L579" s="46">
        <f t="shared" si="161"/>
        <v>1185.9337612500001</v>
      </c>
      <c r="M579" s="338">
        <f t="shared" si="162"/>
        <v>0</v>
      </c>
      <c r="N579" s="43" t="s">
        <v>161</v>
      </c>
      <c r="O579" s="339">
        <v>85362000</v>
      </c>
      <c r="P579" s="340">
        <f>IFERROR(VLOOKUP(O579,NCM!$A$3:$D$99,COLUMN(head_porNCM_IPI)-COLUMN(head_porNCM_NCM)+1,FALSE),"")</f>
        <v>0.1</v>
      </c>
      <c r="Q579" s="43" t="s">
        <v>806</v>
      </c>
      <c r="R579" s="78" t="s">
        <v>210</v>
      </c>
      <c r="S579" s="341"/>
      <c r="T579" s="28" t="s">
        <v>52</v>
      </c>
      <c r="U579" s="28" t="s">
        <v>3113</v>
      </c>
      <c r="V579" s="548">
        <v>45469</v>
      </c>
      <c r="W579" s="43"/>
      <c r="X579" s="342">
        <f t="shared" si="163"/>
        <v>787.19492957746468</v>
      </c>
      <c r="Y579" s="342">
        <f t="shared" si="164"/>
        <v>284.26483568075128</v>
      </c>
      <c r="Z579" s="46">
        <f t="shared" si="165"/>
        <v>72.15953521126761</v>
      </c>
      <c r="AA579" s="46">
        <f t="shared" si="166"/>
        <v>332.37119248826286</v>
      </c>
      <c r="AB579" s="43"/>
      <c r="AC579" s="44">
        <v>4657.57</v>
      </c>
      <c r="AD579" s="31">
        <v>0.18</v>
      </c>
      <c r="AE579" s="31">
        <v>6.5000000000000002E-2</v>
      </c>
      <c r="AF579" s="31">
        <v>0</v>
      </c>
      <c r="AG579" s="28" t="s">
        <v>53</v>
      </c>
      <c r="AH579" s="46">
        <f t="shared" si="167"/>
        <v>4960.3120499999995</v>
      </c>
      <c r="AI579" s="43"/>
      <c r="AJ579" s="28" t="s">
        <v>264</v>
      </c>
      <c r="AK579" s="337"/>
      <c r="AL579" s="43"/>
      <c r="AM579" s="44">
        <f t="shared" si="168"/>
        <v>0</v>
      </c>
      <c r="AN579" s="43"/>
      <c r="AO579" s="28">
        <f t="shared" si="169"/>
        <v>0</v>
      </c>
      <c r="AP579" s="43"/>
      <c r="AQ579" s="323">
        <f t="shared" si="170"/>
        <v>0</v>
      </c>
      <c r="AR579" s="43"/>
      <c r="AS579" s="44">
        <f t="shared" si="171"/>
        <v>4960.3120499999995</v>
      </c>
    </row>
    <row r="580" spans="1:45" x14ac:dyDescent="0.25">
      <c r="A580" s="28"/>
      <c r="B580" s="43"/>
      <c r="C580" s="43"/>
      <c r="D580" s="43"/>
      <c r="E580" s="43" t="s">
        <v>1399</v>
      </c>
      <c r="F580" s="43" t="s">
        <v>1400</v>
      </c>
      <c r="G580" s="46">
        <f t="shared" si="158"/>
        <v>4798.0086000000001</v>
      </c>
      <c r="H580" s="46">
        <f t="shared" si="159"/>
        <v>4256.7698250000003</v>
      </c>
      <c r="I580" s="28" t="s">
        <v>262</v>
      </c>
      <c r="J580" s="337">
        <v>0.35</v>
      </c>
      <c r="K580" s="46">
        <f t="shared" si="160"/>
        <v>1679.3030099999999</v>
      </c>
      <c r="L580" s="46">
        <f t="shared" si="161"/>
        <v>1489.86943875</v>
      </c>
      <c r="M580" s="338">
        <f t="shared" si="162"/>
        <v>0</v>
      </c>
      <c r="N580" s="43" t="s">
        <v>161</v>
      </c>
      <c r="O580" s="339">
        <v>85362000</v>
      </c>
      <c r="P580" s="340">
        <f>IFERROR(VLOOKUP(O580,NCM!$A$3:$D$99,COLUMN(head_porNCM_IPI)-COLUMN(head_porNCM_NCM)+1,FALSE),"")</f>
        <v>0.1</v>
      </c>
      <c r="Q580" s="43" t="s">
        <v>806</v>
      </c>
      <c r="R580" s="78" t="s">
        <v>210</v>
      </c>
      <c r="S580" s="341"/>
      <c r="T580" s="28" t="s">
        <v>52</v>
      </c>
      <c r="U580" s="28" t="s">
        <v>3113</v>
      </c>
      <c r="V580" s="548">
        <v>45469</v>
      </c>
      <c r="W580" s="43"/>
      <c r="X580" s="342">
        <f t="shared" si="163"/>
        <v>988.94028169014075</v>
      </c>
      <c r="Y580" s="342">
        <f t="shared" si="164"/>
        <v>357.11732394366209</v>
      </c>
      <c r="Z580" s="46">
        <f t="shared" si="165"/>
        <v>90.652859154929573</v>
      </c>
      <c r="AA580" s="46">
        <f t="shared" si="166"/>
        <v>417.55256338028164</v>
      </c>
      <c r="AB580" s="43"/>
      <c r="AC580" s="44">
        <v>5851.23</v>
      </c>
      <c r="AD580" s="31">
        <v>0.18</v>
      </c>
      <c r="AE580" s="31">
        <v>6.5000000000000002E-2</v>
      </c>
      <c r="AF580" s="31">
        <v>0</v>
      </c>
      <c r="AG580" s="28" t="s">
        <v>53</v>
      </c>
      <c r="AH580" s="46">
        <f t="shared" si="167"/>
        <v>6231.5599499999989</v>
      </c>
      <c r="AI580" s="43"/>
      <c r="AJ580" s="28" t="s">
        <v>264</v>
      </c>
      <c r="AK580" s="337"/>
      <c r="AL580" s="43"/>
      <c r="AM580" s="44">
        <f t="shared" si="168"/>
        <v>0</v>
      </c>
      <c r="AN580" s="43"/>
      <c r="AO580" s="28">
        <f t="shared" si="169"/>
        <v>0</v>
      </c>
      <c r="AP580" s="43"/>
      <c r="AQ580" s="323">
        <f t="shared" si="170"/>
        <v>0</v>
      </c>
      <c r="AR580" s="43"/>
      <c r="AS580" s="44">
        <f t="shared" si="171"/>
        <v>6231.5599499999989</v>
      </c>
    </row>
    <row r="581" spans="1:45" x14ac:dyDescent="0.25">
      <c r="A581" s="28"/>
      <c r="B581" s="43"/>
      <c r="C581" s="43"/>
      <c r="D581" s="43"/>
      <c r="E581" s="43" t="s">
        <v>1401</v>
      </c>
      <c r="F581" s="43" t="s">
        <v>1402</v>
      </c>
      <c r="G581" s="46">
        <f t="shared" si="158"/>
        <v>6313.9180000000006</v>
      </c>
      <c r="H581" s="46">
        <f t="shared" si="159"/>
        <v>5601.6772500000006</v>
      </c>
      <c r="I581" s="28" t="s">
        <v>262</v>
      </c>
      <c r="J581" s="337">
        <v>0.35</v>
      </c>
      <c r="K581" s="46">
        <f t="shared" si="160"/>
        <v>2209.8713000000002</v>
      </c>
      <c r="L581" s="46">
        <f t="shared" si="161"/>
        <v>1960.5870375000002</v>
      </c>
      <c r="M581" s="338">
        <f t="shared" si="162"/>
        <v>0</v>
      </c>
      <c r="N581" s="43" t="s">
        <v>161</v>
      </c>
      <c r="O581" s="339">
        <v>85362000</v>
      </c>
      <c r="P581" s="340">
        <f>IFERROR(VLOOKUP(O581,NCM!$A$3:$D$99,COLUMN(head_porNCM_IPI)-COLUMN(head_porNCM_NCM)+1,FALSE),"")</f>
        <v>0.1</v>
      </c>
      <c r="Q581" s="43" t="s">
        <v>806</v>
      </c>
      <c r="R581" s="78" t="s">
        <v>210</v>
      </c>
      <c r="S581" s="341"/>
      <c r="T581" s="28" t="s">
        <v>52</v>
      </c>
      <c r="U581" s="28" t="s">
        <v>3113</v>
      </c>
      <c r="V581" s="548">
        <v>45469</v>
      </c>
      <c r="W581" s="43"/>
      <c r="X581" s="342">
        <f t="shared" si="163"/>
        <v>1301.3915492957747</v>
      </c>
      <c r="Y581" s="342">
        <f t="shared" si="164"/>
        <v>469.9469483568073</v>
      </c>
      <c r="Z581" s="46">
        <f t="shared" si="165"/>
        <v>119.29422535211268</v>
      </c>
      <c r="AA581" s="46">
        <f t="shared" si="166"/>
        <v>549.4764319248826</v>
      </c>
      <c r="AB581" s="43"/>
      <c r="AC581" s="44">
        <v>7699.9</v>
      </c>
      <c r="AD581" s="31">
        <v>0.18</v>
      </c>
      <c r="AE581" s="31">
        <v>6.5000000000000002E-2</v>
      </c>
      <c r="AF581" s="31">
        <v>0</v>
      </c>
      <c r="AG581" s="28" t="s">
        <v>53</v>
      </c>
      <c r="AH581" s="46">
        <f t="shared" si="167"/>
        <v>8200.3934999999983</v>
      </c>
      <c r="AI581" s="43"/>
      <c r="AJ581" s="28" t="s">
        <v>264</v>
      </c>
      <c r="AK581" s="337"/>
      <c r="AL581" s="43"/>
      <c r="AM581" s="44">
        <f t="shared" si="168"/>
        <v>0</v>
      </c>
      <c r="AN581" s="43"/>
      <c r="AO581" s="28">
        <f t="shared" si="169"/>
        <v>0</v>
      </c>
      <c r="AP581" s="43"/>
      <c r="AQ581" s="323">
        <f t="shared" si="170"/>
        <v>0</v>
      </c>
      <c r="AR581" s="43"/>
      <c r="AS581" s="44">
        <f t="shared" si="171"/>
        <v>8200.3934999999983</v>
      </c>
    </row>
    <row r="582" spans="1:45" x14ac:dyDescent="0.25">
      <c r="A582" s="28"/>
      <c r="B582" s="43"/>
      <c r="C582" s="43"/>
      <c r="D582" s="43"/>
      <c r="E582" s="43" t="s">
        <v>1403</v>
      </c>
      <c r="F582" s="43" t="s">
        <v>1404</v>
      </c>
      <c r="G582" s="46">
        <f t="shared" si="158"/>
        <v>6313.9180000000006</v>
      </c>
      <c r="H582" s="46">
        <f t="shared" si="159"/>
        <v>5601.6772500000006</v>
      </c>
      <c r="I582" s="28" t="s">
        <v>262</v>
      </c>
      <c r="J582" s="337">
        <v>0.35</v>
      </c>
      <c r="K582" s="46">
        <f t="shared" si="160"/>
        <v>2209.8713000000002</v>
      </c>
      <c r="L582" s="46">
        <f t="shared" si="161"/>
        <v>1960.5870375000002</v>
      </c>
      <c r="M582" s="338">
        <f t="shared" si="162"/>
        <v>0</v>
      </c>
      <c r="N582" s="43" t="s">
        <v>161</v>
      </c>
      <c r="O582" s="339">
        <v>85362000</v>
      </c>
      <c r="P582" s="340">
        <f>IFERROR(VLOOKUP(O582,NCM!$A$3:$D$99,COLUMN(head_porNCM_IPI)-COLUMN(head_porNCM_NCM)+1,FALSE),"")</f>
        <v>0.1</v>
      </c>
      <c r="Q582" s="43" t="s">
        <v>806</v>
      </c>
      <c r="R582" s="78" t="s">
        <v>210</v>
      </c>
      <c r="S582" s="341"/>
      <c r="T582" s="28" t="s">
        <v>52</v>
      </c>
      <c r="U582" s="28" t="s">
        <v>3113</v>
      </c>
      <c r="V582" s="548">
        <v>45469</v>
      </c>
      <c r="W582" s="43"/>
      <c r="X582" s="342">
        <f t="shared" si="163"/>
        <v>1301.3915492957747</v>
      </c>
      <c r="Y582" s="342">
        <f t="shared" si="164"/>
        <v>469.9469483568073</v>
      </c>
      <c r="Z582" s="46">
        <f t="shared" si="165"/>
        <v>119.29422535211268</v>
      </c>
      <c r="AA582" s="46">
        <f t="shared" si="166"/>
        <v>549.4764319248826</v>
      </c>
      <c r="AB582" s="43"/>
      <c r="AC582" s="44">
        <v>7699.9</v>
      </c>
      <c r="AD582" s="31">
        <v>0.18</v>
      </c>
      <c r="AE582" s="31">
        <v>6.5000000000000002E-2</v>
      </c>
      <c r="AF582" s="31">
        <v>0</v>
      </c>
      <c r="AG582" s="28" t="s">
        <v>53</v>
      </c>
      <c r="AH582" s="46">
        <f t="shared" si="167"/>
        <v>8200.3934999999983</v>
      </c>
      <c r="AI582" s="43"/>
      <c r="AJ582" s="28" t="s">
        <v>264</v>
      </c>
      <c r="AK582" s="337"/>
      <c r="AL582" s="43"/>
      <c r="AM582" s="44">
        <f t="shared" si="168"/>
        <v>0</v>
      </c>
      <c r="AN582" s="43"/>
      <c r="AO582" s="28">
        <f t="shared" si="169"/>
        <v>0</v>
      </c>
      <c r="AP582" s="43"/>
      <c r="AQ582" s="323">
        <f t="shared" si="170"/>
        <v>0</v>
      </c>
      <c r="AR582" s="43"/>
      <c r="AS582" s="44">
        <f t="shared" si="171"/>
        <v>8200.3934999999983</v>
      </c>
    </row>
    <row r="583" spans="1:45" x14ac:dyDescent="0.25">
      <c r="A583" s="28"/>
      <c r="B583" s="43"/>
      <c r="C583" s="43"/>
      <c r="D583" s="43"/>
      <c r="E583" s="43" t="s">
        <v>1405</v>
      </c>
      <c r="F583" s="43" t="s">
        <v>1406</v>
      </c>
      <c r="G583" s="46">
        <f t="shared" si="158"/>
        <v>8019.1080000000002</v>
      </c>
      <c r="H583" s="46">
        <f t="shared" si="159"/>
        <v>7114.5135000000009</v>
      </c>
      <c r="I583" s="28" t="s">
        <v>262</v>
      </c>
      <c r="J583" s="337">
        <v>0.35</v>
      </c>
      <c r="K583" s="46">
        <f t="shared" si="160"/>
        <v>2806.6877999999997</v>
      </c>
      <c r="L583" s="46">
        <f t="shared" si="161"/>
        <v>2490.0797250000001</v>
      </c>
      <c r="M583" s="338">
        <f t="shared" si="162"/>
        <v>0</v>
      </c>
      <c r="N583" s="43" t="s">
        <v>161</v>
      </c>
      <c r="O583" s="339">
        <v>85362000</v>
      </c>
      <c r="P583" s="340">
        <f>IFERROR(VLOOKUP(O583,NCM!$A$3:$D$99,COLUMN(head_porNCM_IPI)-COLUMN(head_porNCM_NCM)+1,FALSE),"")</f>
        <v>0.1</v>
      </c>
      <c r="Q583" s="43" t="s">
        <v>806</v>
      </c>
      <c r="R583" s="78" t="s">
        <v>210</v>
      </c>
      <c r="S583" s="341"/>
      <c r="T583" s="28" t="s">
        <v>52</v>
      </c>
      <c r="U583" s="28" t="s">
        <v>3113</v>
      </c>
      <c r="V583" s="548">
        <v>45469</v>
      </c>
      <c r="W583" s="43"/>
      <c r="X583" s="342">
        <f t="shared" si="163"/>
        <v>1652.8563380281691</v>
      </c>
      <c r="Y583" s="342">
        <f t="shared" si="164"/>
        <v>596.86478873239321</v>
      </c>
      <c r="Z583" s="46">
        <f t="shared" si="165"/>
        <v>151.51183098591551</v>
      </c>
      <c r="AA583" s="46">
        <f t="shared" si="166"/>
        <v>697.87267605633804</v>
      </c>
      <c r="AB583" s="43"/>
      <c r="AC583" s="44">
        <v>9779.4</v>
      </c>
      <c r="AD583" s="31">
        <v>0.18</v>
      </c>
      <c r="AE583" s="31">
        <v>6.5000000000000002E-2</v>
      </c>
      <c r="AF583" s="31">
        <v>0</v>
      </c>
      <c r="AG583" s="28" t="s">
        <v>53</v>
      </c>
      <c r="AH583" s="46">
        <f t="shared" si="167"/>
        <v>10415.061</v>
      </c>
      <c r="AI583" s="43"/>
      <c r="AJ583" s="28" t="s">
        <v>264</v>
      </c>
      <c r="AK583" s="337"/>
      <c r="AL583" s="43"/>
      <c r="AM583" s="44">
        <f t="shared" si="168"/>
        <v>0</v>
      </c>
      <c r="AN583" s="43"/>
      <c r="AO583" s="28">
        <f t="shared" si="169"/>
        <v>0</v>
      </c>
      <c r="AP583" s="43"/>
      <c r="AQ583" s="323">
        <f t="shared" si="170"/>
        <v>0</v>
      </c>
      <c r="AR583" s="43"/>
      <c r="AS583" s="44">
        <f t="shared" si="171"/>
        <v>10415.061</v>
      </c>
    </row>
    <row r="584" spans="1:45" x14ac:dyDescent="0.25">
      <c r="A584" s="28"/>
      <c r="B584" s="43"/>
      <c r="C584" s="43"/>
      <c r="D584" s="43"/>
      <c r="E584" s="43" t="s">
        <v>1407</v>
      </c>
      <c r="F584" s="43" t="s">
        <v>1408</v>
      </c>
      <c r="G584" s="46">
        <f t="shared" si="158"/>
        <v>8019.1080000000002</v>
      </c>
      <c r="H584" s="46">
        <f t="shared" si="159"/>
        <v>7114.5135000000009</v>
      </c>
      <c r="I584" s="28" t="s">
        <v>262</v>
      </c>
      <c r="J584" s="337">
        <v>0.35</v>
      </c>
      <c r="K584" s="46">
        <f t="shared" si="160"/>
        <v>2806.6877999999997</v>
      </c>
      <c r="L584" s="46">
        <f t="shared" si="161"/>
        <v>2490.0797250000001</v>
      </c>
      <c r="M584" s="338">
        <f t="shared" si="162"/>
        <v>0</v>
      </c>
      <c r="N584" s="43" t="s">
        <v>161</v>
      </c>
      <c r="O584" s="339">
        <v>85362000</v>
      </c>
      <c r="P584" s="340">
        <f>IFERROR(VLOOKUP(O584,NCM!$A$3:$D$99,COLUMN(head_porNCM_IPI)-COLUMN(head_porNCM_NCM)+1,FALSE),"")</f>
        <v>0.1</v>
      </c>
      <c r="Q584" s="43" t="s">
        <v>806</v>
      </c>
      <c r="R584" s="78" t="s">
        <v>210</v>
      </c>
      <c r="S584" s="341"/>
      <c r="T584" s="28" t="s">
        <v>52</v>
      </c>
      <c r="U584" s="28" t="s">
        <v>3113</v>
      </c>
      <c r="V584" s="548">
        <v>45469</v>
      </c>
      <c r="W584" s="43"/>
      <c r="X584" s="342">
        <f t="shared" si="163"/>
        <v>1652.8563380281691</v>
      </c>
      <c r="Y584" s="342">
        <f t="shared" si="164"/>
        <v>596.86478873239321</v>
      </c>
      <c r="Z584" s="46">
        <f t="shared" si="165"/>
        <v>151.51183098591551</v>
      </c>
      <c r="AA584" s="46">
        <f t="shared" si="166"/>
        <v>697.87267605633804</v>
      </c>
      <c r="AB584" s="43"/>
      <c r="AC584" s="44">
        <v>9779.4</v>
      </c>
      <c r="AD584" s="31">
        <v>0.18</v>
      </c>
      <c r="AE584" s="31">
        <v>6.5000000000000002E-2</v>
      </c>
      <c r="AF584" s="31">
        <v>0</v>
      </c>
      <c r="AG584" s="28" t="s">
        <v>53</v>
      </c>
      <c r="AH584" s="46">
        <f t="shared" si="167"/>
        <v>10415.061</v>
      </c>
      <c r="AI584" s="43"/>
      <c r="AJ584" s="28" t="s">
        <v>264</v>
      </c>
      <c r="AK584" s="337"/>
      <c r="AL584" s="43"/>
      <c r="AM584" s="44">
        <f t="shared" si="168"/>
        <v>0</v>
      </c>
      <c r="AN584" s="43"/>
      <c r="AO584" s="28">
        <f t="shared" si="169"/>
        <v>0</v>
      </c>
      <c r="AP584" s="43"/>
      <c r="AQ584" s="323">
        <f t="shared" si="170"/>
        <v>0</v>
      </c>
      <c r="AR584" s="43"/>
      <c r="AS584" s="44">
        <f t="shared" si="171"/>
        <v>10415.061</v>
      </c>
    </row>
    <row r="585" spans="1:45" x14ac:dyDescent="0.25">
      <c r="A585" s="28"/>
      <c r="B585" s="43"/>
      <c r="C585" s="43"/>
      <c r="D585" s="43"/>
      <c r="E585" s="43" t="s">
        <v>1409</v>
      </c>
      <c r="F585" s="43" t="s">
        <v>1410</v>
      </c>
      <c r="G585" s="46">
        <f t="shared" si="158"/>
        <v>679.76360000000011</v>
      </c>
      <c r="H585" s="46">
        <f t="shared" si="159"/>
        <v>603.0829500000001</v>
      </c>
      <c r="I585" s="28" t="s">
        <v>262</v>
      </c>
      <c r="J585" s="337">
        <v>0.35</v>
      </c>
      <c r="K585" s="46">
        <f t="shared" si="160"/>
        <v>237.91726000000003</v>
      </c>
      <c r="L585" s="46">
        <f t="shared" si="161"/>
        <v>211.07903250000001</v>
      </c>
      <c r="M585" s="338">
        <f t="shared" si="162"/>
        <v>0</v>
      </c>
      <c r="N585" s="43" t="s">
        <v>161</v>
      </c>
      <c r="O585" s="339">
        <v>85362000</v>
      </c>
      <c r="P585" s="340">
        <f>IFERROR(VLOOKUP(O585,NCM!$A$3:$D$99,COLUMN(head_porNCM_IPI)-COLUMN(head_porNCM_NCM)+1,FALSE),"")</f>
        <v>0.1</v>
      </c>
      <c r="Q585" s="43" t="s">
        <v>806</v>
      </c>
      <c r="R585" s="78" t="s">
        <v>210</v>
      </c>
      <c r="S585" s="341"/>
      <c r="T585" s="28" t="s">
        <v>52</v>
      </c>
      <c r="U585" s="28" t="s">
        <v>3113</v>
      </c>
      <c r="V585" s="548">
        <v>45469</v>
      </c>
      <c r="W585" s="43"/>
      <c r="X585" s="342">
        <f t="shared" si="163"/>
        <v>140.1092957746479</v>
      </c>
      <c r="Y585" s="342">
        <f t="shared" si="164"/>
        <v>50.595023474178333</v>
      </c>
      <c r="Z585" s="46">
        <f t="shared" si="165"/>
        <v>12.843352112676058</v>
      </c>
      <c r="AA585" s="46">
        <f t="shared" si="166"/>
        <v>59.157258215962443</v>
      </c>
      <c r="AB585" s="43"/>
      <c r="AC585" s="44">
        <v>828.98</v>
      </c>
      <c r="AD585" s="31">
        <v>0.18</v>
      </c>
      <c r="AE585" s="31">
        <v>6.5000000000000002E-2</v>
      </c>
      <c r="AF585" s="31">
        <v>0</v>
      </c>
      <c r="AG585" s="28" t="s">
        <v>53</v>
      </c>
      <c r="AH585" s="46">
        <f t="shared" si="167"/>
        <v>882.86369999999999</v>
      </c>
      <c r="AI585" s="43"/>
      <c r="AJ585" s="28" t="s">
        <v>264</v>
      </c>
      <c r="AK585" s="337"/>
      <c r="AL585" s="43"/>
      <c r="AM585" s="44">
        <f t="shared" si="168"/>
        <v>0</v>
      </c>
      <c r="AN585" s="43"/>
      <c r="AO585" s="28">
        <f t="shared" si="169"/>
        <v>0</v>
      </c>
      <c r="AP585" s="43"/>
      <c r="AQ585" s="323">
        <f t="shared" si="170"/>
        <v>0</v>
      </c>
      <c r="AR585" s="43"/>
      <c r="AS585" s="44">
        <f t="shared" si="171"/>
        <v>882.86369999999999</v>
      </c>
    </row>
    <row r="586" spans="1:45" x14ac:dyDescent="0.25">
      <c r="A586" s="28"/>
      <c r="B586" s="43"/>
      <c r="C586" s="43"/>
      <c r="D586" s="43"/>
      <c r="E586" s="43" t="s">
        <v>1411</v>
      </c>
      <c r="F586" s="43" t="s">
        <v>1412</v>
      </c>
      <c r="G586" s="46">
        <f t="shared" si="158"/>
        <v>869.077</v>
      </c>
      <c r="H586" s="46">
        <f t="shared" si="159"/>
        <v>771.04087500000014</v>
      </c>
      <c r="I586" s="28" t="s">
        <v>262</v>
      </c>
      <c r="J586" s="337">
        <v>0.35</v>
      </c>
      <c r="K586" s="46">
        <f t="shared" si="160"/>
        <v>304.17694999999998</v>
      </c>
      <c r="L586" s="46">
        <f t="shared" si="161"/>
        <v>269.86430625000003</v>
      </c>
      <c r="M586" s="338">
        <f t="shared" si="162"/>
        <v>0</v>
      </c>
      <c r="N586" s="43" t="s">
        <v>161</v>
      </c>
      <c r="O586" s="339">
        <v>85362000</v>
      </c>
      <c r="P586" s="340">
        <f>IFERROR(VLOOKUP(O586,NCM!$A$3:$D$99,COLUMN(head_porNCM_IPI)-COLUMN(head_porNCM_NCM)+1,FALSE),"")</f>
        <v>0.1</v>
      </c>
      <c r="Q586" s="43" t="s">
        <v>806</v>
      </c>
      <c r="R586" s="78" t="s">
        <v>210</v>
      </c>
      <c r="S586" s="341"/>
      <c r="T586" s="28" t="s">
        <v>52</v>
      </c>
      <c r="U586" s="28" t="s">
        <v>3113</v>
      </c>
      <c r="V586" s="548">
        <v>45469</v>
      </c>
      <c r="W586" s="43"/>
      <c r="X586" s="342">
        <f t="shared" si="163"/>
        <v>179.12957746478872</v>
      </c>
      <c r="Y586" s="342">
        <f t="shared" si="164"/>
        <v>64.685680751173663</v>
      </c>
      <c r="Z586" s="46">
        <f t="shared" si="165"/>
        <v>16.420211267605634</v>
      </c>
      <c r="AA586" s="46">
        <f t="shared" si="166"/>
        <v>75.632488262910798</v>
      </c>
      <c r="AB586" s="43"/>
      <c r="AC586" s="44">
        <v>1059.8499999999999</v>
      </c>
      <c r="AD586" s="31">
        <v>0.18</v>
      </c>
      <c r="AE586" s="31">
        <v>6.5000000000000002E-2</v>
      </c>
      <c r="AF586" s="31">
        <v>0</v>
      </c>
      <c r="AG586" s="28" t="s">
        <v>53</v>
      </c>
      <c r="AH586" s="46">
        <f t="shared" si="167"/>
        <v>1128.7402499999998</v>
      </c>
      <c r="AI586" s="43"/>
      <c r="AJ586" s="28" t="s">
        <v>264</v>
      </c>
      <c r="AK586" s="337"/>
      <c r="AL586" s="43"/>
      <c r="AM586" s="44">
        <f t="shared" si="168"/>
        <v>0</v>
      </c>
      <c r="AN586" s="43"/>
      <c r="AO586" s="28">
        <f t="shared" si="169"/>
        <v>0</v>
      </c>
      <c r="AP586" s="43"/>
      <c r="AQ586" s="323">
        <f t="shared" si="170"/>
        <v>0</v>
      </c>
      <c r="AR586" s="43"/>
      <c r="AS586" s="44">
        <f t="shared" si="171"/>
        <v>1128.7402499999998</v>
      </c>
    </row>
    <row r="587" spans="1:45" x14ac:dyDescent="0.25">
      <c r="A587" s="28"/>
      <c r="B587" s="43"/>
      <c r="C587" s="43"/>
      <c r="D587" s="43"/>
      <c r="E587" s="43" t="s">
        <v>1413</v>
      </c>
      <c r="F587" s="43" t="s">
        <v>1414</v>
      </c>
      <c r="G587" s="46">
        <f t="shared" si="158"/>
        <v>746.3066</v>
      </c>
      <c r="H587" s="46">
        <f t="shared" si="159"/>
        <v>662.11957500000017</v>
      </c>
      <c r="I587" s="28" t="s">
        <v>262</v>
      </c>
      <c r="J587" s="337">
        <v>0.35</v>
      </c>
      <c r="K587" s="46">
        <f t="shared" si="160"/>
        <v>261.20731000000001</v>
      </c>
      <c r="L587" s="46">
        <f t="shared" si="161"/>
        <v>231.74185125000005</v>
      </c>
      <c r="M587" s="338">
        <f t="shared" si="162"/>
        <v>0</v>
      </c>
      <c r="N587" s="43" t="s">
        <v>161</v>
      </c>
      <c r="O587" s="339">
        <v>85389090</v>
      </c>
      <c r="P587" s="340">
        <f>IFERROR(VLOOKUP(O587,NCM!$A$3:$D$99,COLUMN(head_porNCM_IPI)-COLUMN(head_porNCM_NCM)+1,FALSE),"")</f>
        <v>0.15</v>
      </c>
      <c r="Q587" s="43" t="s">
        <v>806</v>
      </c>
      <c r="R587" s="78" t="s">
        <v>210</v>
      </c>
      <c r="S587" s="341"/>
      <c r="T587" s="28" t="s">
        <v>52</v>
      </c>
      <c r="U587" s="28" t="s">
        <v>3113</v>
      </c>
      <c r="V587" s="548">
        <v>45469</v>
      </c>
      <c r="W587" s="43"/>
      <c r="X587" s="342">
        <f t="shared" si="163"/>
        <v>149.26961275626425</v>
      </c>
      <c r="Y587" s="342">
        <f t="shared" si="164"/>
        <v>80.85437357630974</v>
      </c>
      <c r="Z587" s="46">
        <f t="shared" si="165"/>
        <v>13.683047835990889</v>
      </c>
      <c r="AA587" s="46">
        <f t="shared" si="166"/>
        <v>63.024947608200456</v>
      </c>
      <c r="AB587" s="43"/>
      <c r="AC587" s="44">
        <v>910.13</v>
      </c>
      <c r="AD587" s="31">
        <v>0.18</v>
      </c>
      <c r="AE587" s="31">
        <v>9.7500000000000003E-2</v>
      </c>
      <c r="AF587" s="31">
        <v>0</v>
      </c>
      <c r="AG587" s="28" t="s">
        <v>53</v>
      </c>
      <c r="AH587" s="46">
        <f t="shared" si="167"/>
        <v>998.86767499999996</v>
      </c>
      <c r="AI587" s="43"/>
      <c r="AJ587" s="28" t="s">
        <v>264</v>
      </c>
      <c r="AK587" s="337"/>
      <c r="AL587" s="43"/>
      <c r="AM587" s="44">
        <f t="shared" si="168"/>
        <v>0</v>
      </c>
      <c r="AN587" s="43"/>
      <c r="AO587" s="28">
        <f t="shared" si="169"/>
        <v>0</v>
      </c>
      <c r="AP587" s="43"/>
      <c r="AQ587" s="323">
        <f t="shared" si="170"/>
        <v>0</v>
      </c>
      <c r="AR587" s="43"/>
      <c r="AS587" s="44">
        <f t="shared" si="171"/>
        <v>998.86767499999996</v>
      </c>
    </row>
    <row r="588" spans="1:45" x14ac:dyDescent="0.25">
      <c r="A588" s="28"/>
      <c r="B588" s="43"/>
      <c r="C588" s="43"/>
      <c r="D588" s="43"/>
      <c r="E588" s="43" t="s">
        <v>1415</v>
      </c>
      <c r="F588" s="43" t="s">
        <v>1416</v>
      </c>
      <c r="G588" s="46">
        <f t="shared" si="158"/>
        <v>812.81680000000006</v>
      </c>
      <c r="H588" s="46">
        <f t="shared" si="159"/>
        <v>721.12710000000015</v>
      </c>
      <c r="I588" s="28" t="s">
        <v>262</v>
      </c>
      <c r="J588" s="337">
        <v>0.35</v>
      </c>
      <c r="K588" s="46">
        <f t="shared" si="160"/>
        <v>284.48588000000001</v>
      </c>
      <c r="L588" s="46">
        <f t="shared" si="161"/>
        <v>252.39448500000003</v>
      </c>
      <c r="M588" s="338">
        <f t="shared" si="162"/>
        <v>0</v>
      </c>
      <c r="N588" s="43" t="s">
        <v>161</v>
      </c>
      <c r="O588" s="339">
        <v>85389090</v>
      </c>
      <c r="P588" s="340">
        <f>IFERROR(VLOOKUP(O588,NCM!$A$3:$D$99,COLUMN(head_porNCM_IPI)-COLUMN(head_porNCM_NCM)+1,FALSE),"")</f>
        <v>0.15</v>
      </c>
      <c r="Q588" s="43" t="s">
        <v>806</v>
      </c>
      <c r="R588" s="78" t="s">
        <v>210</v>
      </c>
      <c r="S588" s="341"/>
      <c r="T588" s="28" t="s">
        <v>52</v>
      </c>
      <c r="U588" s="28" t="s">
        <v>3113</v>
      </c>
      <c r="V588" s="548">
        <v>45469</v>
      </c>
      <c r="W588" s="43"/>
      <c r="X588" s="342">
        <f t="shared" si="163"/>
        <v>162.57239179954442</v>
      </c>
      <c r="Y588" s="342">
        <f t="shared" si="164"/>
        <v>88.060045558086472</v>
      </c>
      <c r="Z588" s="46">
        <f t="shared" si="165"/>
        <v>14.902469248291574</v>
      </c>
      <c r="AA588" s="46">
        <f t="shared" si="166"/>
        <v>68.641676537585425</v>
      </c>
      <c r="AB588" s="43"/>
      <c r="AC588" s="44">
        <v>991.24</v>
      </c>
      <c r="AD588" s="31">
        <v>0.18</v>
      </c>
      <c r="AE588" s="31">
        <v>9.7500000000000003E-2</v>
      </c>
      <c r="AF588" s="31">
        <v>0</v>
      </c>
      <c r="AG588" s="28" t="s">
        <v>53</v>
      </c>
      <c r="AH588" s="46">
        <f t="shared" si="167"/>
        <v>1087.8859</v>
      </c>
      <c r="AI588" s="43"/>
      <c r="AJ588" s="28" t="s">
        <v>264</v>
      </c>
      <c r="AK588" s="337"/>
      <c r="AL588" s="43"/>
      <c r="AM588" s="44">
        <f t="shared" si="168"/>
        <v>0</v>
      </c>
      <c r="AN588" s="43"/>
      <c r="AO588" s="28">
        <f t="shared" si="169"/>
        <v>0</v>
      </c>
      <c r="AP588" s="43"/>
      <c r="AQ588" s="323">
        <f t="shared" si="170"/>
        <v>0</v>
      </c>
      <c r="AR588" s="43"/>
      <c r="AS588" s="44">
        <f t="shared" si="171"/>
        <v>1087.8859</v>
      </c>
    </row>
    <row r="589" spans="1:45" x14ac:dyDescent="0.25">
      <c r="A589" s="28"/>
      <c r="B589" s="43"/>
      <c r="C589" s="43"/>
      <c r="D589" s="43"/>
      <c r="E589" s="43" t="s">
        <v>1417</v>
      </c>
      <c r="F589" s="43" t="s">
        <v>1418</v>
      </c>
      <c r="G589" s="46">
        <f t="shared" si="158"/>
        <v>431.4348</v>
      </c>
      <c r="H589" s="46">
        <f t="shared" si="159"/>
        <v>382.76685000000009</v>
      </c>
      <c r="I589" s="28" t="s">
        <v>262</v>
      </c>
      <c r="J589" s="337">
        <v>0.35</v>
      </c>
      <c r="K589" s="46">
        <f t="shared" si="160"/>
        <v>151.00217999999998</v>
      </c>
      <c r="L589" s="46">
        <f t="shared" si="161"/>
        <v>133.96839750000004</v>
      </c>
      <c r="M589" s="338">
        <f t="shared" si="162"/>
        <v>0</v>
      </c>
      <c r="N589" s="43" t="s">
        <v>161</v>
      </c>
      <c r="O589" s="339">
        <v>85389090</v>
      </c>
      <c r="P589" s="340">
        <f>IFERROR(VLOOKUP(O589,NCM!$A$3:$D$99,COLUMN(head_porNCM_IPI)-COLUMN(head_porNCM_NCM)+1,FALSE),"")</f>
        <v>0.15</v>
      </c>
      <c r="Q589" s="43" t="s">
        <v>806</v>
      </c>
      <c r="R589" s="78" t="s">
        <v>210</v>
      </c>
      <c r="S589" s="341"/>
      <c r="T589" s="28" t="s">
        <v>52</v>
      </c>
      <c r="U589" s="28" t="s">
        <v>3113</v>
      </c>
      <c r="V589" s="548">
        <v>45469</v>
      </c>
      <c r="W589" s="43"/>
      <c r="X589" s="342">
        <f t="shared" si="163"/>
        <v>86.29175398633258</v>
      </c>
      <c r="Y589" s="342">
        <f t="shared" si="164"/>
        <v>46.741366742596767</v>
      </c>
      <c r="Z589" s="46">
        <f t="shared" si="165"/>
        <v>7.9100774487471535</v>
      </c>
      <c r="AA589" s="46">
        <f t="shared" si="166"/>
        <v>36.434296127562646</v>
      </c>
      <c r="AB589" s="43"/>
      <c r="AC589" s="44">
        <v>526.14</v>
      </c>
      <c r="AD589" s="31">
        <v>0.18</v>
      </c>
      <c r="AE589" s="31">
        <v>9.7500000000000003E-2</v>
      </c>
      <c r="AF589" s="31">
        <v>0</v>
      </c>
      <c r="AG589" s="28" t="s">
        <v>53</v>
      </c>
      <c r="AH589" s="46">
        <f t="shared" si="167"/>
        <v>577.43864999999994</v>
      </c>
      <c r="AI589" s="43"/>
      <c r="AJ589" s="28" t="s">
        <v>264</v>
      </c>
      <c r="AK589" s="337"/>
      <c r="AL589" s="43"/>
      <c r="AM589" s="44">
        <f t="shared" si="168"/>
        <v>0</v>
      </c>
      <c r="AN589" s="43"/>
      <c r="AO589" s="28">
        <f t="shared" si="169"/>
        <v>0</v>
      </c>
      <c r="AP589" s="43"/>
      <c r="AQ589" s="323">
        <f t="shared" si="170"/>
        <v>0</v>
      </c>
      <c r="AR589" s="43"/>
      <c r="AS589" s="44">
        <f t="shared" si="171"/>
        <v>577.43864999999994</v>
      </c>
    </row>
    <row r="590" spans="1:45" x14ac:dyDescent="0.25">
      <c r="A590" s="28"/>
      <c r="B590" s="43"/>
      <c r="C590" s="43"/>
      <c r="D590" s="43"/>
      <c r="E590" s="43" t="s">
        <v>1419</v>
      </c>
      <c r="F590" s="43" t="s">
        <v>1420</v>
      </c>
      <c r="G590" s="46">
        <f t="shared" si="158"/>
        <v>1250.4508000000001</v>
      </c>
      <c r="H590" s="46">
        <f t="shared" si="159"/>
        <v>1109.3938500000002</v>
      </c>
      <c r="I590" s="28" t="s">
        <v>262</v>
      </c>
      <c r="J590" s="337">
        <v>0.35</v>
      </c>
      <c r="K590" s="46">
        <f t="shared" si="160"/>
        <v>437.65778</v>
      </c>
      <c r="L590" s="46">
        <f t="shared" si="161"/>
        <v>388.28784750000005</v>
      </c>
      <c r="M590" s="338">
        <f t="shared" si="162"/>
        <v>0</v>
      </c>
      <c r="N590" s="43" t="s">
        <v>161</v>
      </c>
      <c r="O590" s="339">
        <v>85389090</v>
      </c>
      <c r="P590" s="340">
        <f>IFERROR(VLOOKUP(O590,NCM!$A$3:$D$99,COLUMN(head_porNCM_IPI)-COLUMN(head_porNCM_NCM)+1,FALSE),"")</f>
        <v>0.15</v>
      </c>
      <c r="Q590" s="43" t="s">
        <v>806</v>
      </c>
      <c r="R590" s="78" t="s">
        <v>210</v>
      </c>
      <c r="S590" s="341"/>
      <c r="T590" s="28" t="s">
        <v>52</v>
      </c>
      <c r="U590" s="28" t="s">
        <v>3113</v>
      </c>
      <c r="V590" s="548">
        <v>45469</v>
      </c>
      <c r="W590" s="43"/>
      <c r="X590" s="342">
        <f t="shared" si="163"/>
        <v>250.10405466970388</v>
      </c>
      <c r="Y590" s="342">
        <f t="shared" si="164"/>
        <v>135.47302961275614</v>
      </c>
      <c r="Z590" s="46">
        <f t="shared" si="165"/>
        <v>22.926205011389527</v>
      </c>
      <c r="AA590" s="46">
        <f t="shared" si="166"/>
        <v>105.59948974943053</v>
      </c>
      <c r="AB590" s="43"/>
      <c r="AC590" s="44">
        <v>1524.94</v>
      </c>
      <c r="AD590" s="31">
        <v>0.18</v>
      </c>
      <c r="AE590" s="31">
        <v>9.7500000000000003E-2</v>
      </c>
      <c r="AF590" s="31">
        <v>0</v>
      </c>
      <c r="AG590" s="28" t="s">
        <v>53</v>
      </c>
      <c r="AH590" s="46">
        <f t="shared" si="167"/>
        <v>1673.62165</v>
      </c>
      <c r="AI590" s="43"/>
      <c r="AJ590" s="28" t="s">
        <v>264</v>
      </c>
      <c r="AK590" s="337"/>
      <c r="AL590" s="43"/>
      <c r="AM590" s="44">
        <f t="shared" si="168"/>
        <v>0</v>
      </c>
      <c r="AN590" s="43"/>
      <c r="AO590" s="28">
        <f t="shared" si="169"/>
        <v>0</v>
      </c>
      <c r="AP590" s="43"/>
      <c r="AQ590" s="323">
        <f t="shared" si="170"/>
        <v>0</v>
      </c>
      <c r="AR590" s="43"/>
      <c r="AS590" s="44">
        <f t="shared" si="171"/>
        <v>1673.62165</v>
      </c>
    </row>
    <row r="591" spans="1:45" x14ac:dyDescent="0.25">
      <c r="A591" s="28"/>
      <c r="B591" s="43"/>
      <c r="C591" s="43"/>
      <c r="D591" s="43"/>
      <c r="E591" s="43" t="s">
        <v>1421</v>
      </c>
      <c r="F591" s="43" t="s">
        <v>1422</v>
      </c>
      <c r="G591" s="46">
        <f t="shared" si="158"/>
        <v>4029.7834000000003</v>
      </c>
      <c r="H591" s="46">
        <f t="shared" si="159"/>
        <v>3575.2041750000008</v>
      </c>
      <c r="I591" s="28" t="s">
        <v>262</v>
      </c>
      <c r="J591" s="337">
        <v>0.35</v>
      </c>
      <c r="K591" s="46">
        <f t="shared" si="160"/>
        <v>1410.42419</v>
      </c>
      <c r="L591" s="46">
        <f t="shared" si="161"/>
        <v>1251.3214612500001</v>
      </c>
      <c r="M591" s="338">
        <f t="shared" si="162"/>
        <v>0</v>
      </c>
      <c r="N591" s="43" t="s">
        <v>161</v>
      </c>
      <c r="O591" s="339">
        <v>85389090</v>
      </c>
      <c r="P591" s="340">
        <f>IFERROR(VLOOKUP(O591,NCM!$A$3:$D$99,COLUMN(head_porNCM_IPI)-COLUMN(head_porNCM_NCM)+1,FALSE),"")</f>
        <v>0.15</v>
      </c>
      <c r="Q591" s="43" t="s">
        <v>806</v>
      </c>
      <c r="R591" s="78" t="s">
        <v>210</v>
      </c>
      <c r="S591" s="341"/>
      <c r="T591" s="28" t="s">
        <v>52</v>
      </c>
      <c r="U591" s="28" t="s">
        <v>3113</v>
      </c>
      <c r="V591" s="548">
        <v>45469</v>
      </c>
      <c r="W591" s="43"/>
      <c r="X591" s="342">
        <f t="shared" si="163"/>
        <v>806.00145785876987</v>
      </c>
      <c r="Y591" s="342">
        <f t="shared" si="164"/>
        <v>436.58412300683358</v>
      </c>
      <c r="Z591" s="46">
        <f t="shared" si="165"/>
        <v>73.883466970387246</v>
      </c>
      <c r="AA591" s="46">
        <f t="shared" si="166"/>
        <v>340.31172665148063</v>
      </c>
      <c r="AB591" s="43"/>
      <c r="AC591" s="44">
        <v>4914.37</v>
      </c>
      <c r="AD591" s="31">
        <v>0.18</v>
      </c>
      <c r="AE591" s="31">
        <v>9.7500000000000003E-2</v>
      </c>
      <c r="AF591" s="31">
        <v>0</v>
      </c>
      <c r="AG591" s="28" t="s">
        <v>53</v>
      </c>
      <c r="AH591" s="46">
        <f t="shared" si="167"/>
        <v>5393.5210749999997</v>
      </c>
      <c r="AI591" s="43"/>
      <c r="AJ591" s="28" t="s">
        <v>264</v>
      </c>
      <c r="AK591" s="337"/>
      <c r="AL591" s="43"/>
      <c r="AM591" s="44">
        <f t="shared" si="168"/>
        <v>0</v>
      </c>
      <c r="AN591" s="43"/>
      <c r="AO591" s="28">
        <f t="shared" si="169"/>
        <v>0</v>
      </c>
      <c r="AP591" s="43"/>
      <c r="AQ591" s="323">
        <f t="shared" si="170"/>
        <v>0</v>
      </c>
      <c r="AR591" s="43"/>
      <c r="AS591" s="44">
        <f t="shared" si="171"/>
        <v>5393.5210749999997</v>
      </c>
    </row>
    <row r="592" spans="1:45" x14ac:dyDescent="0.25">
      <c r="A592" s="28"/>
      <c r="B592" s="43"/>
      <c r="C592" s="43"/>
      <c r="D592" s="43"/>
      <c r="E592" s="43" t="s">
        <v>1423</v>
      </c>
      <c r="F592" s="43" t="s">
        <v>1424</v>
      </c>
      <c r="G592" s="46">
        <f t="shared" si="158"/>
        <v>562.47080000000005</v>
      </c>
      <c r="H592" s="46">
        <f t="shared" si="159"/>
        <v>499.02135000000015</v>
      </c>
      <c r="I592" s="28" t="s">
        <v>262</v>
      </c>
      <c r="J592" s="337">
        <v>0.35</v>
      </c>
      <c r="K592" s="46">
        <f t="shared" si="160"/>
        <v>196.86478</v>
      </c>
      <c r="L592" s="46">
        <f t="shared" si="161"/>
        <v>174.65747250000004</v>
      </c>
      <c r="M592" s="338">
        <f t="shared" si="162"/>
        <v>0</v>
      </c>
      <c r="N592" s="43" t="s">
        <v>161</v>
      </c>
      <c r="O592" s="339">
        <v>85389090</v>
      </c>
      <c r="P592" s="340">
        <f>IFERROR(VLOOKUP(O592,NCM!$A$3:$D$99,COLUMN(head_porNCM_IPI)-COLUMN(head_porNCM_NCM)+1,FALSE),"")</f>
        <v>0.15</v>
      </c>
      <c r="Q592" s="43" t="s">
        <v>806</v>
      </c>
      <c r="R592" s="78" t="s">
        <v>210</v>
      </c>
      <c r="S592" s="341"/>
      <c r="T592" s="28" t="s">
        <v>52</v>
      </c>
      <c r="U592" s="28" t="s">
        <v>3113</v>
      </c>
      <c r="V592" s="548">
        <v>45469</v>
      </c>
      <c r="W592" s="43"/>
      <c r="X592" s="342">
        <f t="shared" si="163"/>
        <v>112.50041002277906</v>
      </c>
      <c r="Y592" s="342">
        <f t="shared" si="164"/>
        <v>60.937722095671916</v>
      </c>
      <c r="Z592" s="46">
        <f t="shared" si="165"/>
        <v>10.312537585421415</v>
      </c>
      <c r="AA592" s="46">
        <f t="shared" si="166"/>
        <v>47.500173120728938</v>
      </c>
      <c r="AB592" s="43"/>
      <c r="AC592" s="44">
        <v>685.94</v>
      </c>
      <c r="AD592" s="31">
        <v>0.18</v>
      </c>
      <c r="AE592" s="31">
        <v>9.7500000000000003E-2</v>
      </c>
      <c r="AF592" s="31">
        <v>0</v>
      </c>
      <c r="AG592" s="28" t="s">
        <v>53</v>
      </c>
      <c r="AH592" s="46">
        <f t="shared" si="167"/>
        <v>752.81915000000004</v>
      </c>
      <c r="AI592" s="43"/>
      <c r="AJ592" s="28" t="s">
        <v>264</v>
      </c>
      <c r="AK592" s="337"/>
      <c r="AL592" s="43"/>
      <c r="AM592" s="44">
        <f t="shared" si="168"/>
        <v>0</v>
      </c>
      <c r="AN592" s="43"/>
      <c r="AO592" s="28">
        <f t="shared" si="169"/>
        <v>0</v>
      </c>
      <c r="AP592" s="43"/>
      <c r="AQ592" s="323">
        <f t="shared" si="170"/>
        <v>0</v>
      </c>
      <c r="AR592" s="43"/>
      <c r="AS592" s="44">
        <f t="shared" si="171"/>
        <v>752.81915000000004</v>
      </c>
    </row>
    <row r="593" spans="1:45" x14ac:dyDescent="0.25">
      <c r="A593" s="28"/>
      <c r="B593" s="43"/>
      <c r="C593" s="43"/>
      <c r="D593" s="43"/>
      <c r="E593" s="43" t="s">
        <v>1405</v>
      </c>
      <c r="F593" s="43" t="s">
        <v>1406</v>
      </c>
      <c r="G593" s="46">
        <f t="shared" si="158"/>
        <v>8019.1080000000002</v>
      </c>
      <c r="H593" s="46">
        <f t="shared" si="159"/>
        <v>7114.5135000000009</v>
      </c>
      <c r="I593" s="28" t="s">
        <v>262</v>
      </c>
      <c r="J593" s="337">
        <v>0.35</v>
      </c>
      <c r="K593" s="46">
        <f t="shared" si="160"/>
        <v>2806.6877999999997</v>
      </c>
      <c r="L593" s="46">
        <f t="shared" si="161"/>
        <v>2490.0797250000001</v>
      </c>
      <c r="M593" s="338">
        <f t="shared" si="162"/>
        <v>0</v>
      </c>
      <c r="N593" s="43" t="s">
        <v>161</v>
      </c>
      <c r="O593" s="339">
        <v>85362000</v>
      </c>
      <c r="P593" s="340">
        <f>IFERROR(VLOOKUP(O593,NCM!$A$3:$D$99,COLUMN(head_porNCM_IPI)-COLUMN(head_porNCM_NCM)+1,FALSE),"")</f>
        <v>0.1</v>
      </c>
      <c r="Q593" s="43" t="s">
        <v>806</v>
      </c>
      <c r="R593" s="78" t="s">
        <v>210</v>
      </c>
      <c r="S593" s="341"/>
      <c r="T593" s="28" t="s">
        <v>52</v>
      </c>
      <c r="U593" s="28" t="s">
        <v>3113</v>
      </c>
      <c r="V593" s="548">
        <v>45469</v>
      </c>
      <c r="W593" s="43"/>
      <c r="X593" s="342">
        <f t="shared" si="163"/>
        <v>1652.8563380281691</v>
      </c>
      <c r="Y593" s="342">
        <f t="shared" si="164"/>
        <v>596.86478873239321</v>
      </c>
      <c r="Z593" s="46">
        <f t="shared" si="165"/>
        <v>151.51183098591551</v>
      </c>
      <c r="AA593" s="46">
        <f t="shared" si="166"/>
        <v>697.87267605633804</v>
      </c>
      <c r="AB593" s="43"/>
      <c r="AC593" s="44">
        <v>9779.4</v>
      </c>
      <c r="AD593" s="31">
        <v>0.18</v>
      </c>
      <c r="AE593" s="31">
        <v>6.5000000000000002E-2</v>
      </c>
      <c r="AF593" s="31">
        <v>0</v>
      </c>
      <c r="AG593" s="28" t="s">
        <v>53</v>
      </c>
      <c r="AH593" s="46">
        <f t="shared" si="167"/>
        <v>10415.061</v>
      </c>
      <c r="AI593" s="43"/>
      <c r="AJ593" s="28" t="s">
        <v>264</v>
      </c>
      <c r="AK593" s="337"/>
      <c r="AL593" s="43"/>
      <c r="AM593" s="44">
        <f t="shared" si="168"/>
        <v>0</v>
      </c>
      <c r="AN593" s="43"/>
      <c r="AO593" s="28">
        <f t="shared" si="169"/>
        <v>0</v>
      </c>
      <c r="AP593" s="43"/>
      <c r="AQ593" s="323">
        <f t="shared" si="170"/>
        <v>0</v>
      </c>
      <c r="AR593" s="43"/>
      <c r="AS593" s="44">
        <f t="shared" si="171"/>
        <v>10415.061</v>
      </c>
    </row>
    <row r="594" spans="1:45" x14ac:dyDescent="0.25">
      <c r="A594" s="28"/>
      <c r="B594" s="43"/>
      <c r="C594" s="43"/>
      <c r="D594" s="43"/>
      <c r="E594" s="43" t="s">
        <v>1405</v>
      </c>
      <c r="F594" s="43" t="s">
        <v>1425</v>
      </c>
      <c r="G594" s="46">
        <f t="shared" si="158"/>
        <v>8019.1080000000002</v>
      </c>
      <c r="H594" s="46">
        <f t="shared" si="159"/>
        <v>7114.5135000000009</v>
      </c>
      <c r="I594" s="28" t="s">
        <v>262</v>
      </c>
      <c r="J594" s="337">
        <v>0.35</v>
      </c>
      <c r="K594" s="46">
        <f t="shared" si="160"/>
        <v>2806.6877999999997</v>
      </c>
      <c r="L594" s="46">
        <f t="shared" si="161"/>
        <v>2490.0797250000001</v>
      </c>
      <c r="M594" s="338">
        <f t="shared" si="162"/>
        <v>0</v>
      </c>
      <c r="N594" s="43" t="s">
        <v>161</v>
      </c>
      <c r="O594" s="339">
        <v>85362000</v>
      </c>
      <c r="P594" s="340">
        <f>IFERROR(VLOOKUP(O594,NCM!$A$3:$D$99,COLUMN(head_porNCM_IPI)-COLUMN(head_porNCM_NCM)+1,FALSE),"")</f>
        <v>0.1</v>
      </c>
      <c r="Q594" s="43" t="s">
        <v>806</v>
      </c>
      <c r="R594" s="78" t="s">
        <v>210</v>
      </c>
      <c r="S594" s="341"/>
      <c r="T594" s="28" t="s">
        <v>52</v>
      </c>
      <c r="U594" s="28" t="s">
        <v>3113</v>
      </c>
      <c r="V594" s="548">
        <v>45469</v>
      </c>
      <c r="W594" s="43"/>
      <c r="X594" s="342">
        <f t="shared" si="163"/>
        <v>1652.8563380281691</v>
      </c>
      <c r="Y594" s="342">
        <f t="shared" si="164"/>
        <v>596.86478873239321</v>
      </c>
      <c r="Z594" s="46">
        <f t="shared" si="165"/>
        <v>151.51183098591551</v>
      </c>
      <c r="AA594" s="46">
        <f t="shared" si="166"/>
        <v>697.87267605633804</v>
      </c>
      <c r="AB594" s="43"/>
      <c r="AC594" s="44">
        <v>9779.4</v>
      </c>
      <c r="AD594" s="31">
        <v>0.18</v>
      </c>
      <c r="AE594" s="31">
        <v>6.5000000000000002E-2</v>
      </c>
      <c r="AF594" s="31">
        <v>0</v>
      </c>
      <c r="AG594" s="28" t="s">
        <v>53</v>
      </c>
      <c r="AH594" s="46">
        <f t="shared" si="167"/>
        <v>10415.061</v>
      </c>
      <c r="AI594" s="43"/>
      <c r="AJ594" s="28" t="s">
        <v>264</v>
      </c>
      <c r="AK594" s="337"/>
      <c r="AL594" s="43"/>
      <c r="AM594" s="44">
        <f t="shared" si="168"/>
        <v>0</v>
      </c>
      <c r="AN594" s="43"/>
      <c r="AO594" s="28">
        <f t="shared" si="169"/>
        <v>0</v>
      </c>
      <c r="AP594" s="43"/>
      <c r="AQ594" s="323">
        <f t="shared" si="170"/>
        <v>0</v>
      </c>
      <c r="AR594" s="43"/>
      <c r="AS594" s="44">
        <f t="shared" si="171"/>
        <v>10415.061</v>
      </c>
    </row>
    <row r="595" spans="1:45" x14ac:dyDescent="0.25">
      <c r="A595" s="28"/>
      <c r="B595" s="43"/>
      <c r="C595" s="43"/>
      <c r="D595" s="43"/>
      <c r="E595" s="43" t="s">
        <v>1426</v>
      </c>
      <c r="F595" s="43" t="s">
        <v>1427</v>
      </c>
      <c r="G595" s="46">
        <f t="shared" si="158"/>
        <v>822.22220000000004</v>
      </c>
      <c r="H595" s="46">
        <f t="shared" si="159"/>
        <v>729.47152500000016</v>
      </c>
      <c r="I595" s="28" t="s">
        <v>262</v>
      </c>
      <c r="J595" s="337">
        <v>0.35</v>
      </c>
      <c r="K595" s="46">
        <f t="shared" si="160"/>
        <v>287.77776999999998</v>
      </c>
      <c r="L595" s="46">
        <f t="shared" si="161"/>
        <v>255.31503375000003</v>
      </c>
      <c r="M595" s="338">
        <f t="shared" si="162"/>
        <v>0</v>
      </c>
      <c r="N595" s="43" t="s">
        <v>161</v>
      </c>
      <c r="O595" s="339">
        <v>85389090</v>
      </c>
      <c r="P595" s="340">
        <f>IFERROR(VLOOKUP(O595,NCM!$A$3:$D$99,COLUMN(head_porNCM_IPI)-COLUMN(head_porNCM_NCM)+1,FALSE),"")</f>
        <v>0.15</v>
      </c>
      <c r="Q595" s="43" t="s">
        <v>806</v>
      </c>
      <c r="R595" s="78" t="s">
        <v>210</v>
      </c>
      <c r="S595" s="341"/>
      <c r="T595" s="28" t="s">
        <v>52</v>
      </c>
      <c r="U595" s="28" t="s">
        <v>3113</v>
      </c>
      <c r="V595" s="548">
        <v>45469</v>
      </c>
      <c r="W595" s="43"/>
      <c r="X595" s="342">
        <f t="shared" si="163"/>
        <v>164.45357630979501</v>
      </c>
      <c r="Y595" s="342">
        <f t="shared" si="164"/>
        <v>89.079020501138871</v>
      </c>
      <c r="Z595" s="46">
        <f t="shared" si="165"/>
        <v>15.07491116173121</v>
      </c>
      <c r="AA595" s="46">
        <f t="shared" si="166"/>
        <v>69.435954441913452</v>
      </c>
      <c r="AB595" s="43"/>
      <c r="AC595" s="44">
        <v>1002.71</v>
      </c>
      <c r="AD595" s="31">
        <v>0.18</v>
      </c>
      <c r="AE595" s="31">
        <v>9.7500000000000003E-2</v>
      </c>
      <c r="AF595" s="31">
        <v>0</v>
      </c>
      <c r="AG595" s="28" t="s">
        <v>53</v>
      </c>
      <c r="AH595" s="46">
        <f t="shared" si="167"/>
        <v>1100.4742249999999</v>
      </c>
      <c r="AI595" s="43"/>
      <c r="AJ595" s="28" t="s">
        <v>264</v>
      </c>
      <c r="AK595" s="337"/>
      <c r="AL595" s="43"/>
      <c r="AM595" s="44">
        <f t="shared" si="168"/>
        <v>0</v>
      </c>
      <c r="AN595" s="43"/>
      <c r="AO595" s="28">
        <f t="shared" si="169"/>
        <v>0</v>
      </c>
      <c r="AP595" s="43"/>
      <c r="AQ595" s="323">
        <f t="shared" si="170"/>
        <v>0</v>
      </c>
      <c r="AR595" s="43"/>
      <c r="AS595" s="44">
        <f t="shared" si="171"/>
        <v>1100.4742249999999</v>
      </c>
    </row>
    <row r="596" spans="1:45" x14ac:dyDescent="0.25">
      <c r="A596" s="28"/>
      <c r="B596" s="43"/>
      <c r="C596" s="43"/>
      <c r="D596" s="43"/>
      <c r="E596" s="43" t="s">
        <v>1428</v>
      </c>
      <c r="F596" s="43" t="s">
        <v>1429</v>
      </c>
      <c r="G596" s="46">
        <f t="shared" si="158"/>
        <v>928.73199999999997</v>
      </c>
      <c r="H596" s="46">
        <f t="shared" si="159"/>
        <v>823.96650000000011</v>
      </c>
      <c r="I596" s="28" t="s">
        <v>262</v>
      </c>
      <c r="J596" s="337">
        <v>0.35</v>
      </c>
      <c r="K596" s="46">
        <f t="shared" si="160"/>
        <v>325.05619999999999</v>
      </c>
      <c r="L596" s="46">
        <f t="shared" si="161"/>
        <v>288.38827500000002</v>
      </c>
      <c r="M596" s="338">
        <f t="shared" si="162"/>
        <v>0</v>
      </c>
      <c r="N596" s="43" t="s">
        <v>161</v>
      </c>
      <c r="O596" s="339">
        <v>85362000</v>
      </c>
      <c r="P596" s="340">
        <f>IFERROR(VLOOKUP(O596,NCM!$A$3:$D$99,COLUMN(head_porNCM_IPI)-COLUMN(head_porNCM_NCM)+1,FALSE),"")</f>
        <v>0.1</v>
      </c>
      <c r="Q596" s="43" t="s">
        <v>806</v>
      </c>
      <c r="R596" s="78" t="s">
        <v>210</v>
      </c>
      <c r="S596" s="341"/>
      <c r="T596" s="28" t="s">
        <v>52</v>
      </c>
      <c r="U596" s="28" t="s">
        <v>3113</v>
      </c>
      <c r="V596" s="548">
        <v>45469</v>
      </c>
      <c r="W596" s="43"/>
      <c r="X596" s="342">
        <f t="shared" si="163"/>
        <v>185.75671981776765</v>
      </c>
      <c r="Y596" s="342">
        <f t="shared" si="164"/>
        <v>100.61822323462411</v>
      </c>
      <c r="Z596" s="46">
        <f t="shared" si="165"/>
        <v>17.027699316628702</v>
      </c>
      <c r="AA596" s="46">
        <f t="shared" si="166"/>
        <v>78.430615034168554</v>
      </c>
      <c r="AB596" s="43"/>
      <c r="AC596" s="44">
        <v>1132.5999999999999</v>
      </c>
      <c r="AD596" s="31">
        <v>0.18</v>
      </c>
      <c r="AE596" s="31">
        <v>9.7500000000000003E-2</v>
      </c>
      <c r="AF596" s="31">
        <v>0</v>
      </c>
      <c r="AG596" s="28" t="s">
        <v>53</v>
      </c>
      <c r="AH596" s="46">
        <f t="shared" si="167"/>
        <v>1243.0284999999999</v>
      </c>
      <c r="AI596" s="43"/>
      <c r="AJ596" s="28" t="s">
        <v>264</v>
      </c>
      <c r="AK596" s="337"/>
      <c r="AL596" s="43"/>
      <c r="AM596" s="44">
        <f t="shared" si="168"/>
        <v>0</v>
      </c>
      <c r="AN596" s="43"/>
      <c r="AO596" s="28">
        <f t="shared" si="169"/>
        <v>0</v>
      </c>
      <c r="AP596" s="43"/>
      <c r="AQ596" s="323">
        <f t="shared" si="170"/>
        <v>0</v>
      </c>
      <c r="AR596" s="43"/>
      <c r="AS596" s="44">
        <f t="shared" si="171"/>
        <v>1243.0284999999999</v>
      </c>
    </row>
    <row r="597" spans="1:45" x14ac:dyDescent="0.25">
      <c r="A597" s="28"/>
      <c r="B597" s="43"/>
      <c r="C597" s="43"/>
      <c r="D597" s="43"/>
      <c r="E597" s="43" t="s">
        <v>1430</v>
      </c>
      <c r="F597" s="43" t="s">
        <v>1431</v>
      </c>
      <c r="G597" s="46">
        <f t="shared" si="158"/>
        <v>994.59440000000018</v>
      </c>
      <c r="H597" s="46">
        <f t="shared" si="159"/>
        <v>882.39930000000027</v>
      </c>
      <c r="I597" s="28" t="s">
        <v>262</v>
      </c>
      <c r="J597" s="337">
        <v>0.35</v>
      </c>
      <c r="K597" s="46">
        <f t="shared" si="160"/>
        <v>348.10804000000002</v>
      </c>
      <c r="L597" s="46">
        <f t="shared" si="161"/>
        <v>308.83975500000008</v>
      </c>
      <c r="M597" s="338">
        <f t="shared" si="162"/>
        <v>0</v>
      </c>
      <c r="N597" s="43" t="s">
        <v>161</v>
      </c>
      <c r="O597" s="339">
        <v>85389090</v>
      </c>
      <c r="P597" s="340">
        <f>IFERROR(VLOOKUP(O597,NCM!$A$3:$D$99,COLUMN(head_porNCM_IPI)-COLUMN(head_porNCM_NCM)+1,FALSE),"")</f>
        <v>0.15</v>
      </c>
      <c r="Q597" s="43" t="s">
        <v>806</v>
      </c>
      <c r="R597" s="78" t="s">
        <v>210</v>
      </c>
      <c r="S597" s="341"/>
      <c r="T597" s="28" t="s">
        <v>52</v>
      </c>
      <c r="U597" s="28" t="s">
        <v>3113</v>
      </c>
      <c r="V597" s="548">
        <v>45469</v>
      </c>
      <c r="W597" s="43"/>
      <c r="X597" s="342">
        <f t="shared" si="163"/>
        <v>198.92993166287019</v>
      </c>
      <c r="Y597" s="342">
        <f t="shared" si="164"/>
        <v>107.75371298405457</v>
      </c>
      <c r="Z597" s="46">
        <f t="shared" si="165"/>
        <v>18.235243735763103</v>
      </c>
      <c r="AA597" s="46">
        <f t="shared" si="166"/>
        <v>83.992637813211857</v>
      </c>
      <c r="AB597" s="43"/>
      <c r="AC597" s="44">
        <v>1212.92</v>
      </c>
      <c r="AD597" s="31">
        <v>0.18</v>
      </c>
      <c r="AE597" s="31">
        <v>9.7500000000000003E-2</v>
      </c>
      <c r="AF597" s="31">
        <v>0</v>
      </c>
      <c r="AG597" s="28" t="s">
        <v>53</v>
      </c>
      <c r="AH597" s="46">
        <f t="shared" si="167"/>
        <v>1331.1796999999999</v>
      </c>
      <c r="AI597" s="43"/>
      <c r="AJ597" s="28" t="s">
        <v>264</v>
      </c>
      <c r="AK597" s="337"/>
      <c r="AL597" s="43"/>
      <c r="AM597" s="44">
        <f t="shared" si="168"/>
        <v>0</v>
      </c>
      <c r="AN597" s="43"/>
      <c r="AO597" s="28">
        <f t="shared" si="169"/>
        <v>0</v>
      </c>
      <c r="AP597" s="43"/>
      <c r="AQ597" s="323">
        <f t="shared" si="170"/>
        <v>0</v>
      </c>
      <c r="AR597" s="43"/>
      <c r="AS597" s="44">
        <f t="shared" si="171"/>
        <v>1331.1796999999999</v>
      </c>
    </row>
    <row r="598" spans="1:45" x14ac:dyDescent="0.25">
      <c r="A598" s="28"/>
      <c r="B598" s="43"/>
      <c r="C598" s="43"/>
      <c r="D598" s="43"/>
      <c r="E598" s="43" t="s">
        <v>1432</v>
      </c>
      <c r="F598" s="43" t="s">
        <v>1433</v>
      </c>
      <c r="G598" s="46">
        <f t="shared" si="158"/>
        <v>6656.1696000000002</v>
      </c>
      <c r="H598" s="46">
        <f t="shared" si="159"/>
        <v>5905.3212000000012</v>
      </c>
      <c r="I598" s="28" t="s">
        <v>262</v>
      </c>
      <c r="J598" s="337">
        <v>0.35</v>
      </c>
      <c r="K598" s="46">
        <f t="shared" si="160"/>
        <v>2329.6593600000001</v>
      </c>
      <c r="L598" s="46">
        <f t="shared" si="161"/>
        <v>2066.8624200000004</v>
      </c>
      <c r="M598" s="338">
        <f t="shared" si="162"/>
        <v>0</v>
      </c>
      <c r="N598" s="43" t="s">
        <v>161</v>
      </c>
      <c r="O598" s="339">
        <v>85389090</v>
      </c>
      <c r="P598" s="340">
        <f>IFERROR(VLOOKUP(O598,NCM!$A$3:$D$99,COLUMN(head_porNCM_IPI)-COLUMN(head_porNCM_NCM)+1,FALSE),"")</f>
        <v>0.15</v>
      </c>
      <c r="Q598" s="43" t="s">
        <v>806</v>
      </c>
      <c r="R598" s="78" t="s">
        <v>210</v>
      </c>
      <c r="S598" s="341"/>
      <c r="T598" s="28" t="s">
        <v>52</v>
      </c>
      <c r="U598" s="28" t="s">
        <v>3113</v>
      </c>
      <c r="V598" s="548">
        <v>45469</v>
      </c>
      <c r="W598" s="43"/>
      <c r="X598" s="342">
        <f t="shared" si="163"/>
        <v>1331.3078815489748</v>
      </c>
      <c r="Y598" s="342">
        <f t="shared" si="164"/>
        <v>721.12510250569449</v>
      </c>
      <c r="Z598" s="46">
        <f t="shared" si="165"/>
        <v>122.03655580865605</v>
      </c>
      <c r="AA598" s="46">
        <f t="shared" si="166"/>
        <v>562.1077722095672</v>
      </c>
      <c r="AB598" s="43"/>
      <c r="AC598" s="44">
        <v>8117.28</v>
      </c>
      <c r="AD598" s="31">
        <v>0.18</v>
      </c>
      <c r="AE598" s="31">
        <v>9.7500000000000003E-2</v>
      </c>
      <c r="AF598" s="31">
        <v>0</v>
      </c>
      <c r="AG598" s="28" t="s">
        <v>53</v>
      </c>
      <c r="AH598" s="46">
        <f t="shared" si="167"/>
        <v>8908.7147999999997</v>
      </c>
      <c r="AI598" s="43"/>
      <c r="AJ598" s="28" t="s">
        <v>264</v>
      </c>
      <c r="AK598" s="337"/>
      <c r="AL598" s="43"/>
      <c r="AM598" s="44">
        <f t="shared" si="168"/>
        <v>0</v>
      </c>
      <c r="AN598" s="43"/>
      <c r="AO598" s="28">
        <f t="shared" si="169"/>
        <v>0</v>
      </c>
      <c r="AP598" s="43"/>
      <c r="AQ598" s="323">
        <f t="shared" si="170"/>
        <v>0</v>
      </c>
      <c r="AR598" s="43"/>
      <c r="AS598" s="44">
        <f t="shared" si="171"/>
        <v>8908.7147999999997</v>
      </c>
    </row>
    <row r="599" spans="1:45" x14ac:dyDescent="0.25">
      <c r="A599" s="28"/>
      <c r="B599" s="43"/>
      <c r="C599" s="43"/>
      <c r="D599" s="43"/>
      <c r="E599" s="43" t="s">
        <v>1434</v>
      </c>
      <c r="F599" s="43" t="s">
        <v>1435</v>
      </c>
      <c r="G599" s="46">
        <f t="shared" si="158"/>
        <v>16411.168399999999</v>
      </c>
      <c r="H599" s="46">
        <f t="shared" si="159"/>
        <v>14559.908550000002</v>
      </c>
      <c r="I599" s="28" t="s">
        <v>262</v>
      </c>
      <c r="J599" s="337">
        <v>0.35</v>
      </c>
      <c r="K599" s="46">
        <f t="shared" si="160"/>
        <v>5743.9089399999993</v>
      </c>
      <c r="L599" s="46">
        <f t="shared" si="161"/>
        <v>5095.9679925</v>
      </c>
      <c r="M599" s="338">
        <f t="shared" si="162"/>
        <v>0</v>
      </c>
      <c r="N599" s="43" t="s">
        <v>161</v>
      </c>
      <c r="O599" s="339">
        <v>85389090</v>
      </c>
      <c r="P599" s="340">
        <f>IFERROR(VLOOKUP(O599,NCM!$A$3:$D$99,COLUMN(head_porNCM_IPI)-COLUMN(head_porNCM_NCM)+1,FALSE),"")</f>
        <v>0.15</v>
      </c>
      <c r="Q599" s="43" t="s">
        <v>806</v>
      </c>
      <c r="R599" s="78" t="s">
        <v>210</v>
      </c>
      <c r="S599" s="341"/>
      <c r="T599" s="28" t="s">
        <v>52</v>
      </c>
      <c r="U599" s="28" t="s">
        <v>3113</v>
      </c>
      <c r="V599" s="548">
        <v>45469</v>
      </c>
      <c r="W599" s="43"/>
      <c r="X599" s="342">
        <f t="shared" si="163"/>
        <v>3282.4160364464692</v>
      </c>
      <c r="Y599" s="342">
        <f t="shared" si="164"/>
        <v>1777.9753530751696</v>
      </c>
      <c r="Z599" s="46">
        <f t="shared" si="165"/>
        <v>300.88813667425973</v>
      </c>
      <c r="AA599" s="46">
        <f t="shared" si="166"/>
        <v>1385.908993166287</v>
      </c>
      <c r="AB599" s="43"/>
      <c r="AC599" s="44">
        <v>20013.62</v>
      </c>
      <c r="AD599" s="31">
        <v>0.18</v>
      </c>
      <c r="AE599" s="31">
        <v>9.7500000000000003E-2</v>
      </c>
      <c r="AF599" s="31">
        <v>0</v>
      </c>
      <c r="AG599" s="28" t="s">
        <v>53</v>
      </c>
      <c r="AH599" s="46">
        <f t="shared" si="167"/>
        <v>21964.947949999998</v>
      </c>
      <c r="AI599" s="43"/>
      <c r="AJ599" s="28" t="s">
        <v>264</v>
      </c>
      <c r="AK599" s="337"/>
      <c r="AL599" s="43"/>
      <c r="AM599" s="44">
        <f t="shared" si="168"/>
        <v>0</v>
      </c>
      <c r="AN599" s="43"/>
      <c r="AO599" s="28">
        <f t="shared" si="169"/>
        <v>0</v>
      </c>
      <c r="AP599" s="43"/>
      <c r="AQ599" s="323">
        <f t="shared" si="170"/>
        <v>0</v>
      </c>
      <c r="AR599" s="43"/>
      <c r="AS599" s="44">
        <f t="shared" si="171"/>
        <v>21964.947949999998</v>
      </c>
    </row>
    <row r="600" spans="1:45" x14ac:dyDescent="0.25">
      <c r="A600" s="28"/>
      <c r="B600" s="43"/>
      <c r="C600" s="43"/>
      <c r="D600" s="43"/>
      <c r="E600" s="43" t="s">
        <v>1436</v>
      </c>
      <c r="F600" s="43" t="s">
        <v>1437</v>
      </c>
      <c r="G600" s="46">
        <f t="shared" si="158"/>
        <v>9789.3732000000018</v>
      </c>
      <c r="H600" s="46">
        <f t="shared" si="159"/>
        <v>8685.0841500000024</v>
      </c>
      <c r="I600" s="28" t="s">
        <v>262</v>
      </c>
      <c r="J600" s="337">
        <v>0.35</v>
      </c>
      <c r="K600" s="46">
        <f t="shared" si="160"/>
        <v>3426.2806200000005</v>
      </c>
      <c r="L600" s="46">
        <f t="shared" si="161"/>
        <v>3039.7794525000008</v>
      </c>
      <c r="M600" s="338">
        <f t="shared" si="162"/>
        <v>0</v>
      </c>
      <c r="N600" s="43" t="s">
        <v>161</v>
      </c>
      <c r="O600" s="339">
        <v>85389090</v>
      </c>
      <c r="P600" s="340">
        <f>IFERROR(VLOOKUP(O600,NCM!$A$3:$D$99,COLUMN(head_porNCM_IPI)-COLUMN(head_porNCM_NCM)+1,FALSE),"")</f>
        <v>0.15</v>
      </c>
      <c r="Q600" s="43" t="s">
        <v>806</v>
      </c>
      <c r="R600" s="78" t="s">
        <v>210</v>
      </c>
      <c r="S600" s="341"/>
      <c r="T600" s="28" t="s">
        <v>52</v>
      </c>
      <c r="U600" s="28" t="s">
        <v>3113</v>
      </c>
      <c r="V600" s="548">
        <v>45469</v>
      </c>
      <c r="W600" s="43"/>
      <c r="X600" s="342">
        <f t="shared" si="163"/>
        <v>1957.9834168564921</v>
      </c>
      <c r="Y600" s="342">
        <f t="shared" si="164"/>
        <v>1060.5743507972657</v>
      </c>
      <c r="Z600" s="46">
        <f t="shared" si="165"/>
        <v>179.48181321184512</v>
      </c>
      <c r="AA600" s="46">
        <f t="shared" si="166"/>
        <v>826.70410933940775</v>
      </c>
      <c r="AB600" s="43"/>
      <c r="AC600" s="44">
        <v>11938.26</v>
      </c>
      <c r="AD600" s="31">
        <v>0.18</v>
      </c>
      <c r="AE600" s="31">
        <v>9.7500000000000003E-2</v>
      </c>
      <c r="AF600" s="31">
        <v>0</v>
      </c>
      <c r="AG600" s="28" t="s">
        <v>53</v>
      </c>
      <c r="AH600" s="46">
        <f t="shared" si="167"/>
        <v>13102.24035</v>
      </c>
      <c r="AI600" s="43"/>
      <c r="AJ600" s="28" t="s">
        <v>264</v>
      </c>
      <c r="AK600" s="337"/>
      <c r="AL600" s="43"/>
      <c r="AM600" s="44">
        <f t="shared" si="168"/>
        <v>0</v>
      </c>
      <c r="AN600" s="43"/>
      <c r="AO600" s="28">
        <f t="shared" si="169"/>
        <v>0</v>
      </c>
      <c r="AP600" s="43"/>
      <c r="AQ600" s="323">
        <f t="shared" si="170"/>
        <v>0</v>
      </c>
      <c r="AR600" s="43"/>
      <c r="AS600" s="44">
        <f t="shared" si="171"/>
        <v>13102.24035</v>
      </c>
    </row>
    <row r="601" spans="1:45" x14ac:dyDescent="0.25">
      <c r="A601" s="28"/>
      <c r="B601" s="43"/>
      <c r="C601" s="43"/>
      <c r="D601" s="43"/>
      <c r="E601" s="43" t="s">
        <v>1438</v>
      </c>
      <c r="F601" s="43" t="s">
        <v>1439</v>
      </c>
      <c r="G601" s="46">
        <f t="shared" si="158"/>
        <v>1250.4508000000001</v>
      </c>
      <c r="H601" s="46">
        <f t="shared" si="159"/>
        <v>1109.3938500000002</v>
      </c>
      <c r="I601" s="28" t="s">
        <v>262</v>
      </c>
      <c r="J601" s="337">
        <v>0.35</v>
      </c>
      <c r="K601" s="46">
        <f t="shared" si="160"/>
        <v>437.65778</v>
      </c>
      <c r="L601" s="46">
        <f t="shared" si="161"/>
        <v>388.28784750000005</v>
      </c>
      <c r="M601" s="338">
        <f t="shared" si="162"/>
        <v>0</v>
      </c>
      <c r="N601" s="43" t="s">
        <v>161</v>
      </c>
      <c r="O601" s="339">
        <v>85389090</v>
      </c>
      <c r="P601" s="340">
        <f>IFERROR(VLOOKUP(O601,NCM!$A$3:$D$99,COLUMN(head_porNCM_IPI)-COLUMN(head_porNCM_NCM)+1,FALSE),"")</f>
        <v>0.15</v>
      </c>
      <c r="Q601" s="43" t="s">
        <v>806</v>
      </c>
      <c r="R601" s="78" t="s">
        <v>210</v>
      </c>
      <c r="S601" s="341"/>
      <c r="T601" s="28" t="s">
        <v>52</v>
      </c>
      <c r="U601" s="28" t="s">
        <v>3113</v>
      </c>
      <c r="V601" s="548">
        <v>45469</v>
      </c>
      <c r="W601" s="43"/>
      <c r="X601" s="342">
        <f t="shared" si="163"/>
        <v>250.10405466970388</v>
      </c>
      <c r="Y601" s="342">
        <f t="shared" si="164"/>
        <v>135.47302961275614</v>
      </c>
      <c r="Z601" s="46">
        <f t="shared" si="165"/>
        <v>22.926205011389527</v>
      </c>
      <c r="AA601" s="46">
        <f t="shared" si="166"/>
        <v>105.59948974943053</v>
      </c>
      <c r="AB601" s="43"/>
      <c r="AC601" s="44">
        <v>1524.94</v>
      </c>
      <c r="AD601" s="31">
        <v>0.18</v>
      </c>
      <c r="AE601" s="31">
        <v>9.7500000000000003E-2</v>
      </c>
      <c r="AF601" s="31">
        <v>0</v>
      </c>
      <c r="AG601" s="28" t="s">
        <v>53</v>
      </c>
      <c r="AH601" s="46">
        <f t="shared" si="167"/>
        <v>1673.62165</v>
      </c>
      <c r="AI601" s="43"/>
      <c r="AJ601" s="28" t="s">
        <v>264</v>
      </c>
      <c r="AK601" s="337"/>
      <c r="AL601" s="43"/>
      <c r="AM601" s="44">
        <f t="shared" si="168"/>
        <v>0</v>
      </c>
      <c r="AN601" s="43"/>
      <c r="AO601" s="28">
        <f t="shared" si="169"/>
        <v>0</v>
      </c>
      <c r="AP601" s="43"/>
      <c r="AQ601" s="323">
        <f t="shared" si="170"/>
        <v>0</v>
      </c>
      <c r="AR601" s="43"/>
      <c r="AS601" s="44">
        <f t="shared" si="171"/>
        <v>1673.62165</v>
      </c>
    </row>
    <row r="602" spans="1:45" x14ac:dyDescent="0.25">
      <c r="A602" s="28"/>
      <c r="B602" s="43"/>
      <c r="C602" s="43"/>
      <c r="D602" s="43"/>
      <c r="E602" s="43" t="s">
        <v>1440</v>
      </c>
      <c r="F602" s="43" t="s">
        <v>1441</v>
      </c>
      <c r="G602" s="46">
        <f t="shared" si="158"/>
        <v>937.66180000000008</v>
      </c>
      <c r="H602" s="46">
        <f t="shared" si="159"/>
        <v>831.88897500000019</v>
      </c>
      <c r="I602" s="28" t="s">
        <v>262</v>
      </c>
      <c r="J602" s="337">
        <v>0.35</v>
      </c>
      <c r="K602" s="46">
        <f t="shared" si="160"/>
        <v>328.18162999999998</v>
      </c>
      <c r="L602" s="46">
        <f t="shared" si="161"/>
        <v>291.16114125000007</v>
      </c>
      <c r="M602" s="338">
        <f t="shared" si="162"/>
        <v>0</v>
      </c>
      <c r="N602" s="43" t="s">
        <v>161</v>
      </c>
      <c r="O602" s="339">
        <v>85389090</v>
      </c>
      <c r="P602" s="340">
        <f>IFERROR(VLOOKUP(O602,NCM!$A$3:$D$99,COLUMN(head_porNCM_IPI)-COLUMN(head_porNCM_NCM)+1,FALSE),"")</f>
        <v>0.15</v>
      </c>
      <c r="Q602" s="43" t="s">
        <v>806</v>
      </c>
      <c r="R602" s="78" t="s">
        <v>210</v>
      </c>
      <c r="S602" s="341"/>
      <c r="T602" s="28" t="s">
        <v>52</v>
      </c>
      <c r="U602" s="28" t="s">
        <v>3113</v>
      </c>
      <c r="V602" s="548">
        <v>45469</v>
      </c>
      <c r="W602" s="43"/>
      <c r="X602" s="342">
        <f t="shared" si="163"/>
        <v>187.54277904328021</v>
      </c>
      <c r="Y602" s="342">
        <f t="shared" si="164"/>
        <v>101.58567198177661</v>
      </c>
      <c r="Z602" s="46">
        <f t="shared" si="165"/>
        <v>17.191421412300688</v>
      </c>
      <c r="AA602" s="46">
        <f t="shared" si="166"/>
        <v>79.184728929384974</v>
      </c>
      <c r="AB602" s="43"/>
      <c r="AC602" s="44">
        <v>1143.49</v>
      </c>
      <c r="AD602" s="31">
        <v>0.18</v>
      </c>
      <c r="AE602" s="31">
        <v>9.7500000000000003E-2</v>
      </c>
      <c r="AF602" s="31">
        <v>0</v>
      </c>
      <c r="AG602" s="28" t="s">
        <v>53</v>
      </c>
      <c r="AH602" s="46">
        <f t="shared" si="167"/>
        <v>1254.9802749999999</v>
      </c>
      <c r="AI602" s="43"/>
      <c r="AJ602" s="28" t="s">
        <v>264</v>
      </c>
      <c r="AK602" s="337"/>
      <c r="AL602" s="43"/>
      <c r="AM602" s="44">
        <f t="shared" si="168"/>
        <v>0</v>
      </c>
      <c r="AN602" s="43"/>
      <c r="AO602" s="28">
        <f t="shared" si="169"/>
        <v>0</v>
      </c>
      <c r="AP602" s="43"/>
      <c r="AQ602" s="323">
        <f t="shared" si="170"/>
        <v>0</v>
      </c>
      <c r="AR602" s="43"/>
      <c r="AS602" s="44">
        <f t="shared" si="171"/>
        <v>1254.9802749999999</v>
      </c>
    </row>
    <row r="603" spans="1:45" x14ac:dyDescent="0.25">
      <c r="A603" s="28"/>
      <c r="B603" s="43"/>
      <c r="C603" s="43"/>
      <c r="D603" s="43"/>
      <c r="E603" s="43" t="s">
        <v>1442</v>
      </c>
      <c r="F603" s="43" t="s">
        <v>1443</v>
      </c>
      <c r="G603" s="46">
        <f t="shared" si="158"/>
        <v>1093.3716000000002</v>
      </c>
      <c r="H603" s="46">
        <f t="shared" si="159"/>
        <v>970.03395000000023</v>
      </c>
      <c r="I603" s="28" t="s">
        <v>262</v>
      </c>
      <c r="J603" s="337">
        <v>0.35</v>
      </c>
      <c r="K603" s="46">
        <f t="shared" si="160"/>
        <v>382.68006000000003</v>
      </c>
      <c r="L603" s="46">
        <f t="shared" si="161"/>
        <v>339.51188250000007</v>
      </c>
      <c r="M603" s="338">
        <f t="shared" si="162"/>
        <v>0</v>
      </c>
      <c r="N603" s="43" t="s">
        <v>161</v>
      </c>
      <c r="O603" s="339">
        <v>85389090</v>
      </c>
      <c r="P603" s="340">
        <f>IFERROR(VLOOKUP(O603,NCM!$A$3:$D$99,COLUMN(head_porNCM_IPI)-COLUMN(head_porNCM_NCM)+1,FALSE),"")</f>
        <v>0.15</v>
      </c>
      <c r="Q603" s="43" t="s">
        <v>806</v>
      </c>
      <c r="R603" s="78" t="s">
        <v>210</v>
      </c>
      <c r="S603" s="341"/>
      <c r="T603" s="28" t="s">
        <v>52</v>
      </c>
      <c r="U603" s="28" t="s">
        <v>3113</v>
      </c>
      <c r="V603" s="548">
        <v>45469</v>
      </c>
      <c r="W603" s="43"/>
      <c r="X603" s="342">
        <f t="shared" si="163"/>
        <v>218.68646924829159</v>
      </c>
      <c r="Y603" s="342">
        <f t="shared" si="164"/>
        <v>118.4551708428246</v>
      </c>
      <c r="Z603" s="46">
        <f t="shared" si="165"/>
        <v>20.046259681093396</v>
      </c>
      <c r="AA603" s="46">
        <f t="shared" si="166"/>
        <v>92.334287015945335</v>
      </c>
      <c r="AB603" s="43"/>
      <c r="AC603" s="44">
        <v>1333.38</v>
      </c>
      <c r="AD603" s="31">
        <v>0.18</v>
      </c>
      <c r="AE603" s="31">
        <v>9.7500000000000003E-2</v>
      </c>
      <c r="AF603" s="31">
        <v>0</v>
      </c>
      <c r="AG603" s="28" t="s">
        <v>53</v>
      </c>
      <c r="AH603" s="46">
        <f t="shared" si="167"/>
        <v>1463.38455</v>
      </c>
      <c r="AI603" s="43"/>
      <c r="AJ603" s="28" t="s">
        <v>264</v>
      </c>
      <c r="AK603" s="337"/>
      <c r="AL603" s="43"/>
      <c r="AM603" s="44">
        <f t="shared" si="168"/>
        <v>0</v>
      </c>
      <c r="AN603" s="43"/>
      <c r="AO603" s="28">
        <f t="shared" si="169"/>
        <v>0</v>
      </c>
      <c r="AP603" s="43"/>
      <c r="AQ603" s="323">
        <f t="shared" si="170"/>
        <v>0</v>
      </c>
      <c r="AR603" s="43"/>
      <c r="AS603" s="44">
        <f t="shared" si="171"/>
        <v>1463.38455</v>
      </c>
    </row>
    <row r="604" spans="1:45" x14ac:dyDescent="0.25">
      <c r="A604" s="28"/>
      <c r="B604" s="43"/>
      <c r="C604" s="43"/>
      <c r="D604" s="43"/>
      <c r="E604" s="43" t="s">
        <v>1444</v>
      </c>
      <c r="F604" s="43" t="s">
        <v>1445</v>
      </c>
      <c r="G604" s="46">
        <f t="shared" si="158"/>
        <v>2631.1914000000002</v>
      </c>
      <c r="H604" s="46">
        <f t="shared" si="159"/>
        <v>2334.3801750000002</v>
      </c>
      <c r="I604" s="28" t="s">
        <v>262</v>
      </c>
      <c r="J604" s="337">
        <v>0.35</v>
      </c>
      <c r="K604" s="46">
        <f t="shared" si="160"/>
        <v>920.91698999999994</v>
      </c>
      <c r="L604" s="46">
        <f t="shared" si="161"/>
        <v>817.03306125000006</v>
      </c>
      <c r="M604" s="338">
        <f t="shared" si="162"/>
        <v>0</v>
      </c>
      <c r="N604" s="43" t="s">
        <v>161</v>
      </c>
      <c r="O604" s="339">
        <v>85389090</v>
      </c>
      <c r="P604" s="340">
        <f>IFERROR(VLOOKUP(O604,NCM!$A$3:$D$99,COLUMN(head_porNCM_IPI)-COLUMN(head_porNCM_NCM)+1,FALSE),"")</f>
        <v>0.15</v>
      </c>
      <c r="Q604" s="43" t="s">
        <v>806</v>
      </c>
      <c r="R604" s="78" t="s">
        <v>210</v>
      </c>
      <c r="S604" s="341"/>
      <c r="T604" s="28" t="s">
        <v>52</v>
      </c>
      <c r="U604" s="28" t="s">
        <v>3113</v>
      </c>
      <c r="V604" s="548">
        <v>45469</v>
      </c>
      <c r="W604" s="43"/>
      <c r="X604" s="342">
        <f t="shared" si="163"/>
        <v>526.26751708428242</v>
      </c>
      <c r="Y604" s="342">
        <f t="shared" si="164"/>
        <v>285.0615717539863</v>
      </c>
      <c r="Z604" s="46">
        <f t="shared" si="165"/>
        <v>48.241189066059228</v>
      </c>
      <c r="AA604" s="46">
        <f t="shared" si="166"/>
        <v>222.20184054669704</v>
      </c>
      <c r="AB604" s="43"/>
      <c r="AC604" s="44">
        <v>3208.77</v>
      </c>
      <c r="AD604" s="31">
        <v>0.18</v>
      </c>
      <c r="AE604" s="31">
        <v>9.7500000000000003E-2</v>
      </c>
      <c r="AF604" s="31">
        <v>0</v>
      </c>
      <c r="AG604" s="28" t="s">
        <v>53</v>
      </c>
      <c r="AH604" s="46">
        <f t="shared" si="167"/>
        <v>3521.6250749999999</v>
      </c>
      <c r="AI604" s="43"/>
      <c r="AJ604" s="28" t="s">
        <v>264</v>
      </c>
      <c r="AK604" s="337"/>
      <c r="AL604" s="43"/>
      <c r="AM604" s="44">
        <f t="shared" si="168"/>
        <v>0</v>
      </c>
      <c r="AN604" s="43"/>
      <c r="AO604" s="28">
        <f t="shared" si="169"/>
        <v>0</v>
      </c>
      <c r="AP604" s="43"/>
      <c r="AQ604" s="323">
        <f t="shared" si="170"/>
        <v>0</v>
      </c>
      <c r="AR604" s="43"/>
      <c r="AS604" s="44">
        <f t="shared" si="171"/>
        <v>3521.6250749999999</v>
      </c>
    </row>
    <row r="605" spans="1:45" x14ac:dyDescent="0.25">
      <c r="A605" s="28"/>
      <c r="B605" s="43"/>
      <c r="C605" s="43"/>
      <c r="D605" s="43"/>
      <c r="E605" s="43" t="s">
        <v>1446</v>
      </c>
      <c r="F605" s="43" t="s">
        <v>1447</v>
      </c>
      <c r="G605" s="46">
        <f t="shared" si="158"/>
        <v>2791.7146000000002</v>
      </c>
      <c r="H605" s="46">
        <f t="shared" si="159"/>
        <v>2476.7955750000006</v>
      </c>
      <c r="I605" s="28" t="s">
        <v>262</v>
      </c>
      <c r="J605" s="337">
        <v>0.35</v>
      </c>
      <c r="K605" s="46">
        <f t="shared" si="160"/>
        <v>977.10010999999997</v>
      </c>
      <c r="L605" s="46">
        <f t="shared" si="161"/>
        <v>866.87845125000013</v>
      </c>
      <c r="M605" s="338">
        <f t="shared" si="162"/>
        <v>0</v>
      </c>
      <c r="N605" s="43" t="s">
        <v>161</v>
      </c>
      <c r="O605" s="339">
        <v>85389090</v>
      </c>
      <c r="P605" s="340">
        <f>IFERROR(VLOOKUP(O605,NCM!$A$3:$D$99,COLUMN(head_porNCM_IPI)-COLUMN(head_porNCM_NCM)+1,FALSE),"")</f>
        <v>0.15</v>
      </c>
      <c r="Q605" s="43" t="s">
        <v>806</v>
      </c>
      <c r="R605" s="78" t="s">
        <v>210</v>
      </c>
      <c r="S605" s="341"/>
      <c r="T605" s="28" t="s">
        <v>52</v>
      </c>
      <c r="U605" s="28" t="s">
        <v>3113</v>
      </c>
      <c r="V605" s="548">
        <v>45469</v>
      </c>
      <c r="W605" s="43"/>
      <c r="X605" s="342">
        <f t="shared" si="163"/>
        <v>558.37394077448755</v>
      </c>
      <c r="Y605" s="342">
        <f t="shared" si="164"/>
        <v>302.45255125284712</v>
      </c>
      <c r="Z605" s="46">
        <f t="shared" si="165"/>
        <v>51.184277904328027</v>
      </c>
      <c r="AA605" s="46">
        <f t="shared" si="166"/>
        <v>235.75788610478364</v>
      </c>
      <c r="AB605" s="43"/>
      <c r="AC605" s="44">
        <v>3404.53</v>
      </c>
      <c r="AD605" s="31">
        <v>0.18</v>
      </c>
      <c r="AE605" s="31">
        <v>9.7500000000000003E-2</v>
      </c>
      <c r="AF605" s="31">
        <v>0</v>
      </c>
      <c r="AG605" s="28" t="s">
        <v>53</v>
      </c>
      <c r="AH605" s="46">
        <f t="shared" si="167"/>
        <v>3736.4716749999998</v>
      </c>
      <c r="AI605" s="43"/>
      <c r="AJ605" s="28" t="s">
        <v>264</v>
      </c>
      <c r="AK605" s="337"/>
      <c r="AL605" s="43"/>
      <c r="AM605" s="44">
        <f t="shared" si="168"/>
        <v>0</v>
      </c>
      <c r="AN605" s="43"/>
      <c r="AO605" s="28">
        <f t="shared" si="169"/>
        <v>0</v>
      </c>
      <c r="AP605" s="43"/>
      <c r="AQ605" s="323">
        <f t="shared" si="170"/>
        <v>0</v>
      </c>
      <c r="AR605" s="43"/>
      <c r="AS605" s="44">
        <f t="shared" si="171"/>
        <v>3736.4716749999998</v>
      </c>
    </row>
    <row r="606" spans="1:45" x14ac:dyDescent="0.25">
      <c r="A606" s="28"/>
      <c r="B606" s="43"/>
      <c r="C606" s="43"/>
      <c r="D606" s="43"/>
      <c r="E606" s="43" t="s">
        <v>1448</v>
      </c>
      <c r="F606" s="43" t="s">
        <v>1449</v>
      </c>
      <c r="G606" s="46">
        <f t="shared" si="158"/>
        <v>1242.874</v>
      </c>
      <c r="H606" s="46">
        <f t="shared" si="159"/>
        <v>1102.6717500000002</v>
      </c>
      <c r="I606" s="28" t="s">
        <v>262</v>
      </c>
      <c r="J606" s="337">
        <v>0.47319685875</v>
      </c>
      <c r="K606" s="46">
        <f t="shared" si="160"/>
        <v>588.12407262204749</v>
      </c>
      <c r="L606" s="46">
        <f t="shared" si="161"/>
        <v>521.78080833236538</v>
      </c>
      <c r="M606" s="338">
        <f t="shared" si="162"/>
        <v>0</v>
      </c>
      <c r="N606" s="43" t="s">
        <v>161</v>
      </c>
      <c r="O606" s="339">
        <v>85389090</v>
      </c>
      <c r="P606" s="340">
        <f>IFERROR(VLOOKUP(O606,NCM!$A$3:$D$99,COLUMN(head_porNCM_IPI)-COLUMN(head_porNCM_NCM)+1,FALSE),"")</f>
        <v>0.15</v>
      </c>
      <c r="Q606" s="43" t="s">
        <v>806</v>
      </c>
      <c r="R606" s="78" t="s">
        <v>210</v>
      </c>
      <c r="S606" s="341"/>
      <c r="T606" s="28" t="s">
        <v>52</v>
      </c>
      <c r="U606" s="28" t="s">
        <v>3113</v>
      </c>
      <c r="V606" s="548">
        <v>45469</v>
      </c>
      <c r="W606" s="43"/>
      <c r="X606" s="342">
        <f t="shared" si="163"/>
        <v>248.5886104783599</v>
      </c>
      <c r="Y606" s="342">
        <f t="shared" si="164"/>
        <v>134.65216400911163</v>
      </c>
      <c r="Z606" s="46">
        <f t="shared" si="165"/>
        <v>22.787289293849661</v>
      </c>
      <c r="AA606" s="46">
        <f t="shared" si="166"/>
        <v>104.95963553530751</v>
      </c>
      <c r="AB606" s="43"/>
      <c r="AC606" s="44">
        <v>1515.7</v>
      </c>
      <c r="AD606" s="31">
        <v>0.18</v>
      </c>
      <c r="AE606" s="31">
        <v>9.7500000000000003E-2</v>
      </c>
      <c r="AF606" s="31">
        <v>0</v>
      </c>
      <c r="AG606" s="28" t="s">
        <v>53</v>
      </c>
      <c r="AH606" s="46">
        <f t="shared" si="167"/>
        <v>1663.4807499999999</v>
      </c>
      <c r="AI606" s="43"/>
      <c r="AJ606" s="28" t="s">
        <v>264</v>
      </c>
      <c r="AK606" s="337"/>
      <c r="AL606" s="43"/>
      <c r="AM606" s="44">
        <f t="shared" si="168"/>
        <v>0</v>
      </c>
      <c r="AN606" s="43"/>
      <c r="AO606" s="28">
        <f t="shared" si="169"/>
        <v>0</v>
      </c>
      <c r="AP606" s="43"/>
      <c r="AQ606" s="323">
        <f t="shared" si="170"/>
        <v>0</v>
      </c>
      <c r="AR606" s="43"/>
      <c r="AS606" s="44">
        <f t="shared" si="171"/>
        <v>1663.4807499999999</v>
      </c>
    </row>
    <row r="607" spans="1:45" x14ac:dyDescent="0.25">
      <c r="A607" s="28"/>
      <c r="B607" s="43"/>
      <c r="C607" s="43"/>
      <c r="D607" s="43"/>
      <c r="E607" s="43" t="s">
        <v>1450</v>
      </c>
      <c r="F607" s="43" t="s">
        <v>1451</v>
      </c>
      <c r="G607" s="46">
        <f t="shared" si="158"/>
        <v>312.75620000000004</v>
      </c>
      <c r="H607" s="46">
        <f t="shared" si="159"/>
        <v>277.47577500000006</v>
      </c>
      <c r="I607" s="28" t="s">
        <v>262</v>
      </c>
      <c r="J607" s="337">
        <v>0.47319685875</v>
      </c>
      <c r="K607" s="46">
        <f t="shared" si="160"/>
        <v>147.99525139458677</v>
      </c>
      <c r="L607" s="46">
        <f t="shared" si="161"/>
        <v>131.3006651092218</v>
      </c>
      <c r="M607" s="338">
        <f t="shared" si="162"/>
        <v>0</v>
      </c>
      <c r="N607" s="43" t="s">
        <v>161</v>
      </c>
      <c r="O607" s="339">
        <v>85389090</v>
      </c>
      <c r="P607" s="340">
        <f>IFERROR(VLOOKUP(O607,NCM!$A$3:$D$99,COLUMN(head_porNCM_IPI)-COLUMN(head_porNCM_NCM)+1,FALSE),"")</f>
        <v>0.15</v>
      </c>
      <c r="Q607" s="43" t="s">
        <v>806</v>
      </c>
      <c r="R607" s="78" t="s">
        <v>210</v>
      </c>
      <c r="S607" s="341"/>
      <c r="T607" s="28" t="s">
        <v>52</v>
      </c>
      <c r="U607" s="28" t="s">
        <v>3113</v>
      </c>
      <c r="V607" s="548">
        <v>45469</v>
      </c>
      <c r="W607" s="43"/>
      <c r="X607" s="342">
        <f t="shared" si="163"/>
        <v>62.554715261958997</v>
      </c>
      <c r="Y607" s="342">
        <f t="shared" si="164"/>
        <v>33.883804100227792</v>
      </c>
      <c r="Z607" s="46">
        <f t="shared" si="165"/>
        <v>5.7341822323462424</v>
      </c>
      <c r="AA607" s="46">
        <f t="shared" si="166"/>
        <v>26.411990888382689</v>
      </c>
      <c r="AB607" s="43"/>
      <c r="AC607" s="44">
        <v>381.41</v>
      </c>
      <c r="AD607" s="31">
        <v>0.18</v>
      </c>
      <c r="AE607" s="31">
        <v>9.7500000000000003E-2</v>
      </c>
      <c r="AF607" s="31">
        <v>0</v>
      </c>
      <c r="AG607" s="28" t="s">
        <v>53</v>
      </c>
      <c r="AH607" s="46">
        <f t="shared" si="167"/>
        <v>418.59747499999997</v>
      </c>
      <c r="AI607" s="43"/>
      <c r="AJ607" s="28" t="s">
        <v>264</v>
      </c>
      <c r="AK607" s="337"/>
      <c r="AL607" s="43"/>
      <c r="AM607" s="44">
        <f t="shared" si="168"/>
        <v>0</v>
      </c>
      <c r="AN607" s="43"/>
      <c r="AO607" s="28">
        <f t="shared" si="169"/>
        <v>0</v>
      </c>
      <c r="AP607" s="43"/>
      <c r="AQ607" s="323">
        <f t="shared" si="170"/>
        <v>0</v>
      </c>
      <c r="AR607" s="43"/>
      <c r="AS607" s="44">
        <f t="shared" si="171"/>
        <v>418.59747499999997</v>
      </c>
    </row>
    <row r="608" spans="1:45" x14ac:dyDescent="0.25">
      <c r="A608" s="28"/>
      <c r="B608" s="43"/>
      <c r="C608" s="43"/>
      <c r="D608" s="43"/>
      <c r="E608" s="43" t="s">
        <v>1452</v>
      </c>
      <c r="F608" s="43" t="s">
        <v>1453</v>
      </c>
      <c r="G608" s="46">
        <f t="shared" si="158"/>
        <v>915.60379999999998</v>
      </c>
      <c r="H608" s="46">
        <f t="shared" si="159"/>
        <v>812.31922500000007</v>
      </c>
      <c r="I608" s="28" t="s">
        <v>262</v>
      </c>
      <c r="J608" s="337">
        <v>0.47319685875</v>
      </c>
      <c r="K608" s="46">
        <f t="shared" si="160"/>
        <v>433.26084201956326</v>
      </c>
      <c r="L608" s="46">
        <f t="shared" si="161"/>
        <v>384.38690557223453</v>
      </c>
      <c r="M608" s="338">
        <f t="shared" si="162"/>
        <v>0</v>
      </c>
      <c r="N608" s="43" t="s">
        <v>161</v>
      </c>
      <c r="O608" s="339">
        <v>85389090</v>
      </c>
      <c r="P608" s="340">
        <f>IFERROR(VLOOKUP(O608,NCM!$A$3:$D$99,COLUMN(head_porNCM_IPI)-COLUMN(head_porNCM_NCM)+1,FALSE),"")</f>
        <v>0.15</v>
      </c>
      <c r="Q608" s="43" t="s">
        <v>806</v>
      </c>
      <c r="R608" s="78" t="s">
        <v>210</v>
      </c>
      <c r="S608" s="341"/>
      <c r="T608" s="28" t="s">
        <v>52</v>
      </c>
      <c r="U608" s="28" t="s">
        <v>3113</v>
      </c>
      <c r="V608" s="548">
        <v>45469</v>
      </c>
      <c r="W608" s="43"/>
      <c r="X608" s="342">
        <f t="shared" si="163"/>
        <v>183.13093394077447</v>
      </c>
      <c r="Y608" s="342">
        <f t="shared" si="164"/>
        <v>99.195922551252806</v>
      </c>
      <c r="Z608" s="46">
        <f t="shared" si="165"/>
        <v>16.787002277904328</v>
      </c>
      <c r="AA608" s="46">
        <f t="shared" si="166"/>
        <v>77.321949886104775</v>
      </c>
      <c r="AB608" s="43"/>
      <c r="AC608" s="44">
        <v>1116.5899999999999</v>
      </c>
      <c r="AD608" s="31">
        <v>0.18</v>
      </c>
      <c r="AE608" s="31">
        <v>9.7500000000000003E-2</v>
      </c>
      <c r="AF608" s="31">
        <v>0</v>
      </c>
      <c r="AG608" s="28" t="s">
        <v>53</v>
      </c>
      <c r="AH608" s="46">
        <f t="shared" si="167"/>
        <v>1225.4575249999998</v>
      </c>
      <c r="AI608" s="43"/>
      <c r="AJ608" s="28" t="s">
        <v>264</v>
      </c>
      <c r="AK608" s="337"/>
      <c r="AL608" s="43"/>
      <c r="AM608" s="44">
        <f t="shared" si="168"/>
        <v>0</v>
      </c>
      <c r="AN608" s="43"/>
      <c r="AO608" s="28">
        <f t="shared" si="169"/>
        <v>0</v>
      </c>
      <c r="AP608" s="43"/>
      <c r="AQ608" s="323">
        <f t="shared" si="170"/>
        <v>0</v>
      </c>
      <c r="AR608" s="43"/>
      <c r="AS608" s="44">
        <f t="shared" si="171"/>
        <v>1225.4575249999998</v>
      </c>
    </row>
    <row r="609" spans="1:45" x14ac:dyDescent="0.25">
      <c r="A609" s="28"/>
      <c r="B609" s="43"/>
      <c r="C609" s="43"/>
      <c r="D609" s="43"/>
      <c r="E609" s="43" t="s">
        <v>1454</v>
      </c>
      <c r="F609" s="43" t="s">
        <v>1455</v>
      </c>
      <c r="G609" s="46">
        <f t="shared" si="158"/>
        <v>34962.5942</v>
      </c>
      <c r="H609" s="46">
        <f t="shared" si="159"/>
        <v>31018.643025000005</v>
      </c>
      <c r="I609" s="28" t="s">
        <v>262</v>
      </c>
      <c r="J609" s="337">
        <v>0.35</v>
      </c>
      <c r="K609" s="46">
        <f t="shared" si="160"/>
        <v>12236.907969999998</v>
      </c>
      <c r="L609" s="46">
        <f t="shared" si="161"/>
        <v>10856.525058750001</v>
      </c>
      <c r="M609" s="338">
        <f t="shared" si="162"/>
        <v>0</v>
      </c>
      <c r="N609" s="43" t="s">
        <v>161</v>
      </c>
      <c r="O609" s="339">
        <v>85362000</v>
      </c>
      <c r="P609" s="340">
        <f>IFERROR(VLOOKUP(O609,NCM!$A$3:$D$99,COLUMN(head_porNCM_IPI)-COLUMN(head_porNCM_NCM)+1,FALSE),"")</f>
        <v>0.1</v>
      </c>
      <c r="Q609" s="43" t="s">
        <v>806</v>
      </c>
      <c r="R609" s="78" t="s">
        <v>210</v>
      </c>
      <c r="S609" s="341"/>
      <c r="T609" s="28" t="s">
        <v>52</v>
      </c>
      <c r="U609" s="28" t="s">
        <v>3113</v>
      </c>
      <c r="V609" s="548">
        <v>45469</v>
      </c>
      <c r="W609" s="43"/>
      <c r="X609" s="342">
        <f t="shared" si="163"/>
        <v>7206.3059154929579</v>
      </c>
      <c r="Y609" s="342">
        <f t="shared" si="164"/>
        <v>2602.2771361502309</v>
      </c>
      <c r="Z609" s="46">
        <f t="shared" si="165"/>
        <v>660.57804225352118</v>
      </c>
      <c r="AA609" s="46">
        <f t="shared" si="166"/>
        <v>3042.6624976525823</v>
      </c>
      <c r="AB609" s="43"/>
      <c r="AC609" s="44">
        <v>42637.31</v>
      </c>
      <c r="AD609" s="31">
        <v>0.18</v>
      </c>
      <c r="AE609" s="31">
        <v>6.5000000000000002E-2</v>
      </c>
      <c r="AF609" s="31">
        <v>0</v>
      </c>
      <c r="AG609" s="28" t="s">
        <v>53</v>
      </c>
      <c r="AH609" s="46">
        <f t="shared" si="167"/>
        <v>45408.735149999993</v>
      </c>
      <c r="AI609" s="43"/>
      <c r="AJ609" s="28" t="s">
        <v>264</v>
      </c>
      <c r="AK609" s="337"/>
      <c r="AL609" s="43"/>
      <c r="AM609" s="44">
        <f t="shared" si="168"/>
        <v>0</v>
      </c>
      <c r="AN609" s="43"/>
      <c r="AO609" s="28">
        <f t="shared" si="169"/>
        <v>0</v>
      </c>
      <c r="AP609" s="43"/>
      <c r="AQ609" s="323">
        <f t="shared" si="170"/>
        <v>0</v>
      </c>
      <c r="AR609" s="43"/>
      <c r="AS609" s="44">
        <f t="shared" si="171"/>
        <v>45408.735149999993</v>
      </c>
    </row>
    <row r="610" spans="1:45" x14ac:dyDescent="0.25">
      <c r="A610" s="28"/>
      <c r="B610" s="43"/>
      <c r="C610" s="43"/>
      <c r="D610" s="43"/>
      <c r="E610" s="43" t="s">
        <v>1456</v>
      </c>
      <c r="F610" s="43" t="s">
        <v>1457</v>
      </c>
      <c r="G610" s="46">
        <f t="shared" si="158"/>
        <v>47366.037200000006</v>
      </c>
      <c r="H610" s="46">
        <f t="shared" si="159"/>
        <v>42022.917150000008</v>
      </c>
      <c r="I610" s="28" t="s">
        <v>262</v>
      </c>
      <c r="J610" s="337">
        <v>0.35</v>
      </c>
      <c r="K610" s="46">
        <f t="shared" si="160"/>
        <v>16578.113020000001</v>
      </c>
      <c r="L610" s="46">
        <f t="shared" si="161"/>
        <v>14708.021002500001</v>
      </c>
      <c r="M610" s="338">
        <f t="shared" si="162"/>
        <v>0</v>
      </c>
      <c r="N610" s="43" t="s">
        <v>161</v>
      </c>
      <c r="O610" s="339">
        <v>85362000</v>
      </c>
      <c r="P610" s="340">
        <f>IFERROR(VLOOKUP(O610,NCM!$A$3:$D$99,COLUMN(head_porNCM_IPI)-COLUMN(head_porNCM_NCM)+1,FALSE),"")</f>
        <v>0.1</v>
      </c>
      <c r="Q610" s="43" t="s">
        <v>806</v>
      </c>
      <c r="R610" s="78" t="s">
        <v>210</v>
      </c>
      <c r="S610" s="341"/>
      <c r="T610" s="28" t="s">
        <v>52</v>
      </c>
      <c r="U610" s="28" t="s">
        <v>3113</v>
      </c>
      <c r="V610" s="548">
        <v>45469</v>
      </c>
      <c r="W610" s="43"/>
      <c r="X610" s="342">
        <f t="shared" si="163"/>
        <v>9762.8383098591548</v>
      </c>
      <c r="Y610" s="342">
        <f t="shared" si="164"/>
        <v>3525.4693896713579</v>
      </c>
      <c r="Z610" s="46">
        <f t="shared" si="165"/>
        <v>894.92684507042259</v>
      </c>
      <c r="AA610" s="46">
        <f t="shared" si="166"/>
        <v>4122.0872863849763</v>
      </c>
      <c r="AB610" s="43"/>
      <c r="AC610" s="44">
        <v>57763.46</v>
      </c>
      <c r="AD610" s="31">
        <v>0.18</v>
      </c>
      <c r="AE610" s="31">
        <v>6.5000000000000002E-2</v>
      </c>
      <c r="AF610" s="31">
        <v>0</v>
      </c>
      <c r="AG610" s="28" t="s">
        <v>53</v>
      </c>
      <c r="AH610" s="46">
        <f t="shared" si="167"/>
        <v>61518.084899999994</v>
      </c>
      <c r="AI610" s="43"/>
      <c r="AJ610" s="28" t="s">
        <v>264</v>
      </c>
      <c r="AK610" s="337"/>
      <c r="AL610" s="43"/>
      <c r="AM610" s="44">
        <f t="shared" si="168"/>
        <v>0</v>
      </c>
      <c r="AN610" s="43"/>
      <c r="AO610" s="28">
        <f t="shared" si="169"/>
        <v>0</v>
      </c>
      <c r="AP610" s="43"/>
      <c r="AQ610" s="323">
        <f t="shared" si="170"/>
        <v>0</v>
      </c>
      <c r="AR610" s="43"/>
      <c r="AS610" s="44">
        <f t="shared" si="171"/>
        <v>61518.084899999994</v>
      </c>
    </row>
    <row r="611" spans="1:45" x14ac:dyDescent="0.25">
      <c r="A611" s="28"/>
      <c r="B611" s="43"/>
      <c r="C611" s="43"/>
      <c r="D611" s="43"/>
      <c r="E611" s="43" t="s">
        <v>1458</v>
      </c>
      <c r="F611" s="43" t="s">
        <v>1459</v>
      </c>
      <c r="G611" s="46">
        <f t="shared" si="158"/>
        <v>13512.9522</v>
      </c>
      <c r="H611" s="46">
        <f t="shared" si="159"/>
        <v>11988.625275000002</v>
      </c>
      <c r="I611" s="28" t="s">
        <v>262</v>
      </c>
      <c r="J611" s="337">
        <v>0.35</v>
      </c>
      <c r="K611" s="46">
        <f t="shared" si="160"/>
        <v>4729.5332699999999</v>
      </c>
      <c r="L611" s="46">
        <f t="shared" si="161"/>
        <v>4196.0188462500009</v>
      </c>
      <c r="M611" s="338">
        <f t="shared" si="162"/>
        <v>0</v>
      </c>
      <c r="N611" s="43" t="s">
        <v>161</v>
      </c>
      <c r="O611" s="339">
        <v>85389090</v>
      </c>
      <c r="P611" s="340">
        <f>IFERROR(VLOOKUP(O611,NCM!$A$3:$D$99,COLUMN(head_porNCM_IPI)-COLUMN(head_porNCM_NCM)+1,FALSE),"")</f>
        <v>0.15</v>
      </c>
      <c r="Q611" s="43" t="s">
        <v>806</v>
      </c>
      <c r="R611" s="78" t="s">
        <v>210</v>
      </c>
      <c r="S611" s="341"/>
      <c r="T611" s="28" t="s">
        <v>52</v>
      </c>
      <c r="U611" s="28" t="s">
        <v>3113</v>
      </c>
      <c r="V611" s="548">
        <v>45469</v>
      </c>
      <c r="W611" s="43"/>
      <c r="X611" s="342">
        <f t="shared" si="163"/>
        <v>2702.7405922551252</v>
      </c>
      <c r="Y611" s="342">
        <f t="shared" si="164"/>
        <v>1463.9844874715254</v>
      </c>
      <c r="Z611" s="46">
        <f t="shared" si="165"/>
        <v>247.75122095671983</v>
      </c>
      <c r="AA611" s="46">
        <f t="shared" si="166"/>
        <v>1141.1571389521639</v>
      </c>
      <c r="AB611" s="43"/>
      <c r="AC611" s="44">
        <v>16479.21</v>
      </c>
      <c r="AD611" s="31">
        <v>0.18</v>
      </c>
      <c r="AE611" s="31">
        <v>9.7500000000000003E-2</v>
      </c>
      <c r="AF611" s="31">
        <v>0</v>
      </c>
      <c r="AG611" s="28" t="s">
        <v>53</v>
      </c>
      <c r="AH611" s="46">
        <f t="shared" si="167"/>
        <v>18085.932974999996</v>
      </c>
      <c r="AI611" s="43"/>
      <c r="AJ611" s="28" t="s">
        <v>264</v>
      </c>
      <c r="AK611" s="337"/>
      <c r="AL611" s="43"/>
      <c r="AM611" s="44">
        <f t="shared" si="168"/>
        <v>0</v>
      </c>
      <c r="AN611" s="43"/>
      <c r="AO611" s="28">
        <f t="shared" si="169"/>
        <v>0</v>
      </c>
      <c r="AP611" s="43"/>
      <c r="AQ611" s="323">
        <f t="shared" si="170"/>
        <v>0</v>
      </c>
      <c r="AR611" s="43"/>
      <c r="AS611" s="44">
        <f t="shared" si="171"/>
        <v>18085.932974999996</v>
      </c>
    </row>
    <row r="612" spans="1:45" x14ac:dyDescent="0.25">
      <c r="A612" s="28"/>
      <c r="B612" s="43"/>
      <c r="C612" s="43"/>
      <c r="D612" s="43"/>
      <c r="E612" s="43" t="s">
        <v>1460</v>
      </c>
      <c r="F612" s="43" t="s">
        <v>1461</v>
      </c>
      <c r="G612" s="46">
        <f t="shared" si="158"/>
        <v>21752.2958</v>
      </c>
      <c r="H612" s="46">
        <f t="shared" si="159"/>
        <v>19298.530725000004</v>
      </c>
      <c r="I612" s="28" t="s">
        <v>262</v>
      </c>
      <c r="J612" s="337">
        <v>0.35</v>
      </c>
      <c r="K612" s="46">
        <f t="shared" si="160"/>
        <v>7613.3035299999992</v>
      </c>
      <c r="L612" s="46">
        <f t="shared" si="161"/>
        <v>6754.4857537500011</v>
      </c>
      <c r="M612" s="338">
        <f t="shared" si="162"/>
        <v>0</v>
      </c>
      <c r="N612" s="43" t="s">
        <v>161</v>
      </c>
      <c r="O612" s="339">
        <v>85389090</v>
      </c>
      <c r="P612" s="340">
        <f>IFERROR(VLOOKUP(O612,NCM!$A$3:$D$99,COLUMN(head_porNCM_IPI)-COLUMN(head_porNCM_NCM)+1,FALSE),"")</f>
        <v>0.15</v>
      </c>
      <c r="Q612" s="43" t="s">
        <v>806</v>
      </c>
      <c r="R612" s="78" t="s">
        <v>210</v>
      </c>
      <c r="S612" s="341"/>
      <c r="T612" s="28" t="s">
        <v>52</v>
      </c>
      <c r="U612" s="28" t="s">
        <v>3113</v>
      </c>
      <c r="V612" s="548">
        <v>45469</v>
      </c>
      <c r="W612" s="43"/>
      <c r="X612" s="342">
        <f t="shared" si="163"/>
        <v>4350.7008656036451</v>
      </c>
      <c r="Y612" s="342">
        <f t="shared" si="164"/>
        <v>2356.6296355353043</v>
      </c>
      <c r="Z612" s="46">
        <f t="shared" si="165"/>
        <v>398.81424601366746</v>
      </c>
      <c r="AA612" s="46">
        <f t="shared" si="166"/>
        <v>1836.9625876993168</v>
      </c>
      <c r="AB612" s="43"/>
      <c r="AC612" s="44">
        <v>26527.19</v>
      </c>
      <c r="AD612" s="31">
        <v>0.18</v>
      </c>
      <c r="AE612" s="31">
        <v>9.7500000000000003E-2</v>
      </c>
      <c r="AF612" s="31">
        <v>0</v>
      </c>
      <c r="AG612" s="28" t="s">
        <v>53</v>
      </c>
      <c r="AH612" s="46">
        <f t="shared" si="167"/>
        <v>29113.591024999998</v>
      </c>
      <c r="AI612" s="43"/>
      <c r="AJ612" s="28" t="s">
        <v>264</v>
      </c>
      <c r="AK612" s="337"/>
      <c r="AL612" s="43"/>
      <c r="AM612" s="44">
        <f t="shared" si="168"/>
        <v>0</v>
      </c>
      <c r="AN612" s="43"/>
      <c r="AO612" s="28">
        <f t="shared" si="169"/>
        <v>0</v>
      </c>
      <c r="AP612" s="43"/>
      <c r="AQ612" s="323">
        <f t="shared" si="170"/>
        <v>0</v>
      </c>
      <c r="AR612" s="43"/>
      <c r="AS612" s="44">
        <f t="shared" si="171"/>
        <v>29113.591024999998</v>
      </c>
    </row>
    <row r="613" spans="1:45" x14ac:dyDescent="0.25">
      <c r="A613" s="28"/>
      <c r="B613" s="43"/>
      <c r="C613" s="43"/>
      <c r="D613" s="43"/>
      <c r="E613" s="43" t="s">
        <v>1462</v>
      </c>
      <c r="F613" s="43" t="s">
        <v>1463</v>
      </c>
      <c r="G613" s="46">
        <f t="shared" si="158"/>
        <v>744.2894</v>
      </c>
      <c r="H613" s="46">
        <f t="shared" si="159"/>
        <v>660.32992500000012</v>
      </c>
      <c r="I613" s="28" t="s">
        <v>262</v>
      </c>
      <c r="J613" s="337">
        <v>0.35</v>
      </c>
      <c r="K613" s="46">
        <f t="shared" si="160"/>
        <v>260.50128999999998</v>
      </c>
      <c r="L613" s="46">
        <f t="shared" si="161"/>
        <v>231.11547375000004</v>
      </c>
      <c r="M613" s="338">
        <f t="shared" si="162"/>
        <v>0</v>
      </c>
      <c r="N613" s="43" t="s">
        <v>161</v>
      </c>
      <c r="O613" s="339">
        <v>85389090</v>
      </c>
      <c r="P613" s="340">
        <f>IFERROR(VLOOKUP(O613,NCM!$A$3:$D$99,COLUMN(head_porNCM_IPI)-COLUMN(head_porNCM_NCM)+1,FALSE),"")</f>
        <v>0.15</v>
      </c>
      <c r="Q613" s="43" t="s">
        <v>806</v>
      </c>
      <c r="R613" s="78" t="s">
        <v>210</v>
      </c>
      <c r="S613" s="341"/>
      <c r="T613" s="28" t="s">
        <v>52</v>
      </c>
      <c r="U613" s="28" t="s">
        <v>3113</v>
      </c>
      <c r="V613" s="548">
        <v>45469</v>
      </c>
      <c r="W613" s="43"/>
      <c r="X613" s="342">
        <f t="shared" si="163"/>
        <v>148.86615034168565</v>
      </c>
      <c r="Y613" s="342">
        <f t="shared" si="164"/>
        <v>80.635831435079695</v>
      </c>
      <c r="Z613" s="46">
        <f t="shared" si="165"/>
        <v>13.646063781321185</v>
      </c>
      <c r="AA613" s="46">
        <f t="shared" si="166"/>
        <v>62.854596810933941</v>
      </c>
      <c r="AB613" s="43"/>
      <c r="AC613" s="44">
        <v>907.67</v>
      </c>
      <c r="AD613" s="31">
        <v>0.18</v>
      </c>
      <c r="AE613" s="31">
        <v>9.7500000000000003E-2</v>
      </c>
      <c r="AF613" s="31">
        <v>0</v>
      </c>
      <c r="AG613" s="28" t="s">
        <v>53</v>
      </c>
      <c r="AH613" s="46">
        <f t="shared" si="167"/>
        <v>996.16782499999988</v>
      </c>
      <c r="AI613" s="43"/>
      <c r="AJ613" s="28" t="s">
        <v>264</v>
      </c>
      <c r="AK613" s="337"/>
      <c r="AL613" s="43"/>
      <c r="AM613" s="44">
        <f t="shared" si="168"/>
        <v>0</v>
      </c>
      <c r="AN613" s="43"/>
      <c r="AO613" s="28">
        <f t="shared" si="169"/>
        <v>0</v>
      </c>
      <c r="AP613" s="43"/>
      <c r="AQ613" s="323">
        <f t="shared" si="170"/>
        <v>0</v>
      </c>
      <c r="AR613" s="43"/>
      <c r="AS613" s="44">
        <f t="shared" si="171"/>
        <v>996.16782499999988</v>
      </c>
    </row>
    <row r="614" spans="1:45" x14ac:dyDescent="0.25">
      <c r="A614" s="28"/>
      <c r="B614" s="43"/>
      <c r="C614" s="43"/>
      <c r="D614" s="43"/>
      <c r="E614" s="43" t="s">
        <v>1464</v>
      </c>
      <c r="F614" s="43" t="s">
        <v>1465</v>
      </c>
      <c r="G614" s="46">
        <f t="shared" si="158"/>
        <v>805.01860000000011</v>
      </c>
      <c r="H614" s="46">
        <f t="shared" si="159"/>
        <v>714.20857500000011</v>
      </c>
      <c r="I614" s="28" t="s">
        <v>262</v>
      </c>
      <c r="J614" s="337">
        <v>0.35</v>
      </c>
      <c r="K614" s="46">
        <f t="shared" si="160"/>
        <v>281.75650999999999</v>
      </c>
      <c r="L614" s="46">
        <f t="shared" si="161"/>
        <v>249.97300125000001</v>
      </c>
      <c r="M614" s="338">
        <f t="shared" si="162"/>
        <v>0</v>
      </c>
      <c r="N614" s="43" t="s">
        <v>161</v>
      </c>
      <c r="O614" s="339">
        <v>85389090</v>
      </c>
      <c r="P614" s="340">
        <f>IFERROR(VLOOKUP(O614,NCM!$A$3:$D$99,COLUMN(head_porNCM_IPI)-COLUMN(head_porNCM_NCM)+1,FALSE),"")</f>
        <v>0.15</v>
      </c>
      <c r="Q614" s="43" t="s">
        <v>806</v>
      </c>
      <c r="R614" s="78" t="s">
        <v>210</v>
      </c>
      <c r="S614" s="341"/>
      <c r="T614" s="28" t="s">
        <v>52</v>
      </c>
      <c r="U614" s="28" t="s">
        <v>3113</v>
      </c>
      <c r="V614" s="548">
        <v>45469</v>
      </c>
      <c r="W614" s="43"/>
      <c r="X614" s="342">
        <f t="shared" si="163"/>
        <v>161.0126651480638</v>
      </c>
      <c r="Y614" s="342">
        <f t="shared" si="164"/>
        <v>87.215193621867797</v>
      </c>
      <c r="Z614" s="46">
        <f t="shared" si="165"/>
        <v>14.759494305239182</v>
      </c>
      <c r="AA614" s="46">
        <f t="shared" si="166"/>
        <v>67.983125284738051</v>
      </c>
      <c r="AB614" s="43"/>
      <c r="AC614" s="44">
        <v>981.73</v>
      </c>
      <c r="AD614" s="31">
        <v>0.18</v>
      </c>
      <c r="AE614" s="31">
        <v>9.7500000000000003E-2</v>
      </c>
      <c r="AF614" s="31">
        <v>0</v>
      </c>
      <c r="AG614" s="28" t="s">
        <v>53</v>
      </c>
      <c r="AH614" s="46">
        <f t="shared" si="167"/>
        <v>1077.4486749999999</v>
      </c>
      <c r="AI614" s="43"/>
      <c r="AJ614" s="28" t="s">
        <v>264</v>
      </c>
      <c r="AK614" s="337"/>
      <c r="AL614" s="43"/>
      <c r="AM614" s="44">
        <f t="shared" si="168"/>
        <v>0</v>
      </c>
      <c r="AN614" s="43"/>
      <c r="AO614" s="28">
        <f t="shared" si="169"/>
        <v>0</v>
      </c>
      <c r="AP614" s="43"/>
      <c r="AQ614" s="323">
        <f t="shared" si="170"/>
        <v>0</v>
      </c>
      <c r="AR614" s="43"/>
      <c r="AS614" s="44">
        <f t="shared" si="171"/>
        <v>1077.4486749999999</v>
      </c>
    </row>
    <row r="615" spans="1:45" x14ac:dyDescent="0.25">
      <c r="A615" s="28"/>
      <c r="B615" s="43"/>
      <c r="C615" s="43"/>
      <c r="D615" s="43"/>
      <c r="E615" s="43" t="s">
        <v>1466</v>
      </c>
      <c r="F615" s="43" t="s">
        <v>1467</v>
      </c>
      <c r="G615" s="46">
        <f t="shared" si="158"/>
        <v>1598.6966000000002</v>
      </c>
      <c r="H615" s="46">
        <f t="shared" si="159"/>
        <v>1418.3558250000003</v>
      </c>
      <c r="I615" s="28" t="s">
        <v>262</v>
      </c>
      <c r="J615" s="337">
        <v>0.35</v>
      </c>
      <c r="K615" s="46">
        <f t="shared" si="160"/>
        <v>559.54381000000001</v>
      </c>
      <c r="L615" s="46">
        <f t="shared" si="161"/>
        <v>496.42453875000007</v>
      </c>
      <c r="M615" s="338">
        <f t="shared" si="162"/>
        <v>0</v>
      </c>
      <c r="N615" s="43" t="s">
        <v>161</v>
      </c>
      <c r="O615" s="339">
        <v>85389090</v>
      </c>
      <c r="P615" s="340">
        <f>IFERROR(VLOOKUP(O615,NCM!$A$3:$D$99,COLUMN(head_porNCM_IPI)-COLUMN(head_porNCM_NCM)+1,FALSE),"")</f>
        <v>0.15</v>
      </c>
      <c r="Q615" s="43" t="s">
        <v>806</v>
      </c>
      <c r="R615" s="78" t="s">
        <v>210</v>
      </c>
      <c r="S615" s="341"/>
      <c r="T615" s="28" t="s">
        <v>52</v>
      </c>
      <c r="U615" s="28" t="s">
        <v>3113</v>
      </c>
      <c r="V615" s="548">
        <v>45469</v>
      </c>
      <c r="W615" s="43"/>
      <c r="X615" s="342">
        <f t="shared" si="163"/>
        <v>319.75708428246014</v>
      </c>
      <c r="Y615" s="342">
        <f t="shared" si="164"/>
        <v>173.20175398633251</v>
      </c>
      <c r="Z615" s="46">
        <f t="shared" si="165"/>
        <v>29.311066059225517</v>
      </c>
      <c r="AA615" s="46">
        <f t="shared" si="166"/>
        <v>135.00854669703872</v>
      </c>
      <c r="AB615" s="43"/>
      <c r="AC615" s="44">
        <v>1949.63</v>
      </c>
      <c r="AD615" s="31">
        <v>0.18</v>
      </c>
      <c r="AE615" s="31">
        <v>9.7500000000000003E-2</v>
      </c>
      <c r="AF615" s="31">
        <v>0</v>
      </c>
      <c r="AG615" s="28" t="s">
        <v>53</v>
      </c>
      <c r="AH615" s="46">
        <f t="shared" si="167"/>
        <v>2139.7189250000001</v>
      </c>
      <c r="AI615" s="43"/>
      <c r="AJ615" s="28" t="s">
        <v>264</v>
      </c>
      <c r="AK615" s="337"/>
      <c r="AL615" s="43"/>
      <c r="AM615" s="44">
        <f t="shared" si="168"/>
        <v>0</v>
      </c>
      <c r="AN615" s="43"/>
      <c r="AO615" s="28">
        <f t="shared" si="169"/>
        <v>0</v>
      </c>
      <c r="AP615" s="43"/>
      <c r="AQ615" s="323">
        <f t="shared" si="170"/>
        <v>0</v>
      </c>
      <c r="AR615" s="43"/>
      <c r="AS615" s="44">
        <f t="shared" si="171"/>
        <v>2139.7189250000001</v>
      </c>
    </row>
    <row r="616" spans="1:45" x14ac:dyDescent="0.25">
      <c r="A616" s="28"/>
      <c r="B616" s="43"/>
      <c r="C616" s="43"/>
      <c r="D616" s="43"/>
      <c r="E616" s="43" t="s">
        <v>1468</v>
      </c>
      <c r="F616" s="43" t="s">
        <v>1469</v>
      </c>
      <c r="G616" s="46">
        <f t="shared" si="158"/>
        <v>1352.6966000000002</v>
      </c>
      <c r="H616" s="46">
        <f t="shared" si="159"/>
        <v>1200.1058250000003</v>
      </c>
      <c r="I616" s="28" t="s">
        <v>262</v>
      </c>
      <c r="J616" s="337">
        <v>0.35</v>
      </c>
      <c r="K616" s="46">
        <f t="shared" si="160"/>
        <v>473.44381000000004</v>
      </c>
      <c r="L616" s="46">
        <f t="shared" si="161"/>
        <v>420.03703875000008</v>
      </c>
      <c r="M616" s="338">
        <f t="shared" si="162"/>
        <v>0</v>
      </c>
      <c r="N616" s="43" t="s">
        <v>161</v>
      </c>
      <c r="O616" s="339">
        <v>85389090</v>
      </c>
      <c r="P616" s="340">
        <f>IFERROR(VLOOKUP(O616,NCM!$A$3:$D$99,COLUMN(head_porNCM_IPI)-COLUMN(head_porNCM_NCM)+1,FALSE),"")</f>
        <v>0.15</v>
      </c>
      <c r="Q616" s="43" t="s">
        <v>806</v>
      </c>
      <c r="R616" s="78" t="s">
        <v>210</v>
      </c>
      <c r="S616" s="341"/>
      <c r="T616" s="28" t="s">
        <v>52</v>
      </c>
      <c r="U616" s="28" t="s">
        <v>3113</v>
      </c>
      <c r="V616" s="548">
        <v>45469</v>
      </c>
      <c r="W616" s="43"/>
      <c r="X616" s="342">
        <f t="shared" si="163"/>
        <v>270.55435079726652</v>
      </c>
      <c r="Y616" s="342">
        <f t="shared" si="164"/>
        <v>146.55027334851934</v>
      </c>
      <c r="Z616" s="46">
        <f t="shared" si="165"/>
        <v>24.800815489749432</v>
      </c>
      <c r="AA616" s="46">
        <f t="shared" si="166"/>
        <v>114.23405922551254</v>
      </c>
      <c r="AB616" s="43"/>
      <c r="AC616" s="44">
        <v>1649.63</v>
      </c>
      <c r="AD616" s="31">
        <v>0.18</v>
      </c>
      <c r="AE616" s="31">
        <v>9.7500000000000003E-2</v>
      </c>
      <c r="AF616" s="31">
        <v>0</v>
      </c>
      <c r="AG616" s="28" t="s">
        <v>53</v>
      </c>
      <c r="AH616" s="46">
        <f t="shared" si="167"/>
        <v>1810.4689249999999</v>
      </c>
      <c r="AI616" s="43"/>
      <c r="AJ616" s="28" t="s">
        <v>264</v>
      </c>
      <c r="AK616" s="337"/>
      <c r="AL616" s="43"/>
      <c r="AM616" s="44">
        <f t="shared" si="168"/>
        <v>0</v>
      </c>
      <c r="AN616" s="43"/>
      <c r="AO616" s="28">
        <f t="shared" si="169"/>
        <v>0</v>
      </c>
      <c r="AP616" s="43"/>
      <c r="AQ616" s="323">
        <f t="shared" si="170"/>
        <v>0</v>
      </c>
      <c r="AR616" s="43"/>
      <c r="AS616" s="44">
        <f t="shared" si="171"/>
        <v>1810.4689249999999</v>
      </c>
    </row>
    <row r="617" spans="1:45" x14ac:dyDescent="0.25">
      <c r="A617" s="28"/>
      <c r="B617" s="43"/>
      <c r="C617" s="43"/>
      <c r="D617" s="43"/>
      <c r="E617" s="43" t="s">
        <v>1470</v>
      </c>
      <c r="F617" s="43" t="s">
        <v>1471</v>
      </c>
      <c r="G617" s="46">
        <f t="shared" si="158"/>
        <v>405.35880000000003</v>
      </c>
      <c r="H617" s="46">
        <f t="shared" si="159"/>
        <v>359.63235000000003</v>
      </c>
      <c r="I617" s="28" t="s">
        <v>262</v>
      </c>
      <c r="J617" s="337">
        <v>0.35</v>
      </c>
      <c r="K617" s="46">
        <f t="shared" si="160"/>
        <v>141.87558000000001</v>
      </c>
      <c r="L617" s="46">
        <f t="shared" si="161"/>
        <v>125.87132250000001</v>
      </c>
      <c r="M617" s="338">
        <f t="shared" si="162"/>
        <v>0</v>
      </c>
      <c r="N617" s="43" t="s">
        <v>161</v>
      </c>
      <c r="O617" s="339">
        <v>85362000</v>
      </c>
      <c r="P617" s="340">
        <f>IFERROR(VLOOKUP(O617,NCM!$A$3:$D$99,COLUMN(head_porNCM_IPI)-COLUMN(head_porNCM_NCM)+1,FALSE),"")</f>
        <v>0.1</v>
      </c>
      <c r="Q617" s="43" t="s">
        <v>806</v>
      </c>
      <c r="R617" s="78" t="s">
        <v>210</v>
      </c>
      <c r="S617" s="341"/>
      <c r="T617" s="28" t="s">
        <v>52</v>
      </c>
      <c r="U617" s="28" t="s">
        <v>3113</v>
      </c>
      <c r="V617" s="548">
        <v>45469</v>
      </c>
      <c r="W617" s="43"/>
      <c r="X617" s="342">
        <f t="shared" si="163"/>
        <v>81.076264236902048</v>
      </c>
      <c r="Y617" s="342">
        <f t="shared" si="164"/>
        <v>43.916309794988592</v>
      </c>
      <c r="Z617" s="46">
        <f t="shared" si="165"/>
        <v>7.4319908883826882</v>
      </c>
      <c r="AA617" s="46">
        <f t="shared" si="166"/>
        <v>34.232200455580866</v>
      </c>
      <c r="AB617" s="43"/>
      <c r="AC617" s="44">
        <v>494.34</v>
      </c>
      <c r="AD617" s="31">
        <v>0.18</v>
      </c>
      <c r="AE617" s="31">
        <v>9.7500000000000003E-2</v>
      </c>
      <c r="AF617" s="31">
        <v>0</v>
      </c>
      <c r="AG617" s="28" t="s">
        <v>53</v>
      </c>
      <c r="AH617" s="46">
        <f t="shared" si="167"/>
        <v>542.53814999999997</v>
      </c>
      <c r="AI617" s="43"/>
      <c r="AJ617" s="28" t="s">
        <v>264</v>
      </c>
      <c r="AK617" s="337"/>
      <c r="AL617" s="43"/>
      <c r="AM617" s="44">
        <f t="shared" si="168"/>
        <v>0</v>
      </c>
      <c r="AN617" s="43"/>
      <c r="AO617" s="28">
        <f t="shared" si="169"/>
        <v>0</v>
      </c>
      <c r="AP617" s="43"/>
      <c r="AQ617" s="323">
        <f t="shared" si="170"/>
        <v>0</v>
      </c>
      <c r="AR617" s="43"/>
      <c r="AS617" s="44">
        <f t="shared" si="171"/>
        <v>542.53814999999997</v>
      </c>
    </row>
    <row r="618" spans="1:45" x14ac:dyDescent="0.25">
      <c r="A618" s="28"/>
      <c r="B618" s="43"/>
      <c r="C618" s="43"/>
      <c r="D618" s="43"/>
      <c r="E618" s="43" t="s">
        <v>1423</v>
      </c>
      <c r="F618" s="43" t="s">
        <v>1472</v>
      </c>
      <c r="G618" s="46">
        <f t="shared" si="158"/>
        <v>562.47080000000005</v>
      </c>
      <c r="H618" s="46">
        <f t="shared" si="159"/>
        <v>499.02135000000015</v>
      </c>
      <c r="I618" s="28" t="s">
        <v>262</v>
      </c>
      <c r="J618" s="337">
        <v>0.35</v>
      </c>
      <c r="K618" s="46">
        <f t="shared" si="160"/>
        <v>196.86478</v>
      </c>
      <c r="L618" s="46">
        <f t="shared" si="161"/>
        <v>174.65747250000004</v>
      </c>
      <c r="M618" s="338">
        <f t="shared" si="162"/>
        <v>0</v>
      </c>
      <c r="N618" s="43" t="s">
        <v>161</v>
      </c>
      <c r="O618" s="339">
        <v>85362000</v>
      </c>
      <c r="P618" s="340">
        <f>IFERROR(VLOOKUP(O618,NCM!$A$3:$D$99,COLUMN(head_porNCM_IPI)-COLUMN(head_porNCM_NCM)+1,FALSE),"")</f>
        <v>0.1</v>
      </c>
      <c r="Q618" s="43" t="s">
        <v>806</v>
      </c>
      <c r="R618" s="78" t="s">
        <v>210</v>
      </c>
      <c r="S618" s="341"/>
      <c r="T618" s="28" t="s">
        <v>52</v>
      </c>
      <c r="U618" s="28" t="s">
        <v>3113</v>
      </c>
      <c r="V618" s="548">
        <v>45469</v>
      </c>
      <c r="W618" s="43"/>
      <c r="X618" s="342">
        <f t="shared" si="163"/>
        <v>112.50041002277906</v>
      </c>
      <c r="Y618" s="342">
        <f t="shared" si="164"/>
        <v>60.937722095671916</v>
      </c>
      <c r="Z618" s="46">
        <f t="shared" si="165"/>
        <v>10.312537585421415</v>
      </c>
      <c r="AA618" s="46">
        <f t="shared" si="166"/>
        <v>47.500173120728938</v>
      </c>
      <c r="AB618" s="43"/>
      <c r="AC618" s="44">
        <v>685.94</v>
      </c>
      <c r="AD618" s="31">
        <v>0.18</v>
      </c>
      <c r="AE618" s="31">
        <v>9.7500000000000003E-2</v>
      </c>
      <c r="AF618" s="31">
        <v>0</v>
      </c>
      <c r="AG618" s="28" t="s">
        <v>53</v>
      </c>
      <c r="AH618" s="46">
        <f t="shared" si="167"/>
        <v>752.81915000000004</v>
      </c>
      <c r="AI618" s="43"/>
      <c r="AJ618" s="28" t="s">
        <v>264</v>
      </c>
      <c r="AK618" s="337"/>
      <c r="AL618" s="43"/>
      <c r="AM618" s="44">
        <f t="shared" si="168"/>
        <v>0</v>
      </c>
      <c r="AN618" s="43"/>
      <c r="AO618" s="28">
        <f t="shared" si="169"/>
        <v>0</v>
      </c>
      <c r="AP618" s="43"/>
      <c r="AQ618" s="323">
        <f t="shared" si="170"/>
        <v>0</v>
      </c>
      <c r="AR618" s="43"/>
      <c r="AS618" s="44">
        <f t="shared" si="171"/>
        <v>752.81915000000004</v>
      </c>
    </row>
    <row r="619" spans="1:45" x14ac:dyDescent="0.25">
      <c r="A619" s="28"/>
      <c r="B619" s="43"/>
      <c r="C619" s="43"/>
      <c r="D619" s="43" t="s">
        <v>1473</v>
      </c>
      <c r="E619" s="43"/>
      <c r="F619" s="43"/>
      <c r="G619" s="46">
        <f t="shared" si="158"/>
        <v>0</v>
      </c>
      <c r="H619" s="46">
        <f t="shared" si="159"/>
        <v>0</v>
      </c>
      <c r="I619" s="28"/>
      <c r="J619" s="337"/>
      <c r="K619" s="46" t="str">
        <f t="shared" si="160"/>
        <v/>
      </c>
      <c r="L619" s="46" t="str">
        <f t="shared" si="161"/>
        <v/>
      </c>
      <c r="M619" s="338">
        <f t="shared" si="162"/>
        <v>0</v>
      </c>
      <c r="N619" s="43"/>
      <c r="O619" s="339"/>
      <c r="P619" s="340" t="str">
        <f>IFERROR(VLOOKUP(O619,NCM!$A$3:$D$99,COLUMN(head_porNCM_IPI)-COLUMN(head_porNCM_NCM)+1,FALSE),"")</f>
        <v/>
      </c>
      <c r="Q619" s="43"/>
      <c r="R619" s="78"/>
      <c r="S619" s="341"/>
      <c r="T619" s="28"/>
      <c r="U619" s="28"/>
      <c r="V619" s="28"/>
      <c r="W619" s="43"/>
      <c r="X619" s="342">
        <f t="shared" si="163"/>
        <v>0</v>
      </c>
      <c r="Y619" s="342">
        <f t="shared" si="164"/>
        <v>0</v>
      </c>
      <c r="Z619" s="46">
        <f t="shared" si="165"/>
        <v>0</v>
      </c>
      <c r="AA619" s="46">
        <f t="shared" si="166"/>
        <v>0</v>
      </c>
      <c r="AB619" s="43"/>
      <c r="AC619" s="44">
        <v>0</v>
      </c>
      <c r="AD619" s="31"/>
      <c r="AE619" s="31"/>
      <c r="AF619" s="31"/>
      <c r="AG619" s="28"/>
      <c r="AH619" s="46">
        <f t="shared" si="167"/>
        <v>0</v>
      </c>
      <c r="AI619" s="43"/>
      <c r="AJ619" s="28"/>
      <c r="AK619" s="337"/>
      <c r="AL619" s="43"/>
      <c r="AM619" s="44">
        <f t="shared" si="168"/>
        <v>0</v>
      </c>
      <c r="AN619" s="43"/>
      <c r="AO619" s="28">
        <f t="shared" si="169"/>
        <v>0</v>
      </c>
      <c r="AP619" s="43"/>
      <c r="AQ619" s="323">
        <f t="shared" si="170"/>
        <v>0</v>
      </c>
      <c r="AR619" s="43"/>
      <c r="AS619" s="44">
        <f t="shared" si="171"/>
        <v>0</v>
      </c>
    </row>
    <row r="620" spans="1:45" x14ac:dyDescent="0.25">
      <c r="A620" s="28"/>
      <c r="B620" s="43"/>
      <c r="C620" s="43"/>
      <c r="D620" s="43" t="s">
        <v>1474</v>
      </c>
      <c r="E620" s="43"/>
      <c r="F620" s="43"/>
      <c r="G620" s="46">
        <f t="shared" si="158"/>
        <v>0</v>
      </c>
      <c r="H620" s="46">
        <f t="shared" si="159"/>
        <v>0</v>
      </c>
      <c r="I620" s="28"/>
      <c r="J620" s="337"/>
      <c r="K620" s="46" t="str">
        <f t="shared" si="160"/>
        <v/>
      </c>
      <c r="L620" s="46" t="str">
        <f t="shared" si="161"/>
        <v/>
      </c>
      <c r="M620" s="338">
        <f t="shared" si="162"/>
        <v>0</v>
      </c>
      <c r="N620" s="43"/>
      <c r="O620" s="339"/>
      <c r="P620" s="340" t="str">
        <f>IFERROR(VLOOKUP(O620,NCM!$A$3:$D$99,COLUMN(head_porNCM_IPI)-COLUMN(head_porNCM_NCM)+1,FALSE),"")</f>
        <v/>
      </c>
      <c r="Q620" s="43"/>
      <c r="R620" s="78"/>
      <c r="S620" s="341"/>
      <c r="T620" s="28"/>
      <c r="U620" s="28"/>
      <c r="V620" s="28"/>
      <c r="W620" s="43"/>
      <c r="X620" s="342">
        <f t="shared" si="163"/>
        <v>0</v>
      </c>
      <c r="Y620" s="342">
        <f t="shared" si="164"/>
        <v>0</v>
      </c>
      <c r="Z620" s="46">
        <f t="shared" si="165"/>
        <v>0</v>
      </c>
      <c r="AA620" s="46">
        <f t="shared" si="166"/>
        <v>0</v>
      </c>
      <c r="AB620" s="43"/>
      <c r="AC620" s="44">
        <v>0</v>
      </c>
      <c r="AD620" s="31"/>
      <c r="AE620" s="31"/>
      <c r="AF620" s="31"/>
      <c r="AG620" s="28"/>
      <c r="AH620" s="46">
        <f t="shared" si="167"/>
        <v>0</v>
      </c>
      <c r="AI620" s="43"/>
      <c r="AJ620" s="28"/>
      <c r="AK620" s="337"/>
      <c r="AL620" s="43"/>
      <c r="AM620" s="44">
        <f t="shared" si="168"/>
        <v>0</v>
      </c>
      <c r="AN620" s="43"/>
      <c r="AO620" s="28">
        <f t="shared" si="169"/>
        <v>0</v>
      </c>
      <c r="AP620" s="43"/>
      <c r="AQ620" s="323">
        <f t="shared" si="170"/>
        <v>0</v>
      </c>
      <c r="AR620" s="43"/>
      <c r="AS620" s="44">
        <f t="shared" si="171"/>
        <v>0</v>
      </c>
    </row>
    <row r="621" spans="1:45" x14ac:dyDescent="0.25">
      <c r="A621" s="28"/>
      <c r="B621" s="43"/>
      <c r="C621" s="43"/>
      <c r="D621" s="43"/>
      <c r="E621" s="43" t="s">
        <v>1475</v>
      </c>
      <c r="F621" s="43" t="s">
        <v>1476</v>
      </c>
      <c r="G621" s="46">
        <f t="shared" si="158"/>
        <v>13.4208</v>
      </c>
      <c r="H621" s="46">
        <f t="shared" si="159"/>
        <v>12.127650000000001</v>
      </c>
      <c r="I621" s="28" t="s">
        <v>262</v>
      </c>
      <c r="J621" s="337">
        <v>1</v>
      </c>
      <c r="K621" s="46">
        <f t="shared" si="160"/>
        <v>13.4208</v>
      </c>
      <c r="L621" s="46">
        <f t="shared" si="161"/>
        <v>12.127650000000001</v>
      </c>
      <c r="M621" s="338">
        <f t="shared" si="162"/>
        <v>0</v>
      </c>
      <c r="N621" s="43" t="s">
        <v>162</v>
      </c>
      <c r="O621" s="339">
        <v>85362000</v>
      </c>
      <c r="P621" s="340">
        <f>IFERROR(VLOOKUP(O621,NCM!$A$3:$D$99,COLUMN(head_porNCM_IPI)-COLUMN(head_porNCM_NCM)+1,FALSE),"")</f>
        <v>0.1</v>
      </c>
      <c r="Q621" s="43" t="s">
        <v>1089</v>
      </c>
      <c r="R621" s="78" t="s">
        <v>210</v>
      </c>
      <c r="S621" s="341"/>
      <c r="T621" s="28" t="s">
        <v>52</v>
      </c>
      <c r="U621" s="28"/>
      <c r="V621" s="28" t="e">
        <v>#VALUE!</v>
      </c>
      <c r="W621" s="43"/>
      <c r="X621" s="342">
        <f t="shared" si="163"/>
        <v>0.50836363636363635</v>
      </c>
      <c r="Y621" s="342">
        <f t="shared" si="164"/>
        <v>1.2709090909090914</v>
      </c>
      <c r="Z621" s="46">
        <f t="shared" si="165"/>
        <v>0.2097</v>
      </c>
      <c r="AA621" s="46">
        <f t="shared" si="166"/>
        <v>0.96589090909090902</v>
      </c>
      <c r="AB621" s="43"/>
      <c r="AC621" s="44">
        <v>13.98</v>
      </c>
      <c r="AD621" s="31">
        <v>0.04</v>
      </c>
      <c r="AE621" s="31">
        <v>0.1</v>
      </c>
      <c r="AF621" s="31">
        <v>0</v>
      </c>
      <c r="AG621" s="28" t="s">
        <v>53</v>
      </c>
      <c r="AH621" s="46">
        <f t="shared" si="167"/>
        <v>15.378000000000002</v>
      </c>
      <c r="AI621" s="43"/>
      <c r="AJ621" s="28" t="s">
        <v>264</v>
      </c>
      <c r="AK621" s="337"/>
      <c r="AL621" s="43"/>
      <c r="AM621" s="44">
        <f t="shared" si="168"/>
        <v>0</v>
      </c>
      <c r="AN621" s="43"/>
      <c r="AO621" s="28">
        <f t="shared" si="169"/>
        <v>0</v>
      </c>
      <c r="AP621" s="43"/>
      <c r="AQ621" s="323">
        <f t="shared" si="170"/>
        <v>0</v>
      </c>
      <c r="AR621" s="43"/>
      <c r="AS621" s="44">
        <f t="shared" si="171"/>
        <v>15.378000000000002</v>
      </c>
    </row>
    <row r="622" spans="1:45" x14ac:dyDescent="0.25">
      <c r="A622" s="28"/>
      <c r="B622" s="43"/>
      <c r="C622" s="43"/>
      <c r="D622" s="43"/>
      <c r="E622" s="43" t="s">
        <v>1477</v>
      </c>
      <c r="F622" s="43" t="s">
        <v>1478</v>
      </c>
      <c r="G622" s="46">
        <f t="shared" si="158"/>
        <v>13.4208</v>
      </c>
      <c r="H622" s="46">
        <f t="shared" si="159"/>
        <v>12.127650000000001</v>
      </c>
      <c r="I622" s="28" t="s">
        <v>262</v>
      </c>
      <c r="J622" s="337">
        <v>1</v>
      </c>
      <c r="K622" s="46">
        <f t="shared" si="160"/>
        <v>13.4208</v>
      </c>
      <c r="L622" s="46">
        <f t="shared" si="161"/>
        <v>12.127650000000001</v>
      </c>
      <c r="M622" s="338">
        <f t="shared" si="162"/>
        <v>0</v>
      </c>
      <c r="N622" s="43" t="s">
        <v>162</v>
      </c>
      <c r="O622" s="339">
        <v>85362000</v>
      </c>
      <c r="P622" s="340">
        <f>IFERROR(VLOOKUP(O622,NCM!$A$3:$D$99,COLUMN(head_porNCM_IPI)-COLUMN(head_porNCM_NCM)+1,FALSE),"")</f>
        <v>0.1</v>
      </c>
      <c r="Q622" s="43" t="s">
        <v>1089</v>
      </c>
      <c r="R622" s="78" t="s">
        <v>210</v>
      </c>
      <c r="S622" s="341"/>
      <c r="T622" s="28" t="s">
        <v>52</v>
      </c>
      <c r="U622" s="28"/>
      <c r="V622" s="28" t="e">
        <v>#VALUE!</v>
      </c>
      <c r="W622" s="43"/>
      <c r="X622" s="342">
        <f t="shared" si="163"/>
        <v>0.50836363636363635</v>
      </c>
      <c r="Y622" s="342">
        <f t="shared" si="164"/>
        <v>1.2709090909090914</v>
      </c>
      <c r="Z622" s="46">
        <f t="shared" si="165"/>
        <v>0.2097</v>
      </c>
      <c r="AA622" s="46">
        <f t="shared" si="166"/>
        <v>0.96589090909090902</v>
      </c>
      <c r="AB622" s="43"/>
      <c r="AC622" s="44">
        <v>13.98</v>
      </c>
      <c r="AD622" s="31">
        <v>0.04</v>
      </c>
      <c r="AE622" s="31">
        <v>0.1</v>
      </c>
      <c r="AF622" s="31">
        <v>0</v>
      </c>
      <c r="AG622" s="28" t="s">
        <v>53</v>
      </c>
      <c r="AH622" s="46">
        <f t="shared" si="167"/>
        <v>15.378000000000002</v>
      </c>
      <c r="AI622" s="43"/>
      <c r="AJ622" s="28" t="s">
        <v>264</v>
      </c>
      <c r="AK622" s="337"/>
      <c r="AL622" s="43"/>
      <c r="AM622" s="44">
        <f t="shared" si="168"/>
        <v>0</v>
      </c>
      <c r="AN622" s="43"/>
      <c r="AO622" s="28">
        <f t="shared" si="169"/>
        <v>0</v>
      </c>
      <c r="AP622" s="43"/>
      <c r="AQ622" s="323">
        <f t="shared" si="170"/>
        <v>0</v>
      </c>
      <c r="AR622" s="43"/>
      <c r="AS622" s="44">
        <f t="shared" si="171"/>
        <v>15.378000000000002</v>
      </c>
    </row>
    <row r="623" spans="1:45" x14ac:dyDescent="0.25">
      <c r="A623" s="28"/>
      <c r="B623" s="43"/>
      <c r="C623" s="43"/>
      <c r="D623" s="43"/>
      <c r="E623" s="43" t="s">
        <v>1479</v>
      </c>
      <c r="F623" s="43" t="s">
        <v>1480</v>
      </c>
      <c r="G623" s="46">
        <f t="shared" si="158"/>
        <v>14.639999999999999</v>
      </c>
      <c r="H623" s="46">
        <f t="shared" si="159"/>
        <v>13.229375000000001</v>
      </c>
      <c r="I623" s="28" t="s">
        <v>262</v>
      </c>
      <c r="J623" s="337">
        <v>1</v>
      </c>
      <c r="K623" s="46">
        <f t="shared" si="160"/>
        <v>14.639999999999999</v>
      </c>
      <c r="L623" s="46">
        <f t="shared" si="161"/>
        <v>13.229375000000001</v>
      </c>
      <c r="M623" s="338">
        <f t="shared" si="162"/>
        <v>0</v>
      </c>
      <c r="N623" s="43" t="s">
        <v>162</v>
      </c>
      <c r="O623" s="339">
        <v>85362000</v>
      </c>
      <c r="P623" s="340">
        <f>IFERROR(VLOOKUP(O623,NCM!$A$3:$D$99,COLUMN(head_porNCM_IPI)-COLUMN(head_porNCM_NCM)+1,FALSE),"")</f>
        <v>0.1</v>
      </c>
      <c r="Q623" s="43" t="s">
        <v>1089</v>
      </c>
      <c r="R623" s="78" t="s">
        <v>210</v>
      </c>
      <c r="S623" s="341"/>
      <c r="T623" s="28" t="s">
        <v>52</v>
      </c>
      <c r="U623" s="28"/>
      <c r="V623" s="28" t="e">
        <v>#VALUE!</v>
      </c>
      <c r="W623" s="43"/>
      <c r="X623" s="342">
        <f t="shared" si="163"/>
        <v>0.55454545454545456</v>
      </c>
      <c r="Y623" s="342">
        <f t="shared" si="164"/>
        <v>1.3863636363636367</v>
      </c>
      <c r="Z623" s="46">
        <f t="shared" si="165"/>
        <v>0.22875000000000001</v>
      </c>
      <c r="AA623" s="46">
        <f t="shared" si="166"/>
        <v>1.0536363636363635</v>
      </c>
      <c r="AB623" s="43"/>
      <c r="AC623" s="44">
        <v>15.25</v>
      </c>
      <c r="AD623" s="31">
        <v>0.04</v>
      </c>
      <c r="AE623" s="31">
        <v>0.1</v>
      </c>
      <c r="AF623" s="31">
        <v>0</v>
      </c>
      <c r="AG623" s="28" t="s">
        <v>53</v>
      </c>
      <c r="AH623" s="46">
        <f t="shared" si="167"/>
        <v>16.775000000000002</v>
      </c>
      <c r="AI623" s="43"/>
      <c r="AJ623" s="28" t="s">
        <v>264</v>
      </c>
      <c r="AK623" s="337"/>
      <c r="AL623" s="43"/>
      <c r="AM623" s="44">
        <f t="shared" si="168"/>
        <v>0</v>
      </c>
      <c r="AN623" s="43"/>
      <c r="AO623" s="28">
        <f t="shared" si="169"/>
        <v>0</v>
      </c>
      <c r="AP623" s="43"/>
      <c r="AQ623" s="323">
        <f t="shared" si="170"/>
        <v>0</v>
      </c>
      <c r="AR623" s="43"/>
      <c r="AS623" s="44">
        <f t="shared" si="171"/>
        <v>16.775000000000002</v>
      </c>
    </row>
    <row r="624" spans="1:45" x14ac:dyDescent="0.25">
      <c r="A624" s="28"/>
      <c r="B624" s="43"/>
      <c r="C624" s="43"/>
      <c r="D624" s="43" t="s">
        <v>1481</v>
      </c>
      <c r="E624" s="43"/>
      <c r="F624" s="43"/>
      <c r="G624" s="46">
        <f t="shared" si="158"/>
        <v>0</v>
      </c>
      <c r="H624" s="46">
        <f t="shared" si="159"/>
        <v>0</v>
      </c>
      <c r="I624" s="28"/>
      <c r="J624" s="337"/>
      <c r="K624" s="46" t="str">
        <f t="shared" si="160"/>
        <v/>
      </c>
      <c r="L624" s="46" t="str">
        <f t="shared" si="161"/>
        <v/>
      </c>
      <c r="M624" s="338">
        <f t="shared" si="162"/>
        <v>0</v>
      </c>
      <c r="N624" s="43"/>
      <c r="O624" s="339"/>
      <c r="P624" s="340" t="str">
        <f>IFERROR(VLOOKUP(O624,NCM!$A$3:$D$99,COLUMN(head_porNCM_IPI)-COLUMN(head_porNCM_NCM)+1,FALSE),"")</f>
        <v/>
      </c>
      <c r="Q624" s="43"/>
      <c r="R624" s="78"/>
      <c r="S624" s="341"/>
      <c r="T624" s="28"/>
      <c r="U624" s="28"/>
      <c r="V624" s="28"/>
      <c r="W624" s="43"/>
      <c r="X624" s="342">
        <f t="shared" si="163"/>
        <v>0</v>
      </c>
      <c r="Y624" s="342">
        <f t="shared" si="164"/>
        <v>0</v>
      </c>
      <c r="Z624" s="46">
        <f t="shared" si="165"/>
        <v>0</v>
      </c>
      <c r="AA624" s="46">
        <f t="shared" si="166"/>
        <v>0</v>
      </c>
      <c r="AB624" s="43"/>
      <c r="AC624" s="44">
        <v>0</v>
      </c>
      <c r="AD624" s="31"/>
      <c r="AE624" s="31"/>
      <c r="AF624" s="31"/>
      <c r="AG624" s="28"/>
      <c r="AH624" s="46">
        <f t="shared" si="167"/>
        <v>0</v>
      </c>
      <c r="AI624" s="43"/>
      <c r="AJ624" s="28"/>
      <c r="AK624" s="337"/>
      <c r="AL624" s="43"/>
      <c r="AM624" s="44">
        <f t="shared" si="168"/>
        <v>0</v>
      </c>
      <c r="AN624" s="43"/>
      <c r="AO624" s="28">
        <f t="shared" si="169"/>
        <v>0</v>
      </c>
      <c r="AP624" s="43"/>
      <c r="AQ624" s="323">
        <f t="shared" si="170"/>
        <v>0</v>
      </c>
      <c r="AR624" s="43"/>
      <c r="AS624" s="44">
        <f t="shared" si="171"/>
        <v>0</v>
      </c>
    </row>
    <row r="625" spans="1:45" x14ac:dyDescent="0.25">
      <c r="A625" s="28"/>
      <c r="B625" s="43"/>
      <c r="C625" s="43"/>
      <c r="D625" s="43"/>
      <c r="E625" s="43" t="s">
        <v>1482</v>
      </c>
      <c r="F625" s="43" t="s">
        <v>1483</v>
      </c>
      <c r="G625" s="46">
        <f t="shared" si="158"/>
        <v>63.177599999999998</v>
      </c>
      <c r="H625" s="46">
        <f t="shared" si="159"/>
        <v>57.090175000000002</v>
      </c>
      <c r="I625" s="28" t="s">
        <v>262</v>
      </c>
      <c r="J625" s="337">
        <v>1</v>
      </c>
      <c r="K625" s="46">
        <f t="shared" si="160"/>
        <v>63.177599999999998</v>
      </c>
      <c r="L625" s="46">
        <f t="shared" si="161"/>
        <v>57.090175000000002</v>
      </c>
      <c r="M625" s="338">
        <f t="shared" si="162"/>
        <v>0</v>
      </c>
      <c r="N625" s="43" t="s">
        <v>162</v>
      </c>
      <c r="O625" s="339">
        <v>85362000</v>
      </c>
      <c r="P625" s="340">
        <f>IFERROR(VLOOKUP(O625,NCM!$A$3:$D$99,COLUMN(head_porNCM_IPI)-COLUMN(head_porNCM_NCM)+1,FALSE),"")</f>
        <v>0.1</v>
      </c>
      <c r="Q625" s="43" t="s">
        <v>1089</v>
      </c>
      <c r="R625" s="78" t="s">
        <v>210</v>
      </c>
      <c r="S625" s="341"/>
      <c r="T625" s="28" t="s">
        <v>52</v>
      </c>
      <c r="U625" s="28"/>
      <c r="V625" s="28" t="e">
        <v>#VALUE!</v>
      </c>
      <c r="W625" s="43"/>
      <c r="X625" s="342">
        <f t="shared" si="163"/>
        <v>2.3930909090909092</v>
      </c>
      <c r="Y625" s="342">
        <f t="shared" si="164"/>
        <v>5.9827272727272742</v>
      </c>
      <c r="Z625" s="46">
        <f t="shared" si="165"/>
        <v>0.98715000000000008</v>
      </c>
      <c r="AA625" s="46">
        <f t="shared" si="166"/>
        <v>4.546872727272727</v>
      </c>
      <c r="AB625" s="43"/>
      <c r="AC625" s="44">
        <v>65.81</v>
      </c>
      <c r="AD625" s="31">
        <v>0.04</v>
      </c>
      <c r="AE625" s="31">
        <v>0.1</v>
      </c>
      <c r="AF625" s="31">
        <v>0</v>
      </c>
      <c r="AG625" s="28" t="s">
        <v>53</v>
      </c>
      <c r="AH625" s="46">
        <f t="shared" si="167"/>
        <v>72.391000000000005</v>
      </c>
      <c r="AI625" s="43"/>
      <c r="AJ625" s="28" t="s">
        <v>264</v>
      </c>
      <c r="AK625" s="337"/>
      <c r="AL625" s="43"/>
      <c r="AM625" s="44">
        <f t="shared" si="168"/>
        <v>0</v>
      </c>
      <c r="AN625" s="43"/>
      <c r="AO625" s="28">
        <f t="shared" si="169"/>
        <v>0</v>
      </c>
      <c r="AP625" s="43"/>
      <c r="AQ625" s="323">
        <f t="shared" si="170"/>
        <v>0</v>
      </c>
      <c r="AR625" s="43"/>
      <c r="AS625" s="44">
        <f t="shared" si="171"/>
        <v>72.391000000000005</v>
      </c>
    </row>
    <row r="626" spans="1:45" x14ac:dyDescent="0.25">
      <c r="A626" s="28"/>
      <c r="B626" s="43"/>
      <c r="C626" s="43"/>
      <c r="D626" s="43"/>
      <c r="E626" s="43" t="s">
        <v>1484</v>
      </c>
      <c r="F626" s="43" t="s">
        <v>1485</v>
      </c>
      <c r="G626" s="46">
        <f t="shared" si="158"/>
        <v>63.177599999999998</v>
      </c>
      <c r="H626" s="46">
        <f t="shared" si="159"/>
        <v>57.090175000000002</v>
      </c>
      <c r="I626" s="28" t="s">
        <v>262</v>
      </c>
      <c r="J626" s="337">
        <v>1</v>
      </c>
      <c r="K626" s="46">
        <f t="shared" si="160"/>
        <v>63.177599999999998</v>
      </c>
      <c r="L626" s="46">
        <f t="shared" si="161"/>
        <v>57.090175000000002</v>
      </c>
      <c r="M626" s="338">
        <f t="shared" si="162"/>
        <v>0</v>
      </c>
      <c r="N626" s="43" t="s">
        <v>162</v>
      </c>
      <c r="O626" s="339">
        <v>85362000</v>
      </c>
      <c r="P626" s="340">
        <f>IFERROR(VLOOKUP(O626,NCM!$A$3:$D$99,COLUMN(head_porNCM_IPI)-COLUMN(head_porNCM_NCM)+1,FALSE),"")</f>
        <v>0.1</v>
      </c>
      <c r="Q626" s="43" t="s">
        <v>1089</v>
      </c>
      <c r="R626" s="78" t="s">
        <v>210</v>
      </c>
      <c r="S626" s="341"/>
      <c r="T626" s="28" t="s">
        <v>52</v>
      </c>
      <c r="U626" s="28"/>
      <c r="V626" s="28" t="e">
        <v>#VALUE!</v>
      </c>
      <c r="W626" s="43"/>
      <c r="X626" s="342">
        <f t="shared" si="163"/>
        <v>2.3930909090909092</v>
      </c>
      <c r="Y626" s="342">
        <f t="shared" si="164"/>
        <v>5.9827272727272742</v>
      </c>
      <c r="Z626" s="46">
        <f t="shared" si="165"/>
        <v>0.98715000000000008</v>
      </c>
      <c r="AA626" s="46">
        <f t="shared" si="166"/>
        <v>4.546872727272727</v>
      </c>
      <c r="AB626" s="43"/>
      <c r="AC626" s="44">
        <v>65.81</v>
      </c>
      <c r="AD626" s="31">
        <v>0.04</v>
      </c>
      <c r="AE626" s="31">
        <v>0.1</v>
      </c>
      <c r="AF626" s="31">
        <v>0</v>
      </c>
      <c r="AG626" s="28" t="s">
        <v>53</v>
      </c>
      <c r="AH626" s="46">
        <f t="shared" si="167"/>
        <v>72.391000000000005</v>
      </c>
      <c r="AI626" s="43"/>
      <c r="AJ626" s="28" t="s">
        <v>264</v>
      </c>
      <c r="AK626" s="337"/>
      <c r="AL626" s="43"/>
      <c r="AM626" s="44">
        <f t="shared" si="168"/>
        <v>0</v>
      </c>
      <c r="AN626" s="43"/>
      <c r="AO626" s="28">
        <f t="shared" si="169"/>
        <v>0</v>
      </c>
      <c r="AP626" s="43"/>
      <c r="AQ626" s="323">
        <f t="shared" si="170"/>
        <v>0</v>
      </c>
      <c r="AR626" s="43"/>
      <c r="AS626" s="44">
        <f t="shared" si="171"/>
        <v>72.391000000000005</v>
      </c>
    </row>
    <row r="627" spans="1:45" x14ac:dyDescent="0.25">
      <c r="A627" s="28"/>
      <c r="B627" s="43"/>
      <c r="C627" s="43"/>
      <c r="D627" s="43"/>
      <c r="E627" s="43" t="s">
        <v>1486</v>
      </c>
      <c r="F627" s="43" t="s">
        <v>1487</v>
      </c>
      <c r="G627" s="46">
        <f t="shared" si="158"/>
        <v>63.177599999999998</v>
      </c>
      <c r="H627" s="46">
        <f t="shared" si="159"/>
        <v>57.090175000000002</v>
      </c>
      <c r="I627" s="28" t="s">
        <v>262</v>
      </c>
      <c r="J627" s="337">
        <v>1</v>
      </c>
      <c r="K627" s="46">
        <f t="shared" si="160"/>
        <v>63.177599999999998</v>
      </c>
      <c r="L627" s="46">
        <f t="shared" si="161"/>
        <v>57.090175000000002</v>
      </c>
      <c r="M627" s="338">
        <f t="shared" si="162"/>
        <v>0</v>
      </c>
      <c r="N627" s="43" t="s">
        <v>162</v>
      </c>
      <c r="O627" s="339">
        <v>85362000</v>
      </c>
      <c r="P627" s="340">
        <f>IFERROR(VLOOKUP(O627,NCM!$A$3:$D$99,COLUMN(head_porNCM_IPI)-COLUMN(head_porNCM_NCM)+1,FALSE),"")</f>
        <v>0.1</v>
      </c>
      <c r="Q627" s="43" t="s">
        <v>1089</v>
      </c>
      <c r="R627" s="78" t="s">
        <v>210</v>
      </c>
      <c r="S627" s="341"/>
      <c r="T627" s="28" t="s">
        <v>52</v>
      </c>
      <c r="U627" s="28"/>
      <c r="V627" s="28" t="e">
        <v>#VALUE!</v>
      </c>
      <c r="W627" s="43"/>
      <c r="X627" s="342">
        <f t="shared" si="163"/>
        <v>2.3930909090909092</v>
      </c>
      <c r="Y627" s="342">
        <f t="shared" si="164"/>
        <v>5.9827272727272742</v>
      </c>
      <c r="Z627" s="46">
        <f t="shared" si="165"/>
        <v>0.98715000000000008</v>
      </c>
      <c r="AA627" s="46">
        <f t="shared" si="166"/>
        <v>4.546872727272727</v>
      </c>
      <c r="AB627" s="43"/>
      <c r="AC627" s="44">
        <v>65.81</v>
      </c>
      <c r="AD627" s="31">
        <v>0.04</v>
      </c>
      <c r="AE627" s="31">
        <v>0.1</v>
      </c>
      <c r="AF627" s="31">
        <v>0</v>
      </c>
      <c r="AG627" s="28" t="s">
        <v>53</v>
      </c>
      <c r="AH627" s="46">
        <f t="shared" si="167"/>
        <v>72.391000000000005</v>
      </c>
      <c r="AI627" s="43"/>
      <c r="AJ627" s="28" t="s">
        <v>264</v>
      </c>
      <c r="AK627" s="337"/>
      <c r="AL627" s="43"/>
      <c r="AM627" s="44">
        <f t="shared" si="168"/>
        <v>0</v>
      </c>
      <c r="AN627" s="43"/>
      <c r="AO627" s="28">
        <f t="shared" si="169"/>
        <v>0</v>
      </c>
      <c r="AP627" s="43"/>
      <c r="AQ627" s="323">
        <f t="shared" si="170"/>
        <v>0</v>
      </c>
      <c r="AR627" s="43"/>
      <c r="AS627" s="44">
        <f t="shared" si="171"/>
        <v>72.391000000000005</v>
      </c>
    </row>
    <row r="628" spans="1:45" x14ac:dyDescent="0.25">
      <c r="A628" s="28"/>
      <c r="B628" s="43"/>
      <c r="C628" s="43"/>
      <c r="D628" s="43"/>
      <c r="E628" s="43" t="s">
        <v>1488</v>
      </c>
      <c r="F628" s="43" t="s">
        <v>1489</v>
      </c>
      <c r="G628" s="46">
        <f t="shared" si="158"/>
        <v>66.374399999999994</v>
      </c>
      <c r="H628" s="46">
        <f t="shared" si="159"/>
        <v>59.978950000000005</v>
      </c>
      <c r="I628" s="28" t="s">
        <v>262</v>
      </c>
      <c r="J628" s="337">
        <v>1</v>
      </c>
      <c r="K628" s="46">
        <f t="shared" si="160"/>
        <v>66.374399999999994</v>
      </c>
      <c r="L628" s="46">
        <f t="shared" si="161"/>
        <v>59.978950000000005</v>
      </c>
      <c r="M628" s="338">
        <f t="shared" si="162"/>
        <v>0</v>
      </c>
      <c r="N628" s="43" t="s">
        <v>162</v>
      </c>
      <c r="O628" s="339">
        <v>85362000</v>
      </c>
      <c r="P628" s="340">
        <f>IFERROR(VLOOKUP(O628,NCM!$A$3:$D$99,COLUMN(head_porNCM_IPI)-COLUMN(head_porNCM_NCM)+1,FALSE),"")</f>
        <v>0.1</v>
      </c>
      <c r="Q628" s="43" t="s">
        <v>1089</v>
      </c>
      <c r="R628" s="78" t="s">
        <v>210</v>
      </c>
      <c r="S628" s="341"/>
      <c r="T628" s="28" t="s">
        <v>52</v>
      </c>
      <c r="U628" s="28"/>
      <c r="V628" s="28" t="e">
        <v>#VALUE!</v>
      </c>
      <c r="W628" s="43"/>
      <c r="X628" s="342">
        <f t="shared" si="163"/>
        <v>2.5141818181818181</v>
      </c>
      <c r="Y628" s="342">
        <f t="shared" si="164"/>
        <v>6.2854545454545487</v>
      </c>
      <c r="Z628" s="46">
        <f t="shared" si="165"/>
        <v>1.0370999999999999</v>
      </c>
      <c r="AA628" s="46">
        <f t="shared" si="166"/>
        <v>4.7769454545454542</v>
      </c>
      <c r="AB628" s="43"/>
      <c r="AC628" s="44">
        <v>69.14</v>
      </c>
      <c r="AD628" s="31">
        <v>0.04</v>
      </c>
      <c r="AE628" s="31">
        <v>0.1</v>
      </c>
      <c r="AF628" s="31">
        <v>0</v>
      </c>
      <c r="AG628" s="28" t="s">
        <v>53</v>
      </c>
      <c r="AH628" s="46">
        <f t="shared" si="167"/>
        <v>76.054000000000002</v>
      </c>
      <c r="AI628" s="43"/>
      <c r="AJ628" s="28" t="s">
        <v>264</v>
      </c>
      <c r="AK628" s="337"/>
      <c r="AL628" s="43"/>
      <c r="AM628" s="44">
        <f t="shared" si="168"/>
        <v>0</v>
      </c>
      <c r="AN628" s="43"/>
      <c r="AO628" s="28">
        <f t="shared" si="169"/>
        <v>0</v>
      </c>
      <c r="AP628" s="43"/>
      <c r="AQ628" s="323">
        <f t="shared" si="170"/>
        <v>0</v>
      </c>
      <c r="AR628" s="43"/>
      <c r="AS628" s="44">
        <f t="shared" si="171"/>
        <v>76.054000000000002</v>
      </c>
    </row>
    <row r="629" spans="1:45" x14ac:dyDescent="0.25">
      <c r="A629" s="28"/>
      <c r="B629" s="43"/>
      <c r="C629" s="43"/>
      <c r="D629" s="43" t="s">
        <v>1490</v>
      </c>
      <c r="E629" s="43"/>
      <c r="F629" s="43"/>
      <c r="G629" s="46">
        <f t="shared" si="158"/>
        <v>0</v>
      </c>
      <c r="H629" s="46">
        <f t="shared" si="159"/>
        <v>0</v>
      </c>
      <c r="I629" s="28"/>
      <c r="J629" s="337"/>
      <c r="K629" s="46" t="str">
        <f t="shared" si="160"/>
        <v/>
      </c>
      <c r="L629" s="46" t="str">
        <f t="shared" si="161"/>
        <v/>
      </c>
      <c r="M629" s="338">
        <f t="shared" si="162"/>
        <v>0</v>
      </c>
      <c r="N629" s="43"/>
      <c r="O629" s="339"/>
      <c r="P629" s="340" t="str">
        <f>IFERROR(VLOOKUP(O629,NCM!$A$3:$D$99,COLUMN(head_porNCM_IPI)-COLUMN(head_porNCM_NCM)+1,FALSE),"")</f>
        <v/>
      </c>
      <c r="Q629" s="43"/>
      <c r="R629" s="78"/>
      <c r="S629" s="341"/>
      <c r="T629" s="28"/>
      <c r="U629" s="28"/>
      <c r="V629" s="28"/>
      <c r="W629" s="43"/>
      <c r="X629" s="342">
        <f t="shared" si="163"/>
        <v>0</v>
      </c>
      <c r="Y629" s="342">
        <f t="shared" si="164"/>
        <v>0</v>
      </c>
      <c r="Z629" s="46">
        <f t="shared" si="165"/>
        <v>0</v>
      </c>
      <c r="AA629" s="46">
        <f t="shared" si="166"/>
        <v>0</v>
      </c>
      <c r="AB629" s="43"/>
      <c r="AC629" s="44">
        <v>0</v>
      </c>
      <c r="AD629" s="31"/>
      <c r="AE629" s="31"/>
      <c r="AF629" s="31"/>
      <c r="AG629" s="28"/>
      <c r="AH629" s="46">
        <f t="shared" si="167"/>
        <v>0</v>
      </c>
      <c r="AI629" s="43"/>
      <c r="AJ629" s="28"/>
      <c r="AK629" s="337"/>
      <c r="AL629" s="43"/>
      <c r="AM629" s="44">
        <f t="shared" si="168"/>
        <v>0</v>
      </c>
      <c r="AN629" s="43"/>
      <c r="AO629" s="28">
        <f t="shared" si="169"/>
        <v>0</v>
      </c>
      <c r="AP629" s="43"/>
      <c r="AQ629" s="323">
        <f t="shared" si="170"/>
        <v>0</v>
      </c>
      <c r="AR629" s="43"/>
      <c r="AS629" s="44">
        <f t="shared" si="171"/>
        <v>0</v>
      </c>
    </row>
    <row r="630" spans="1:45" x14ac:dyDescent="0.25">
      <c r="A630" s="28"/>
      <c r="B630" s="43"/>
      <c r="C630" s="43"/>
      <c r="D630" s="43"/>
      <c r="E630" s="43" t="s">
        <v>1491</v>
      </c>
      <c r="F630" s="43" t="s">
        <v>1492</v>
      </c>
      <c r="G630" s="46">
        <f t="shared" si="158"/>
        <v>131.51599999999999</v>
      </c>
      <c r="H630" s="46">
        <f t="shared" si="159"/>
        <v>117.69187500000001</v>
      </c>
      <c r="I630" s="28" t="s">
        <v>262</v>
      </c>
      <c r="J630" s="337">
        <v>1</v>
      </c>
      <c r="K630" s="46">
        <f t="shared" si="160"/>
        <v>131.51599999999999</v>
      </c>
      <c r="L630" s="46">
        <f t="shared" si="161"/>
        <v>117.69187500000001</v>
      </c>
      <c r="M630" s="338">
        <f t="shared" si="162"/>
        <v>0</v>
      </c>
      <c r="N630" s="43" t="s">
        <v>162</v>
      </c>
      <c r="O630" s="339">
        <v>85362000</v>
      </c>
      <c r="P630" s="340">
        <f>IFERROR(VLOOKUP(O630,NCM!$A$3:$D$99,COLUMN(head_porNCM_IPI)-COLUMN(head_porNCM_NCM)+1,FALSE),"")</f>
        <v>0.1</v>
      </c>
      <c r="Q630" s="43" t="s">
        <v>1089</v>
      </c>
      <c r="R630" s="78" t="s">
        <v>210</v>
      </c>
      <c r="S630" s="341"/>
      <c r="T630" s="28" t="s">
        <v>52</v>
      </c>
      <c r="U630" s="28"/>
      <c r="V630" s="28" t="e">
        <v>#VALUE!</v>
      </c>
      <c r="W630" s="43"/>
      <c r="X630" s="342">
        <f t="shared" si="163"/>
        <v>16.303636363636361</v>
      </c>
      <c r="Y630" s="342">
        <f t="shared" si="164"/>
        <v>13.586363636363643</v>
      </c>
      <c r="Z630" s="46">
        <f t="shared" si="165"/>
        <v>2.2417499999999997</v>
      </c>
      <c r="AA630" s="46">
        <f t="shared" si="166"/>
        <v>10.325636363636361</v>
      </c>
      <c r="AB630" s="43"/>
      <c r="AC630" s="44">
        <v>149.44999999999999</v>
      </c>
      <c r="AD630" s="31">
        <v>0.12</v>
      </c>
      <c r="AE630" s="31">
        <v>0.1</v>
      </c>
      <c r="AF630" s="31">
        <v>0</v>
      </c>
      <c r="AG630" s="28" t="s">
        <v>53</v>
      </c>
      <c r="AH630" s="46">
        <f t="shared" si="167"/>
        <v>164.39500000000001</v>
      </c>
      <c r="AI630" s="43"/>
      <c r="AJ630" s="28" t="s">
        <v>264</v>
      </c>
      <c r="AK630" s="337"/>
      <c r="AL630" s="43"/>
      <c r="AM630" s="44">
        <f t="shared" si="168"/>
        <v>0</v>
      </c>
      <c r="AN630" s="43"/>
      <c r="AO630" s="28">
        <f t="shared" si="169"/>
        <v>0</v>
      </c>
      <c r="AP630" s="43"/>
      <c r="AQ630" s="323">
        <f t="shared" si="170"/>
        <v>0</v>
      </c>
      <c r="AR630" s="43"/>
      <c r="AS630" s="44">
        <f t="shared" si="171"/>
        <v>164.39500000000001</v>
      </c>
    </row>
    <row r="631" spans="1:45" x14ac:dyDescent="0.25">
      <c r="A631" s="28"/>
      <c r="B631" s="43"/>
      <c r="C631" s="43"/>
      <c r="D631" s="43"/>
      <c r="E631" s="43" t="s">
        <v>1493</v>
      </c>
      <c r="F631" s="43" t="s">
        <v>1494</v>
      </c>
      <c r="G631" s="46">
        <f t="shared" si="158"/>
        <v>131.53360000000001</v>
      </c>
      <c r="H631" s="46">
        <f t="shared" si="159"/>
        <v>117.70762500000001</v>
      </c>
      <c r="I631" s="28" t="s">
        <v>262</v>
      </c>
      <c r="J631" s="337">
        <v>1</v>
      </c>
      <c r="K631" s="46">
        <f t="shared" si="160"/>
        <v>131.53360000000001</v>
      </c>
      <c r="L631" s="46">
        <f t="shared" si="161"/>
        <v>117.70762500000001</v>
      </c>
      <c r="M631" s="338">
        <f t="shared" si="162"/>
        <v>0</v>
      </c>
      <c r="N631" s="43" t="s">
        <v>162</v>
      </c>
      <c r="O631" s="339">
        <v>85362000</v>
      </c>
      <c r="P631" s="340">
        <f>IFERROR(VLOOKUP(O631,NCM!$A$3:$D$99,COLUMN(head_porNCM_IPI)-COLUMN(head_porNCM_NCM)+1,FALSE),"")</f>
        <v>0.1</v>
      </c>
      <c r="Q631" s="43" t="s">
        <v>1089</v>
      </c>
      <c r="R631" s="78" t="s">
        <v>210</v>
      </c>
      <c r="S631" s="341"/>
      <c r="T631" s="28" t="s">
        <v>52</v>
      </c>
      <c r="U631" s="28"/>
      <c r="V631" s="28" t="e">
        <v>#VALUE!</v>
      </c>
      <c r="W631" s="43"/>
      <c r="X631" s="342">
        <f t="shared" si="163"/>
        <v>16.305818181818182</v>
      </c>
      <c r="Y631" s="342">
        <f t="shared" si="164"/>
        <v>13.588181818181823</v>
      </c>
      <c r="Z631" s="46">
        <f t="shared" si="165"/>
        <v>2.2420499999999999</v>
      </c>
      <c r="AA631" s="46">
        <f t="shared" si="166"/>
        <v>10.327018181818181</v>
      </c>
      <c r="AB631" s="43"/>
      <c r="AC631" s="44">
        <v>149.47</v>
      </c>
      <c r="AD631" s="31">
        <v>0.12</v>
      </c>
      <c r="AE631" s="31">
        <v>0.1</v>
      </c>
      <c r="AF631" s="31">
        <v>0</v>
      </c>
      <c r="AG631" s="28" t="s">
        <v>53</v>
      </c>
      <c r="AH631" s="46">
        <f t="shared" si="167"/>
        <v>164.417</v>
      </c>
      <c r="AI631" s="43"/>
      <c r="AJ631" s="28" t="s">
        <v>264</v>
      </c>
      <c r="AK631" s="337"/>
      <c r="AL631" s="43"/>
      <c r="AM631" s="44">
        <f t="shared" si="168"/>
        <v>0</v>
      </c>
      <c r="AN631" s="43"/>
      <c r="AO631" s="28">
        <f t="shared" si="169"/>
        <v>0</v>
      </c>
      <c r="AP631" s="43"/>
      <c r="AQ631" s="323">
        <f t="shared" si="170"/>
        <v>0</v>
      </c>
      <c r="AR631" s="43"/>
      <c r="AS631" s="44">
        <f t="shared" si="171"/>
        <v>164.417</v>
      </c>
    </row>
    <row r="632" spans="1:45" x14ac:dyDescent="0.25">
      <c r="A632" s="28"/>
      <c r="B632" s="43"/>
      <c r="C632" s="43"/>
      <c r="D632" s="43"/>
      <c r="E632" s="43">
        <v>10848664</v>
      </c>
      <c r="F632" s="43" t="s">
        <v>1495</v>
      </c>
      <c r="G632" s="46">
        <f t="shared" ref="G632:G695" si="172">AC632*(1-AD632)</f>
        <v>46.6312</v>
      </c>
      <c r="H632" s="46">
        <f t="shared" ref="H632:H695" si="173">AC632*(1-AD632-pis_naocum-cofins_naocum)</f>
        <v>41.729625000000006</v>
      </c>
      <c r="I632" s="28" t="s">
        <v>262</v>
      </c>
      <c r="J632" s="337">
        <v>1</v>
      </c>
      <c r="K632" s="46">
        <f t="shared" ref="K632:K695" si="174">IFERROR(G632*J632*VLOOKUP(I632,tbl_cambio,2,FALSE),"")</f>
        <v>46.6312</v>
      </c>
      <c r="L632" s="46">
        <f t="shared" ref="L632:L695" si="175">IFERROR(H632*J632*VLOOKUP(I632,tbl_cambio,2,FALSE),"")</f>
        <v>41.729625000000006</v>
      </c>
      <c r="M632" s="338">
        <f t="shared" ref="M632:M695" si="176">SUMIF(col_item,"="&amp;E632,col_qtd)</f>
        <v>0</v>
      </c>
      <c r="N632" s="43" t="s">
        <v>162</v>
      </c>
      <c r="O632" s="339">
        <v>85362000</v>
      </c>
      <c r="P632" s="340">
        <f>IFERROR(VLOOKUP(O632,NCM!$A$3:$D$99,COLUMN(head_porNCM_IPI)-COLUMN(head_porNCM_NCM)+1,FALSE),"")</f>
        <v>0.1</v>
      </c>
      <c r="Q632" s="43" t="s">
        <v>1089</v>
      </c>
      <c r="R632" s="78" t="s">
        <v>210</v>
      </c>
      <c r="S632" s="341"/>
      <c r="T632" s="28" t="s">
        <v>52</v>
      </c>
      <c r="U632" s="28"/>
      <c r="V632" s="28" t="e">
        <v>#VALUE!</v>
      </c>
      <c r="W632" s="43"/>
      <c r="X632" s="342">
        <f t="shared" ref="X632:X695" si="177">(AC632-Y632)*AD632</f>
        <v>5.5293913043478264</v>
      </c>
      <c r="Y632" s="342">
        <f t="shared" ref="Y632:Y695" si="178">AC632-AC632/(1+AE632)</f>
        <v>6.9117391304347819</v>
      </c>
      <c r="Z632" s="46">
        <f t="shared" ref="Z632:Z695" si="179">(AC632-Y632)*pis_naocum</f>
        <v>0.76029130434782621</v>
      </c>
      <c r="AA632" s="46">
        <f t="shared" ref="AA632:AA695" si="180">(AC632-Y632)*cofins_naocum</f>
        <v>3.5019478260869565</v>
      </c>
      <c r="AB632" s="43"/>
      <c r="AC632" s="44">
        <v>52.99</v>
      </c>
      <c r="AD632" s="31">
        <v>0.12</v>
      </c>
      <c r="AE632" s="31">
        <v>0.15</v>
      </c>
      <c r="AF632" s="31">
        <v>0</v>
      </c>
      <c r="AG632" s="28" t="s">
        <v>53</v>
      </c>
      <c r="AH632" s="46">
        <f t="shared" ref="AH632:AH695" si="181">AC632*(1+AE632)</f>
        <v>60.938499999999998</v>
      </c>
      <c r="AI632" s="43"/>
      <c r="AJ632" s="28" t="s">
        <v>264</v>
      </c>
      <c r="AK632" s="337"/>
      <c r="AL632" s="43"/>
      <c r="AM632" s="44">
        <f t="shared" ref="AM632:AM695" si="182">IF(AND(AJ632&lt;&gt;"",AK632&gt;0),AQ632*(VLOOKUP(AJ632,tbl_cambio,2,FALSE)/AK632-1),0)</f>
        <v>0</v>
      </c>
      <c r="AN632" s="43"/>
      <c r="AO632" s="28">
        <f t="shared" ref="AO632:AO695" si="183">IF(T632="Sim",ROUNDUP(M632*sobress_pc,0),0)</f>
        <v>0</v>
      </c>
      <c r="AP632" s="43"/>
      <c r="AQ632" s="323">
        <f t="shared" ref="AQ632:AQ695" si="184">SUMIFS(col_custoTotal,col_fatdir,"Não",col_item,E632)</f>
        <v>0</v>
      </c>
      <c r="AR632" s="43"/>
      <c r="AS632" s="44">
        <f t="shared" ref="AS632:AS695" si="185">IFERROR(AH632*VLOOKUP(I632,tbl_cambio,2,FALSE),0)</f>
        <v>60.938499999999998</v>
      </c>
    </row>
    <row r="633" spans="1:45" x14ac:dyDescent="0.25">
      <c r="A633" s="28"/>
      <c r="B633" s="43"/>
      <c r="C633" s="43"/>
      <c r="D633" s="43" t="s">
        <v>1496</v>
      </c>
      <c r="E633" s="43"/>
      <c r="F633" s="43"/>
      <c r="G633" s="46">
        <f t="shared" si="172"/>
        <v>0</v>
      </c>
      <c r="H633" s="46">
        <f t="shared" si="173"/>
        <v>0</v>
      </c>
      <c r="I633" s="28"/>
      <c r="J633" s="337"/>
      <c r="K633" s="46" t="str">
        <f t="shared" si="174"/>
        <v/>
      </c>
      <c r="L633" s="46" t="str">
        <f t="shared" si="175"/>
        <v/>
      </c>
      <c r="M633" s="338">
        <f t="shared" si="176"/>
        <v>0</v>
      </c>
      <c r="N633" s="43"/>
      <c r="O633" s="339"/>
      <c r="P633" s="340" t="str">
        <f>IFERROR(VLOOKUP(O633,NCM!$A$3:$D$99,COLUMN(head_porNCM_IPI)-COLUMN(head_porNCM_NCM)+1,FALSE),"")</f>
        <v/>
      </c>
      <c r="Q633" s="43"/>
      <c r="R633" s="78"/>
      <c r="S633" s="341"/>
      <c r="T633" s="28"/>
      <c r="U633" s="28"/>
      <c r="V633" s="28"/>
      <c r="W633" s="43"/>
      <c r="X633" s="342">
        <f t="shared" si="177"/>
        <v>0</v>
      </c>
      <c r="Y633" s="342">
        <f t="shared" si="178"/>
        <v>0</v>
      </c>
      <c r="Z633" s="46">
        <f t="shared" si="179"/>
        <v>0</v>
      </c>
      <c r="AA633" s="46">
        <f t="shared" si="180"/>
        <v>0</v>
      </c>
      <c r="AB633" s="43"/>
      <c r="AC633" s="44">
        <v>0</v>
      </c>
      <c r="AD633" s="31"/>
      <c r="AE633" s="31"/>
      <c r="AF633" s="31"/>
      <c r="AG633" s="28"/>
      <c r="AH633" s="46">
        <f t="shared" si="181"/>
        <v>0</v>
      </c>
      <c r="AI633" s="43"/>
      <c r="AJ633" s="28"/>
      <c r="AK633" s="337"/>
      <c r="AL633" s="43"/>
      <c r="AM633" s="44">
        <f t="shared" si="182"/>
        <v>0</v>
      </c>
      <c r="AN633" s="43"/>
      <c r="AO633" s="28">
        <f t="shared" si="183"/>
        <v>0</v>
      </c>
      <c r="AP633" s="43"/>
      <c r="AQ633" s="323">
        <f t="shared" si="184"/>
        <v>0</v>
      </c>
      <c r="AR633" s="43"/>
      <c r="AS633" s="44">
        <f t="shared" si="185"/>
        <v>0</v>
      </c>
    </row>
    <row r="634" spans="1:45" x14ac:dyDescent="0.25">
      <c r="A634" s="28"/>
      <c r="B634" s="43"/>
      <c r="C634" s="43"/>
      <c r="D634" s="43"/>
      <c r="E634" s="43" t="s">
        <v>1497</v>
      </c>
      <c r="F634" s="43" t="s">
        <v>1498</v>
      </c>
      <c r="G634" s="46">
        <f t="shared" si="172"/>
        <v>134.82239999999999</v>
      </c>
      <c r="H634" s="46">
        <f t="shared" si="173"/>
        <v>121.8317</v>
      </c>
      <c r="I634" s="28" t="s">
        <v>262</v>
      </c>
      <c r="J634" s="337">
        <v>1</v>
      </c>
      <c r="K634" s="46">
        <f t="shared" si="174"/>
        <v>134.82239999999999</v>
      </c>
      <c r="L634" s="46">
        <f t="shared" si="175"/>
        <v>121.8317</v>
      </c>
      <c r="M634" s="338">
        <f t="shared" si="176"/>
        <v>0</v>
      </c>
      <c r="N634" s="43" t="s">
        <v>162</v>
      </c>
      <c r="O634" s="339">
        <v>85362000</v>
      </c>
      <c r="P634" s="340">
        <f>IFERROR(VLOOKUP(O634,NCM!$A$3:$D$99,COLUMN(head_porNCM_IPI)-COLUMN(head_porNCM_NCM)+1,FALSE),"")</f>
        <v>0.1</v>
      </c>
      <c r="Q634" s="43" t="s">
        <v>1089</v>
      </c>
      <c r="R634" s="78" t="s">
        <v>210</v>
      </c>
      <c r="S634" s="341"/>
      <c r="T634" s="28" t="s">
        <v>52</v>
      </c>
      <c r="U634" s="28"/>
      <c r="V634" s="28" t="e">
        <v>#VALUE!</v>
      </c>
      <c r="W634" s="43"/>
      <c r="X634" s="342">
        <f t="shared" si="177"/>
        <v>5.1069090909090908</v>
      </c>
      <c r="Y634" s="342">
        <f t="shared" si="178"/>
        <v>12.76727272727274</v>
      </c>
      <c r="Z634" s="46">
        <f t="shared" si="179"/>
        <v>2.1065999999999998</v>
      </c>
      <c r="AA634" s="46">
        <f t="shared" si="180"/>
        <v>9.7031272727272722</v>
      </c>
      <c r="AB634" s="43"/>
      <c r="AC634" s="44">
        <v>140.44</v>
      </c>
      <c r="AD634" s="31">
        <v>0.04</v>
      </c>
      <c r="AE634" s="31">
        <v>0.1</v>
      </c>
      <c r="AF634" s="31">
        <v>0</v>
      </c>
      <c r="AG634" s="28" t="s">
        <v>53</v>
      </c>
      <c r="AH634" s="46">
        <f t="shared" si="181"/>
        <v>154.48400000000001</v>
      </c>
      <c r="AI634" s="43"/>
      <c r="AJ634" s="28" t="s">
        <v>264</v>
      </c>
      <c r="AK634" s="337"/>
      <c r="AL634" s="43"/>
      <c r="AM634" s="44">
        <f t="shared" si="182"/>
        <v>0</v>
      </c>
      <c r="AN634" s="43"/>
      <c r="AO634" s="28">
        <f t="shared" si="183"/>
        <v>0</v>
      </c>
      <c r="AP634" s="43"/>
      <c r="AQ634" s="323">
        <f t="shared" si="184"/>
        <v>0</v>
      </c>
      <c r="AR634" s="43"/>
      <c r="AS634" s="44">
        <f t="shared" si="185"/>
        <v>154.48400000000001</v>
      </c>
    </row>
    <row r="635" spans="1:45" x14ac:dyDescent="0.25">
      <c r="A635" s="28"/>
      <c r="B635" s="43"/>
      <c r="C635" s="43"/>
      <c r="D635" s="43" t="s">
        <v>1499</v>
      </c>
      <c r="E635" s="43"/>
      <c r="F635" s="43"/>
      <c r="G635" s="46">
        <f t="shared" si="172"/>
        <v>0</v>
      </c>
      <c r="H635" s="46">
        <f t="shared" si="173"/>
        <v>0</v>
      </c>
      <c r="I635" s="28"/>
      <c r="J635" s="337"/>
      <c r="K635" s="46" t="str">
        <f t="shared" si="174"/>
        <v/>
      </c>
      <c r="L635" s="46" t="str">
        <f t="shared" si="175"/>
        <v/>
      </c>
      <c r="M635" s="338">
        <f t="shared" si="176"/>
        <v>0</v>
      </c>
      <c r="N635" s="43"/>
      <c r="O635" s="339"/>
      <c r="P635" s="340" t="str">
        <f>IFERROR(VLOOKUP(O635,NCM!$A$3:$D$99,COLUMN(head_porNCM_IPI)-COLUMN(head_porNCM_NCM)+1,FALSE),"")</f>
        <v/>
      </c>
      <c r="Q635" s="43"/>
      <c r="R635" s="78"/>
      <c r="S635" s="341"/>
      <c r="T635" s="28"/>
      <c r="U635" s="28"/>
      <c r="V635" s="28"/>
      <c r="W635" s="43"/>
      <c r="X635" s="342">
        <f t="shared" si="177"/>
        <v>0</v>
      </c>
      <c r="Y635" s="342">
        <f t="shared" si="178"/>
        <v>0</v>
      </c>
      <c r="Z635" s="46">
        <f t="shared" si="179"/>
        <v>0</v>
      </c>
      <c r="AA635" s="46">
        <f t="shared" si="180"/>
        <v>0</v>
      </c>
      <c r="AB635" s="43"/>
      <c r="AC635" s="44">
        <v>0</v>
      </c>
      <c r="AD635" s="31"/>
      <c r="AE635" s="31"/>
      <c r="AF635" s="31"/>
      <c r="AG635" s="28"/>
      <c r="AH635" s="46">
        <f t="shared" si="181"/>
        <v>0</v>
      </c>
      <c r="AI635" s="43"/>
      <c r="AJ635" s="28"/>
      <c r="AK635" s="337"/>
      <c r="AL635" s="43"/>
      <c r="AM635" s="44">
        <f t="shared" si="182"/>
        <v>0</v>
      </c>
      <c r="AN635" s="43"/>
      <c r="AO635" s="28">
        <f t="shared" si="183"/>
        <v>0</v>
      </c>
      <c r="AP635" s="43"/>
      <c r="AQ635" s="323">
        <f t="shared" si="184"/>
        <v>0</v>
      </c>
      <c r="AR635" s="43"/>
      <c r="AS635" s="44">
        <f t="shared" si="185"/>
        <v>0</v>
      </c>
    </row>
    <row r="636" spans="1:45" x14ac:dyDescent="0.25">
      <c r="A636" s="28"/>
      <c r="B636" s="43"/>
      <c r="C636" s="43"/>
      <c r="D636" s="43"/>
      <c r="E636" s="43" t="s">
        <v>1500</v>
      </c>
      <c r="F636" s="43" t="s">
        <v>1501</v>
      </c>
      <c r="G636" s="46">
        <f t="shared" si="172"/>
        <v>1884.2495999999999</v>
      </c>
      <c r="H636" s="46">
        <f t="shared" si="173"/>
        <v>1702.6943000000001</v>
      </c>
      <c r="I636" s="28" t="s">
        <v>262</v>
      </c>
      <c r="J636" s="337">
        <v>1</v>
      </c>
      <c r="K636" s="46">
        <f t="shared" si="174"/>
        <v>1884.2495999999999</v>
      </c>
      <c r="L636" s="46">
        <f t="shared" si="175"/>
        <v>1702.6943000000001</v>
      </c>
      <c r="M636" s="338">
        <f t="shared" si="176"/>
        <v>0</v>
      </c>
      <c r="N636" s="43" t="s">
        <v>162</v>
      </c>
      <c r="O636" s="339">
        <v>85362000</v>
      </c>
      <c r="P636" s="340">
        <f>IFERROR(VLOOKUP(O636,NCM!$A$3:$D$99,COLUMN(head_porNCM_IPI)-COLUMN(head_porNCM_NCM)+1,FALSE),"")</f>
        <v>0.1</v>
      </c>
      <c r="Q636" s="43" t="s">
        <v>1089</v>
      </c>
      <c r="R636" s="78" t="s">
        <v>210</v>
      </c>
      <c r="S636" s="341"/>
      <c r="T636" s="28" t="s">
        <v>52</v>
      </c>
      <c r="U636" s="28"/>
      <c r="V636" s="28" t="e">
        <v>#VALUE!</v>
      </c>
      <c r="W636" s="43"/>
      <c r="X636" s="342">
        <f t="shared" si="177"/>
        <v>71.373090909090905</v>
      </c>
      <c r="Y636" s="342">
        <f t="shared" si="178"/>
        <v>178.43272727272733</v>
      </c>
      <c r="Z636" s="46">
        <f t="shared" si="179"/>
        <v>29.441400000000002</v>
      </c>
      <c r="AA636" s="46">
        <f t="shared" si="180"/>
        <v>135.60887272727271</v>
      </c>
      <c r="AB636" s="43"/>
      <c r="AC636" s="44">
        <v>1962.76</v>
      </c>
      <c r="AD636" s="31">
        <v>0.04</v>
      </c>
      <c r="AE636" s="31">
        <v>0.1</v>
      </c>
      <c r="AF636" s="31">
        <v>0</v>
      </c>
      <c r="AG636" s="28" t="s">
        <v>53</v>
      </c>
      <c r="AH636" s="46">
        <f t="shared" si="181"/>
        <v>2159.0360000000001</v>
      </c>
      <c r="AI636" s="43"/>
      <c r="AJ636" s="28" t="s">
        <v>264</v>
      </c>
      <c r="AK636" s="337"/>
      <c r="AL636" s="43"/>
      <c r="AM636" s="44">
        <f t="shared" si="182"/>
        <v>0</v>
      </c>
      <c r="AN636" s="43"/>
      <c r="AO636" s="28">
        <f t="shared" si="183"/>
        <v>0</v>
      </c>
      <c r="AP636" s="43"/>
      <c r="AQ636" s="323">
        <f t="shared" si="184"/>
        <v>0</v>
      </c>
      <c r="AR636" s="43"/>
      <c r="AS636" s="44">
        <f t="shared" si="185"/>
        <v>2159.0360000000001</v>
      </c>
    </row>
    <row r="637" spans="1:45" x14ac:dyDescent="0.25">
      <c r="A637" s="28"/>
      <c r="B637" s="43"/>
      <c r="C637" s="43"/>
      <c r="D637" s="43"/>
      <c r="E637" s="43" t="s">
        <v>1502</v>
      </c>
      <c r="F637" s="43" t="s">
        <v>1503</v>
      </c>
      <c r="G637" s="46">
        <f t="shared" si="172"/>
        <v>1282.4679999999998</v>
      </c>
      <c r="H637" s="46">
        <f t="shared" si="173"/>
        <v>1147.663125</v>
      </c>
      <c r="I637" s="28" t="s">
        <v>262</v>
      </c>
      <c r="J637" s="337">
        <v>1</v>
      </c>
      <c r="K637" s="46">
        <f t="shared" si="174"/>
        <v>1282.4679999999998</v>
      </c>
      <c r="L637" s="46">
        <f t="shared" si="175"/>
        <v>1147.663125</v>
      </c>
      <c r="M637" s="338">
        <f t="shared" si="176"/>
        <v>0</v>
      </c>
      <c r="N637" s="43" t="s">
        <v>162</v>
      </c>
      <c r="O637" s="339">
        <v>85362000</v>
      </c>
      <c r="P637" s="340">
        <f>IFERROR(VLOOKUP(O637,NCM!$A$3:$D$99,COLUMN(head_porNCM_IPI)-COLUMN(head_porNCM_NCM)+1,FALSE),"")</f>
        <v>0.1</v>
      </c>
      <c r="Q637" s="43" t="s">
        <v>1089</v>
      </c>
      <c r="R637" s="78" t="s">
        <v>210</v>
      </c>
      <c r="S637" s="341"/>
      <c r="T637" s="28" t="s">
        <v>52</v>
      </c>
      <c r="U637" s="28"/>
      <c r="V637" s="28" t="e">
        <v>#VALUE!</v>
      </c>
      <c r="W637" s="43"/>
      <c r="X637" s="342">
        <f t="shared" si="177"/>
        <v>152.0713043478261</v>
      </c>
      <c r="Y637" s="342">
        <f t="shared" si="178"/>
        <v>190.08913043478242</v>
      </c>
      <c r="Z637" s="46">
        <f t="shared" si="179"/>
        <v>20.909804347826089</v>
      </c>
      <c r="AA637" s="46">
        <f t="shared" si="180"/>
        <v>96.311826086956529</v>
      </c>
      <c r="AB637" s="43"/>
      <c r="AC637" s="44">
        <v>1457.35</v>
      </c>
      <c r="AD637" s="31">
        <v>0.12</v>
      </c>
      <c r="AE637" s="31">
        <v>0.15</v>
      </c>
      <c r="AF637" s="31">
        <v>0</v>
      </c>
      <c r="AG637" s="28" t="s">
        <v>53</v>
      </c>
      <c r="AH637" s="46">
        <f t="shared" si="181"/>
        <v>1675.9524999999999</v>
      </c>
      <c r="AI637" s="43"/>
      <c r="AJ637" s="28" t="s">
        <v>264</v>
      </c>
      <c r="AK637" s="337"/>
      <c r="AL637" s="43"/>
      <c r="AM637" s="44">
        <f t="shared" si="182"/>
        <v>0</v>
      </c>
      <c r="AN637" s="43"/>
      <c r="AO637" s="28">
        <f t="shared" si="183"/>
        <v>0</v>
      </c>
      <c r="AP637" s="43"/>
      <c r="AQ637" s="323">
        <f t="shared" si="184"/>
        <v>0</v>
      </c>
      <c r="AR637" s="43"/>
      <c r="AS637" s="44">
        <f t="shared" si="185"/>
        <v>1675.9524999999999</v>
      </c>
    </row>
    <row r="638" spans="1:45" x14ac:dyDescent="0.25">
      <c r="A638" s="28"/>
      <c r="B638" s="43"/>
      <c r="C638" s="43"/>
      <c r="D638" s="43"/>
      <c r="E638" s="43">
        <v>11111841</v>
      </c>
      <c r="F638" s="43" t="s">
        <v>1504</v>
      </c>
      <c r="G638" s="46">
        <f t="shared" si="172"/>
        <v>1037.9423999999999</v>
      </c>
      <c r="H638" s="46">
        <f t="shared" si="173"/>
        <v>937.93232500000011</v>
      </c>
      <c r="I638" s="28" t="s">
        <v>262</v>
      </c>
      <c r="J638" s="337">
        <v>1</v>
      </c>
      <c r="K638" s="46">
        <f t="shared" si="174"/>
        <v>1037.9423999999999</v>
      </c>
      <c r="L638" s="46">
        <f t="shared" si="175"/>
        <v>937.93232500000011</v>
      </c>
      <c r="M638" s="338">
        <f t="shared" si="176"/>
        <v>0</v>
      </c>
      <c r="N638" s="43" t="s">
        <v>162</v>
      </c>
      <c r="O638" s="339">
        <v>85362000</v>
      </c>
      <c r="P638" s="340">
        <f>IFERROR(VLOOKUP(O638,NCM!$A$3:$D$99,COLUMN(head_porNCM_IPI)-COLUMN(head_porNCM_NCM)+1,FALSE),"")</f>
        <v>0.1</v>
      </c>
      <c r="Q638" s="43" t="s">
        <v>1089</v>
      </c>
      <c r="R638" s="78" t="s">
        <v>210</v>
      </c>
      <c r="S638" s="341"/>
      <c r="T638" s="28" t="s">
        <v>52</v>
      </c>
      <c r="U638" s="28"/>
      <c r="V638" s="28" t="e">
        <v>#VALUE!</v>
      </c>
      <c r="W638" s="43"/>
      <c r="X638" s="342">
        <f t="shared" si="177"/>
        <v>41.188190476190478</v>
      </c>
      <c r="Y638" s="342">
        <f t="shared" si="178"/>
        <v>51.485238095238174</v>
      </c>
      <c r="Z638" s="46">
        <f t="shared" si="179"/>
        <v>16.990128571428571</v>
      </c>
      <c r="AA638" s="46">
        <f t="shared" si="180"/>
        <v>78.2575619047619</v>
      </c>
      <c r="AB638" s="43"/>
      <c r="AC638" s="44">
        <v>1081.19</v>
      </c>
      <c r="AD638" s="31">
        <v>0.04</v>
      </c>
      <c r="AE638" s="31">
        <v>0.05</v>
      </c>
      <c r="AF638" s="31">
        <v>0</v>
      </c>
      <c r="AG638" s="28" t="s">
        <v>53</v>
      </c>
      <c r="AH638" s="46">
        <f t="shared" si="181"/>
        <v>1135.2495000000001</v>
      </c>
      <c r="AI638" s="43"/>
      <c r="AJ638" s="28" t="s">
        <v>264</v>
      </c>
      <c r="AK638" s="337"/>
      <c r="AL638" s="43"/>
      <c r="AM638" s="44">
        <f t="shared" si="182"/>
        <v>0</v>
      </c>
      <c r="AN638" s="43"/>
      <c r="AO638" s="28">
        <f t="shared" si="183"/>
        <v>0</v>
      </c>
      <c r="AP638" s="43"/>
      <c r="AQ638" s="323">
        <f t="shared" si="184"/>
        <v>0</v>
      </c>
      <c r="AR638" s="43"/>
      <c r="AS638" s="44">
        <f t="shared" si="185"/>
        <v>1135.2495000000001</v>
      </c>
    </row>
    <row r="639" spans="1:45" x14ac:dyDescent="0.25">
      <c r="A639" s="28"/>
      <c r="B639" s="43"/>
      <c r="C639" s="43"/>
      <c r="D639" s="43"/>
      <c r="E639" s="43">
        <v>10583677</v>
      </c>
      <c r="F639" s="43" t="s">
        <v>1505</v>
      </c>
      <c r="G639" s="46">
        <f t="shared" si="172"/>
        <v>69.667199999999994</v>
      </c>
      <c r="H639" s="46">
        <f t="shared" si="173"/>
        <v>62.954474999999995</v>
      </c>
      <c r="I639" s="28" t="s">
        <v>262</v>
      </c>
      <c r="J639" s="337">
        <v>1</v>
      </c>
      <c r="K639" s="46">
        <f t="shared" si="174"/>
        <v>69.667199999999994</v>
      </c>
      <c r="L639" s="46">
        <f t="shared" si="175"/>
        <v>62.954474999999995</v>
      </c>
      <c r="M639" s="338">
        <f t="shared" si="176"/>
        <v>0</v>
      </c>
      <c r="N639" s="43" t="s">
        <v>162</v>
      </c>
      <c r="O639" s="339">
        <v>85362000</v>
      </c>
      <c r="P639" s="340">
        <f>IFERROR(VLOOKUP(O639,NCM!$A$3:$D$99,COLUMN(head_porNCM_IPI)-COLUMN(head_porNCM_NCM)+1,FALSE),"")</f>
        <v>0.1</v>
      </c>
      <c r="Q639" s="43" t="s">
        <v>1089</v>
      </c>
      <c r="R639" s="78" t="s">
        <v>210</v>
      </c>
      <c r="S639" s="341"/>
      <c r="T639" s="28" t="s">
        <v>52</v>
      </c>
      <c r="U639" s="28"/>
      <c r="V639" s="28" t="e">
        <v>#VALUE!</v>
      </c>
      <c r="W639" s="43"/>
      <c r="X639" s="342">
        <f t="shared" si="177"/>
        <v>2.5241739130434784</v>
      </c>
      <c r="Y639" s="342">
        <f t="shared" si="178"/>
        <v>9.4656521739130355</v>
      </c>
      <c r="Z639" s="46">
        <f t="shared" si="179"/>
        <v>1.0412217391304348</v>
      </c>
      <c r="AA639" s="46">
        <f t="shared" si="180"/>
        <v>4.7959304347826084</v>
      </c>
      <c r="AB639" s="43"/>
      <c r="AC639" s="44">
        <v>72.569999999999993</v>
      </c>
      <c r="AD639" s="31">
        <v>0.04</v>
      </c>
      <c r="AE639" s="31">
        <v>0.15</v>
      </c>
      <c r="AF639" s="31">
        <v>0</v>
      </c>
      <c r="AG639" s="28" t="s">
        <v>53</v>
      </c>
      <c r="AH639" s="46">
        <f t="shared" si="181"/>
        <v>83.455499999999986</v>
      </c>
      <c r="AI639" s="43"/>
      <c r="AJ639" s="28" t="s">
        <v>264</v>
      </c>
      <c r="AK639" s="337"/>
      <c r="AL639" s="43"/>
      <c r="AM639" s="44">
        <f t="shared" si="182"/>
        <v>0</v>
      </c>
      <c r="AN639" s="43"/>
      <c r="AO639" s="28">
        <f t="shared" si="183"/>
        <v>0</v>
      </c>
      <c r="AP639" s="43"/>
      <c r="AQ639" s="323">
        <f t="shared" si="184"/>
        <v>0</v>
      </c>
      <c r="AR639" s="43"/>
      <c r="AS639" s="44">
        <f t="shared" si="185"/>
        <v>83.455499999999986</v>
      </c>
    </row>
    <row r="640" spans="1:45" x14ac:dyDescent="0.25">
      <c r="A640" s="28"/>
      <c r="B640" s="43"/>
      <c r="C640" s="43"/>
      <c r="D640" s="43"/>
      <c r="E640" s="43">
        <v>10583678</v>
      </c>
      <c r="F640" s="43" t="s">
        <v>1506</v>
      </c>
      <c r="G640" s="46">
        <f t="shared" si="172"/>
        <v>76.012799999999999</v>
      </c>
      <c r="H640" s="46">
        <f t="shared" si="173"/>
        <v>68.68865000000001</v>
      </c>
      <c r="I640" s="28" t="s">
        <v>262</v>
      </c>
      <c r="J640" s="337">
        <v>1</v>
      </c>
      <c r="K640" s="46">
        <f t="shared" si="174"/>
        <v>76.012799999999999</v>
      </c>
      <c r="L640" s="46">
        <f t="shared" si="175"/>
        <v>68.68865000000001</v>
      </c>
      <c r="M640" s="338">
        <f t="shared" si="176"/>
        <v>0</v>
      </c>
      <c r="N640" s="43" t="s">
        <v>162</v>
      </c>
      <c r="O640" s="339">
        <v>85362000</v>
      </c>
      <c r="P640" s="340">
        <f>IFERROR(VLOOKUP(O640,NCM!$A$3:$D$99,COLUMN(head_porNCM_IPI)-COLUMN(head_porNCM_NCM)+1,FALSE),"")</f>
        <v>0.1</v>
      </c>
      <c r="Q640" s="43" t="s">
        <v>1089</v>
      </c>
      <c r="R640" s="78" t="s">
        <v>210</v>
      </c>
      <c r="S640" s="341"/>
      <c r="T640" s="28" t="s">
        <v>52</v>
      </c>
      <c r="U640" s="28"/>
      <c r="V640" s="28" t="e">
        <v>#VALUE!</v>
      </c>
      <c r="W640" s="43"/>
      <c r="X640" s="342">
        <f t="shared" si="177"/>
        <v>2.7540869565217396</v>
      </c>
      <c r="Y640" s="342">
        <f t="shared" si="178"/>
        <v>10.32782608695652</v>
      </c>
      <c r="Z640" s="46">
        <f t="shared" si="179"/>
        <v>1.1360608695652177</v>
      </c>
      <c r="AA640" s="46">
        <f t="shared" si="180"/>
        <v>5.2327652173913046</v>
      </c>
      <c r="AB640" s="43"/>
      <c r="AC640" s="44">
        <v>79.180000000000007</v>
      </c>
      <c r="AD640" s="31">
        <v>0.04</v>
      </c>
      <c r="AE640" s="31">
        <v>0.15</v>
      </c>
      <c r="AF640" s="31">
        <v>0</v>
      </c>
      <c r="AG640" s="28" t="s">
        <v>53</v>
      </c>
      <c r="AH640" s="46">
        <f t="shared" si="181"/>
        <v>91.057000000000002</v>
      </c>
      <c r="AI640" s="43"/>
      <c r="AJ640" s="28" t="s">
        <v>264</v>
      </c>
      <c r="AK640" s="337"/>
      <c r="AL640" s="43"/>
      <c r="AM640" s="44">
        <f t="shared" si="182"/>
        <v>0</v>
      </c>
      <c r="AN640" s="43"/>
      <c r="AO640" s="28">
        <f t="shared" si="183"/>
        <v>0</v>
      </c>
      <c r="AP640" s="43"/>
      <c r="AQ640" s="323">
        <f t="shared" si="184"/>
        <v>0</v>
      </c>
      <c r="AR640" s="43"/>
      <c r="AS640" s="44">
        <f t="shared" si="185"/>
        <v>91.057000000000002</v>
      </c>
    </row>
    <row r="641" spans="1:45" x14ac:dyDescent="0.25">
      <c r="A641" s="28"/>
      <c r="B641" s="43"/>
      <c r="C641" s="43"/>
      <c r="D641" s="43"/>
      <c r="E641" s="43">
        <v>10692976</v>
      </c>
      <c r="F641" s="43" t="s">
        <v>1507</v>
      </c>
      <c r="G641" s="46">
        <f t="shared" si="172"/>
        <v>139.78560000000002</v>
      </c>
      <c r="H641" s="46">
        <f t="shared" si="173"/>
        <v>126.31667500000002</v>
      </c>
      <c r="I641" s="28" t="s">
        <v>262</v>
      </c>
      <c r="J641" s="337">
        <v>1</v>
      </c>
      <c r="K641" s="46">
        <f t="shared" si="174"/>
        <v>139.78560000000002</v>
      </c>
      <c r="L641" s="46">
        <f t="shared" si="175"/>
        <v>126.31667500000002</v>
      </c>
      <c r="M641" s="338">
        <f t="shared" si="176"/>
        <v>0</v>
      </c>
      <c r="N641" s="43" t="s">
        <v>162</v>
      </c>
      <c r="O641" s="339">
        <v>85362000</v>
      </c>
      <c r="P641" s="340">
        <f>IFERROR(VLOOKUP(O641,NCM!$A$3:$D$99,COLUMN(head_porNCM_IPI)-COLUMN(head_porNCM_NCM)+1,FALSE),"")</f>
        <v>0.1</v>
      </c>
      <c r="Q641" s="43" t="s">
        <v>1089</v>
      </c>
      <c r="R641" s="78" t="s">
        <v>210</v>
      </c>
      <c r="S641" s="341"/>
      <c r="T641" s="28" t="s">
        <v>52</v>
      </c>
      <c r="U641" s="28"/>
      <c r="V641" s="28" t="e">
        <v>#VALUE!</v>
      </c>
      <c r="W641" s="43"/>
      <c r="X641" s="342">
        <f t="shared" si="177"/>
        <v>5.0646956521739144</v>
      </c>
      <c r="Y641" s="342">
        <f t="shared" si="178"/>
        <v>18.992608695652166</v>
      </c>
      <c r="Z641" s="46">
        <f t="shared" si="179"/>
        <v>2.0891869565217398</v>
      </c>
      <c r="AA641" s="46">
        <f t="shared" si="180"/>
        <v>9.6229217391304367</v>
      </c>
      <c r="AB641" s="43"/>
      <c r="AC641" s="44">
        <v>145.61000000000001</v>
      </c>
      <c r="AD641" s="31">
        <v>0.04</v>
      </c>
      <c r="AE641" s="31">
        <v>0.15</v>
      </c>
      <c r="AF641" s="31">
        <v>0</v>
      </c>
      <c r="AG641" s="28" t="s">
        <v>53</v>
      </c>
      <c r="AH641" s="46">
        <f t="shared" si="181"/>
        <v>167.45150000000001</v>
      </c>
      <c r="AI641" s="43"/>
      <c r="AJ641" s="28" t="s">
        <v>264</v>
      </c>
      <c r="AK641" s="337"/>
      <c r="AL641" s="43"/>
      <c r="AM641" s="44">
        <f t="shared" si="182"/>
        <v>0</v>
      </c>
      <c r="AN641" s="43"/>
      <c r="AO641" s="28">
        <f t="shared" si="183"/>
        <v>0</v>
      </c>
      <c r="AP641" s="43"/>
      <c r="AQ641" s="323">
        <f t="shared" si="184"/>
        <v>0</v>
      </c>
      <c r="AR641" s="43"/>
      <c r="AS641" s="44">
        <f t="shared" si="185"/>
        <v>167.45150000000001</v>
      </c>
    </row>
    <row r="642" spans="1:45" x14ac:dyDescent="0.25">
      <c r="A642" s="28"/>
      <c r="B642" s="43"/>
      <c r="C642" s="43"/>
      <c r="D642" s="43" t="s">
        <v>1508</v>
      </c>
      <c r="E642" s="43"/>
      <c r="F642" s="43"/>
      <c r="G642" s="46">
        <f t="shared" si="172"/>
        <v>0</v>
      </c>
      <c r="H642" s="46">
        <f t="shared" si="173"/>
        <v>0</v>
      </c>
      <c r="I642" s="28"/>
      <c r="J642" s="337"/>
      <c r="K642" s="46" t="str">
        <f t="shared" si="174"/>
        <v/>
      </c>
      <c r="L642" s="46" t="str">
        <f t="shared" si="175"/>
        <v/>
      </c>
      <c r="M642" s="338">
        <f t="shared" si="176"/>
        <v>0</v>
      </c>
      <c r="N642" s="43"/>
      <c r="O642" s="339"/>
      <c r="P642" s="340" t="str">
        <f>IFERROR(VLOOKUP(O642,NCM!$A$3:$D$99,COLUMN(head_porNCM_IPI)-COLUMN(head_porNCM_NCM)+1,FALSE),"")</f>
        <v/>
      </c>
      <c r="Q642" s="43"/>
      <c r="R642" s="78"/>
      <c r="S642" s="341"/>
      <c r="T642" s="28"/>
      <c r="U642" s="28"/>
      <c r="V642" s="28"/>
      <c r="W642" s="43"/>
      <c r="X642" s="342">
        <f t="shared" si="177"/>
        <v>0</v>
      </c>
      <c r="Y642" s="342">
        <f t="shared" si="178"/>
        <v>0</v>
      </c>
      <c r="Z642" s="46">
        <f t="shared" si="179"/>
        <v>0</v>
      </c>
      <c r="AA642" s="46">
        <f t="shared" si="180"/>
        <v>0</v>
      </c>
      <c r="AB642" s="43"/>
      <c r="AC642" s="44">
        <v>0</v>
      </c>
      <c r="AD642" s="31"/>
      <c r="AE642" s="31"/>
      <c r="AF642" s="31"/>
      <c r="AG642" s="28"/>
      <c r="AH642" s="46">
        <f t="shared" si="181"/>
        <v>0</v>
      </c>
      <c r="AI642" s="43"/>
      <c r="AJ642" s="28"/>
      <c r="AK642" s="337"/>
      <c r="AL642" s="43"/>
      <c r="AM642" s="44">
        <f t="shared" si="182"/>
        <v>0</v>
      </c>
      <c r="AN642" s="43"/>
      <c r="AO642" s="28">
        <f t="shared" si="183"/>
        <v>0</v>
      </c>
      <c r="AP642" s="43"/>
      <c r="AQ642" s="323">
        <f t="shared" si="184"/>
        <v>0</v>
      </c>
      <c r="AR642" s="43"/>
      <c r="AS642" s="44">
        <f t="shared" si="185"/>
        <v>0</v>
      </c>
    </row>
    <row r="643" spans="1:45" x14ac:dyDescent="0.25">
      <c r="A643" s="28"/>
      <c r="B643" s="43"/>
      <c r="C643" s="43"/>
      <c r="D643" s="43" t="s">
        <v>1509</v>
      </c>
      <c r="E643" s="43"/>
      <c r="F643" s="43"/>
      <c r="G643" s="46">
        <f t="shared" si="172"/>
        <v>0</v>
      </c>
      <c r="H643" s="46">
        <f t="shared" si="173"/>
        <v>0</v>
      </c>
      <c r="I643" s="28"/>
      <c r="J643" s="337"/>
      <c r="K643" s="46" t="str">
        <f t="shared" si="174"/>
        <v/>
      </c>
      <c r="L643" s="46" t="str">
        <f t="shared" si="175"/>
        <v/>
      </c>
      <c r="M643" s="338">
        <f t="shared" si="176"/>
        <v>0</v>
      </c>
      <c r="N643" s="43"/>
      <c r="O643" s="339"/>
      <c r="P643" s="340" t="str">
        <f>IFERROR(VLOOKUP(O643,NCM!$A$3:$D$99,COLUMN(head_porNCM_IPI)-COLUMN(head_porNCM_NCM)+1,FALSE),"")</f>
        <v/>
      </c>
      <c r="Q643" s="43"/>
      <c r="R643" s="78"/>
      <c r="S643" s="341"/>
      <c r="T643" s="28"/>
      <c r="U643" s="28"/>
      <c r="V643" s="28"/>
      <c r="W643" s="43"/>
      <c r="X643" s="342">
        <f t="shared" si="177"/>
        <v>0</v>
      </c>
      <c r="Y643" s="342">
        <f t="shared" si="178"/>
        <v>0</v>
      </c>
      <c r="Z643" s="46">
        <f t="shared" si="179"/>
        <v>0</v>
      </c>
      <c r="AA643" s="46">
        <f t="shared" si="180"/>
        <v>0</v>
      </c>
      <c r="AB643" s="43"/>
      <c r="AC643" s="44">
        <v>0</v>
      </c>
      <c r="AD643" s="31"/>
      <c r="AE643" s="31"/>
      <c r="AF643" s="31"/>
      <c r="AG643" s="28"/>
      <c r="AH643" s="46">
        <f t="shared" si="181"/>
        <v>0</v>
      </c>
      <c r="AI643" s="43"/>
      <c r="AJ643" s="28"/>
      <c r="AK643" s="337"/>
      <c r="AL643" s="43"/>
      <c r="AM643" s="44">
        <f t="shared" si="182"/>
        <v>0</v>
      </c>
      <c r="AN643" s="43"/>
      <c r="AO643" s="28">
        <f t="shared" si="183"/>
        <v>0</v>
      </c>
      <c r="AP643" s="43"/>
      <c r="AQ643" s="323">
        <f t="shared" si="184"/>
        <v>0</v>
      </c>
      <c r="AR643" s="43"/>
      <c r="AS643" s="44">
        <f t="shared" si="185"/>
        <v>0</v>
      </c>
    </row>
    <row r="644" spans="1:45" x14ac:dyDescent="0.25">
      <c r="A644" s="28"/>
      <c r="B644" s="43"/>
      <c r="C644" s="43"/>
      <c r="D644" s="43"/>
      <c r="E644" s="43" t="s">
        <v>1510</v>
      </c>
      <c r="F644" s="43" t="s">
        <v>1511</v>
      </c>
      <c r="G644" s="46">
        <f t="shared" si="172"/>
        <v>3098.2552000000005</v>
      </c>
      <c r="H644" s="46">
        <f t="shared" si="173"/>
        <v>2748.7569000000008</v>
      </c>
      <c r="I644" s="28" t="s">
        <v>262</v>
      </c>
      <c r="J644" s="337">
        <v>0.35</v>
      </c>
      <c r="K644" s="46">
        <f t="shared" si="174"/>
        <v>1084.38932</v>
      </c>
      <c r="L644" s="46">
        <f t="shared" si="175"/>
        <v>962.06491500000016</v>
      </c>
      <c r="M644" s="338">
        <f t="shared" si="176"/>
        <v>0</v>
      </c>
      <c r="N644" s="43" t="s">
        <v>36</v>
      </c>
      <c r="O644" s="339">
        <v>85364900</v>
      </c>
      <c r="P644" s="340">
        <f>IFERROR(VLOOKUP(O644,NCM!$A$3:$D$99,COLUMN(head_porNCM_IPI)-COLUMN(head_porNCM_NCM)+1,FALSE),"")</f>
        <v>3.2500000000000001E-2</v>
      </c>
      <c r="Q644" s="43" t="s">
        <v>806</v>
      </c>
      <c r="R644" s="78" t="s">
        <v>210</v>
      </c>
      <c r="S644" s="341"/>
      <c r="T644" s="28" t="s">
        <v>52</v>
      </c>
      <c r="U644" s="28" t="s">
        <v>3113</v>
      </c>
      <c r="V644" s="548">
        <v>45469</v>
      </c>
      <c r="W644" s="43"/>
      <c r="X644" s="342">
        <f t="shared" si="177"/>
        <v>658.69714285714281</v>
      </c>
      <c r="Y644" s="342">
        <f t="shared" si="178"/>
        <v>118.93142857142857</v>
      </c>
      <c r="Z644" s="46">
        <f t="shared" si="179"/>
        <v>60.380571428571436</v>
      </c>
      <c r="AA644" s="46">
        <f t="shared" si="180"/>
        <v>278.11657142857143</v>
      </c>
      <c r="AB644" s="43"/>
      <c r="AC644" s="44">
        <v>3778.36</v>
      </c>
      <c r="AD644" s="31">
        <v>0.18</v>
      </c>
      <c r="AE644" s="31">
        <v>3.2500000000000001E-2</v>
      </c>
      <c r="AF644" s="31">
        <v>0</v>
      </c>
      <c r="AG644" s="28" t="s">
        <v>53</v>
      </c>
      <c r="AH644" s="46">
        <f t="shared" si="181"/>
        <v>3901.1567</v>
      </c>
      <c r="AI644" s="43"/>
      <c r="AJ644" s="28" t="s">
        <v>264</v>
      </c>
      <c r="AK644" s="337"/>
      <c r="AL644" s="43"/>
      <c r="AM644" s="44">
        <f t="shared" si="182"/>
        <v>0</v>
      </c>
      <c r="AN644" s="43"/>
      <c r="AO644" s="28">
        <f t="shared" si="183"/>
        <v>0</v>
      </c>
      <c r="AP644" s="43"/>
      <c r="AQ644" s="323">
        <f t="shared" si="184"/>
        <v>0</v>
      </c>
      <c r="AR644" s="43"/>
      <c r="AS644" s="44">
        <f t="shared" si="185"/>
        <v>3901.1567</v>
      </c>
    </row>
    <row r="645" spans="1:45" x14ac:dyDescent="0.25">
      <c r="A645" s="28"/>
      <c r="B645" s="43"/>
      <c r="C645" s="43"/>
      <c r="D645" s="43"/>
      <c r="E645" s="43" t="s">
        <v>1512</v>
      </c>
      <c r="F645" s="43" t="s">
        <v>1513</v>
      </c>
      <c r="G645" s="46">
        <f t="shared" si="172"/>
        <v>1233.6080000000002</v>
      </c>
      <c r="H645" s="46">
        <f t="shared" si="173"/>
        <v>1094.4510000000002</v>
      </c>
      <c r="I645" s="28" t="s">
        <v>262</v>
      </c>
      <c r="J645" s="337">
        <v>0.35</v>
      </c>
      <c r="K645" s="46">
        <f t="shared" si="174"/>
        <v>431.76280000000003</v>
      </c>
      <c r="L645" s="46">
        <f t="shared" si="175"/>
        <v>383.05785000000009</v>
      </c>
      <c r="M645" s="338">
        <f t="shared" si="176"/>
        <v>0</v>
      </c>
      <c r="N645" s="43" t="s">
        <v>36</v>
      </c>
      <c r="O645" s="339">
        <v>85364900</v>
      </c>
      <c r="P645" s="340">
        <f>IFERROR(VLOOKUP(O645,NCM!$A$3:$D$99,COLUMN(head_porNCM_IPI)-COLUMN(head_porNCM_NCM)+1,FALSE),"")</f>
        <v>3.2500000000000001E-2</v>
      </c>
      <c r="Q645" s="43" t="s">
        <v>806</v>
      </c>
      <c r="R645" s="78" t="s">
        <v>210</v>
      </c>
      <c r="S645" s="341"/>
      <c r="T645" s="28" t="s">
        <v>52</v>
      </c>
      <c r="U645" s="28" t="s">
        <v>3113</v>
      </c>
      <c r="V645" s="548">
        <v>45469</v>
      </c>
      <c r="W645" s="43"/>
      <c r="X645" s="342">
        <f t="shared" si="177"/>
        <v>262.2682808716707</v>
      </c>
      <c r="Y645" s="342">
        <f t="shared" si="178"/>
        <v>47.353995157385043</v>
      </c>
      <c r="Z645" s="46">
        <f t="shared" si="179"/>
        <v>24.041259079903149</v>
      </c>
      <c r="AA645" s="46">
        <f t="shared" si="180"/>
        <v>110.73549636803874</v>
      </c>
      <c r="AB645" s="43"/>
      <c r="AC645" s="44">
        <v>1504.4</v>
      </c>
      <c r="AD645" s="31">
        <v>0.18</v>
      </c>
      <c r="AE645" s="31">
        <v>3.2500000000000001E-2</v>
      </c>
      <c r="AF645" s="31">
        <v>0</v>
      </c>
      <c r="AG645" s="28" t="s">
        <v>53</v>
      </c>
      <c r="AH645" s="46">
        <f t="shared" si="181"/>
        <v>1553.2930000000001</v>
      </c>
      <c r="AI645" s="43"/>
      <c r="AJ645" s="28" t="s">
        <v>264</v>
      </c>
      <c r="AK645" s="337"/>
      <c r="AL645" s="43"/>
      <c r="AM645" s="44">
        <f t="shared" si="182"/>
        <v>0</v>
      </c>
      <c r="AN645" s="43"/>
      <c r="AO645" s="28">
        <f t="shared" si="183"/>
        <v>0</v>
      </c>
      <c r="AP645" s="43"/>
      <c r="AQ645" s="323">
        <f t="shared" si="184"/>
        <v>0</v>
      </c>
      <c r="AR645" s="43"/>
      <c r="AS645" s="44">
        <f t="shared" si="185"/>
        <v>1553.2930000000001</v>
      </c>
    </row>
    <row r="646" spans="1:45" x14ac:dyDescent="0.25">
      <c r="A646" s="28"/>
      <c r="B646" s="43"/>
      <c r="C646" s="43"/>
      <c r="D646" s="43"/>
      <c r="E646" s="43" t="s">
        <v>2164</v>
      </c>
      <c r="F646" s="43" t="s">
        <v>2165</v>
      </c>
      <c r="G646" s="46">
        <f t="shared" si="172"/>
        <v>1095.7824000000001</v>
      </c>
      <c r="H646" s="46">
        <f t="shared" si="173"/>
        <v>972.17280000000017</v>
      </c>
      <c r="I646" s="28" t="s">
        <v>262</v>
      </c>
      <c r="J646" s="337">
        <v>0.35</v>
      </c>
      <c r="K646" s="46">
        <f t="shared" si="174"/>
        <v>383.52384000000001</v>
      </c>
      <c r="L646" s="46">
        <f t="shared" si="175"/>
        <v>340.26048000000003</v>
      </c>
      <c r="M646" s="338">
        <f t="shared" si="176"/>
        <v>0</v>
      </c>
      <c r="N646" s="43" t="s">
        <v>36</v>
      </c>
      <c r="O646" s="339">
        <v>85364900</v>
      </c>
      <c r="P646" s="340">
        <f>IFERROR(VLOOKUP(O646,NCM!$A$3:$D$99,COLUMN(head_porNCM_IPI)-COLUMN(head_porNCM_NCM)+1,FALSE),"")</f>
        <v>3.2500000000000001E-2</v>
      </c>
      <c r="Q646" s="43" t="s">
        <v>806</v>
      </c>
      <c r="R646" s="78" t="s">
        <v>210</v>
      </c>
      <c r="S646" s="341"/>
      <c r="T646" s="28" t="s">
        <v>52</v>
      </c>
      <c r="U646" s="28" t="s">
        <v>3113</v>
      </c>
      <c r="V646" s="548">
        <v>45469</v>
      </c>
      <c r="W646" s="43"/>
      <c r="X646" s="342">
        <f t="shared" si="177"/>
        <v>232.96619854721547</v>
      </c>
      <c r="Y646" s="342">
        <f t="shared" si="178"/>
        <v>42.063341404358425</v>
      </c>
      <c r="Z646" s="46">
        <f t="shared" si="179"/>
        <v>21.355234866828084</v>
      </c>
      <c r="AA646" s="46">
        <f t="shared" si="180"/>
        <v>98.36350605326875</v>
      </c>
      <c r="AB646" s="43"/>
      <c r="AC646" s="44">
        <v>1336.32</v>
      </c>
      <c r="AD646" s="31">
        <v>0.18</v>
      </c>
      <c r="AE646" s="31">
        <v>3.2500000000000001E-2</v>
      </c>
      <c r="AF646" s="31">
        <v>0</v>
      </c>
      <c r="AG646" s="28" t="s">
        <v>53</v>
      </c>
      <c r="AH646" s="46">
        <f t="shared" si="181"/>
        <v>1379.7503999999999</v>
      </c>
      <c r="AI646" s="43"/>
      <c r="AJ646" s="28" t="s">
        <v>264</v>
      </c>
      <c r="AK646" s="337"/>
      <c r="AL646" s="43"/>
      <c r="AM646" s="44">
        <f t="shared" si="182"/>
        <v>0</v>
      </c>
      <c r="AN646" s="43"/>
      <c r="AO646" s="28">
        <f t="shared" si="183"/>
        <v>0</v>
      </c>
      <c r="AP646" s="43"/>
      <c r="AQ646" s="323">
        <f t="shared" si="184"/>
        <v>0</v>
      </c>
      <c r="AR646" s="43"/>
      <c r="AS646" s="44">
        <f t="shared" si="185"/>
        <v>1379.7503999999999</v>
      </c>
    </row>
    <row r="647" spans="1:45" x14ac:dyDescent="0.25">
      <c r="A647" s="28"/>
      <c r="B647" s="43"/>
      <c r="C647" s="43"/>
      <c r="D647" s="43"/>
      <c r="E647" s="43" t="s">
        <v>1514</v>
      </c>
      <c r="F647" s="43" t="s">
        <v>1515</v>
      </c>
      <c r="G647" s="46">
        <f t="shared" si="172"/>
        <v>94.820000000000007</v>
      </c>
      <c r="H647" s="46">
        <f t="shared" si="173"/>
        <v>84.853125000000006</v>
      </c>
      <c r="I647" s="28" t="s">
        <v>262</v>
      </c>
      <c r="J647" s="337">
        <v>1</v>
      </c>
      <c r="K647" s="46">
        <f t="shared" si="174"/>
        <v>94.820000000000007</v>
      </c>
      <c r="L647" s="46">
        <f t="shared" si="175"/>
        <v>84.853125000000006</v>
      </c>
      <c r="M647" s="338">
        <f t="shared" si="176"/>
        <v>0</v>
      </c>
      <c r="N647" s="43" t="s">
        <v>60</v>
      </c>
      <c r="O647" s="339">
        <v>85364900</v>
      </c>
      <c r="P647" s="340">
        <f>IFERROR(VLOOKUP(O647,NCM!$A$3:$D$99,COLUMN(head_porNCM_IPI)-COLUMN(head_porNCM_NCM)+1,FALSE),"")</f>
        <v>3.2500000000000001E-2</v>
      </c>
      <c r="Q647" s="43" t="s">
        <v>1884</v>
      </c>
      <c r="R647" s="78" t="s">
        <v>209</v>
      </c>
      <c r="S647" s="341"/>
      <c r="T647" s="28" t="s">
        <v>52</v>
      </c>
      <c r="U647" s="28" t="s">
        <v>1885</v>
      </c>
      <c r="V647" s="548">
        <v>43488</v>
      </c>
      <c r="W647" s="43"/>
      <c r="X647" s="342">
        <f t="shared" si="177"/>
        <v>12.93</v>
      </c>
      <c r="Y647" s="342">
        <f t="shared" si="178"/>
        <v>0</v>
      </c>
      <c r="Z647" s="46">
        <f t="shared" si="179"/>
        <v>1.7778750000000001</v>
      </c>
      <c r="AA647" s="46">
        <f t="shared" si="180"/>
        <v>8.1890000000000001</v>
      </c>
      <c r="AB647" s="43"/>
      <c r="AC647" s="44">
        <v>107.75</v>
      </c>
      <c r="AD647" s="31">
        <v>0.12</v>
      </c>
      <c r="AE647" s="31">
        <v>0</v>
      </c>
      <c r="AF647" s="31">
        <v>0</v>
      </c>
      <c r="AG647" s="28" t="s">
        <v>53</v>
      </c>
      <c r="AH647" s="46">
        <f t="shared" si="181"/>
        <v>107.75</v>
      </c>
      <c r="AI647" s="43"/>
      <c r="AJ647" s="28"/>
      <c r="AK647" s="337"/>
      <c r="AL647" s="43"/>
      <c r="AM647" s="44">
        <f t="shared" si="182"/>
        <v>0</v>
      </c>
      <c r="AN647" s="43"/>
      <c r="AO647" s="28">
        <f t="shared" si="183"/>
        <v>0</v>
      </c>
      <c r="AP647" s="43"/>
      <c r="AQ647" s="323">
        <f t="shared" si="184"/>
        <v>0</v>
      </c>
      <c r="AR647" s="43"/>
      <c r="AS647" s="44">
        <f t="shared" si="185"/>
        <v>107.75</v>
      </c>
    </row>
    <row r="648" spans="1:45" x14ac:dyDescent="0.25">
      <c r="A648" s="28"/>
      <c r="B648" s="43"/>
      <c r="C648" s="43"/>
      <c r="D648" s="43"/>
      <c r="E648" s="43" t="s">
        <v>1516</v>
      </c>
      <c r="F648" s="43" t="s">
        <v>1517</v>
      </c>
      <c r="G648" s="46">
        <f t="shared" si="172"/>
        <v>41.474400000000003</v>
      </c>
      <c r="H648" s="46">
        <f t="shared" si="173"/>
        <v>37.114875000000005</v>
      </c>
      <c r="I648" s="28" t="s">
        <v>262</v>
      </c>
      <c r="J648" s="337">
        <v>1</v>
      </c>
      <c r="K648" s="46">
        <f t="shared" si="174"/>
        <v>41.474400000000003</v>
      </c>
      <c r="L648" s="46">
        <f t="shared" si="175"/>
        <v>37.114875000000005</v>
      </c>
      <c r="M648" s="338">
        <f t="shared" si="176"/>
        <v>0</v>
      </c>
      <c r="N648" s="43" t="s">
        <v>60</v>
      </c>
      <c r="O648" s="339">
        <v>85364900</v>
      </c>
      <c r="P648" s="340">
        <f>IFERROR(VLOOKUP(O648,NCM!$A$3:$D$99,COLUMN(head_porNCM_IPI)-COLUMN(head_porNCM_NCM)+1,FALSE),"")</f>
        <v>3.2500000000000001E-2</v>
      </c>
      <c r="Q648" s="43" t="s">
        <v>1884</v>
      </c>
      <c r="R648" s="78" t="s">
        <v>209</v>
      </c>
      <c r="S648" s="341"/>
      <c r="T648" s="28" t="s">
        <v>52</v>
      </c>
      <c r="U648" s="28" t="s">
        <v>1885</v>
      </c>
      <c r="V648" s="548">
        <v>43488</v>
      </c>
      <c r="W648" s="43"/>
      <c r="X648" s="342">
        <f t="shared" si="177"/>
        <v>5.6555999999999997</v>
      </c>
      <c r="Y648" s="342">
        <f t="shared" si="178"/>
        <v>0</v>
      </c>
      <c r="Z648" s="46">
        <f t="shared" si="179"/>
        <v>0.77764500000000003</v>
      </c>
      <c r="AA648" s="46">
        <f t="shared" si="180"/>
        <v>3.58188</v>
      </c>
      <c r="AB648" s="43"/>
      <c r="AC648" s="44">
        <v>47.13</v>
      </c>
      <c r="AD648" s="31">
        <v>0.12</v>
      </c>
      <c r="AE648" s="31">
        <v>0</v>
      </c>
      <c r="AF648" s="31">
        <v>0</v>
      </c>
      <c r="AG648" s="28" t="s">
        <v>53</v>
      </c>
      <c r="AH648" s="46">
        <f t="shared" si="181"/>
        <v>47.13</v>
      </c>
      <c r="AI648" s="43"/>
      <c r="AJ648" s="28"/>
      <c r="AK648" s="337"/>
      <c r="AL648" s="43"/>
      <c r="AM648" s="44">
        <f t="shared" si="182"/>
        <v>0</v>
      </c>
      <c r="AN648" s="43"/>
      <c r="AO648" s="28">
        <f t="shared" si="183"/>
        <v>0</v>
      </c>
      <c r="AP648" s="43"/>
      <c r="AQ648" s="323">
        <f t="shared" si="184"/>
        <v>0</v>
      </c>
      <c r="AR648" s="43"/>
      <c r="AS648" s="44">
        <f t="shared" si="185"/>
        <v>47.13</v>
      </c>
    </row>
    <row r="649" spans="1:45" x14ac:dyDescent="0.25">
      <c r="A649" s="28"/>
      <c r="B649" s="43"/>
      <c r="C649" s="43"/>
      <c r="D649" s="43"/>
      <c r="E649" s="43" t="s">
        <v>1520</v>
      </c>
      <c r="F649" s="43" t="s">
        <v>1521</v>
      </c>
      <c r="G649" s="46">
        <f t="shared" si="172"/>
        <v>1014.42</v>
      </c>
      <c r="H649" s="46">
        <f t="shared" si="173"/>
        <v>907.79062500000009</v>
      </c>
      <c r="I649" s="28" t="s">
        <v>262</v>
      </c>
      <c r="J649" s="337">
        <v>1</v>
      </c>
      <c r="K649" s="46">
        <f t="shared" si="174"/>
        <v>1014.42</v>
      </c>
      <c r="L649" s="46">
        <f t="shared" si="175"/>
        <v>907.79062500000009</v>
      </c>
      <c r="M649" s="338">
        <f t="shared" si="176"/>
        <v>0</v>
      </c>
      <c r="N649" s="43" t="s">
        <v>60</v>
      </c>
      <c r="O649" s="339">
        <v>85364900</v>
      </c>
      <c r="P649" s="340">
        <f>IFERROR(VLOOKUP(O649,NCM!$A$3:$D$99,COLUMN(head_porNCM_IPI)-COLUMN(head_porNCM_NCM)+1,FALSE),"")</f>
        <v>3.2500000000000001E-2</v>
      </c>
      <c r="Q649" s="43" t="s">
        <v>1886</v>
      </c>
      <c r="R649" s="78" t="s">
        <v>209</v>
      </c>
      <c r="S649" s="341"/>
      <c r="T649" s="28" t="s">
        <v>52</v>
      </c>
      <c r="U649" s="28" t="s">
        <v>1887</v>
      </c>
      <c r="V649" s="548">
        <v>43488</v>
      </c>
      <c r="W649" s="43"/>
      <c r="X649" s="342">
        <f t="shared" si="177"/>
        <v>131.74285714285713</v>
      </c>
      <c r="Y649" s="342">
        <f t="shared" si="178"/>
        <v>54.89285714285711</v>
      </c>
      <c r="Z649" s="46">
        <f t="shared" si="179"/>
        <v>18.114642857142858</v>
      </c>
      <c r="AA649" s="46">
        <f t="shared" si="180"/>
        <v>83.437142857142859</v>
      </c>
      <c r="AB649" s="43"/>
      <c r="AC649" s="44">
        <v>1152.75</v>
      </c>
      <c r="AD649" s="31">
        <v>0.12</v>
      </c>
      <c r="AE649" s="31">
        <v>0.05</v>
      </c>
      <c r="AF649" s="31">
        <v>0</v>
      </c>
      <c r="AG649" s="28" t="s">
        <v>53</v>
      </c>
      <c r="AH649" s="46">
        <f t="shared" si="181"/>
        <v>1210.3875</v>
      </c>
      <c r="AI649" s="43"/>
      <c r="AJ649" s="28"/>
      <c r="AK649" s="337"/>
      <c r="AL649" s="43"/>
      <c r="AM649" s="44">
        <f t="shared" si="182"/>
        <v>0</v>
      </c>
      <c r="AN649" s="43"/>
      <c r="AO649" s="28">
        <f t="shared" si="183"/>
        <v>0</v>
      </c>
      <c r="AP649" s="43"/>
      <c r="AQ649" s="323">
        <f t="shared" si="184"/>
        <v>0</v>
      </c>
      <c r="AR649" s="43"/>
      <c r="AS649" s="44">
        <f t="shared" si="185"/>
        <v>1210.3875</v>
      </c>
    </row>
    <row r="650" spans="1:45" x14ac:dyDescent="0.25">
      <c r="A650" s="28"/>
      <c r="B650" s="43"/>
      <c r="C650" s="43"/>
      <c r="D650" s="43"/>
      <c r="E650" s="43" t="s">
        <v>1518</v>
      </c>
      <c r="F650" s="43" t="s">
        <v>1519</v>
      </c>
      <c r="G650" s="46">
        <f t="shared" si="172"/>
        <v>1009.8</v>
      </c>
      <c r="H650" s="46">
        <f t="shared" si="173"/>
        <v>903.65625000000011</v>
      </c>
      <c r="I650" s="28" t="s">
        <v>262</v>
      </c>
      <c r="J650" s="337">
        <v>1</v>
      </c>
      <c r="K650" s="46">
        <f t="shared" si="174"/>
        <v>1009.8</v>
      </c>
      <c r="L650" s="46">
        <f t="shared" si="175"/>
        <v>903.65625000000011</v>
      </c>
      <c r="M650" s="338">
        <f t="shared" si="176"/>
        <v>0</v>
      </c>
      <c r="N650" s="43" t="s">
        <v>60</v>
      </c>
      <c r="O650" s="339">
        <v>85364900</v>
      </c>
      <c r="P650" s="340">
        <f>IFERROR(VLOOKUP(O650,NCM!$A$3:$D$99,COLUMN(head_porNCM_IPI)-COLUMN(head_porNCM_NCM)+1,FALSE),"")</f>
        <v>3.2500000000000001E-2</v>
      </c>
      <c r="Q650" s="43" t="s">
        <v>1886</v>
      </c>
      <c r="R650" s="78" t="s">
        <v>209</v>
      </c>
      <c r="S650" s="341"/>
      <c r="T650" s="28" t="s">
        <v>52</v>
      </c>
      <c r="U650" s="28" t="s">
        <v>1887</v>
      </c>
      <c r="V650" s="548">
        <v>43488</v>
      </c>
      <c r="W650" s="43"/>
      <c r="X650" s="342">
        <f t="shared" si="177"/>
        <v>131.14285714285714</v>
      </c>
      <c r="Y650" s="342">
        <f t="shared" si="178"/>
        <v>54.64285714285711</v>
      </c>
      <c r="Z650" s="46">
        <f t="shared" si="179"/>
        <v>18.032142857142858</v>
      </c>
      <c r="AA650" s="46">
        <f t="shared" si="180"/>
        <v>83.057142857142864</v>
      </c>
      <c r="AB650" s="43"/>
      <c r="AC650" s="44">
        <v>1147.5</v>
      </c>
      <c r="AD650" s="31">
        <v>0.12</v>
      </c>
      <c r="AE650" s="31">
        <v>0.05</v>
      </c>
      <c r="AF650" s="31">
        <v>0</v>
      </c>
      <c r="AG650" s="28" t="s">
        <v>53</v>
      </c>
      <c r="AH650" s="46">
        <f t="shared" si="181"/>
        <v>1204.875</v>
      </c>
      <c r="AI650" s="43"/>
      <c r="AJ650" s="28"/>
      <c r="AK650" s="337"/>
      <c r="AL650" s="43"/>
      <c r="AM650" s="44">
        <f t="shared" si="182"/>
        <v>0</v>
      </c>
      <c r="AN650" s="43"/>
      <c r="AO650" s="28">
        <f t="shared" si="183"/>
        <v>0</v>
      </c>
      <c r="AP650" s="43"/>
      <c r="AQ650" s="323">
        <f t="shared" si="184"/>
        <v>0</v>
      </c>
      <c r="AR650" s="43"/>
      <c r="AS650" s="44">
        <f t="shared" si="185"/>
        <v>1204.875</v>
      </c>
    </row>
    <row r="651" spans="1:45" x14ac:dyDescent="0.25">
      <c r="A651" s="28"/>
      <c r="B651" s="43"/>
      <c r="C651" s="43"/>
      <c r="D651" s="43"/>
      <c r="E651" s="43" t="s">
        <v>2166</v>
      </c>
      <c r="F651" s="43" t="s">
        <v>2167</v>
      </c>
      <c r="G651" s="46">
        <f t="shared" si="172"/>
        <v>1690.65</v>
      </c>
      <c r="H651" s="46">
        <f t="shared" si="173"/>
        <v>1510.2750000000001</v>
      </c>
      <c r="I651" s="28" t="s">
        <v>262</v>
      </c>
      <c r="J651" s="337">
        <v>1</v>
      </c>
      <c r="K651" s="46">
        <f t="shared" si="174"/>
        <v>1690.65</v>
      </c>
      <c r="L651" s="46">
        <f t="shared" si="175"/>
        <v>1510.2750000000001</v>
      </c>
      <c r="M651" s="338">
        <f t="shared" si="176"/>
        <v>0</v>
      </c>
      <c r="N651" s="43" t="s">
        <v>60</v>
      </c>
      <c r="O651" s="339">
        <v>85364900</v>
      </c>
      <c r="P651" s="340">
        <f>IFERROR(VLOOKUP(O651,NCM!$A$3:$D$99,COLUMN(head_porNCM_IPI)-COLUMN(head_porNCM_NCM)+1,FALSE),"")</f>
        <v>3.2500000000000001E-2</v>
      </c>
      <c r="Q651" s="43" t="s">
        <v>1886</v>
      </c>
      <c r="R651" s="78" t="s">
        <v>209</v>
      </c>
      <c r="S651" s="341"/>
      <c r="T651" s="28" t="s">
        <v>52</v>
      </c>
      <c r="U651" s="28" t="s">
        <v>2286</v>
      </c>
      <c r="V651" s="548">
        <v>44685</v>
      </c>
      <c r="W651" s="43"/>
      <c r="X651" s="342">
        <f t="shared" si="177"/>
        <v>247</v>
      </c>
      <c r="Y651" s="342">
        <f t="shared" si="178"/>
        <v>92.85714285714289</v>
      </c>
      <c r="Z651" s="46">
        <f t="shared" si="179"/>
        <v>30.642857142857142</v>
      </c>
      <c r="AA651" s="46">
        <f t="shared" si="180"/>
        <v>141.14285714285714</v>
      </c>
      <c r="AB651" s="43"/>
      <c r="AC651" s="44">
        <v>1950</v>
      </c>
      <c r="AD651" s="31">
        <v>0.13300000000000001</v>
      </c>
      <c r="AE651" s="31">
        <v>0.05</v>
      </c>
      <c r="AF651" s="31">
        <v>0</v>
      </c>
      <c r="AG651" s="28" t="s">
        <v>53</v>
      </c>
      <c r="AH651" s="46">
        <f t="shared" si="181"/>
        <v>2047.5</v>
      </c>
      <c r="AI651" s="43"/>
      <c r="AJ651" s="28"/>
      <c r="AK651" s="337"/>
      <c r="AL651" s="43"/>
      <c r="AM651" s="44">
        <f t="shared" si="182"/>
        <v>0</v>
      </c>
      <c r="AN651" s="43"/>
      <c r="AO651" s="28">
        <f t="shared" si="183"/>
        <v>0</v>
      </c>
      <c r="AP651" s="43"/>
      <c r="AQ651" s="323">
        <f t="shared" si="184"/>
        <v>0</v>
      </c>
      <c r="AR651" s="43"/>
      <c r="AS651" s="44">
        <f t="shared" si="185"/>
        <v>2047.5</v>
      </c>
    </row>
    <row r="652" spans="1:45" x14ac:dyDescent="0.25">
      <c r="A652" s="28"/>
      <c r="B652" s="43"/>
      <c r="C652" s="43"/>
      <c r="D652" s="43"/>
      <c r="E652" s="43" t="s">
        <v>2168</v>
      </c>
      <c r="F652" s="43" t="s">
        <v>2169</v>
      </c>
      <c r="G652" s="46">
        <f t="shared" si="172"/>
        <v>1690.65</v>
      </c>
      <c r="H652" s="46">
        <f t="shared" si="173"/>
        <v>1510.2750000000001</v>
      </c>
      <c r="I652" s="28" t="s">
        <v>262</v>
      </c>
      <c r="J652" s="337">
        <v>1</v>
      </c>
      <c r="K652" s="46">
        <f t="shared" si="174"/>
        <v>1690.65</v>
      </c>
      <c r="L652" s="46">
        <f t="shared" si="175"/>
        <v>1510.2750000000001</v>
      </c>
      <c r="M652" s="338">
        <f t="shared" si="176"/>
        <v>0</v>
      </c>
      <c r="N652" s="43" t="s">
        <v>60</v>
      </c>
      <c r="O652" s="339">
        <v>85364900</v>
      </c>
      <c r="P652" s="340">
        <f>IFERROR(VLOOKUP(O652,NCM!$A$3:$D$99,COLUMN(head_porNCM_IPI)-COLUMN(head_porNCM_NCM)+1,FALSE),"")</f>
        <v>3.2500000000000001E-2</v>
      </c>
      <c r="Q652" s="43" t="s">
        <v>1886</v>
      </c>
      <c r="R652" s="78" t="s">
        <v>209</v>
      </c>
      <c r="S652" s="341"/>
      <c r="T652" s="28" t="s">
        <v>52</v>
      </c>
      <c r="U652" s="28" t="s">
        <v>2286</v>
      </c>
      <c r="V652" s="548">
        <v>44685</v>
      </c>
      <c r="W652" s="43"/>
      <c r="X652" s="342">
        <f t="shared" si="177"/>
        <v>247</v>
      </c>
      <c r="Y652" s="342">
        <f t="shared" si="178"/>
        <v>92.85714285714289</v>
      </c>
      <c r="Z652" s="46">
        <f t="shared" si="179"/>
        <v>30.642857142857142</v>
      </c>
      <c r="AA652" s="46">
        <f t="shared" si="180"/>
        <v>141.14285714285714</v>
      </c>
      <c r="AB652" s="43"/>
      <c r="AC652" s="44">
        <v>1950</v>
      </c>
      <c r="AD652" s="31">
        <v>0.13300000000000001</v>
      </c>
      <c r="AE652" s="31">
        <v>0.05</v>
      </c>
      <c r="AF652" s="31">
        <v>0</v>
      </c>
      <c r="AG652" s="28" t="s">
        <v>53</v>
      </c>
      <c r="AH652" s="46">
        <f t="shared" si="181"/>
        <v>2047.5</v>
      </c>
      <c r="AI652" s="43"/>
      <c r="AJ652" s="28"/>
      <c r="AK652" s="337"/>
      <c r="AL652" s="43"/>
      <c r="AM652" s="44">
        <f t="shared" si="182"/>
        <v>0</v>
      </c>
      <c r="AN652" s="43"/>
      <c r="AO652" s="28">
        <f t="shared" si="183"/>
        <v>0</v>
      </c>
      <c r="AP652" s="43"/>
      <c r="AQ652" s="323">
        <f t="shared" si="184"/>
        <v>0</v>
      </c>
      <c r="AR652" s="43"/>
      <c r="AS652" s="44">
        <f t="shared" si="185"/>
        <v>2047.5</v>
      </c>
    </row>
    <row r="653" spans="1:45" x14ac:dyDescent="0.25">
      <c r="A653" s="28"/>
      <c r="B653" s="43"/>
      <c r="C653" s="43"/>
      <c r="D653" s="43" t="s">
        <v>1522</v>
      </c>
      <c r="E653" s="43"/>
      <c r="F653" s="43"/>
      <c r="G653" s="46">
        <f t="shared" si="172"/>
        <v>0</v>
      </c>
      <c r="H653" s="46">
        <f t="shared" si="173"/>
        <v>0</v>
      </c>
      <c r="I653" s="28"/>
      <c r="J653" s="337"/>
      <c r="K653" s="46" t="str">
        <f t="shared" si="174"/>
        <v/>
      </c>
      <c r="L653" s="46" t="str">
        <f t="shared" si="175"/>
        <v/>
      </c>
      <c r="M653" s="338">
        <f t="shared" si="176"/>
        <v>0</v>
      </c>
      <c r="N653" s="43"/>
      <c r="O653" s="339"/>
      <c r="P653" s="340" t="str">
        <f>IFERROR(VLOOKUP(O653,NCM!$A$3:$D$99,COLUMN(head_porNCM_IPI)-COLUMN(head_porNCM_NCM)+1,FALSE),"")</f>
        <v/>
      </c>
      <c r="Q653" s="43"/>
      <c r="R653" s="78"/>
      <c r="S653" s="341"/>
      <c r="T653" s="28"/>
      <c r="U653" s="28"/>
      <c r="V653" s="28"/>
      <c r="W653" s="43"/>
      <c r="X653" s="342">
        <f t="shared" si="177"/>
        <v>0</v>
      </c>
      <c r="Y653" s="342">
        <f t="shared" si="178"/>
        <v>0</v>
      </c>
      <c r="Z653" s="46">
        <f t="shared" si="179"/>
        <v>0</v>
      </c>
      <c r="AA653" s="46">
        <f t="shared" si="180"/>
        <v>0</v>
      </c>
      <c r="AB653" s="43"/>
      <c r="AC653" s="44">
        <v>0</v>
      </c>
      <c r="AD653" s="31"/>
      <c r="AE653" s="31"/>
      <c r="AF653" s="31"/>
      <c r="AG653" s="28"/>
      <c r="AH653" s="46">
        <f t="shared" si="181"/>
        <v>0</v>
      </c>
      <c r="AI653" s="43"/>
      <c r="AJ653" s="28"/>
      <c r="AK653" s="337"/>
      <c r="AL653" s="43"/>
      <c r="AM653" s="44">
        <f t="shared" si="182"/>
        <v>0</v>
      </c>
      <c r="AN653" s="43"/>
      <c r="AO653" s="28">
        <f t="shared" si="183"/>
        <v>0</v>
      </c>
      <c r="AP653" s="43"/>
      <c r="AQ653" s="323">
        <f t="shared" si="184"/>
        <v>0</v>
      </c>
      <c r="AR653" s="43"/>
      <c r="AS653" s="44">
        <f t="shared" si="185"/>
        <v>0</v>
      </c>
    </row>
    <row r="654" spans="1:45" x14ac:dyDescent="0.25">
      <c r="A654" s="28"/>
      <c r="B654" s="43"/>
      <c r="C654" s="43"/>
      <c r="D654" s="43" t="s">
        <v>1523</v>
      </c>
      <c r="E654" s="43"/>
      <c r="F654" s="43"/>
      <c r="G654" s="46">
        <f t="shared" si="172"/>
        <v>0</v>
      </c>
      <c r="H654" s="46">
        <f t="shared" si="173"/>
        <v>0</v>
      </c>
      <c r="I654" s="28"/>
      <c r="J654" s="337"/>
      <c r="K654" s="46" t="str">
        <f t="shared" si="174"/>
        <v/>
      </c>
      <c r="L654" s="46" t="str">
        <f t="shared" si="175"/>
        <v/>
      </c>
      <c r="M654" s="338">
        <f t="shared" si="176"/>
        <v>0</v>
      </c>
      <c r="N654" s="43"/>
      <c r="O654" s="339"/>
      <c r="P654" s="340" t="str">
        <f>IFERROR(VLOOKUP(O654,NCM!$A$3:$D$99,COLUMN(head_porNCM_IPI)-COLUMN(head_porNCM_NCM)+1,FALSE),"")</f>
        <v/>
      </c>
      <c r="Q654" s="43"/>
      <c r="R654" s="78"/>
      <c r="S654" s="341"/>
      <c r="T654" s="28"/>
      <c r="U654" s="28"/>
      <c r="V654" s="28"/>
      <c r="W654" s="43"/>
      <c r="X654" s="342">
        <f t="shared" si="177"/>
        <v>0</v>
      </c>
      <c r="Y654" s="342">
        <f t="shared" si="178"/>
        <v>0</v>
      </c>
      <c r="Z654" s="46">
        <f t="shared" si="179"/>
        <v>0</v>
      </c>
      <c r="AA654" s="46">
        <f t="shared" si="180"/>
        <v>0</v>
      </c>
      <c r="AB654" s="43"/>
      <c r="AC654" s="44">
        <v>0</v>
      </c>
      <c r="AD654" s="31"/>
      <c r="AE654" s="31"/>
      <c r="AF654" s="31"/>
      <c r="AG654" s="28"/>
      <c r="AH654" s="46">
        <f t="shared" si="181"/>
        <v>0</v>
      </c>
      <c r="AI654" s="43"/>
      <c r="AJ654" s="28"/>
      <c r="AK654" s="337"/>
      <c r="AL654" s="43"/>
      <c r="AM654" s="44">
        <f t="shared" si="182"/>
        <v>0</v>
      </c>
      <c r="AN654" s="43"/>
      <c r="AO654" s="28">
        <f t="shared" si="183"/>
        <v>0</v>
      </c>
      <c r="AP654" s="43"/>
      <c r="AQ654" s="323">
        <f t="shared" si="184"/>
        <v>0</v>
      </c>
      <c r="AR654" s="43"/>
      <c r="AS654" s="44">
        <f t="shared" si="185"/>
        <v>0</v>
      </c>
    </row>
    <row r="655" spans="1:45" x14ac:dyDescent="0.25">
      <c r="A655" s="28"/>
      <c r="B655" s="43"/>
      <c r="C655" s="43"/>
      <c r="D655" s="43"/>
      <c r="E655" s="43" t="s">
        <v>1524</v>
      </c>
      <c r="F655" s="43" t="s">
        <v>1525</v>
      </c>
      <c r="G655" s="46">
        <f t="shared" si="172"/>
        <v>245.69660000000002</v>
      </c>
      <c r="H655" s="46">
        <f t="shared" si="173"/>
        <v>217.98082500000004</v>
      </c>
      <c r="I655" s="28" t="s">
        <v>262</v>
      </c>
      <c r="J655" s="337">
        <v>1</v>
      </c>
      <c r="K655" s="46">
        <f t="shared" si="174"/>
        <v>245.69660000000002</v>
      </c>
      <c r="L655" s="46">
        <f t="shared" si="175"/>
        <v>217.98082500000004</v>
      </c>
      <c r="M655" s="338">
        <f t="shared" si="176"/>
        <v>0</v>
      </c>
      <c r="N655" s="43" t="s">
        <v>147</v>
      </c>
      <c r="O655" s="339">
        <v>85043111</v>
      </c>
      <c r="P655" s="340">
        <f>IFERROR(VLOOKUP(O655,NCM!$A$3:$D$99,COLUMN(head_porNCM_IPI)-COLUMN(head_porNCM_NCM)+1,FALSE),"")</f>
        <v>0.1</v>
      </c>
      <c r="Q655" s="43" t="s">
        <v>1888</v>
      </c>
      <c r="R655" s="78" t="s">
        <v>209</v>
      </c>
      <c r="S655" s="341"/>
      <c r="T655" s="28" t="s">
        <v>52</v>
      </c>
      <c r="U655" s="28" t="s">
        <v>1889</v>
      </c>
      <c r="V655" s="548">
        <v>43490</v>
      </c>
      <c r="W655" s="43"/>
      <c r="X655" s="342">
        <f t="shared" si="177"/>
        <v>49.030363636363631</v>
      </c>
      <c r="Y655" s="342">
        <f t="shared" si="178"/>
        <v>27.239090909090919</v>
      </c>
      <c r="Z655" s="46">
        <f t="shared" si="179"/>
        <v>4.4944499999999996</v>
      </c>
      <c r="AA655" s="46">
        <f t="shared" si="180"/>
        <v>20.701709090909091</v>
      </c>
      <c r="AB655" s="43"/>
      <c r="AC655" s="44">
        <v>299.63</v>
      </c>
      <c r="AD655" s="31">
        <v>0.18</v>
      </c>
      <c r="AE655" s="31">
        <v>0.1</v>
      </c>
      <c r="AF655" s="31">
        <v>0</v>
      </c>
      <c r="AG655" s="28" t="s">
        <v>53</v>
      </c>
      <c r="AH655" s="46">
        <f t="shared" si="181"/>
        <v>329.59300000000002</v>
      </c>
      <c r="AI655" s="43"/>
      <c r="AJ655" s="28"/>
      <c r="AK655" s="337"/>
      <c r="AL655" s="43"/>
      <c r="AM655" s="44">
        <f t="shared" si="182"/>
        <v>0</v>
      </c>
      <c r="AN655" s="43"/>
      <c r="AO655" s="28">
        <f t="shared" si="183"/>
        <v>0</v>
      </c>
      <c r="AP655" s="43"/>
      <c r="AQ655" s="323">
        <f t="shared" si="184"/>
        <v>0</v>
      </c>
      <c r="AR655" s="43"/>
      <c r="AS655" s="44">
        <f t="shared" si="185"/>
        <v>329.59300000000002</v>
      </c>
    </row>
    <row r="656" spans="1:45" x14ac:dyDescent="0.25">
      <c r="A656" s="28"/>
      <c r="B656" s="43"/>
      <c r="C656" s="43"/>
      <c r="D656" s="43"/>
      <c r="E656" s="43" t="s">
        <v>1526</v>
      </c>
      <c r="F656" s="43" t="s">
        <v>1527</v>
      </c>
      <c r="G656" s="46">
        <f t="shared" si="172"/>
        <v>245.69660000000002</v>
      </c>
      <c r="H656" s="46">
        <f t="shared" si="173"/>
        <v>217.98082500000004</v>
      </c>
      <c r="I656" s="28" t="s">
        <v>262</v>
      </c>
      <c r="J656" s="337">
        <v>1</v>
      </c>
      <c r="K656" s="46">
        <f t="shared" si="174"/>
        <v>245.69660000000002</v>
      </c>
      <c r="L656" s="46">
        <f t="shared" si="175"/>
        <v>217.98082500000004</v>
      </c>
      <c r="M656" s="338">
        <f t="shared" si="176"/>
        <v>0</v>
      </c>
      <c r="N656" s="43" t="s">
        <v>147</v>
      </c>
      <c r="O656" s="339">
        <v>85043111</v>
      </c>
      <c r="P656" s="340">
        <f>IFERROR(VLOOKUP(O656,NCM!$A$3:$D$99,COLUMN(head_porNCM_IPI)-COLUMN(head_porNCM_NCM)+1,FALSE),"")</f>
        <v>0.1</v>
      </c>
      <c r="Q656" s="43" t="s">
        <v>1888</v>
      </c>
      <c r="R656" s="78" t="s">
        <v>209</v>
      </c>
      <c r="S656" s="341"/>
      <c r="T656" s="28" t="s">
        <v>52</v>
      </c>
      <c r="U656" s="28" t="s">
        <v>1889</v>
      </c>
      <c r="V656" s="548">
        <v>43490</v>
      </c>
      <c r="W656" s="43"/>
      <c r="X656" s="342">
        <f t="shared" si="177"/>
        <v>49.030363636363631</v>
      </c>
      <c r="Y656" s="342">
        <f t="shared" si="178"/>
        <v>27.239090909090919</v>
      </c>
      <c r="Z656" s="46">
        <f t="shared" si="179"/>
        <v>4.4944499999999996</v>
      </c>
      <c r="AA656" s="46">
        <f t="shared" si="180"/>
        <v>20.701709090909091</v>
      </c>
      <c r="AB656" s="43"/>
      <c r="AC656" s="44">
        <v>299.63</v>
      </c>
      <c r="AD656" s="31">
        <v>0.18</v>
      </c>
      <c r="AE656" s="31">
        <v>0.1</v>
      </c>
      <c r="AF656" s="31">
        <v>0</v>
      </c>
      <c r="AG656" s="28" t="s">
        <v>53</v>
      </c>
      <c r="AH656" s="46">
        <f t="shared" si="181"/>
        <v>329.59300000000002</v>
      </c>
      <c r="AI656" s="43"/>
      <c r="AJ656" s="28"/>
      <c r="AK656" s="337"/>
      <c r="AL656" s="43"/>
      <c r="AM656" s="44">
        <f t="shared" si="182"/>
        <v>0</v>
      </c>
      <c r="AN656" s="43"/>
      <c r="AO656" s="28">
        <f t="shared" si="183"/>
        <v>0</v>
      </c>
      <c r="AP656" s="43"/>
      <c r="AQ656" s="323">
        <f t="shared" si="184"/>
        <v>0</v>
      </c>
      <c r="AR656" s="43"/>
      <c r="AS656" s="44">
        <f t="shared" si="185"/>
        <v>329.59300000000002</v>
      </c>
    </row>
    <row r="657" spans="1:45" x14ac:dyDescent="0.25">
      <c r="A657" s="28"/>
      <c r="B657" s="43"/>
      <c r="C657" s="43"/>
      <c r="D657" s="43"/>
      <c r="E657" s="43" t="s">
        <v>1528</v>
      </c>
      <c r="F657" s="43" t="s">
        <v>1529</v>
      </c>
      <c r="G657" s="46">
        <f t="shared" si="172"/>
        <v>245.69660000000002</v>
      </c>
      <c r="H657" s="46">
        <f t="shared" si="173"/>
        <v>217.98082500000004</v>
      </c>
      <c r="I657" s="28" t="s">
        <v>262</v>
      </c>
      <c r="J657" s="337">
        <v>1</v>
      </c>
      <c r="K657" s="46">
        <f t="shared" si="174"/>
        <v>245.69660000000002</v>
      </c>
      <c r="L657" s="46">
        <f t="shared" si="175"/>
        <v>217.98082500000004</v>
      </c>
      <c r="M657" s="338">
        <f t="shared" si="176"/>
        <v>0</v>
      </c>
      <c r="N657" s="43" t="s">
        <v>147</v>
      </c>
      <c r="O657" s="339">
        <v>85043111</v>
      </c>
      <c r="P657" s="340">
        <f>IFERROR(VLOOKUP(O657,NCM!$A$3:$D$99,COLUMN(head_porNCM_IPI)-COLUMN(head_porNCM_NCM)+1,FALSE),"")</f>
        <v>0.1</v>
      </c>
      <c r="Q657" s="43" t="s">
        <v>1888</v>
      </c>
      <c r="R657" s="78" t="s">
        <v>209</v>
      </c>
      <c r="S657" s="341"/>
      <c r="T657" s="28" t="s">
        <v>52</v>
      </c>
      <c r="U657" s="28" t="s">
        <v>1889</v>
      </c>
      <c r="V657" s="548">
        <v>43490</v>
      </c>
      <c r="W657" s="43"/>
      <c r="X657" s="342">
        <f t="shared" si="177"/>
        <v>49.030363636363631</v>
      </c>
      <c r="Y657" s="342">
        <f t="shared" si="178"/>
        <v>27.239090909090919</v>
      </c>
      <c r="Z657" s="46">
        <f t="shared" si="179"/>
        <v>4.4944499999999996</v>
      </c>
      <c r="AA657" s="46">
        <f t="shared" si="180"/>
        <v>20.701709090909091</v>
      </c>
      <c r="AB657" s="43"/>
      <c r="AC657" s="44">
        <v>299.63</v>
      </c>
      <c r="AD657" s="31">
        <v>0.18</v>
      </c>
      <c r="AE657" s="31">
        <v>0.1</v>
      </c>
      <c r="AF657" s="31">
        <v>0</v>
      </c>
      <c r="AG657" s="28" t="s">
        <v>53</v>
      </c>
      <c r="AH657" s="46">
        <f t="shared" si="181"/>
        <v>329.59300000000002</v>
      </c>
      <c r="AI657" s="43"/>
      <c r="AJ657" s="28"/>
      <c r="AK657" s="337"/>
      <c r="AL657" s="43"/>
      <c r="AM657" s="44">
        <f t="shared" si="182"/>
        <v>0</v>
      </c>
      <c r="AN657" s="43"/>
      <c r="AO657" s="28">
        <f t="shared" si="183"/>
        <v>0</v>
      </c>
      <c r="AP657" s="43"/>
      <c r="AQ657" s="323">
        <f t="shared" si="184"/>
        <v>0</v>
      </c>
      <c r="AR657" s="43"/>
      <c r="AS657" s="44">
        <f t="shared" si="185"/>
        <v>329.59300000000002</v>
      </c>
    </row>
    <row r="658" spans="1:45" x14ac:dyDescent="0.25">
      <c r="A658" s="28"/>
      <c r="B658" s="43"/>
      <c r="C658" s="43"/>
      <c r="D658" s="43"/>
      <c r="E658" s="43" t="s">
        <v>1530</v>
      </c>
      <c r="F658" s="43" t="s">
        <v>1531</v>
      </c>
      <c r="G658" s="46">
        <f t="shared" si="172"/>
        <v>245.69660000000002</v>
      </c>
      <c r="H658" s="46">
        <f t="shared" si="173"/>
        <v>217.98082500000004</v>
      </c>
      <c r="I658" s="28" t="s">
        <v>262</v>
      </c>
      <c r="J658" s="337">
        <v>1</v>
      </c>
      <c r="K658" s="46">
        <f t="shared" si="174"/>
        <v>245.69660000000002</v>
      </c>
      <c r="L658" s="46">
        <f t="shared" si="175"/>
        <v>217.98082500000004</v>
      </c>
      <c r="M658" s="338">
        <f t="shared" si="176"/>
        <v>0</v>
      </c>
      <c r="N658" s="43" t="s">
        <v>147</v>
      </c>
      <c r="O658" s="339">
        <v>85043111</v>
      </c>
      <c r="P658" s="340">
        <f>IFERROR(VLOOKUP(O658,NCM!$A$3:$D$99,COLUMN(head_porNCM_IPI)-COLUMN(head_porNCM_NCM)+1,FALSE),"")</f>
        <v>0.1</v>
      </c>
      <c r="Q658" s="43" t="s">
        <v>1888</v>
      </c>
      <c r="R658" s="78" t="s">
        <v>209</v>
      </c>
      <c r="S658" s="341"/>
      <c r="T658" s="28" t="s">
        <v>52</v>
      </c>
      <c r="U658" s="28" t="s">
        <v>1889</v>
      </c>
      <c r="V658" s="548">
        <v>43490</v>
      </c>
      <c r="W658" s="43"/>
      <c r="X658" s="342">
        <f t="shared" si="177"/>
        <v>49.030363636363631</v>
      </c>
      <c r="Y658" s="342">
        <f t="shared" si="178"/>
        <v>27.239090909090919</v>
      </c>
      <c r="Z658" s="46">
        <f t="shared" si="179"/>
        <v>4.4944499999999996</v>
      </c>
      <c r="AA658" s="46">
        <f t="shared" si="180"/>
        <v>20.701709090909091</v>
      </c>
      <c r="AB658" s="43"/>
      <c r="AC658" s="44">
        <v>299.63</v>
      </c>
      <c r="AD658" s="31">
        <v>0.18</v>
      </c>
      <c r="AE658" s="31">
        <v>0.1</v>
      </c>
      <c r="AF658" s="31">
        <v>0</v>
      </c>
      <c r="AG658" s="28" t="s">
        <v>53</v>
      </c>
      <c r="AH658" s="46">
        <f t="shared" si="181"/>
        <v>329.59300000000002</v>
      </c>
      <c r="AI658" s="43"/>
      <c r="AJ658" s="28"/>
      <c r="AK658" s="337"/>
      <c r="AL658" s="43"/>
      <c r="AM658" s="44">
        <f t="shared" si="182"/>
        <v>0</v>
      </c>
      <c r="AN658" s="43"/>
      <c r="AO658" s="28">
        <f t="shared" si="183"/>
        <v>0</v>
      </c>
      <c r="AP658" s="43"/>
      <c r="AQ658" s="323">
        <f t="shared" si="184"/>
        <v>0</v>
      </c>
      <c r="AR658" s="43"/>
      <c r="AS658" s="44">
        <f t="shared" si="185"/>
        <v>329.59300000000002</v>
      </c>
    </row>
    <row r="659" spans="1:45" x14ac:dyDescent="0.25">
      <c r="A659" s="28"/>
      <c r="B659" s="43"/>
      <c r="C659" s="43"/>
      <c r="D659" s="43"/>
      <c r="E659" s="43" t="s">
        <v>1532</v>
      </c>
      <c r="F659" s="43" t="s">
        <v>1533</v>
      </c>
      <c r="G659" s="46">
        <f t="shared" si="172"/>
        <v>245.69660000000002</v>
      </c>
      <c r="H659" s="46">
        <f t="shared" si="173"/>
        <v>217.98082500000004</v>
      </c>
      <c r="I659" s="28" t="s">
        <v>262</v>
      </c>
      <c r="J659" s="337">
        <v>1</v>
      </c>
      <c r="K659" s="46">
        <f t="shared" si="174"/>
        <v>245.69660000000002</v>
      </c>
      <c r="L659" s="46">
        <f t="shared" si="175"/>
        <v>217.98082500000004</v>
      </c>
      <c r="M659" s="338">
        <f t="shared" si="176"/>
        <v>0</v>
      </c>
      <c r="N659" s="43" t="s">
        <v>147</v>
      </c>
      <c r="O659" s="339">
        <v>85043111</v>
      </c>
      <c r="P659" s="340">
        <f>IFERROR(VLOOKUP(O659,NCM!$A$3:$D$99,COLUMN(head_porNCM_IPI)-COLUMN(head_porNCM_NCM)+1,FALSE),"")</f>
        <v>0.1</v>
      </c>
      <c r="Q659" s="43" t="s">
        <v>1888</v>
      </c>
      <c r="R659" s="78" t="s">
        <v>209</v>
      </c>
      <c r="S659" s="341"/>
      <c r="T659" s="28" t="s">
        <v>52</v>
      </c>
      <c r="U659" s="28" t="s">
        <v>1889</v>
      </c>
      <c r="V659" s="548">
        <v>43490</v>
      </c>
      <c r="W659" s="43"/>
      <c r="X659" s="342">
        <f t="shared" si="177"/>
        <v>49.030363636363631</v>
      </c>
      <c r="Y659" s="342">
        <f t="shared" si="178"/>
        <v>27.239090909090919</v>
      </c>
      <c r="Z659" s="46">
        <f t="shared" si="179"/>
        <v>4.4944499999999996</v>
      </c>
      <c r="AA659" s="46">
        <f t="shared" si="180"/>
        <v>20.701709090909091</v>
      </c>
      <c r="AB659" s="43"/>
      <c r="AC659" s="44">
        <v>299.63</v>
      </c>
      <c r="AD659" s="31">
        <v>0.18</v>
      </c>
      <c r="AE659" s="31">
        <v>0.1</v>
      </c>
      <c r="AF659" s="31">
        <v>0</v>
      </c>
      <c r="AG659" s="28" t="s">
        <v>53</v>
      </c>
      <c r="AH659" s="46">
        <f t="shared" si="181"/>
        <v>329.59300000000002</v>
      </c>
      <c r="AI659" s="43"/>
      <c r="AJ659" s="28"/>
      <c r="AK659" s="337"/>
      <c r="AL659" s="43"/>
      <c r="AM659" s="44">
        <f t="shared" si="182"/>
        <v>0</v>
      </c>
      <c r="AN659" s="43"/>
      <c r="AO659" s="28">
        <f t="shared" si="183"/>
        <v>0</v>
      </c>
      <c r="AP659" s="43"/>
      <c r="AQ659" s="323">
        <f t="shared" si="184"/>
        <v>0</v>
      </c>
      <c r="AR659" s="43"/>
      <c r="AS659" s="44">
        <f t="shared" si="185"/>
        <v>329.59300000000002</v>
      </c>
    </row>
    <row r="660" spans="1:45" x14ac:dyDescent="0.25">
      <c r="A660" s="28"/>
      <c r="B660" s="43"/>
      <c r="C660" s="43"/>
      <c r="D660" s="43"/>
      <c r="E660" s="43" t="s">
        <v>1534</v>
      </c>
      <c r="F660" s="43" t="s">
        <v>1535</v>
      </c>
      <c r="G660" s="46">
        <f t="shared" si="172"/>
        <v>944.92639999999994</v>
      </c>
      <c r="H660" s="46">
        <f t="shared" si="173"/>
        <v>845.60175000000004</v>
      </c>
      <c r="I660" s="28" t="s">
        <v>262</v>
      </c>
      <c r="J660" s="337">
        <v>1</v>
      </c>
      <c r="K660" s="46">
        <f t="shared" si="174"/>
        <v>944.92639999999994</v>
      </c>
      <c r="L660" s="46">
        <f t="shared" si="175"/>
        <v>845.60175000000004</v>
      </c>
      <c r="M660" s="338">
        <f t="shared" si="176"/>
        <v>0</v>
      </c>
      <c r="N660" s="43" t="s">
        <v>147</v>
      </c>
      <c r="O660" s="339">
        <v>85043111</v>
      </c>
      <c r="P660" s="340">
        <f>IFERROR(VLOOKUP(O660,NCM!$A$3:$D$99,COLUMN(head_porNCM_IPI)-COLUMN(head_porNCM_NCM)+1,FALSE),"")</f>
        <v>0.1</v>
      </c>
      <c r="Q660" s="43" t="s">
        <v>1888</v>
      </c>
      <c r="R660" s="78" t="s">
        <v>209</v>
      </c>
      <c r="S660" s="341"/>
      <c r="T660" s="28" t="s">
        <v>52</v>
      </c>
      <c r="U660" s="28" t="s">
        <v>1890</v>
      </c>
      <c r="V660" s="548">
        <v>43725</v>
      </c>
      <c r="W660" s="43"/>
      <c r="X660" s="342">
        <f t="shared" si="177"/>
        <v>117.13963636363634</v>
      </c>
      <c r="Y660" s="342">
        <f t="shared" si="178"/>
        <v>97.616363636363758</v>
      </c>
      <c r="Z660" s="46">
        <f t="shared" si="179"/>
        <v>16.1067</v>
      </c>
      <c r="AA660" s="46">
        <f t="shared" si="180"/>
        <v>74.188436363636356</v>
      </c>
      <c r="AB660" s="43"/>
      <c r="AC660" s="44">
        <v>1073.78</v>
      </c>
      <c r="AD660" s="31">
        <v>0.12</v>
      </c>
      <c r="AE660" s="31">
        <v>0.1</v>
      </c>
      <c r="AF660" s="31">
        <v>0</v>
      </c>
      <c r="AG660" s="28" t="s">
        <v>53</v>
      </c>
      <c r="AH660" s="46">
        <f t="shared" si="181"/>
        <v>1181.1580000000001</v>
      </c>
      <c r="AI660" s="43"/>
      <c r="AJ660" s="28"/>
      <c r="AK660" s="337"/>
      <c r="AL660" s="43"/>
      <c r="AM660" s="44">
        <f t="shared" si="182"/>
        <v>0</v>
      </c>
      <c r="AN660" s="43"/>
      <c r="AO660" s="28">
        <f t="shared" si="183"/>
        <v>0</v>
      </c>
      <c r="AP660" s="43"/>
      <c r="AQ660" s="323">
        <f t="shared" si="184"/>
        <v>0</v>
      </c>
      <c r="AR660" s="43"/>
      <c r="AS660" s="44">
        <f t="shared" si="185"/>
        <v>1181.1580000000001</v>
      </c>
    </row>
    <row r="661" spans="1:45" x14ac:dyDescent="0.25">
      <c r="A661" s="28"/>
      <c r="B661" s="43"/>
      <c r="C661" s="43"/>
      <c r="D661" s="43"/>
      <c r="E661" s="43" t="s">
        <v>1536</v>
      </c>
      <c r="F661" s="43" t="s">
        <v>1537</v>
      </c>
      <c r="G661" s="46">
        <f t="shared" si="172"/>
        <v>1511.2592</v>
      </c>
      <c r="H661" s="46">
        <f t="shared" si="173"/>
        <v>1352.40525</v>
      </c>
      <c r="I661" s="28" t="s">
        <v>262</v>
      </c>
      <c r="J661" s="337">
        <v>1</v>
      </c>
      <c r="K661" s="46">
        <f t="shared" si="174"/>
        <v>1511.2592</v>
      </c>
      <c r="L661" s="46">
        <f t="shared" si="175"/>
        <v>1352.40525</v>
      </c>
      <c r="M661" s="338">
        <f t="shared" si="176"/>
        <v>0</v>
      </c>
      <c r="N661" s="43" t="s">
        <v>147</v>
      </c>
      <c r="O661" s="339">
        <v>85043111</v>
      </c>
      <c r="P661" s="340">
        <f>IFERROR(VLOOKUP(O661,NCM!$A$3:$D$99,COLUMN(head_porNCM_IPI)-COLUMN(head_porNCM_NCM)+1,FALSE),"")</f>
        <v>0.1</v>
      </c>
      <c r="Q661" s="43" t="s">
        <v>1888</v>
      </c>
      <c r="R661" s="78" t="s">
        <v>209</v>
      </c>
      <c r="S661" s="341"/>
      <c r="T661" s="28" t="s">
        <v>52</v>
      </c>
      <c r="U661" s="28" t="s">
        <v>1890</v>
      </c>
      <c r="V661" s="548">
        <v>43725</v>
      </c>
      <c r="W661" s="43"/>
      <c r="X661" s="342">
        <f t="shared" si="177"/>
        <v>187.34618181818178</v>
      </c>
      <c r="Y661" s="342">
        <f t="shared" si="178"/>
        <v>156.1218181818183</v>
      </c>
      <c r="Z661" s="46">
        <f t="shared" si="179"/>
        <v>25.760099999999998</v>
      </c>
      <c r="AA661" s="46">
        <f t="shared" si="180"/>
        <v>118.6525818181818</v>
      </c>
      <c r="AB661" s="43"/>
      <c r="AC661" s="44">
        <v>1717.34</v>
      </c>
      <c r="AD661" s="31">
        <v>0.12</v>
      </c>
      <c r="AE661" s="31">
        <v>0.1</v>
      </c>
      <c r="AF661" s="31">
        <v>0</v>
      </c>
      <c r="AG661" s="28" t="s">
        <v>53</v>
      </c>
      <c r="AH661" s="46">
        <f t="shared" si="181"/>
        <v>1889.0740000000001</v>
      </c>
      <c r="AI661" s="43"/>
      <c r="AJ661" s="28"/>
      <c r="AK661" s="337"/>
      <c r="AL661" s="43"/>
      <c r="AM661" s="44">
        <f t="shared" si="182"/>
        <v>0</v>
      </c>
      <c r="AN661" s="43"/>
      <c r="AO661" s="28">
        <f t="shared" si="183"/>
        <v>0</v>
      </c>
      <c r="AP661" s="43"/>
      <c r="AQ661" s="323">
        <f t="shared" si="184"/>
        <v>0</v>
      </c>
      <c r="AR661" s="43"/>
      <c r="AS661" s="44">
        <f t="shared" si="185"/>
        <v>1889.0740000000001</v>
      </c>
    </row>
    <row r="662" spans="1:45" x14ac:dyDescent="0.25">
      <c r="A662" s="28"/>
      <c r="B662" s="43"/>
      <c r="C662" s="43"/>
      <c r="D662" s="43"/>
      <c r="E662" s="43" t="s">
        <v>1538</v>
      </c>
      <c r="F662" s="43" t="s">
        <v>1539</v>
      </c>
      <c r="G662" s="46">
        <f t="shared" si="172"/>
        <v>60.302800000000012</v>
      </c>
      <c r="H662" s="46">
        <f t="shared" si="173"/>
        <v>53.500350000000019</v>
      </c>
      <c r="I662" s="28" t="s">
        <v>262</v>
      </c>
      <c r="J662" s="337">
        <v>1</v>
      </c>
      <c r="K662" s="46">
        <f t="shared" si="174"/>
        <v>60.302800000000012</v>
      </c>
      <c r="L662" s="46">
        <f t="shared" si="175"/>
        <v>53.500350000000019</v>
      </c>
      <c r="M662" s="338">
        <f t="shared" si="176"/>
        <v>0</v>
      </c>
      <c r="N662" s="43" t="s">
        <v>147</v>
      </c>
      <c r="O662" s="339">
        <v>85043111</v>
      </c>
      <c r="P662" s="340">
        <f>IFERROR(VLOOKUP(O662,NCM!$A$3:$D$99,COLUMN(head_porNCM_IPI)-COLUMN(head_porNCM_NCM)+1,FALSE),"")</f>
        <v>0.1</v>
      </c>
      <c r="Q662" s="43" t="s">
        <v>1891</v>
      </c>
      <c r="R662" s="78" t="s">
        <v>209</v>
      </c>
      <c r="S662" s="341"/>
      <c r="T662" s="28" t="s">
        <v>52</v>
      </c>
      <c r="U662" s="28" t="s">
        <v>1892</v>
      </c>
      <c r="V662" s="548">
        <v>44061</v>
      </c>
      <c r="W662" s="43"/>
      <c r="X662" s="342">
        <f t="shared" si="177"/>
        <v>12.033818181818182</v>
      </c>
      <c r="Y662" s="342">
        <f t="shared" si="178"/>
        <v>6.6854545454545473</v>
      </c>
      <c r="Z662" s="46">
        <f t="shared" si="179"/>
        <v>1.1031000000000002</v>
      </c>
      <c r="AA662" s="46">
        <f t="shared" si="180"/>
        <v>5.0809454545454544</v>
      </c>
      <c r="AB662" s="43"/>
      <c r="AC662" s="44">
        <v>73.540000000000006</v>
      </c>
      <c r="AD662" s="31">
        <v>0.18</v>
      </c>
      <c r="AE662" s="31">
        <v>0.1</v>
      </c>
      <c r="AF662" s="31">
        <v>0</v>
      </c>
      <c r="AG662" s="28" t="s">
        <v>53</v>
      </c>
      <c r="AH662" s="46">
        <f t="shared" si="181"/>
        <v>80.89400000000002</v>
      </c>
      <c r="AI662" s="43"/>
      <c r="AJ662" s="28"/>
      <c r="AK662" s="337"/>
      <c r="AL662" s="43"/>
      <c r="AM662" s="44">
        <f t="shared" si="182"/>
        <v>0</v>
      </c>
      <c r="AN662" s="43"/>
      <c r="AO662" s="28">
        <f t="shared" si="183"/>
        <v>0</v>
      </c>
      <c r="AP662" s="43"/>
      <c r="AQ662" s="323">
        <f t="shared" si="184"/>
        <v>0</v>
      </c>
      <c r="AR662" s="43"/>
      <c r="AS662" s="44">
        <f t="shared" si="185"/>
        <v>80.89400000000002</v>
      </c>
    </row>
    <row r="663" spans="1:45" x14ac:dyDescent="0.25">
      <c r="A663" s="28"/>
      <c r="B663" s="43"/>
      <c r="C663" s="43"/>
      <c r="D663" s="43"/>
      <c r="E663" s="43" t="s">
        <v>1540</v>
      </c>
      <c r="F663" s="43" t="s">
        <v>1541</v>
      </c>
      <c r="G663" s="46">
        <f t="shared" si="172"/>
        <v>79.393600000000006</v>
      </c>
      <c r="H663" s="46">
        <f t="shared" si="173"/>
        <v>71.04825000000001</v>
      </c>
      <c r="I663" s="28" t="s">
        <v>262</v>
      </c>
      <c r="J663" s="337">
        <v>1</v>
      </c>
      <c r="K663" s="46">
        <f t="shared" si="174"/>
        <v>79.393600000000006</v>
      </c>
      <c r="L663" s="46">
        <f t="shared" si="175"/>
        <v>71.04825000000001</v>
      </c>
      <c r="M663" s="338">
        <f t="shared" si="176"/>
        <v>0</v>
      </c>
      <c r="N663" s="43" t="s">
        <v>147</v>
      </c>
      <c r="O663" s="339">
        <v>85043111</v>
      </c>
      <c r="P663" s="340">
        <f>IFERROR(VLOOKUP(O663,NCM!$A$3:$D$99,COLUMN(head_porNCM_IPI)-COLUMN(head_porNCM_NCM)+1,FALSE),"")</f>
        <v>0.1</v>
      </c>
      <c r="Q663" s="43" t="s">
        <v>1891</v>
      </c>
      <c r="R663" s="78" t="s">
        <v>209</v>
      </c>
      <c r="S663" s="341"/>
      <c r="T663" s="28" t="s">
        <v>52</v>
      </c>
      <c r="U663" s="28" t="s">
        <v>1892</v>
      </c>
      <c r="V663" s="548">
        <v>44061</v>
      </c>
      <c r="W663" s="43"/>
      <c r="X663" s="342">
        <f t="shared" si="177"/>
        <v>9.8421818181818175</v>
      </c>
      <c r="Y663" s="342">
        <f t="shared" si="178"/>
        <v>8.201818181818183</v>
      </c>
      <c r="Z663" s="46">
        <f t="shared" si="179"/>
        <v>1.3532999999999999</v>
      </c>
      <c r="AA663" s="46">
        <f t="shared" si="180"/>
        <v>6.2333818181818179</v>
      </c>
      <c r="AB663" s="43"/>
      <c r="AC663" s="44">
        <v>90.22</v>
      </c>
      <c r="AD663" s="31">
        <v>0.12</v>
      </c>
      <c r="AE663" s="31">
        <v>0.1</v>
      </c>
      <c r="AF663" s="31">
        <v>0</v>
      </c>
      <c r="AG663" s="28" t="s">
        <v>53</v>
      </c>
      <c r="AH663" s="46">
        <f t="shared" si="181"/>
        <v>99.242000000000004</v>
      </c>
      <c r="AI663" s="43"/>
      <c r="AJ663" s="28"/>
      <c r="AK663" s="337"/>
      <c r="AL663" s="43"/>
      <c r="AM663" s="44">
        <f t="shared" si="182"/>
        <v>0</v>
      </c>
      <c r="AN663" s="43"/>
      <c r="AO663" s="28">
        <f t="shared" si="183"/>
        <v>0</v>
      </c>
      <c r="AP663" s="43"/>
      <c r="AQ663" s="323">
        <f t="shared" si="184"/>
        <v>0</v>
      </c>
      <c r="AR663" s="43"/>
      <c r="AS663" s="44">
        <f t="shared" si="185"/>
        <v>99.242000000000004</v>
      </c>
    </row>
    <row r="664" spans="1:45" x14ac:dyDescent="0.25">
      <c r="A664" s="28"/>
      <c r="B664" s="43"/>
      <c r="C664" s="43"/>
      <c r="D664" s="43"/>
      <c r="E664" s="43" t="s">
        <v>1542</v>
      </c>
      <c r="F664" s="43" t="s">
        <v>1543</v>
      </c>
      <c r="G664" s="46">
        <f t="shared" si="172"/>
        <v>79.393600000000006</v>
      </c>
      <c r="H664" s="46">
        <f t="shared" si="173"/>
        <v>71.04825000000001</v>
      </c>
      <c r="I664" s="28" t="s">
        <v>262</v>
      </c>
      <c r="J664" s="337">
        <v>1</v>
      </c>
      <c r="K664" s="46">
        <f t="shared" si="174"/>
        <v>79.393600000000006</v>
      </c>
      <c r="L664" s="46">
        <f t="shared" si="175"/>
        <v>71.04825000000001</v>
      </c>
      <c r="M664" s="338">
        <f t="shared" si="176"/>
        <v>0</v>
      </c>
      <c r="N664" s="43" t="s">
        <v>147</v>
      </c>
      <c r="O664" s="339">
        <v>85043111</v>
      </c>
      <c r="P664" s="340">
        <f>IFERROR(VLOOKUP(O664,NCM!$A$3:$D$99,COLUMN(head_porNCM_IPI)-COLUMN(head_porNCM_NCM)+1,FALSE),"")</f>
        <v>0.1</v>
      </c>
      <c r="Q664" s="43" t="s">
        <v>1891</v>
      </c>
      <c r="R664" s="78" t="s">
        <v>209</v>
      </c>
      <c r="S664" s="341"/>
      <c r="T664" s="28" t="s">
        <v>52</v>
      </c>
      <c r="U664" s="28" t="s">
        <v>1892</v>
      </c>
      <c r="V664" s="548">
        <v>44061</v>
      </c>
      <c r="W664" s="43"/>
      <c r="X664" s="342">
        <f t="shared" si="177"/>
        <v>9.8421818181818175</v>
      </c>
      <c r="Y664" s="342">
        <f t="shared" si="178"/>
        <v>8.201818181818183</v>
      </c>
      <c r="Z664" s="46">
        <f t="shared" si="179"/>
        <v>1.3532999999999999</v>
      </c>
      <c r="AA664" s="46">
        <f t="shared" si="180"/>
        <v>6.2333818181818179</v>
      </c>
      <c r="AB664" s="43"/>
      <c r="AC664" s="44">
        <v>90.22</v>
      </c>
      <c r="AD664" s="31">
        <v>0.12</v>
      </c>
      <c r="AE664" s="31">
        <v>0.1</v>
      </c>
      <c r="AF664" s="31">
        <v>0</v>
      </c>
      <c r="AG664" s="28" t="s">
        <v>53</v>
      </c>
      <c r="AH664" s="46">
        <f t="shared" si="181"/>
        <v>99.242000000000004</v>
      </c>
      <c r="AI664" s="43"/>
      <c r="AJ664" s="28"/>
      <c r="AK664" s="337"/>
      <c r="AL664" s="43"/>
      <c r="AM664" s="44">
        <f t="shared" si="182"/>
        <v>0</v>
      </c>
      <c r="AN664" s="43"/>
      <c r="AO664" s="28">
        <f t="shared" si="183"/>
        <v>0</v>
      </c>
      <c r="AP664" s="43"/>
      <c r="AQ664" s="323">
        <f t="shared" si="184"/>
        <v>0</v>
      </c>
      <c r="AR664" s="43"/>
      <c r="AS664" s="44">
        <f t="shared" si="185"/>
        <v>99.242000000000004</v>
      </c>
    </row>
    <row r="665" spans="1:45" x14ac:dyDescent="0.25">
      <c r="A665" s="28"/>
      <c r="B665" s="43"/>
      <c r="C665" s="43"/>
      <c r="D665" s="43" t="s">
        <v>1544</v>
      </c>
      <c r="E665" s="43"/>
      <c r="F665" s="43"/>
      <c r="G665" s="46">
        <f t="shared" si="172"/>
        <v>0</v>
      </c>
      <c r="H665" s="46">
        <f t="shared" si="173"/>
        <v>0</v>
      </c>
      <c r="I665" s="28"/>
      <c r="J665" s="337"/>
      <c r="K665" s="46" t="str">
        <f t="shared" si="174"/>
        <v/>
      </c>
      <c r="L665" s="46" t="str">
        <f t="shared" si="175"/>
        <v/>
      </c>
      <c r="M665" s="338">
        <f t="shared" si="176"/>
        <v>0</v>
      </c>
      <c r="N665" s="43"/>
      <c r="O665" s="339"/>
      <c r="P665" s="340" t="str">
        <f>IFERROR(VLOOKUP(O665,NCM!$A$3:$D$99,COLUMN(head_porNCM_IPI)-COLUMN(head_porNCM_NCM)+1,FALSE),"")</f>
        <v/>
      </c>
      <c r="Q665" s="43"/>
      <c r="R665" s="78"/>
      <c r="S665" s="341"/>
      <c r="T665" s="28"/>
      <c r="U665" s="28"/>
      <c r="V665" s="28"/>
      <c r="W665" s="43"/>
      <c r="X665" s="342">
        <f t="shared" si="177"/>
        <v>0</v>
      </c>
      <c r="Y665" s="342">
        <f t="shared" si="178"/>
        <v>0</v>
      </c>
      <c r="Z665" s="46">
        <f t="shared" si="179"/>
        <v>0</v>
      </c>
      <c r="AA665" s="46">
        <f t="shared" si="180"/>
        <v>0</v>
      </c>
      <c r="AB665" s="43"/>
      <c r="AC665" s="44">
        <v>0</v>
      </c>
      <c r="AD665" s="31"/>
      <c r="AE665" s="31"/>
      <c r="AF665" s="31"/>
      <c r="AG665" s="28"/>
      <c r="AH665" s="46">
        <f t="shared" si="181"/>
        <v>0</v>
      </c>
      <c r="AI665" s="43"/>
      <c r="AJ665" s="28"/>
      <c r="AK665" s="337"/>
      <c r="AL665" s="43"/>
      <c r="AM665" s="44">
        <f t="shared" si="182"/>
        <v>0</v>
      </c>
      <c r="AN665" s="43"/>
      <c r="AO665" s="28">
        <f t="shared" si="183"/>
        <v>0</v>
      </c>
      <c r="AP665" s="43"/>
      <c r="AQ665" s="323">
        <f t="shared" si="184"/>
        <v>0</v>
      </c>
      <c r="AR665" s="43"/>
      <c r="AS665" s="44">
        <f t="shared" si="185"/>
        <v>0</v>
      </c>
    </row>
    <row r="666" spans="1:45" x14ac:dyDescent="0.25">
      <c r="A666" s="28"/>
      <c r="B666" s="43"/>
      <c r="C666" s="43"/>
      <c r="D666" s="43"/>
      <c r="E666" s="43" t="s">
        <v>3095</v>
      </c>
      <c r="F666" s="43" t="s">
        <v>1545</v>
      </c>
      <c r="G666" s="46">
        <f t="shared" si="172"/>
        <v>315.47040000000004</v>
      </c>
      <c r="H666" s="46">
        <f t="shared" si="173"/>
        <v>279.88380000000006</v>
      </c>
      <c r="I666" s="28" t="s">
        <v>262</v>
      </c>
      <c r="J666" s="337">
        <v>0.35</v>
      </c>
      <c r="K666" s="46">
        <f t="shared" si="174"/>
        <v>110.41464000000001</v>
      </c>
      <c r="L666" s="46">
        <f t="shared" si="175"/>
        <v>97.959330000000023</v>
      </c>
      <c r="M666" s="338">
        <f t="shared" si="176"/>
        <v>0</v>
      </c>
      <c r="N666" s="43" t="s">
        <v>147</v>
      </c>
      <c r="O666" s="339">
        <v>85043111</v>
      </c>
      <c r="P666" s="340">
        <f>IFERROR(VLOOKUP(O666,NCM!$A$3:$D$99,COLUMN(head_porNCM_IPI)-COLUMN(head_porNCM_NCM)+1,FALSE),"")</f>
        <v>0.1</v>
      </c>
      <c r="Q666" s="43" t="s">
        <v>806</v>
      </c>
      <c r="R666" s="78" t="s">
        <v>210</v>
      </c>
      <c r="S666" s="341"/>
      <c r="T666" s="28" t="s">
        <v>52</v>
      </c>
      <c r="U666" s="28" t="s">
        <v>3113</v>
      </c>
      <c r="V666" s="548">
        <v>45469</v>
      </c>
      <c r="W666" s="43"/>
      <c r="X666" s="342">
        <f t="shared" si="177"/>
        <v>65.023098591549299</v>
      </c>
      <c r="Y666" s="342">
        <f t="shared" si="178"/>
        <v>23.480563380281694</v>
      </c>
      <c r="Z666" s="46">
        <f t="shared" si="179"/>
        <v>5.9604507042253525</v>
      </c>
      <c r="AA666" s="46">
        <f t="shared" si="180"/>
        <v>27.454197183098593</v>
      </c>
      <c r="AB666" s="43"/>
      <c r="AC666" s="44">
        <v>384.72</v>
      </c>
      <c r="AD666" s="31">
        <v>0.18</v>
      </c>
      <c r="AE666" s="31">
        <v>6.5000000000000002E-2</v>
      </c>
      <c r="AF666" s="31">
        <v>0</v>
      </c>
      <c r="AG666" s="28" t="s">
        <v>53</v>
      </c>
      <c r="AH666" s="46">
        <f t="shared" si="181"/>
        <v>409.72680000000003</v>
      </c>
      <c r="AI666" s="43"/>
      <c r="AJ666" s="28" t="s">
        <v>264</v>
      </c>
      <c r="AK666" s="337"/>
      <c r="AL666" s="43"/>
      <c r="AM666" s="44">
        <f t="shared" si="182"/>
        <v>0</v>
      </c>
      <c r="AN666" s="43"/>
      <c r="AO666" s="28">
        <f t="shared" si="183"/>
        <v>0</v>
      </c>
      <c r="AP666" s="43"/>
      <c r="AQ666" s="323">
        <f t="shared" si="184"/>
        <v>0</v>
      </c>
      <c r="AR666" s="43"/>
      <c r="AS666" s="44">
        <f t="shared" si="185"/>
        <v>409.72680000000003</v>
      </c>
    </row>
    <row r="667" spans="1:45" x14ac:dyDescent="0.25">
      <c r="A667" s="28"/>
      <c r="B667" s="43"/>
      <c r="C667" s="43"/>
      <c r="D667" s="43"/>
      <c r="E667" s="43" t="s">
        <v>3096</v>
      </c>
      <c r="F667" s="43" t="s">
        <v>1546</v>
      </c>
      <c r="G667" s="46">
        <f t="shared" si="172"/>
        <v>315.47040000000004</v>
      </c>
      <c r="H667" s="46">
        <f t="shared" si="173"/>
        <v>279.88380000000006</v>
      </c>
      <c r="I667" s="28" t="s">
        <v>262</v>
      </c>
      <c r="J667" s="337">
        <v>0.35</v>
      </c>
      <c r="K667" s="46">
        <f t="shared" si="174"/>
        <v>110.41464000000001</v>
      </c>
      <c r="L667" s="46">
        <f t="shared" si="175"/>
        <v>97.959330000000023</v>
      </c>
      <c r="M667" s="338">
        <f t="shared" si="176"/>
        <v>0</v>
      </c>
      <c r="N667" s="43" t="s">
        <v>147</v>
      </c>
      <c r="O667" s="339">
        <v>85043111</v>
      </c>
      <c r="P667" s="340">
        <f>IFERROR(VLOOKUP(O667,NCM!$A$3:$D$99,COLUMN(head_porNCM_IPI)-COLUMN(head_porNCM_NCM)+1,FALSE),"")</f>
        <v>0.1</v>
      </c>
      <c r="Q667" s="43" t="s">
        <v>806</v>
      </c>
      <c r="R667" s="78" t="s">
        <v>210</v>
      </c>
      <c r="S667" s="341"/>
      <c r="T667" s="28" t="s">
        <v>52</v>
      </c>
      <c r="U667" s="28" t="s">
        <v>3113</v>
      </c>
      <c r="V667" s="548">
        <v>45469</v>
      </c>
      <c r="W667" s="43"/>
      <c r="X667" s="342">
        <f t="shared" si="177"/>
        <v>65.023098591549299</v>
      </c>
      <c r="Y667" s="342">
        <f t="shared" si="178"/>
        <v>23.480563380281694</v>
      </c>
      <c r="Z667" s="46">
        <f t="shared" si="179"/>
        <v>5.9604507042253525</v>
      </c>
      <c r="AA667" s="46">
        <f t="shared" si="180"/>
        <v>27.454197183098593</v>
      </c>
      <c r="AB667" s="43"/>
      <c r="AC667" s="44">
        <v>384.72</v>
      </c>
      <c r="AD667" s="31">
        <v>0.18</v>
      </c>
      <c r="AE667" s="31">
        <v>6.5000000000000002E-2</v>
      </c>
      <c r="AF667" s="31">
        <v>0</v>
      </c>
      <c r="AG667" s="28" t="s">
        <v>53</v>
      </c>
      <c r="AH667" s="46">
        <f t="shared" si="181"/>
        <v>409.72680000000003</v>
      </c>
      <c r="AI667" s="43"/>
      <c r="AJ667" s="28" t="s">
        <v>264</v>
      </c>
      <c r="AK667" s="337"/>
      <c r="AL667" s="43"/>
      <c r="AM667" s="44">
        <f t="shared" si="182"/>
        <v>0</v>
      </c>
      <c r="AN667" s="43"/>
      <c r="AO667" s="28">
        <f t="shared" si="183"/>
        <v>0</v>
      </c>
      <c r="AP667" s="43"/>
      <c r="AQ667" s="323">
        <f t="shared" si="184"/>
        <v>0</v>
      </c>
      <c r="AR667" s="43"/>
      <c r="AS667" s="44">
        <f t="shared" si="185"/>
        <v>409.72680000000003</v>
      </c>
    </row>
    <row r="668" spans="1:45" x14ac:dyDescent="0.25">
      <c r="A668" s="28"/>
      <c r="B668" s="43"/>
      <c r="C668" s="43"/>
      <c r="D668" s="43"/>
      <c r="E668" s="43" t="s">
        <v>3097</v>
      </c>
      <c r="F668" s="43" t="s">
        <v>1547</v>
      </c>
      <c r="G668" s="46">
        <f t="shared" si="172"/>
        <v>315.47040000000004</v>
      </c>
      <c r="H668" s="46">
        <f t="shared" si="173"/>
        <v>279.88380000000006</v>
      </c>
      <c r="I668" s="28" t="s">
        <v>262</v>
      </c>
      <c r="J668" s="337">
        <v>0.35</v>
      </c>
      <c r="K668" s="46">
        <f t="shared" si="174"/>
        <v>110.41464000000001</v>
      </c>
      <c r="L668" s="46">
        <f t="shared" si="175"/>
        <v>97.959330000000023</v>
      </c>
      <c r="M668" s="338">
        <f t="shared" si="176"/>
        <v>0</v>
      </c>
      <c r="N668" s="43" t="s">
        <v>147</v>
      </c>
      <c r="O668" s="339">
        <v>85043111</v>
      </c>
      <c r="P668" s="340">
        <f>IFERROR(VLOOKUP(O668,NCM!$A$3:$D$99,COLUMN(head_porNCM_IPI)-COLUMN(head_porNCM_NCM)+1,FALSE),"")</f>
        <v>0.1</v>
      </c>
      <c r="Q668" s="43" t="s">
        <v>806</v>
      </c>
      <c r="R668" s="78" t="s">
        <v>210</v>
      </c>
      <c r="S668" s="341"/>
      <c r="T668" s="28" t="s">
        <v>52</v>
      </c>
      <c r="U668" s="28" t="s">
        <v>3113</v>
      </c>
      <c r="V668" s="548">
        <v>45469</v>
      </c>
      <c r="W668" s="43"/>
      <c r="X668" s="342">
        <f t="shared" si="177"/>
        <v>65.023098591549299</v>
      </c>
      <c r="Y668" s="342">
        <f t="shared" si="178"/>
        <v>23.480563380281694</v>
      </c>
      <c r="Z668" s="46">
        <f t="shared" si="179"/>
        <v>5.9604507042253525</v>
      </c>
      <c r="AA668" s="46">
        <f t="shared" si="180"/>
        <v>27.454197183098593</v>
      </c>
      <c r="AB668" s="43"/>
      <c r="AC668" s="44">
        <v>384.72</v>
      </c>
      <c r="AD668" s="31">
        <v>0.18</v>
      </c>
      <c r="AE668" s="31">
        <v>6.5000000000000002E-2</v>
      </c>
      <c r="AF668" s="31">
        <v>0</v>
      </c>
      <c r="AG668" s="28" t="s">
        <v>53</v>
      </c>
      <c r="AH668" s="46">
        <f t="shared" si="181"/>
        <v>409.72680000000003</v>
      </c>
      <c r="AI668" s="43"/>
      <c r="AJ668" s="28" t="s">
        <v>264</v>
      </c>
      <c r="AK668" s="337"/>
      <c r="AL668" s="43"/>
      <c r="AM668" s="44">
        <f t="shared" si="182"/>
        <v>0</v>
      </c>
      <c r="AN668" s="43"/>
      <c r="AO668" s="28">
        <f t="shared" si="183"/>
        <v>0</v>
      </c>
      <c r="AP668" s="43"/>
      <c r="AQ668" s="323">
        <f t="shared" si="184"/>
        <v>0</v>
      </c>
      <c r="AR668" s="43"/>
      <c r="AS668" s="44">
        <f t="shared" si="185"/>
        <v>409.72680000000003</v>
      </c>
    </row>
    <row r="669" spans="1:45" x14ac:dyDescent="0.25">
      <c r="A669" s="28"/>
      <c r="B669" s="43"/>
      <c r="C669" s="43"/>
      <c r="D669" s="43"/>
      <c r="E669" s="43" t="s">
        <v>3098</v>
      </c>
      <c r="F669" s="43" t="s">
        <v>1548</v>
      </c>
      <c r="G669" s="46">
        <f t="shared" si="172"/>
        <v>315.47040000000004</v>
      </c>
      <c r="H669" s="46">
        <f t="shared" si="173"/>
        <v>279.88380000000006</v>
      </c>
      <c r="I669" s="28" t="s">
        <v>262</v>
      </c>
      <c r="J669" s="337">
        <v>0.35</v>
      </c>
      <c r="K669" s="46">
        <f t="shared" si="174"/>
        <v>110.41464000000001</v>
      </c>
      <c r="L669" s="46">
        <f t="shared" si="175"/>
        <v>97.959330000000023</v>
      </c>
      <c r="M669" s="338">
        <f t="shared" si="176"/>
        <v>0</v>
      </c>
      <c r="N669" s="43" t="s">
        <v>147</v>
      </c>
      <c r="O669" s="339">
        <v>85043111</v>
      </c>
      <c r="P669" s="340">
        <f>IFERROR(VLOOKUP(O669,NCM!$A$3:$D$99,COLUMN(head_porNCM_IPI)-COLUMN(head_porNCM_NCM)+1,FALSE),"")</f>
        <v>0.1</v>
      </c>
      <c r="Q669" s="43" t="s">
        <v>806</v>
      </c>
      <c r="R669" s="78" t="s">
        <v>210</v>
      </c>
      <c r="S669" s="341"/>
      <c r="T669" s="28" t="s">
        <v>52</v>
      </c>
      <c r="U669" s="28" t="s">
        <v>3113</v>
      </c>
      <c r="V669" s="548">
        <v>45469</v>
      </c>
      <c r="W669" s="43"/>
      <c r="X669" s="342">
        <f t="shared" si="177"/>
        <v>65.023098591549299</v>
      </c>
      <c r="Y669" s="342">
        <f t="shared" si="178"/>
        <v>23.480563380281694</v>
      </c>
      <c r="Z669" s="46">
        <f t="shared" si="179"/>
        <v>5.9604507042253525</v>
      </c>
      <c r="AA669" s="46">
        <f t="shared" si="180"/>
        <v>27.454197183098593</v>
      </c>
      <c r="AB669" s="43"/>
      <c r="AC669" s="44">
        <v>384.72</v>
      </c>
      <c r="AD669" s="31">
        <v>0.18</v>
      </c>
      <c r="AE669" s="31">
        <v>6.5000000000000002E-2</v>
      </c>
      <c r="AF669" s="31">
        <v>0</v>
      </c>
      <c r="AG669" s="28" t="s">
        <v>53</v>
      </c>
      <c r="AH669" s="46">
        <f t="shared" si="181"/>
        <v>409.72680000000003</v>
      </c>
      <c r="AI669" s="43"/>
      <c r="AJ669" s="28" t="s">
        <v>264</v>
      </c>
      <c r="AK669" s="337"/>
      <c r="AL669" s="43"/>
      <c r="AM669" s="44">
        <f t="shared" si="182"/>
        <v>0</v>
      </c>
      <c r="AN669" s="43"/>
      <c r="AO669" s="28">
        <f t="shared" si="183"/>
        <v>0</v>
      </c>
      <c r="AP669" s="43"/>
      <c r="AQ669" s="323">
        <f t="shared" si="184"/>
        <v>0</v>
      </c>
      <c r="AR669" s="43"/>
      <c r="AS669" s="44">
        <f t="shared" si="185"/>
        <v>409.72680000000003</v>
      </c>
    </row>
    <row r="670" spans="1:45" x14ac:dyDescent="0.25">
      <c r="A670" s="28"/>
      <c r="B670" s="43"/>
      <c r="C670" s="43"/>
      <c r="D670" s="43"/>
      <c r="E670" s="43" t="s">
        <v>3099</v>
      </c>
      <c r="F670" s="43" t="s">
        <v>1549</v>
      </c>
      <c r="G670" s="46">
        <f t="shared" si="172"/>
        <v>315.47040000000004</v>
      </c>
      <c r="H670" s="46">
        <f t="shared" si="173"/>
        <v>279.88380000000006</v>
      </c>
      <c r="I670" s="28" t="s">
        <v>262</v>
      </c>
      <c r="J670" s="337">
        <v>0.35</v>
      </c>
      <c r="K670" s="46">
        <f t="shared" si="174"/>
        <v>110.41464000000001</v>
      </c>
      <c r="L670" s="46">
        <f t="shared" si="175"/>
        <v>97.959330000000023</v>
      </c>
      <c r="M670" s="338">
        <f t="shared" si="176"/>
        <v>0</v>
      </c>
      <c r="N670" s="43" t="s">
        <v>147</v>
      </c>
      <c r="O670" s="339">
        <v>85043111</v>
      </c>
      <c r="P670" s="340">
        <f>IFERROR(VLOOKUP(O670,NCM!$A$3:$D$99,COLUMN(head_porNCM_IPI)-COLUMN(head_porNCM_NCM)+1,FALSE),"")</f>
        <v>0.1</v>
      </c>
      <c r="Q670" s="43" t="s">
        <v>806</v>
      </c>
      <c r="R670" s="78" t="s">
        <v>210</v>
      </c>
      <c r="S670" s="341"/>
      <c r="T670" s="28" t="s">
        <v>52</v>
      </c>
      <c r="U670" s="28" t="s">
        <v>3113</v>
      </c>
      <c r="V670" s="548">
        <v>45469</v>
      </c>
      <c r="W670" s="43"/>
      <c r="X670" s="342">
        <f t="shared" si="177"/>
        <v>65.023098591549299</v>
      </c>
      <c r="Y670" s="342">
        <f t="shared" si="178"/>
        <v>23.480563380281694</v>
      </c>
      <c r="Z670" s="46">
        <f t="shared" si="179"/>
        <v>5.9604507042253525</v>
      </c>
      <c r="AA670" s="46">
        <f t="shared" si="180"/>
        <v>27.454197183098593</v>
      </c>
      <c r="AB670" s="43"/>
      <c r="AC670" s="44">
        <v>384.72</v>
      </c>
      <c r="AD670" s="31">
        <v>0.18</v>
      </c>
      <c r="AE670" s="31">
        <v>6.5000000000000002E-2</v>
      </c>
      <c r="AF670" s="31">
        <v>0</v>
      </c>
      <c r="AG670" s="28" t="s">
        <v>53</v>
      </c>
      <c r="AH670" s="46">
        <f t="shared" si="181"/>
        <v>409.72680000000003</v>
      </c>
      <c r="AI670" s="43"/>
      <c r="AJ670" s="28" t="s">
        <v>264</v>
      </c>
      <c r="AK670" s="337"/>
      <c r="AL670" s="43"/>
      <c r="AM670" s="44">
        <f t="shared" si="182"/>
        <v>0</v>
      </c>
      <c r="AN670" s="43"/>
      <c r="AO670" s="28">
        <f t="shared" si="183"/>
        <v>0</v>
      </c>
      <c r="AP670" s="43"/>
      <c r="AQ670" s="323">
        <f t="shared" si="184"/>
        <v>0</v>
      </c>
      <c r="AR670" s="43"/>
      <c r="AS670" s="44">
        <f t="shared" si="185"/>
        <v>409.72680000000003</v>
      </c>
    </row>
    <row r="671" spans="1:45" x14ac:dyDescent="0.25">
      <c r="A671" s="28"/>
      <c r="B671" s="43"/>
      <c r="C671" s="43"/>
      <c r="D671" s="43"/>
      <c r="E671" s="43" t="s">
        <v>3100</v>
      </c>
      <c r="F671" s="43" t="s">
        <v>1550</v>
      </c>
      <c r="G671" s="46">
        <f t="shared" si="172"/>
        <v>315.47040000000004</v>
      </c>
      <c r="H671" s="46">
        <f t="shared" si="173"/>
        <v>279.88380000000006</v>
      </c>
      <c r="I671" s="28" t="s">
        <v>262</v>
      </c>
      <c r="J671" s="337">
        <v>0.35</v>
      </c>
      <c r="K671" s="46">
        <f t="shared" si="174"/>
        <v>110.41464000000001</v>
      </c>
      <c r="L671" s="46">
        <f t="shared" si="175"/>
        <v>97.959330000000023</v>
      </c>
      <c r="M671" s="338">
        <f t="shared" si="176"/>
        <v>0</v>
      </c>
      <c r="N671" s="43" t="s">
        <v>147</v>
      </c>
      <c r="O671" s="339">
        <v>85043111</v>
      </c>
      <c r="P671" s="340">
        <f>IFERROR(VLOOKUP(O671,NCM!$A$3:$D$99,COLUMN(head_porNCM_IPI)-COLUMN(head_porNCM_NCM)+1,FALSE),"")</f>
        <v>0.1</v>
      </c>
      <c r="Q671" s="43" t="s">
        <v>806</v>
      </c>
      <c r="R671" s="78" t="s">
        <v>210</v>
      </c>
      <c r="S671" s="341"/>
      <c r="T671" s="28" t="s">
        <v>52</v>
      </c>
      <c r="U671" s="28" t="s">
        <v>3113</v>
      </c>
      <c r="V671" s="548">
        <v>45469</v>
      </c>
      <c r="W671" s="43"/>
      <c r="X671" s="342">
        <f t="shared" si="177"/>
        <v>65.023098591549299</v>
      </c>
      <c r="Y671" s="342">
        <f t="shared" si="178"/>
        <v>23.480563380281694</v>
      </c>
      <c r="Z671" s="46">
        <f t="shared" si="179"/>
        <v>5.9604507042253525</v>
      </c>
      <c r="AA671" s="46">
        <f t="shared" si="180"/>
        <v>27.454197183098593</v>
      </c>
      <c r="AB671" s="43"/>
      <c r="AC671" s="44">
        <v>384.72</v>
      </c>
      <c r="AD671" s="31">
        <v>0.18</v>
      </c>
      <c r="AE671" s="31">
        <v>6.5000000000000002E-2</v>
      </c>
      <c r="AF671" s="31">
        <v>0</v>
      </c>
      <c r="AG671" s="28" t="s">
        <v>53</v>
      </c>
      <c r="AH671" s="46">
        <f t="shared" si="181"/>
        <v>409.72680000000003</v>
      </c>
      <c r="AI671" s="43"/>
      <c r="AJ671" s="28" t="s">
        <v>264</v>
      </c>
      <c r="AK671" s="337"/>
      <c r="AL671" s="43"/>
      <c r="AM671" s="44">
        <f t="shared" si="182"/>
        <v>0</v>
      </c>
      <c r="AN671" s="43"/>
      <c r="AO671" s="28">
        <f t="shared" si="183"/>
        <v>0</v>
      </c>
      <c r="AP671" s="43"/>
      <c r="AQ671" s="323">
        <f t="shared" si="184"/>
        <v>0</v>
      </c>
      <c r="AR671" s="43"/>
      <c r="AS671" s="44">
        <f t="shared" si="185"/>
        <v>409.72680000000003</v>
      </c>
    </row>
    <row r="672" spans="1:45" x14ac:dyDescent="0.25">
      <c r="A672" s="28"/>
      <c r="B672" s="43"/>
      <c r="C672" s="43"/>
      <c r="D672" s="43"/>
      <c r="E672" s="43" t="s">
        <v>3101</v>
      </c>
      <c r="F672" s="43" t="s">
        <v>1551</v>
      </c>
      <c r="G672" s="46">
        <f t="shared" si="172"/>
        <v>419.12660000000005</v>
      </c>
      <c r="H672" s="46">
        <f t="shared" si="173"/>
        <v>371.84707500000007</v>
      </c>
      <c r="I672" s="28" t="s">
        <v>262</v>
      </c>
      <c r="J672" s="337">
        <v>0.35</v>
      </c>
      <c r="K672" s="46">
        <f t="shared" si="174"/>
        <v>146.69431</v>
      </c>
      <c r="L672" s="46">
        <f t="shared" si="175"/>
        <v>130.14647625000001</v>
      </c>
      <c r="M672" s="338">
        <f t="shared" si="176"/>
        <v>0</v>
      </c>
      <c r="N672" s="43" t="s">
        <v>147</v>
      </c>
      <c r="O672" s="339">
        <v>85043111</v>
      </c>
      <c r="P672" s="340">
        <f>IFERROR(VLOOKUP(O672,NCM!$A$3:$D$99,COLUMN(head_porNCM_IPI)-COLUMN(head_porNCM_NCM)+1,FALSE),"")</f>
        <v>0.1</v>
      </c>
      <c r="Q672" s="43" t="s">
        <v>806</v>
      </c>
      <c r="R672" s="78" t="s">
        <v>210</v>
      </c>
      <c r="S672" s="341"/>
      <c r="T672" s="28" t="s">
        <v>52</v>
      </c>
      <c r="U672" s="28" t="s">
        <v>3113</v>
      </c>
      <c r="V672" s="548">
        <v>45469</v>
      </c>
      <c r="W672" s="43"/>
      <c r="X672" s="342">
        <f t="shared" si="177"/>
        <v>86.388169014084511</v>
      </c>
      <c r="Y672" s="342">
        <f t="shared" si="178"/>
        <v>31.195727699530494</v>
      </c>
      <c r="Z672" s="46">
        <f t="shared" si="179"/>
        <v>7.9189154929577468</v>
      </c>
      <c r="AA672" s="46">
        <f t="shared" si="180"/>
        <v>36.475004694835683</v>
      </c>
      <c r="AB672" s="43"/>
      <c r="AC672" s="44">
        <v>511.13</v>
      </c>
      <c r="AD672" s="31">
        <v>0.18</v>
      </c>
      <c r="AE672" s="31">
        <v>6.5000000000000002E-2</v>
      </c>
      <c r="AF672" s="31">
        <v>0</v>
      </c>
      <c r="AG672" s="28" t="s">
        <v>53</v>
      </c>
      <c r="AH672" s="46">
        <f t="shared" si="181"/>
        <v>544.35344999999995</v>
      </c>
      <c r="AI672" s="43"/>
      <c r="AJ672" s="28" t="s">
        <v>264</v>
      </c>
      <c r="AK672" s="337"/>
      <c r="AL672" s="43"/>
      <c r="AM672" s="44">
        <f t="shared" si="182"/>
        <v>0</v>
      </c>
      <c r="AN672" s="43"/>
      <c r="AO672" s="28">
        <f t="shared" si="183"/>
        <v>0</v>
      </c>
      <c r="AP672" s="43"/>
      <c r="AQ672" s="323">
        <f t="shared" si="184"/>
        <v>0</v>
      </c>
      <c r="AR672" s="43"/>
      <c r="AS672" s="44">
        <f t="shared" si="185"/>
        <v>544.35344999999995</v>
      </c>
    </row>
    <row r="673" spans="1:45" x14ac:dyDescent="0.25">
      <c r="A673" s="28"/>
      <c r="B673" s="43"/>
      <c r="C673" s="43"/>
      <c r="D673" s="43"/>
      <c r="E673" s="43" t="s">
        <v>3102</v>
      </c>
      <c r="F673" s="43" t="s">
        <v>1552</v>
      </c>
      <c r="G673" s="46">
        <f t="shared" si="172"/>
        <v>419.12660000000005</v>
      </c>
      <c r="H673" s="46">
        <f t="shared" si="173"/>
        <v>371.84707500000007</v>
      </c>
      <c r="I673" s="28" t="s">
        <v>262</v>
      </c>
      <c r="J673" s="337">
        <v>0.35</v>
      </c>
      <c r="K673" s="46">
        <f t="shared" si="174"/>
        <v>146.69431</v>
      </c>
      <c r="L673" s="46">
        <f t="shared" si="175"/>
        <v>130.14647625000001</v>
      </c>
      <c r="M673" s="338">
        <f t="shared" si="176"/>
        <v>0</v>
      </c>
      <c r="N673" s="43" t="s">
        <v>147</v>
      </c>
      <c r="O673" s="339">
        <v>85043111</v>
      </c>
      <c r="P673" s="340">
        <f>IFERROR(VLOOKUP(O673,NCM!$A$3:$D$99,COLUMN(head_porNCM_IPI)-COLUMN(head_porNCM_NCM)+1,FALSE),"")</f>
        <v>0.1</v>
      </c>
      <c r="Q673" s="43" t="s">
        <v>806</v>
      </c>
      <c r="R673" s="78" t="s">
        <v>210</v>
      </c>
      <c r="S673" s="341"/>
      <c r="T673" s="28" t="s">
        <v>52</v>
      </c>
      <c r="U673" s="28" t="s">
        <v>3113</v>
      </c>
      <c r="V673" s="548">
        <v>45469</v>
      </c>
      <c r="W673" s="43"/>
      <c r="X673" s="342">
        <f t="shared" si="177"/>
        <v>86.388169014084511</v>
      </c>
      <c r="Y673" s="342">
        <f t="shared" si="178"/>
        <v>31.195727699530494</v>
      </c>
      <c r="Z673" s="46">
        <f t="shared" si="179"/>
        <v>7.9189154929577468</v>
      </c>
      <c r="AA673" s="46">
        <f t="shared" si="180"/>
        <v>36.475004694835683</v>
      </c>
      <c r="AB673" s="43"/>
      <c r="AC673" s="44">
        <v>511.13</v>
      </c>
      <c r="AD673" s="31">
        <v>0.18</v>
      </c>
      <c r="AE673" s="31">
        <v>6.5000000000000002E-2</v>
      </c>
      <c r="AF673" s="31">
        <v>0</v>
      </c>
      <c r="AG673" s="28" t="s">
        <v>53</v>
      </c>
      <c r="AH673" s="46">
        <f t="shared" si="181"/>
        <v>544.35344999999995</v>
      </c>
      <c r="AI673" s="43"/>
      <c r="AJ673" s="28" t="s">
        <v>264</v>
      </c>
      <c r="AK673" s="337"/>
      <c r="AL673" s="43"/>
      <c r="AM673" s="44">
        <f t="shared" si="182"/>
        <v>0</v>
      </c>
      <c r="AN673" s="43"/>
      <c r="AO673" s="28">
        <f t="shared" si="183"/>
        <v>0</v>
      </c>
      <c r="AP673" s="43"/>
      <c r="AQ673" s="323">
        <f t="shared" si="184"/>
        <v>0</v>
      </c>
      <c r="AR673" s="43"/>
      <c r="AS673" s="44">
        <f t="shared" si="185"/>
        <v>544.35344999999995</v>
      </c>
    </row>
    <row r="674" spans="1:45" x14ac:dyDescent="0.25">
      <c r="A674" s="28"/>
      <c r="B674" s="43"/>
      <c r="C674" s="43"/>
      <c r="D674" s="43"/>
      <c r="E674" s="43" t="s">
        <v>3103</v>
      </c>
      <c r="F674" s="43" t="s">
        <v>1553</v>
      </c>
      <c r="G674" s="46">
        <f t="shared" si="172"/>
        <v>419.12660000000005</v>
      </c>
      <c r="H674" s="46">
        <f t="shared" si="173"/>
        <v>371.84707500000007</v>
      </c>
      <c r="I674" s="28" t="s">
        <v>262</v>
      </c>
      <c r="J674" s="337">
        <v>0.35</v>
      </c>
      <c r="K674" s="46">
        <f t="shared" si="174"/>
        <v>146.69431</v>
      </c>
      <c r="L674" s="46">
        <f t="shared" si="175"/>
        <v>130.14647625000001</v>
      </c>
      <c r="M674" s="338">
        <f t="shared" si="176"/>
        <v>0</v>
      </c>
      <c r="N674" s="43" t="s">
        <v>147</v>
      </c>
      <c r="O674" s="339">
        <v>85043111</v>
      </c>
      <c r="P674" s="340">
        <f>IFERROR(VLOOKUP(O674,NCM!$A$3:$D$99,COLUMN(head_porNCM_IPI)-COLUMN(head_porNCM_NCM)+1,FALSE),"")</f>
        <v>0.1</v>
      </c>
      <c r="Q674" s="43" t="s">
        <v>806</v>
      </c>
      <c r="R674" s="78" t="s">
        <v>210</v>
      </c>
      <c r="S674" s="341"/>
      <c r="T674" s="28" t="s">
        <v>52</v>
      </c>
      <c r="U674" s="28" t="s">
        <v>3113</v>
      </c>
      <c r="V674" s="548">
        <v>45469</v>
      </c>
      <c r="W674" s="43"/>
      <c r="X674" s="342">
        <f t="shared" si="177"/>
        <v>86.388169014084511</v>
      </c>
      <c r="Y674" s="342">
        <f t="shared" si="178"/>
        <v>31.195727699530494</v>
      </c>
      <c r="Z674" s="46">
        <f t="shared" si="179"/>
        <v>7.9189154929577468</v>
      </c>
      <c r="AA674" s="46">
        <f t="shared" si="180"/>
        <v>36.475004694835683</v>
      </c>
      <c r="AB674" s="43"/>
      <c r="AC674" s="44">
        <v>511.13</v>
      </c>
      <c r="AD674" s="31">
        <v>0.18</v>
      </c>
      <c r="AE674" s="31">
        <v>6.5000000000000002E-2</v>
      </c>
      <c r="AF674" s="31">
        <v>0</v>
      </c>
      <c r="AG674" s="28" t="s">
        <v>53</v>
      </c>
      <c r="AH674" s="46">
        <f t="shared" si="181"/>
        <v>544.35344999999995</v>
      </c>
      <c r="AI674" s="43"/>
      <c r="AJ674" s="28" t="s">
        <v>264</v>
      </c>
      <c r="AK674" s="337"/>
      <c r="AL674" s="43"/>
      <c r="AM674" s="44">
        <f t="shared" si="182"/>
        <v>0</v>
      </c>
      <c r="AN674" s="43"/>
      <c r="AO674" s="28">
        <f t="shared" si="183"/>
        <v>0</v>
      </c>
      <c r="AP674" s="43"/>
      <c r="AQ674" s="323">
        <f t="shared" si="184"/>
        <v>0</v>
      </c>
      <c r="AR674" s="43"/>
      <c r="AS674" s="44">
        <f t="shared" si="185"/>
        <v>544.35344999999995</v>
      </c>
    </row>
    <row r="675" spans="1:45" x14ac:dyDescent="0.25">
      <c r="A675" s="28"/>
      <c r="B675" s="43"/>
      <c r="C675" s="43"/>
      <c r="D675" s="43" t="s">
        <v>1554</v>
      </c>
      <c r="E675" s="43"/>
      <c r="F675" s="43"/>
      <c r="G675" s="46">
        <f t="shared" si="172"/>
        <v>0</v>
      </c>
      <c r="H675" s="46">
        <f t="shared" si="173"/>
        <v>0</v>
      </c>
      <c r="I675" s="28"/>
      <c r="J675" s="337"/>
      <c r="K675" s="46" t="str">
        <f t="shared" si="174"/>
        <v/>
      </c>
      <c r="L675" s="46" t="str">
        <f t="shared" si="175"/>
        <v/>
      </c>
      <c r="M675" s="338">
        <f t="shared" si="176"/>
        <v>0</v>
      </c>
      <c r="N675" s="43"/>
      <c r="O675" s="339"/>
      <c r="P675" s="340" t="str">
        <f>IFERROR(VLOOKUP(O675,NCM!$A$3:$D$99,COLUMN(head_porNCM_IPI)-COLUMN(head_porNCM_NCM)+1,FALSE),"")</f>
        <v/>
      </c>
      <c r="Q675" s="43"/>
      <c r="R675" s="78"/>
      <c r="S675" s="341"/>
      <c r="T675" s="28"/>
      <c r="U675" s="28"/>
      <c r="V675" s="28"/>
      <c r="W675" s="43"/>
      <c r="X675" s="342">
        <f t="shared" si="177"/>
        <v>0</v>
      </c>
      <c r="Y675" s="342">
        <f t="shared" si="178"/>
        <v>0</v>
      </c>
      <c r="Z675" s="46">
        <f t="shared" si="179"/>
        <v>0</v>
      </c>
      <c r="AA675" s="46">
        <f t="shared" si="180"/>
        <v>0</v>
      </c>
      <c r="AB675" s="43"/>
      <c r="AC675" s="44">
        <v>0</v>
      </c>
      <c r="AD675" s="31"/>
      <c r="AE675" s="31"/>
      <c r="AF675" s="31"/>
      <c r="AG675" s="28"/>
      <c r="AH675" s="46">
        <f t="shared" si="181"/>
        <v>0</v>
      </c>
      <c r="AI675" s="43"/>
      <c r="AJ675" s="28"/>
      <c r="AK675" s="337"/>
      <c r="AL675" s="43"/>
      <c r="AM675" s="44">
        <f t="shared" si="182"/>
        <v>0</v>
      </c>
      <c r="AN675" s="43"/>
      <c r="AO675" s="28">
        <f t="shared" si="183"/>
        <v>0</v>
      </c>
      <c r="AP675" s="43"/>
      <c r="AQ675" s="323">
        <f t="shared" si="184"/>
        <v>0</v>
      </c>
      <c r="AR675" s="43"/>
      <c r="AS675" s="44">
        <f t="shared" si="185"/>
        <v>0</v>
      </c>
    </row>
    <row r="676" spans="1:45" x14ac:dyDescent="0.25">
      <c r="A676" s="28"/>
      <c r="B676" s="43"/>
      <c r="C676" s="43"/>
      <c r="D676" s="43"/>
      <c r="E676" s="43" t="s">
        <v>1555</v>
      </c>
      <c r="F676" s="43" t="s">
        <v>1556</v>
      </c>
      <c r="G676" s="46">
        <f t="shared" si="172"/>
        <v>362.05459999999999</v>
      </c>
      <c r="H676" s="46">
        <f t="shared" si="173"/>
        <v>321.21307500000006</v>
      </c>
      <c r="I676" s="28" t="s">
        <v>262</v>
      </c>
      <c r="J676" s="337">
        <v>0.35</v>
      </c>
      <c r="K676" s="46">
        <f t="shared" si="174"/>
        <v>126.71910999999999</v>
      </c>
      <c r="L676" s="46">
        <f t="shared" si="175"/>
        <v>112.42457625000002</v>
      </c>
      <c r="M676" s="338">
        <f t="shared" si="176"/>
        <v>0</v>
      </c>
      <c r="N676" s="43" t="s">
        <v>36</v>
      </c>
      <c r="O676" s="339">
        <v>90330000</v>
      </c>
      <c r="P676" s="340">
        <f>IFERROR(VLOOKUP(O676,NCM!$A$3:$D$99,COLUMN(head_porNCM_IPI)-COLUMN(head_porNCM_NCM)+1,FALSE),"")</f>
        <v>0.15</v>
      </c>
      <c r="Q676" s="43" t="s">
        <v>806</v>
      </c>
      <c r="R676" s="78" t="s">
        <v>210</v>
      </c>
      <c r="S676" s="341"/>
      <c r="T676" s="28" t="s">
        <v>52</v>
      </c>
      <c r="U676" s="28" t="s">
        <v>3113</v>
      </c>
      <c r="V676" s="548">
        <v>45469</v>
      </c>
      <c r="W676" s="43"/>
      <c r="X676" s="342">
        <f t="shared" si="177"/>
        <v>79.475399999999993</v>
      </c>
      <c r="Y676" s="342">
        <f t="shared" si="178"/>
        <v>0</v>
      </c>
      <c r="Z676" s="46">
        <f t="shared" si="179"/>
        <v>7.2852449999999997</v>
      </c>
      <c r="AA676" s="46">
        <f t="shared" si="180"/>
        <v>33.556279999999994</v>
      </c>
      <c r="AB676" s="43"/>
      <c r="AC676" s="44">
        <v>441.53</v>
      </c>
      <c r="AD676" s="31">
        <v>0.18</v>
      </c>
      <c r="AE676" s="31">
        <v>0</v>
      </c>
      <c r="AF676" s="31">
        <v>0</v>
      </c>
      <c r="AG676" s="28" t="s">
        <v>53</v>
      </c>
      <c r="AH676" s="46">
        <f t="shared" si="181"/>
        <v>441.53</v>
      </c>
      <c r="AI676" s="43"/>
      <c r="AJ676" s="28" t="s">
        <v>264</v>
      </c>
      <c r="AK676" s="337"/>
      <c r="AL676" s="43"/>
      <c r="AM676" s="44">
        <f t="shared" si="182"/>
        <v>0</v>
      </c>
      <c r="AN676" s="43"/>
      <c r="AO676" s="28">
        <f t="shared" si="183"/>
        <v>0</v>
      </c>
      <c r="AP676" s="43"/>
      <c r="AQ676" s="323">
        <f t="shared" si="184"/>
        <v>0</v>
      </c>
      <c r="AR676" s="43"/>
      <c r="AS676" s="44">
        <f t="shared" si="185"/>
        <v>441.53</v>
      </c>
    </row>
    <row r="677" spans="1:45" x14ac:dyDescent="0.25">
      <c r="A677" s="28"/>
      <c r="B677" s="43"/>
      <c r="C677" s="43"/>
      <c r="D677" s="43"/>
      <c r="E677" s="43" t="s">
        <v>1557</v>
      </c>
      <c r="F677" s="43" t="s">
        <v>1558</v>
      </c>
      <c r="G677" s="46">
        <f t="shared" si="172"/>
        <v>362.05459999999999</v>
      </c>
      <c r="H677" s="46">
        <f t="shared" si="173"/>
        <v>321.21307500000006</v>
      </c>
      <c r="I677" s="28" t="s">
        <v>262</v>
      </c>
      <c r="J677" s="337">
        <v>0.35</v>
      </c>
      <c r="K677" s="46">
        <f t="shared" si="174"/>
        <v>126.71910999999999</v>
      </c>
      <c r="L677" s="46">
        <f t="shared" si="175"/>
        <v>112.42457625000002</v>
      </c>
      <c r="M677" s="338">
        <f t="shared" si="176"/>
        <v>0</v>
      </c>
      <c r="N677" s="43" t="s">
        <v>36</v>
      </c>
      <c r="O677" s="339">
        <v>90330000</v>
      </c>
      <c r="P677" s="340">
        <f>IFERROR(VLOOKUP(O677,NCM!$A$3:$D$99,COLUMN(head_porNCM_IPI)-COLUMN(head_porNCM_NCM)+1,FALSE),"")</f>
        <v>0.15</v>
      </c>
      <c r="Q677" s="43" t="s">
        <v>806</v>
      </c>
      <c r="R677" s="78" t="s">
        <v>210</v>
      </c>
      <c r="S677" s="341"/>
      <c r="T677" s="28" t="s">
        <v>52</v>
      </c>
      <c r="U677" s="28" t="s">
        <v>3113</v>
      </c>
      <c r="V677" s="548">
        <v>45469</v>
      </c>
      <c r="W677" s="43"/>
      <c r="X677" s="342">
        <f t="shared" si="177"/>
        <v>79.475399999999993</v>
      </c>
      <c r="Y677" s="342">
        <f t="shared" si="178"/>
        <v>0</v>
      </c>
      <c r="Z677" s="46">
        <f t="shared" si="179"/>
        <v>7.2852449999999997</v>
      </c>
      <c r="AA677" s="46">
        <f t="shared" si="180"/>
        <v>33.556279999999994</v>
      </c>
      <c r="AB677" s="43"/>
      <c r="AC677" s="44">
        <v>441.53</v>
      </c>
      <c r="AD677" s="31">
        <v>0.18</v>
      </c>
      <c r="AE677" s="31">
        <v>0</v>
      </c>
      <c r="AF677" s="31">
        <v>0</v>
      </c>
      <c r="AG677" s="28" t="s">
        <v>53</v>
      </c>
      <c r="AH677" s="46">
        <f t="shared" si="181"/>
        <v>441.53</v>
      </c>
      <c r="AI677" s="43"/>
      <c r="AJ677" s="28" t="s">
        <v>264</v>
      </c>
      <c r="AK677" s="337"/>
      <c r="AL677" s="43"/>
      <c r="AM677" s="44">
        <f t="shared" si="182"/>
        <v>0</v>
      </c>
      <c r="AN677" s="43"/>
      <c r="AO677" s="28">
        <f t="shared" si="183"/>
        <v>0</v>
      </c>
      <c r="AP677" s="43"/>
      <c r="AQ677" s="323">
        <f t="shared" si="184"/>
        <v>0</v>
      </c>
      <c r="AR677" s="43"/>
      <c r="AS677" s="44">
        <f t="shared" si="185"/>
        <v>441.53</v>
      </c>
    </row>
    <row r="678" spans="1:45" x14ac:dyDescent="0.25">
      <c r="A678" s="28"/>
      <c r="B678" s="43"/>
      <c r="C678" s="43"/>
      <c r="D678" s="43"/>
      <c r="E678" s="43" t="s">
        <v>1559</v>
      </c>
      <c r="F678" s="43" t="s">
        <v>1560</v>
      </c>
      <c r="G678" s="46">
        <f t="shared" si="172"/>
        <v>362.05459999999999</v>
      </c>
      <c r="H678" s="46">
        <f t="shared" si="173"/>
        <v>321.21307500000006</v>
      </c>
      <c r="I678" s="28" t="s">
        <v>262</v>
      </c>
      <c r="J678" s="337">
        <v>0.35</v>
      </c>
      <c r="K678" s="46">
        <f t="shared" si="174"/>
        <v>126.71910999999999</v>
      </c>
      <c r="L678" s="46">
        <f t="shared" si="175"/>
        <v>112.42457625000002</v>
      </c>
      <c r="M678" s="338">
        <f t="shared" si="176"/>
        <v>0</v>
      </c>
      <c r="N678" s="43" t="s">
        <v>36</v>
      </c>
      <c r="O678" s="339">
        <v>90330000</v>
      </c>
      <c r="P678" s="340">
        <f>IFERROR(VLOOKUP(O678,NCM!$A$3:$D$99,COLUMN(head_porNCM_IPI)-COLUMN(head_porNCM_NCM)+1,FALSE),"")</f>
        <v>0.15</v>
      </c>
      <c r="Q678" s="43" t="s">
        <v>806</v>
      </c>
      <c r="R678" s="78" t="s">
        <v>210</v>
      </c>
      <c r="S678" s="341"/>
      <c r="T678" s="28" t="s">
        <v>52</v>
      </c>
      <c r="U678" s="28" t="s">
        <v>3113</v>
      </c>
      <c r="V678" s="548">
        <v>45469</v>
      </c>
      <c r="W678" s="43"/>
      <c r="X678" s="342">
        <f t="shared" si="177"/>
        <v>79.475399999999993</v>
      </c>
      <c r="Y678" s="342">
        <f t="shared" si="178"/>
        <v>0</v>
      </c>
      <c r="Z678" s="46">
        <f t="shared" si="179"/>
        <v>7.2852449999999997</v>
      </c>
      <c r="AA678" s="46">
        <f t="shared" si="180"/>
        <v>33.556279999999994</v>
      </c>
      <c r="AB678" s="43"/>
      <c r="AC678" s="44">
        <v>441.53</v>
      </c>
      <c r="AD678" s="31">
        <v>0.18</v>
      </c>
      <c r="AE678" s="31">
        <v>0</v>
      </c>
      <c r="AF678" s="31">
        <v>0</v>
      </c>
      <c r="AG678" s="28" t="s">
        <v>53</v>
      </c>
      <c r="AH678" s="46">
        <f t="shared" si="181"/>
        <v>441.53</v>
      </c>
      <c r="AI678" s="43"/>
      <c r="AJ678" s="28" t="s">
        <v>264</v>
      </c>
      <c r="AK678" s="337"/>
      <c r="AL678" s="43"/>
      <c r="AM678" s="44">
        <f t="shared" si="182"/>
        <v>0</v>
      </c>
      <c r="AN678" s="43"/>
      <c r="AO678" s="28">
        <f t="shared" si="183"/>
        <v>0</v>
      </c>
      <c r="AP678" s="43"/>
      <c r="AQ678" s="323">
        <f t="shared" si="184"/>
        <v>0</v>
      </c>
      <c r="AR678" s="43"/>
      <c r="AS678" s="44">
        <f t="shared" si="185"/>
        <v>441.53</v>
      </c>
    </row>
    <row r="679" spans="1:45" x14ac:dyDescent="0.25">
      <c r="A679" s="28"/>
      <c r="B679" s="43"/>
      <c r="C679" s="43"/>
      <c r="D679" s="43"/>
      <c r="E679" s="43" t="s">
        <v>3104</v>
      </c>
      <c r="F679" s="43" t="s">
        <v>3105</v>
      </c>
      <c r="G679" s="46">
        <f t="shared" si="172"/>
        <v>5371.5464000000002</v>
      </c>
      <c r="H679" s="46">
        <f t="shared" si="173"/>
        <v>4806.9236250000004</v>
      </c>
      <c r="I679" s="28" t="s">
        <v>262</v>
      </c>
      <c r="J679" s="337">
        <v>0.49040401724999994</v>
      </c>
      <c r="K679" s="46">
        <f t="shared" si="174"/>
        <v>2634.2279334047753</v>
      </c>
      <c r="L679" s="46">
        <f t="shared" si="175"/>
        <v>2357.3346563139326</v>
      </c>
      <c r="M679" s="338">
        <f t="shared" si="176"/>
        <v>0</v>
      </c>
      <c r="N679" s="43" t="s">
        <v>36</v>
      </c>
      <c r="O679" s="339">
        <v>90303390</v>
      </c>
      <c r="P679" s="340">
        <f>IFERROR(VLOOKUP(O679,NCM!$A$3:$D$99,COLUMN(head_porNCM_IPI)-COLUMN(head_porNCM_NCM)+1,FALSE),"")</f>
        <v>3.2500000000000001E-2</v>
      </c>
      <c r="Q679" s="43" t="s">
        <v>806</v>
      </c>
      <c r="R679" s="78" t="s">
        <v>210</v>
      </c>
      <c r="S679" s="341"/>
      <c r="T679" s="28" t="s">
        <v>52</v>
      </c>
      <c r="U679" s="28" t="s">
        <v>3113</v>
      </c>
      <c r="V679" s="548">
        <v>45469</v>
      </c>
      <c r="W679" s="43"/>
      <c r="X679" s="342">
        <f t="shared" si="177"/>
        <v>709.42721549636804</v>
      </c>
      <c r="Y679" s="342">
        <f t="shared" si="178"/>
        <v>192.13653753026574</v>
      </c>
      <c r="Z679" s="46">
        <f t="shared" si="179"/>
        <v>97.546242130750613</v>
      </c>
      <c r="AA679" s="46">
        <f t="shared" si="180"/>
        <v>449.30390314769977</v>
      </c>
      <c r="AB679" s="43"/>
      <c r="AC679" s="44">
        <v>6104.03</v>
      </c>
      <c r="AD679" s="31">
        <v>0.12</v>
      </c>
      <c r="AE679" s="31">
        <v>3.2500000000000001E-2</v>
      </c>
      <c r="AF679" s="31">
        <v>0</v>
      </c>
      <c r="AG679" s="28" t="s">
        <v>53</v>
      </c>
      <c r="AH679" s="46">
        <f t="shared" si="181"/>
        <v>6302.4109749999998</v>
      </c>
      <c r="AI679" s="43"/>
      <c r="AJ679" s="28" t="s">
        <v>264</v>
      </c>
      <c r="AK679" s="337"/>
      <c r="AL679" s="43"/>
      <c r="AM679" s="44">
        <f t="shared" si="182"/>
        <v>0</v>
      </c>
      <c r="AN679" s="43"/>
      <c r="AO679" s="28">
        <f t="shared" si="183"/>
        <v>0</v>
      </c>
      <c r="AP679" s="43"/>
      <c r="AQ679" s="323">
        <f t="shared" si="184"/>
        <v>0</v>
      </c>
      <c r="AR679" s="43"/>
      <c r="AS679" s="44">
        <f t="shared" si="185"/>
        <v>6302.4109749999998</v>
      </c>
    </row>
    <row r="680" spans="1:45" x14ac:dyDescent="0.25">
      <c r="A680" s="28"/>
      <c r="B680" s="43"/>
      <c r="C680" s="43"/>
      <c r="D680" s="43"/>
      <c r="E680" s="43" t="s">
        <v>3106</v>
      </c>
      <c r="F680" s="43" t="s">
        <v>3107</v>
      </c>
      <c r="G680" s="46">
        <f t="shared" si="172"/>
        <v>5274.6936000000005</v>
      </c>
      <c r="H680" s="46">
        <f t="shared" si="173"/>
        <v>4720.2513750000007</v>
      </c>
      <c r="I680" s="28" t="s">
        <v>262</v>
      </c>
      <c r="J680" s="337">
        <v>0.49040401724999994</v>
      </c>
      <c r="K680" s="46">
        <f t="shared" si="174"/>
        <v>2586.7309312028647</v>
      </c>
      <c r="L680" s="46">
        <f t="shared" si="175"/>
        <v>2314.8302367298361</v>
      </c>
      <c r="M680" s="338">
        <f t="shared" si="176"/>
        <v>0</v>
      </c>
      <c r="N680" s="43" t="s">
        <v>36</v>
      </c>
      <c r="O680" s="339">
        <v>90303390</v>
      </c>
      <c r="P680" s="340">
        <f>IFERROR(VLOOKUP(O680,NCM!$A$3:$D$99,COLUMN(head_porNCM_IPI)-COLUMN(head_porNCM_NCM)+1,FALSE),"")</f>
        <v>3.2500000000000001E-2</v>
      </c>
      <c r="Q680" s="43" t="s">
        <v>806</v>
      </c>
      <c r="R680" s="78" t="s">
        <v>210</v>
      </c>
      <c r="S680" s="341"/>
      <c r="T680" s="28" t="s">
        <v>52</v>
      </c>
      <c r="U680" s="28" t="s">
        <v>3113</v>
      </c>
      <c r="V680" s="548">
        <v>45469</v>
      </c>
      <c r="W680" s="43"/>
      <c r="X680" s="342">
        <f t="shared" si="177"/>
        <v>696.63573849878935</v>
      </c>
      <c r="Y680" s="342">
        <f t="shared" si="178"/>
        <v>188.67217917675498</v>
      </c>
      <c r="Z680" s="46">
        <f t="shared" si="179"/>
        <v>95.787414043583553</v>
      </c>
      <c r="AA680" s="46">
        <f t="shared" si="180"/>
        <v>441.20263438256666</v>
      </c>
      <c r="AB680" s="43"/>
      <c r="AC680" s="44">
        <v>5993.97</v>
      </c>
      <c r="AD680" s="31">
        <v>0.12</v>
      </c>
      <c r="AE680" s="31">
        <v>3.2500000000000001E-2</v>
      </c>
      <c r="AF680" s="31">
        <v>0</v>
      </c>
      <c r="AG680" s="28" t="s">
        <v>53</v>
      </c>
      <c r="AH680" s="46">
        <f t="shared" si="181"/>
        <v>6188.7740249999997</v>
      </c>
      <c r="AI680" s="43"/>
      <c r="AJ680" s="28" t="s">
        <v>264</v>
      </c>
      <c r="AK680" s="337"/>
      <c r="AL680" s="43"/>
      <c r="AM680" s="44">
        <f t="shared" si="182"/>
        <v>0</v>
      </c>
      <c r="AN680" s="43"/>
      <c r="AO680" s="28">
        <f t="shared" si="183"/>
        <v>0</v>
      </c>
      <c r="AP680" s="43"/>
      <c r="AQ680" s="323">
        <f t="shared" si="184"/>
        <v>0</v>
      </c>
      <c r="AR680" s="43"/>
      <c r="AS680" s="44">
        <f t="shared" si="185"/>
        <v>6188.7740249999997</v>
      </c>
    </row>
    <row r="681" spans="1:45" x14ac:dyDescent="0.25">
      <c r="A681" s="28"/>
      <c r="B681" s="43"/>
      <c r="C681" s="43"/>
      <c r="D681" s="43"/>
      <c r="E681" s="43" t="s">
        <v>3108</v>
      </c>
      <c r="F681" s="43" t="s">
        <v>3109</v>
      </c>
      <c r="G681" s="46">
        <f t="shared" si="172"/>
        <v>2700.1215999999999</v>
      </c>
      <c r="H681" s="46">
        <f t="shared" si="173"/>
        <v>2416.3020000000006</v>
      </c>
      <c r="I681" s="28" t="s">
        <v>262</v>
      </c>
      <c r="J681" s="337">
        <v>0.49040401724999994</v>
      </c>
      <c r="K681" s="46">
        <f t="shared" si="174"/>
        <v>1324.1504797034975</v>
      </c>
      <c r="L681" s="46">
        <f t="shared" si="175"/>
        <v>1184.9642076892096</v>
      </c>
      <c r="M681" s="338">
        <f t="shared" si="176"/>
        <v>0</v>
      </c>
      <c r="N681" s="43" t="s">
        <v>36</v>
      </c>
      <c r="O681" s="339">
        <v>90303390</v>
      </c>
      <c r="P681" s="340">
        <f>IFERROR(VLOOKUP(O681,NCM!$A$3:$D$99,COLUMN(head_porNCM_IPI)-COLUMN(head_porNCM_NCM)+1,FALSE),"")</f>
        <v>3.2500000000000001E-2</v>
      </c>
      <c r="Q681" s="43" t="s">
        <v>806</v>
      </c>
      <c r="R681" s="78" t="s">
        <v>210</v>
      </c>
      <c r="S681" s="341"/>
      <c r="T681" s="28" t="s">
        <v>52</v>
      </c>
      <c r="U681" s="28" t="s">
        <v>3113</v>
      </c>
      <c r="V681" s="548">
        <v>45469</v>
      </c>
      <c r="W681" s="43"/>
      <c r="X681" s="342">
        <f t="shared" si="177"/>
        <v>356.60861985472155</v>
      </c>
      <c r="Y681" s="342">
        <f t="shared" si="178"/>
        <v>96.581501210653641</v>
      </c>
      <c r="Z681" s="46">
        <f t="shared" si="179"/>
        <v>49.033685230024219</v>
      </c>
      <c r="AA681" s="46">
        <f t="shared" si="180"/>
        <v>225.85212590799034</v>
      </c>
      <c r="AB681" s="43"/>
      <c r="AC681" s="44">
        <v>3068.32</v>
      </c>
      <c r="AD681" s="31">
        <v>0.12</v>
      </c>
      <c r="AE681" s="31">
        <v>3.2500000000000001E-2</v>
      </c>
      <c r="AF681" s="31">
        <v>0</v>
      </c>
      <c r="AG681" s="28" t="s">
        <v>53</v>
      </c>
      <c r="AH681" s="46">
        <f t="shared" si="181"/>
        <v>3168.0403999999999</v>
      </c>
      <c r="AI681" s="43"/>
      <c r="AJ681" s="28" t="s">
        <v>264</v>
      </c>
      <c r="AK681" s="337"/>
      <c r="AL681" s="43"/>
      <c r="AM681" s="44">
        <f t="shared" si="182"/>
        <v>0</v>
      </c>
      <c r="AN681" s="43"/>
      <c r="AO681" s="28">
        <f t="shared" si="183"/>
        <v>0</v>
      </c>
      <c r="AP681" s="43"/>
      <c r="AQ681" s="323">
        <f t="shared" si="184"/>
        <v>0</v>
      </c>
      <c r="AR681" s="43"/>
      <c r="AS681" s="44">
        <f t="shared" si="185"/>
        <v>3168.0403999999999</v>
      </c>
    </row>
    <row r="682" spans="1:45" x14ac:dyDescent="0.25">
      <c r="A682" s="28"/>
      <c r="B682" s="43"/>
      <c r="C682" s="43"/>
      <c r="D682" s="43"/>
      <c r="E682" s="43" t="s">
        <v>3110</v>
      </c>
      <c r="F682" s="43" t="s">
        <v>3111</v>
      </c>
      <c r="G682" s="46">
        <f t="shared" si="172"/>
        <v>2637.7296000000001</v>
      </c>
      <c r="H682" s="46">
        <f t="shared" si="173"/>
        <v>2360.4682500000004</v>
      </c>
      <c r="I682" s="28" t="s">
        <v>262</v>
      </c>
      <c r="J682" s="337">
        <v>0.49040401724999994</v>
      </c>
      <c r="K682" s="46">
        <f t="shared" si="174"/>
        <v>1293.5531922592354</v>
      </c>
      <c r="L682" s="46">
        <f t="shared" si="175"/>
        <v>1157.5831123910773</v>
      </c>
      <c r="M682" s="338">
        <f t="shared" si="176"/>
        <v>0</v>
      </c>
      <c r="N682" s="43" t="s">
        <v>36</v>
      </c>
      <c r="O682" s="339">
        <v>90303390</v>
      </c>
      <c r="P682" s="340">
        <f>IFERROR(VLOOKUP(O682,NCM!$A$3:$D$99,COLUMN(head_porNCM_IPI)-COLUMN(head_porNCM_NCM)+1,FALSE),"")</f>
        <v>3.2500000000000001E-2</v>
      </c>
      <c r="Q682" s="43" t="s">
        <v>806</v>
      </c>
      <c r="R682" s="78" t="s">
        <v>210</v>
      </c>
      <c r="S682" s="341"/>
      <c r="T682" s="28" t="s">
        <v>52</v>
      </c>
      <c r="U682" s="28" t="s">
        <v>3113</v>
      </c>
      <c r="V682" s="548">
        <v>45469</v>
      </c>
      <c r="W682" s="43"/>
      <c r="X682" s="342">
        <f t="shared" si="177"/>
        <v>348.36842615012108</v>
      </c>
      <c r="Y682" s="342">
        <f t="shared" si="178"/>
        <v>94.349782082324509</v>
      </c>
      <c r="Z682" s="46">
        <f t="shared" si="179"/>
        <v>47.900658595641652</v>
      </c>
      <c r="AA682" s="46">
        <f t="shared" si="180"/>
        <v>220.63333656174333</v>
      </c>
      <c r="AB682" s="43"/>
      <c r="AC682" s="44">
        <v>2997.42</v>
      </c>
      <c r="AD682" s="31">
        <v>0.12</v>
      </c>
      <c r="AE682" s="31">
        <v>3.2500000000000001E-2</v>
      </c>
      <c r="AF682" s="31">
        <v>0</v>
      </c>
      <c r="AG682" s="28" t="s">
        <v>53</v>
      </c>
      <c r="AH682" s="46">
        <f t="shared" si="181"/>
        <v>3094.8361500000001</v>
      </c>
      <c r="AI682" s="43"/>
      <c r="AJ682" s="28" t="s">
        <v>264</v>
      </c>
      <c r="AK682" s="337"/>
      <c r="AL682" s="43"/>
      <c r="AM682" s="44">
        <f t="shared" si="182"/>
        <v>0</v>
      </c>
      <c r="AN682" s="43"/>
      <c r="AO682" s="28">
        <f t="shared" si="183"/>
        <v>0</v>
      </c>
      <c r="AP682" s="43"/>
      <c r="AQ682" s="323">
        <f t="shared" si="184"/>
        <v>0</v>
      </c>
      <c r="AR682" s="43"/>
      <c r="AS682" s="44">
        <f t="shared" si="185"/>
        <v>3094.8361500000001</v>
      </c>
    </row>
    <row r="683" spans="1:45" x14ac:dyDescent="0.25">
      <c r="A683" s="28"/>
      <c r="B683" s="43"/>
      <c r="C683" s="43"/>
      <c r="D683" s="43" t="s">
        <v>1561</v>
      </c>
      <c r="E683" s="43"/>
      <c r="F683" s="43"/>
      <c r="G683" s="46">
        <f t="shared" si="172"/>
        <v>0</v>
      </c>
      <c r="H683" s="46">
        <f t="shared" si="173"/>
        <v>0</v>
      </c>
      <c r="I683" s="28"/>
      <c r="J683" s="337"/>
      <c r="K683" s="46" t="str">
        <f t="shared" si="174"/>
        <v/>
      </c>
      <c r="L683" s="46" t="str">
        <f t="shared" si="175"/>
        <v/>
      </c>
      <c r="M683" s="338">
        <f t="shared" si="176"/>
        <v>0</v>
      </c>
      <c r="N683" s="43"/>
      <c r="O683" s="339"/>
      <c r="P683" s="340" t="str">
        <f>IFERROR(VLOOKUP(O683,NCM!$A$3:$D$99,COLUMN(head_porNCM_IPI)-COLUMN(head_porNCM_NCM)+1,FALSE),"")</f>
        <v/>
      </c>
      <c r="Q683" s="43"/>
      <c r="R683" s="78"/>
      <c r="S683" s="341"/>
      <c r="T683" s="28"/>
      <c r="U683" s="28"/>
      <c r="V683" s="28"/>
      <c r="W683" s="43"/>
      <c r="X683" s="342">
        <f t="shared" si="177"/>
        <v>0</v>
      </c>
      <c r="Y683" s="342">
        <f t="shared" si="178"/>
        <v>0</v>
      </c>
      <c r="Z683" s="46">
        <f t="shared" si="179"/>
        <v>0</v>
      </c>
      <c r="AA683" s="46">
        <f t="shared" si="180"/>
        <v>0</v>
      </c>
      <c r="AB683" s="43"/>
      <c r="AC683" s="44">
        <v>0</v>
      </c>
      <c r="AD683" s="31"/>
      <c r="AE683" s="31"/>
      <c r="AF683" s="31"/>
      <c r="AG683" s="28"/>
      <c r="AH683" s="46">
        <f t="shared" si="181"/>
        <v>0</v>
      </c>
      <c r="AI683" s="43"/>
      <c r="AJ683" s="28"/>
      <c r="AK683" s="337"/>
      <c r="AL683" s="43"/>
      <c r="AM683" s="44">
        <f t="shared" si="182"/>
        <v>0</v>
      </c>
      <c r="AN683" s="43"/>
      <c r="AO683" s="28">
        <f t="shared" si="183"/>
        <v>0</v>
      </c>
      <c r="AP683" s="43"/>
      <c r="AQ683" s="323">
        <f t="shared" si="184"/>
        <v>0</v>
      </c>
      <c r="AR683" s="43"/>
      <c r="AS683" s="44">
        <f t="shared" si="185"/>
        <v>0</v>
      </c>
    </row>
    <row r="684" spans="1:45" x14ac:dyDescent="0.25">
      <c r="A684" s="28"/>
      <c r="B684" s="43"/>
      <c r="C684" s="43"/>
      <c r="D684" s="43" t="s">
        <v>1523</v>
      </c>
      <c r="E684" s="43"/>
      <c r="F684" s="43"/>
      <c r="G684" s="46">
        <f t="shared" si="172"/>
        <v>0</v>
      </c>
      <c r="H684" s="46">
        <f t="shared" si="173"/>
        <v>0</v>
      </c>
      <c r="I684" s="28"/>
      <c r="J684" s="337"/>
      <c r="K684" s="46" t="str">
        <f t="shared" si="174"/>
        <v/>
      </c>
      <c r="L684" s="46" t="str">
        <f t="shared" si="175"/>
        <v/>
      </c>
      <c r="M684" s="338">
        <f t="shared" si="176"/>
        <v>0</v>
      </c>
      <c r="N684" s="43"/>
      <c r="O684" s="339"/>
      <c r="P684" s="340" t="str">
        <f>IFERROR(VLOOKUP(O684,NCM!$A$3:$D$99,COLUMN(head_porNCM_IPI)-COLUMN(head_porNCM_NCM)+1,FALSE),"")</f>
        <v/>
      </c>
      <c r="Q684" s="43"/>
      <c r="R684" s="78"/>
      <c r="S684" s="341"/>
      <c r="T684" s="28"/>
      <c r="U684" s="28"/>
      <c r="V684" s="28"/>
      <c r="W684" s="43"/>
      <c r="X684" s="342">
        <f t="shared" si="177"/>
        <v>0</v>
      </c>
      <c r="Y684" s="342">
        <f t="shared" si="178"/>
        <v>0</v>
      </c>
      <c r="Z684" s="46">
        <f t="shared" si="179"/>
        <v>0</v>
      </c>
      <c r="AA684" s="46">
        <f t="shared" si="180"/>
        <v>0</v>
      </c>
      <c r="AB684" s="43"/>
      <c r="AC684" s="44">
        <v>0</v>
      </c>
      <c r="AD684" s="31"/>
      <c r="AE684" s="31"/>
      <c r="AF684" s="31"/>
      <c r="AG684" s="28"/>
      <c r="AH684" s="46">
        <f t="shared" si="181"/>
        <v>0</v>
      </c>
      <c r="AI684" s="43"/>
      <c r="AJ684" s="28"/>
      <c r="AK684" s="337"/>
      <c r="AL684" s="43"/>
      <c r="AM684" s="44">
        <f t="shared" si="182"/>
        <v>0</v>
      </c>
      <c r="AN684" s="43"/>
      <c r="AO684" s="28">
        <f t="shared" si="183"/>
        <v>0</v>
      </c>
      <c r="AP684" s="43"/>
      <c r="AQ684" s="323">
        <f t="shared" si="184"/>
        <v>0</v>
      </c>
      <c r="AR684" s="43"/>
      <c r="AS684" s="44">
        <f t="shared" si="185"/>
        <v>0</v>
      </c>
    </row>
    <row r="685" spans="1:45" x14ac:dyDescent="0.25">
      <c r="A685" s="28"/>
      <c r="B685" s="43"/>
      <c r="C685" s="43"/>
      <c r="D685" s="43"/>
      <c r="E685" s="43" t="s">
        <v>1562</v>
      </c>
      <c r="F685" s="43" t="s">
        <v>1563</v>
      </c>
      <c r="G685" s="46">
        <f t="shared" si="172"/>
        <v>123.2</v>
      </c>
      <c r="H685" s="46">
        <f t="shared" si="173"/>
        <v>110.25000000000001</v>
      </c>
      <c r="I685" s="28" t="s">
        <v>262</v>
      </c>
      <c r="J685" s="337">
        <v>1</v>
      </c>
      <c r="K685" s="46">
        <f t="shared" si="174"/>
        <v>123.2</v>
      </c>
      <c r="L685" s="46">
        <f t="shared" si="175"/>
        <v>110.25000000000001</v>
      </c>
      <c r="M685" s="338">
        <f t="shared" si="176"/>
        <v>0</v>
      </c>
      <c r="N685" s="43" t="s">
        <v>147</v>
      </c>
      <c r="O685" s="339">
        <v>85043111</v>
      </c>
      <c r="P685" s="340">
        <f>IFERROR(VLOOKUP(O685,NCM!$A$3:$D$99,COLUMN(head_porNCM_IPI)-COLUMN(head_porNCM_NCM)+1,FALSE),"")</f>
        <v>0.1</v>
      </c>
      <c r="Q685" s="43" t="s">
        <v>1893</v>
      </c>
      <c r="R685" s="78" t="s">
        <v>209</v>
      </c>
      <c r="S685" s="341"/>
      <c r="T685" s="28" t="s">
        <v>52</v>
      </c>
      <c r="U685" s="28" t="s">
        <v>1889</v>
      </c>
      <c r="V685" s="548">
        <v>43490</v>
      </c>
      <c r="W685" s="43"/>
      <c r="X685" s="342">
        <f t="shared" si="177"/>
        <v>15.272727272727272</v>
      </c>
      <c r="Y685" s="342">
        <f t="shared" si="178"/>
        <v>12.727272727272734</v>
      </c>
      <c r="Z685" s="46">
        <f t="shared" si="179"/>
        <v>2.1</v>
      </c>
      <c r="AA685" s="46">
        <f t="shared" si="180"/>
        <v>9.672727272727272</v>
      </c>
      <c r="AB685" s="43"/>
      <c r="AC685" s="44">
        <v>140</v>
      </c>
      <c r="AD685" s="31">
        <v>0.12</v>
      </c>
      <c r="AE685" s="31">
        <v>0.1</v>
      </c>
      <c r="AF685" s="31">
        <v>0</v>
      </c>
      <c r="AG685" s="28" t="s">
        <v>53</v>
      </c>
      <c r="AH685" s="46">
        <f t="shared" si="181"/>
        <v>154</v>
      </c>
      <c r="AI685" s="43"/>
      <c r="AJ685" s="28"/>
      <c r="AK685" s="337"/>
      <c r="AL685" s="43"/>
      <c r="AM685" s="44">
        <f t="shared" si="182"/>
        <v>0</v>
      </c>
      <c r="AN685" s="43"/>
      <c r="AO685" s="28">
        <f t="shared" si="183"/>
        <v>0</v>
      </c>
      <c r="AP685" s="43"/>
      <c r="AQ685" s="323">
        <f t="shared" si="184"/>
        <v>0</v>
      </c>
      <c r="AR685" s="43"/>
      <c r="AS685" s="44">
        <f t="shared" si="185"/>
        <v>154</v>
      </c>
    </row>
    <row r="686" spans="1:45" x14ac:dyDescent="0.25">
      <c r="A686" s="28"/>
      <c r="B686" s="43"/>
      <c r="C686" s="43"/>
      <c r="D686" s="43"/>
      <c r="E686" s="43" t="s">
        <v>1564</v>
      </c>
      <c r="F686" s="43" t="s">
        <v>1565</v>
      </c>
      <c r="G686" s="46">
        <f t="shared" si="172"/>
        <v>334.90159999999997</v>
      </c>
      <c r="H686" s="46">
        <f t="shared" si="173"/>
        <v>299.69887500000004</v>
      </c>
      <c r="I686" s="28" t="s">
        <v>262</v>
      </c>
      <c r="J686" s="337">
        <v>1</v>
      </c>
      <c r="K686" s="46">
        <f t="shared" si="174"/>
        <v>334.90159999999997</v>
      </c>
      <c r="L686" s="46">
        <f t="shared" si="175"/>
        <v>299.69887500000004</v>
      </c>
      <c r="M686" s="338">
        <f t="shared" si="176"/>
        <v>0</v>
      </c>
      <c r="N686" s="43" t="s">
        <v>147</v>
      </c>
      <c r="O686" s="339">
        <v>85043111</v>
      </c>
      <c r="P686" s="340">
        <f>IFERROR(VLOOKUP(O686,NCM!$A$3:$D$99,COLUMN(head_porNCM_IPI)-COLUMN(head_porNCM_NCM)+1,FALSE),"")</f>
        <v>0.1</v>
      </c>
      <c r="Q686" s="43" t="s">
        <v>1888</v>
      </c>
      <c r="R686" s="78" t="s">
        <v>209</v>
      </c>
      <c r="S686" s="341"/>
      <c r="T686" s="28" t="s">
        <v>52</v>
      </c>
      <c r="U686" s="28" t="s">
        <v>1889</v>
      </c>
      <c r="V686" s="548">
        <v>43490</v>
      </c>
      <c r="W686" s="43"/>
      <c r="X686" s="342">
        <f t="shared" si="177"/>
        <v>41.516727272727266</v>
      </c>
      <c r="Y686" s="342">
        <f t="shared" si="178"/>
        <v>34.597272727272752</v>
      </c>
      <c r="Z686" s="46">
        <f t="shared" si="179"/>
        <v>5.7085499999999998</v>
      </c>
      <c r="AA686" s="46">
        <f t="shared" si="180"/>
        <v>26.29392727272727</v>
      </c>
      <c r="AB686" s="43"/>
      <c r="AC686" s="44">
        <v>380.57</v>
      </c>
      <c r="AD686" s="31">
        <v>0.12</v>
      </c>
      <c r="AE686" s="31">
        <v>0.1</v>
      </c>
      <c r="AF686" s="31">
        <v>0</v>
      </c>
      <c r="AG686" s="28" t="s">
        <v>53</v>
      </c>
      <c r="AH686" s="46">
        <f t="shared" si="181"/>
        <v>418.62700000000001</v>
      </c>
      <c r="AI686" s="43"/>
      <c r="AJ686" s="28"/>
      <c r="AK686" s="337"/>
      <c r="AL686" s="43"/>
      <c r="AM686" s="44">
        <f t="shared" si="182"/>
        <v>0</v>
      </c>
      <c r="AN686" s="43"/>
      <c r="AO686" s="28">
        <f t="shared" si="183"/>
        <v>0</v>
      </c>
      <c r="AP686" s="43"/>
      <c r="AQ686" s="323">
        <f t="shared" si="184"/>
        <v>0</v>
      </c>
      <c r="AR686" s="43"/>
      <c r="AS686" s="44">
        <f t="shared" si="185"/>
        <v>418.62700000000001</v>
      </c>
    </row>
    <row r="687" spans="1:45" x14ac:dyDescent="0.25">
      <c r="A687" s="28"/>
      <c r="B687" s="43"/>
      <c r="C687" s="43"/>
      <c r="D687" s="43"/>
      <c r="E687" s="43" t="s">
        <v>1566</v>
      </c>
      <c r="F687" s="43" t="s">
        <v>1567</v>
      </c>
      <c r="G687" s="46">
        <f t="shared" si="172"/>
        <v>339.06400000000002</v>
      </c>
      <c r="H687" s="46">
        <f t="shared" si="173"/>
        <v>303.42375000000004</v>
      </c>
      <c r="I687" s="28" t="s">
        <v>262</v>
      </c>
      <c r="J687" s="337">
        <v>1</v>
      </c>
      <c r="K687" s="46">
        <f t="shared" si="174"/>
        <v>339.06400000000002</v>
      </c>
      <c r="L687" s="46">
        <f t="shared" si="175"/>
        <v>303.42375000000004</v>
      </c>
      <c r="M687" s="338">
        <f t="shared" si="176"/>
        <v>0</v>
      </c>
      <c r="N687" s="43" t="s">
        <v>147</v>
      </c>
      <c r="O687" s="339">
        <v>85043111</v>
      </c>
      <c r="P687" s="340">
        <f>IFERROR(VLOOKUP(O687,NCM!$A$3:$D$99,COLUMN(head_porNCM_IPI)-COLUMN(head_porNCM_NCM)+1,FALSE),"")</f>
        <v>0.1</v>
      </c>
      <c r="Q687" s="43" t="s">
        <v>1888</v>
      </c>
      <c r="R687" s="78" t="s">
        <v>209</v>
      </c>
      <c r="S687" s="341"/>
      <c r="T687" s="28" t="s">
        <v>52</v>
      </c>
      <c r="U687" s="28" t="s">
        <v>1890</v>
      </c>
      <c r="V687" s="548">
        <v>43725</v>
      </c>
      <c r="W687" s="43"/>
      <c r="X687" s="342">
        <f t="shared" si="177"/>
        <v>42.032727272727271</v>
      </c>
      <c r="Y687" s="342">
        <f t="shared" si="178"/>
        <v>35.027272727272759</v>
      </c>
      <c r="Z687" s="46">
        <f t="shared" si="179"/>
        <v>5.7794999999999996</v>
      </c>
      <c r="AA687" s="46">
        <f t="shared" si="180"/>
        <v>26.620727272727269</v>
      </c>
      <c r="AB687" s="43"/>
      <c r="AC687" s="44">
        <v>385.3</v>
      </c>
      <c r="AD687" s="31">
        <v>0.12</v>
      </c>
      <c r="AE687" s="31">
        <v>0.1</v>
      </c>
      <c r="AF687" s="31">
        <v>0</v>
      </c>
      <c r="AG687" s="28" t="s">
        <v>53</v>
      </c>
      <c r="AH687" s="46">
        <f t="shared" si="181"/>
        <v>423.83000000000004</v>
      </c>
      <c r="AI687" s="43"/>
      <c r="AJ687" s="28"/>
      <c r="AK687" s="337"/>
      <c r="AL687" s="43"/>
      <c r="AM687" s="44">
        <f t="shared" si="182"/>
        <v>0</v>
      </c>
      <c r="AN687" s="43"/>
      <c r="AO687" s="28">
        <f t="shared" si="183"/>
        <v>0</v>
      </c>
      <c r="AP687" s="43"/>
      <c r="AQ687" s="323">
        <f t="shared" si="184"/>
        <v>0</v>
      </c>
      <c r="AR687" s="43"/>
      <c r="AS687" s="44">
        <f t="shared" si="185"/>
        <v>423.83000000000004</v>
      </c>
    </row>
    <row r="688" spans="1:45" x14ac:dyDescent="0.25">
      <c r="A688" s="28"/>
      <c r="B688" s="43"/>
      <c r="C688" s="43"/>
      <c r="D688" s="43"/>
      <c r="E688" s="43" t="s">
        <v>1568</v>
      </c>
      <c r="F688" s="43" t="s">
        <v>1569</v>
      </c>
      <c r="G688" s="46">
        <f t="shared" si="172"/>
        <v>1004.652</v>
      </c>
      <c r="H688" s="46">
        <f t="shared" si="173"/>
        <v>899.04937500000017</v>
      </c>
      <c r="I688" s="28" t="s">
        <v>262</v>
      </c>
      <c r="J688" s="337">
        <v>1</v>
      </c>
      <c r="K688" s="46">
        <f t="shared" si="174"/>
        <v>1004.652</v>
      </c>
      <c r="L688" s="46">
        <f t="shared" si="175"/>
        <v>899.04937500000017</v>
      </c>
      <c r="M688" s="338">
        <f t="shared" si="176"/>
        <v>0</v>
      </c>
      <c r="N688" s="43" t="s">
        <v>147</v>
      </c>
      <c r="O688" s="339">
        <v>85043111</v>
      </c>
      <c r="P688" s="340">
        <f>IFERROR(VLOOKUP(O688,NCM!$A$3:$D$99,COLUMN(head_porNCM_IPI)-COLUMN(head_porNCM_NCM)+1,FALSE),"")</f>
        <v>0.1</v>
      </c>
      <c r="Q688" s="43" t="s">
        <v>1888</v>
      </c>
      <c r="R688" s="78" t="s">
        <v>209</v>
      </c>
      <c r="S688" s="341"/>
      <c r="T688" s="28" t="s">
        <v>52</v>
      </c>
      <c r="U688" s="28" t="s">
        <v>1890</v>
      </c>
      <c r="V688" s="548">
        <v>43725</v>
      </c>
      <c r="W688" s="43"/>
      <c r="X688" s="342">
        <f t="shared" si="177"/>
        <v>124.54363636363635</v>
      </c>
      <c r="Y688" s="342">
        <f t="shared" si="178"/>
        <v>103.78636363636383</v>
      </c>
      <c r="Z688" s="46">
        <f t="shared" si="179"/>
        <v>17.124749999999999</v>
      </c>
      <c r="AA688" s="46">
        <f t="shared" si="180"/>
        <v>78.877636363636356</v>
      </c>
      <c r="AB688" s="43"/>
      <c r="AC688" s="44">
        <v>1141.6500000000001</v>
      </c>
      <c r="AD688" s="31">
        <v>0.12</v>
      </c>
      <c r="AE688" s="31">
        <v>0.1</v>
      </c>
      <c r="AF688" s="31">
        <v>0</v>
      </c>
      <c r="AG688" s="28" t="s">
        <v>53</v>
      </c>
      <c r="AH688" s="46">
        <f t="shared" si="181"/>
        <v>1255.8150000000003</v>
      </c>
      <c r="AI688" s="43"/>
      <c r="AJ688" s="28"/>
      <c r="AK688" s="337"/>
      <c r="AL688" s="43"/>
      <c r="AM688" s="44">
        <f t="shared" si="182"/>
        <v>0</v>
      </c>
      <c r="AN688" s="43"/>
      <c r="AO688" s="28">
        <f t="shared" si="183"/>
        <v>0</v>
      </c>
      <c r="AP688" s="43"/>
      <c r="AQ688" s="323">
        <f t="shared" si="184"/>
        <v>0</v>
      </c>
      <c r="AR688" s="43"/>
      <c r="AS688" s="44">
        <f t="shared" si="185"/>
        <v>1255.8150000000003</v>
      </c>
    </row>
    <row r="689" spans="1:45" x14ac:dyDescent="0.25">
      <c r="A689" s="28"/>
      <c r="B689" s="43"/>
      <c r="C689" s="43"/>
      <c r="D689" s="43" t="s">
        <v>1570</v>
      </c>
      <c r="E689" s="43"/>
      <c r="F689" s="43"/>
      <c r="G689" s="46">
        <f t="shared" si="172"/>
        <v>0</v>
      </c>
      <c r="H689" s="46">
        <f t="shared" si="173"/>
        <v>0</v>
      </c>
      <c r="I689" s="28"/>
      <c r="J689" s="337"/>
      <c r="K689" s="46" t="str">
        <f t="shared" si="174"/>
        <v/>
      </c>
      <c r="L689" s="46" t="str">
        <f t="shared" si="175"/>
        <v/>
      </c>
      <c r="M689" s="338">
        <f t="shared" si="176"/>
        <v>0</v>
      </c>
      <c r="N689" s="43"/>
      <c r="O689" s="339"/>
      <c r="P689" s="340" t="str">
        <f>IFERROR(VLOOKUP(O689,NCM!$A$3:$D$99,COLUMN(head_porNCM_IPI)-COLUMN(head_porNCM_NCM)+1,FALSE),"")</f>
        <v/>
      </c>
      <c r="Q689" s="43"/>
      <c r="R689" s="78"/>
      <c r="S689" s="341"/>
      <c r="T689" s="28"/>
      <c r="U689" s="28"/>
      <c r="V689" s="28"/>
      <c r="W689" s="43"/>
      <c r="X689" s="342">
        <f t="shared" si="177"/>
        <v>0</v>
      </c>
      <c r="Y689" s="342">
        <f t="shared" si="178"/>
        <v>0</v>
      </c>
      <c r="Z689" s="46">
        <f t="shared" si="179"/>
        <v>0</v>
      </c>
      <c r="AA689" s="46">
        <f t="shared" si="180"/>
        <v>0</v>
      </c>
      <c r="AB689" s="43"/>
      <c r="AC689" s="44">
        <v>0</v>
      </c>
      <c r="AD689" s="31"/>
      <c r="AE689" s="31"/>
      <c r="AF689" s="31"/>
      <c r="AG689" s="28"/>
      <c r="AH689" s="46">
        <f t="shared" si="181"/>
        <v>0</v>
      </c>
      <c r="AI689" s="43"/>
      <c r="AJ689" s="28"/>
      <c r="AK689" s="337"/>
      <c r="AL689" s="43"/>
      <c r="AM689" s="44">
        <f t="shared" si="182"/>
        <v>0</v>
      </c>
      <c r="AN689" s="43"/>
      <c r="AO689" s="28">
        <f t="shared" si="183"/>
        <v>0</v>
      </c>
      <c r="AP689" s="43"/>
      <c r="AQ689" s="323">
        <f t="shared" si="184"/>
        <v>0</v>
      </c>
      <c r="AR689" s="43"/>
      <c r="AS689" s="44">
        <f t="shared" si="185"/>
        <v>0</v>
      </c>
    </row>
    <row r="690" spans="1:45" x14ac:dyDescent="0.25">
      <c r="A690" s="28"/>
      <c r="B690" s="43"/>
      <c r="C690" s="43"/>
      <c r="D690" s="43"/>
      <c r="E690" s="43" t="s">
        <v>1571</v>
      </c>
      <c r="F690" s="43" t="s">
        <v>1572</v>
      </c>
      <c r="G690" s="46">
        <f t="shared" si="172"/>
        <v>94.291199999999989</v>
      </c>
      <c r="H690" s="46">
        <f t="shared" si="173"/>
        <v>85.205849999999998</v>
      </c>
      <c r="I690" s="28" t="s">
        <v>262</v>
      </c>
      <c r="J690" s="337">
        <v>1</v>
      </c>
      <c r="K690" s="46">
        <f t="shared" si="174"/>
        <v>94.291199999999989</v>
      </c>
      <c r="L690" s="46">
        <f t="shared" si="175"/>
        <v>85.205849999999998</v>
      </c>
      <c r="M690" s="338">
        <f t="shared" si="176"/>
        <v>0</v>
      </c>
      <c r="N690" s="43" t="s">
        <v>36</v>
      </c>
      <c r="O690" s="339">
        <v>85365090</v>
      </c>
      <c r="P690" s="340">
        <f>IFERROR(VLOOKUP(O690,NCM!$A$3:$D$99,COLUMN(head_porNCM_IPI)-COLUMN(head_porNCM_NCM)+1,FALSE),"")</f>
        <v>0.15</v>
      </c>
      <c r="Q690" s="43" t="s">
        <v>1894</v>
      </c>
      <c r="R690" s="78" t="s">
        <v>210</v>
      </c>
      <c r="S690" s="341"/>
      <c r="T690" s="28" t="s">
        <v>52</v>
      </c>
      <c r="U690" s="28" t="s">
        <v>1881</v>
      </c>
      <c r="V690" s="548">
        <v>43381</v>
      </c>
      <c r="W690" s="43"/>
      <c r="X690" s="342">
        <f t="shared" si="177"/>
        <v>3.4163478260869566</v>
      </c>
      <c r="Y690" s="342">
        <f t="shared" si="178"/>
        <v>12.811304347826081</v>
      </c>
      <c r="Z690" s="46">
        <f t="shared" si="179"/>
        <v>1.4092434782608698</v>
      </c>
      <c r="AA690" s="46">
        <f t="shared" si="180"/>
        <v>6.4910608695652172</v>
      </c>
      <c r="AB690" s="43"/>
      <c r="AC690" s="44">
        <v>98.22</v>
      </c>
      <c r="AD690" s="31">
        <v>0.04</v>
      </c>
      <c r="AE690" s="31">
        <v>0.15</v>
      </c>
      <c r="AF690" s="31">
        <v>0</v>
      </c>
      <c r="AG690" s="28" t="s">
        <v>53</v>
      </c>
      <c r="AH690" s="46">
        <f t="shared" si="181"/>
        <v>112.95299999999999</v>
      </c>
      <c r="AI690" s="43"/>
      <c r="AJ690" s="28" t="s">
        <v>264</v>
      </c>
      <c r="AK690" s="337"/>
      <c r="AL690" s="43"/>
      <c r="AM690" s="44">
        <f t="shared" si="182"/>
        <v>0</v>
      </c>
      <c r="AN690" s="43"/>
      <c r="AO690" s="28">
        <f t="shared" si="183"/>
        <v>0</v>
      </c>
      <c r="AP690" s="43"/>
      <c r="AQ690" s="323">
        <f t="shared" si="184"/>
        <v>0</v>
      </c>
      <c r="AR690" s="43"/>
      <c r="AS690" s="44">
        <f t="shared" si="185"/>
        <v>112.95299999999999</v>
      </c>
    </row>
    <row r="691" spans="1:45" x14ac:dyDescent="0.25">
      <c r="A691" s="28"/>
      <c r="B691" s="43"/>
      <c r="C691" s="43"/>
      <c r="D691" s="43"/>
      <c r="E691" s="43" t="s">
        <v>1573</v>
      </c>
      <c r="F691" s="43" t="s">
        <v>1574</v>
      </c>
      <c r="G691" s="46">
        <f t="shared" si="172"/>
        <v>80.217600000000004</v>
      </c>
      <c r="H691" s="46">
        <f t="shared" si="173"/>
        <v>72.48830000000001</v>
      </c>
      <c r="I691" s="28" t="s">
        <v>262</v>
      </c>
      <c r="J691" s="337">
        <v>1</v>
      </c>
      <c r="K691" s="46">
        <f t="shared" si="174"/>
        <v>80.217600000000004</v>
      </c>
      <c r="L691" s="46">
        <f t="shared" si="175"/>
        <v>72.48830000000001</v>
      </c>
      <c r="M691" s="338">
        <f t="shared" si="176"/>
        <v>0</v>
      </c>
      <c r="N691" s="43" t="s">
        <v>36</v>
      </c>
      <c r="O691" s="339">
        <v>85365090</v>
      </c>
      <c r="P691" s="340">
        <f>IFERROR(VLOOKUP(O691,NCM!$A$3:$D$99,COLUMN(head_porNCM_IPI)-COLUMN(head_porNCM_NCM)+1,FALSE),"")</f>
        <v>0.15</v>
      </c>
      <c r="Q691" s="43" t="s">
        <v>1894</v>
      </c>
      <c r="R691" s="78" t="s">
        <v>210</v>
      </c>
      <c r="S691" s="341"/>
      <c r="T691" s="28" t="s">
        <v>52</v>
      </c>
      <c r="U691" s="28" t="s">
        <v>1881</v>
      </c>
      <c r="V691" s="548">
        <v>43381</v>
      </c>
      <c r="W691" s="43"/>
      <c r="X691" s="342">
        <f t="shared" si="177"/>
        <v>2.906434782608696</v>
      </c>
      <c r="Y691" s="342">
        <f t="shared" si="178"/>
        <v>10.899130434782606</v>
      </c>
      <c r="Z691" s="46">
        <f t="shared" si="179"/>
        <v>1.198904347826087</v>
      </c>
      <c r="AA691" s="46">
        <f t="shared" si="180"/>
        <v>5.5222260869565218</v>
      </c>
      <c r="AB691" s="43"/>
      <c r="AC691" s="44">
        <v>83.56</v>
      </c>
      <c r="AD691" s="31">
        <v>0.04</v>
      </c>
      <c r="AE691" s="31">
        <v>0.15</v>
      </c>
      <c r="AF691" s="31">
        <v>0</v>
      </c>
      <c r="AG691" s="28" t="s">
        <v>53</v>
      </c>
      <c r="AH691" s="46">
        <f t="shared" si="181"/>
        <v>96.093999999999994</v>
      </c>
      <c r="AI691" s="43"/>
      <c r="AJ691" s="28" t="s">
        <v>264</v>
      </c>
      <c r="AK691" s="337"/>
      <c r="AL691" s="43"/>
      <c r="AM691" s="44">
        <f t="shared" si="182"/>
        <v>0</v>
      </c>
      <c r="AN691" s="43"/>
      <c r="AO691" s="28">
        <f t="shared" si="183"/>
        <v>0</v>
      </c>
      <c r="AP691" s="43"/>
      <c r="AQ691" s="323">
        <f t="shared" si="184"/>
        <v>0</v>
      </c>
      <c r="AR691" s="43"/>
      <c r="AS691" s="44">
        <f t="shared" si="185"/>
        <v>96.093999999999994</v>
      </c>
    </row>
    <row r="692" spans="1:45" x14ac:dyDescent="0.25">
      <c r="A692" s="28"/>
      <c r="B692" s="43"/>
      <c r="C692" s="43"/>
      <c r="D692" s="43"/>
      <c r="E692" s="43" t="s">
        <v>1575</v>
      </c>
      <c r="F692" s="43" t="s">
        <v>1576</v>
      </c>
      <c r="G692" s="46">
        <f t="shared" si="172"/>
        <v>144.96</v>
      </c>
      <c r="H692" s="46">
        <f t="shared" si="173"/>
        <v>130.99250000000001</v>
      </c>
      <c r="I692" s="28" t="s">
        <v>262</v>
      </c>
      <c r="J692" s="337">
        <v>1</v>
      </c>
      <c r="K692" s="46">
        <f t="shared" si="174"/>
        <v>144.96</v>
      </c>
      <c r="L692" s="46">
        <f t="shared" si="175"/>
        <v>130.99250000000001</v>
      </c>
      <c r="M692" s="338">
        <f t="shared" si="176"/>
        <v>0</v>
      </c>
      <c r="N692" s="43" t="s">
        <v>36</v>
      </c>
      <c r="O692" s="339">
        <v>85365090</v>
      </c>
      <c r="P692" s="340">
        <f>IFERROR(VLOOKUP(O692,NCM!$A$3:$D$99,COLUMN(head_porNCM_IPI)-COLUMN(head_porNCM_NCM)+1,FALSE),"")</f>
        <v>0.15</v>
      </c>
      <c r="Q692" s="43" t="s">
        <v>1894</v>
      </c>
      <c r="R692" s="78" t="s">
        <v>210</v>
      </c>
      <c r="S692" s="341"/>
      <c r="T692" s="28" t="s">
        <v>52</v>
      </c>
      <c r="U692" s="28" t="s">
        <v>1881</v>
      </c>
      <c r="V692" s="548">
        <v>43381</v>
      </c>
      <c r="W692" s="43"/>
      <c r="X692" s="342">
        <f t="shared" si="177"/>
        <v>5.252173913043479</v>
      </c>
      <c r="Y692" s="342">
        <f t="shared" si="178"/>
        <v>19.695652173913032</v>
      </c>
      <c r="Z692" s="46">
        <f t="shared" si="179"/>
        <v>2.166521739130435</v>
      </c>
      <c r="AA692" s="46">
        <f t="shared" si="180"/>
        <v>9.9791304347826095</v>
      </c>
      <c r="AB692" s="43"/>
      <c r="AC692" s="44">
        <v>151</v>
      </c>
      <c r="AD692" s="31">
        <v>0.04</v>
      </c>
      <c r="AE692" s="31">
        <v>0.15</v>
      </c>
      <c r="AF692" s="31">
        <v>0</v>
      </c>
      <c r="AG692" s="28" t="s">
        <v>53</v>
      </c>
      <c r="AH692" s="46">
        <f t="shared" si="181"/>
        <v>173.64999999999998</v>
      </c>
      <c r="AI692" s="43"/>
      <c r="AJ692" s="28" t="s">
        <v>264</v>
      </c>
      <c r="AK692" s="337"/>
      <c r="AL692" s="43"/>
      <c r="AM692" s="44">
        <f t="shared" si="182"/>
        <v>0</v>
      </c>
      <c r="AN692" s="43"/>
      <c r="AO692" s="28">
        <f t="shared" si="183"/>
        <v>0</v>
      </c>
      <c r="AP692" s="43"/>
      <c r="AQ692" s="323">
        <f t="shared" si="184"/>
        <v>0</v>
      </c>
      <c r="AR692" s="43"/>
      <c r="AS692" s="44">
        <f t="shared" si="185"/>
        <v>173.64999999999998</v>
      </c>
    </row>
    <row r="693" spans="1:45" x14ac:dyDescent="0.25">
      <c r="A693" s="28"/>
      <c r="B693" s="43"/>
      <c r="C693" s="43"/>
      <c r="D693" s="43"/>
      <c r="E693" s="43" t="s">
        <v>1577</v>
      </c>
      <c r="F693" s="43" t="s">
        <v>1578</v>
      </c>
      <c r="G693" s="46">
        <f t="shared" si="172"/>
        <v>80.217600000000004</v>
      </c>
      <c r="H693" s="46">
        <f t="shared" si="173"/>
        <v>72.48830000000001</v>
      </c>
      <c r="I693" s="28" t="s">
        <v>262</v>
      </c>
      <c r="J693" s="337">
        <v>1</v>
      </c>
      <c r="K693" s="46">
        <f t="shared" si="174"/>
        <v>80.217600000000004</v>
      </c>
      <c r="L693" s="46">
        <f t="shared" si="175"/>
        <v>72.48830000000001</v>
      </c>
      <c r="M693" s="338">
        <f t="shared" si="176"/>
        <v>0</v>
      </c>
      <c r="N693" s="43" t="s">
        <v>36</v>
      </c>
      <c r="O693" s="339">
        <v>85365090</v>
      </c>
      <c r="P693" s="340">
        <f>IFERROR(VLOOKUP(O693,NCM!$A$3:$D$99,COLUMN(head_porNCM_IPI)-COLUMN(head_porNCM_NCM)+1,FALSE),"")</f>
        <v>0.15</v>
      </c>
      <c r="Q693" s="43" t="s">
        <v>1894</v>
      </c>
      <c r="R693" s="78" t="s">
        <v>210</v>
      </c>
      <c r="S693" s="341"/>
      <c r="T693" s="28" t="s">
        <v>52</v>
      </c>
      <c r="U693" s="28" t="s">
        <v>1881</v>
      </c>
      <c r="V693" s="548">
        <v>43381</v>
      </c>
      <c r="W693" s="43"/>
      <c r="X693" s="342">
        <f t="shared" si="177"/>
        <v>2.906434782608696</v>
      </c>
      <c r="Y693" s="342">
        <f t="shared" si="178"/>
        <v>10.899130434782606</v>
      </c>
      <c r="Z693" s="46">
        <f t="shared" si="179"/>
        <v>1.198904347826087</v>
      </c>
      <c r="AA693" s="46">
        <f t="shared" si="180"/>
        <v>5.5222260869565218</v>
      </c>
      <c r="AB693" s="43"/>
      <c r="AC693" s="44">
        <v>83.56</v>
      </c>
      <c r="AD693" s="31">
        <v>0.04</v>
      </c>
      <c r="AE693" s="31">
        <v>0.15</v>
      </c>
      <c r="AF693" s="31">
        <v>0</v>
      </c>
      <c r="AG693" s="28" t="s">
        <v>53</v>
      </c>
      <c r="AH693" s="46">
        <f t="shared" si="181"/>
        <v>96.093999999999994</v>
      </c>
      <c r="AI693" s="43"/>
      <c r="AJ693" s="28" t="s">
        <v>264</v>
      </c>
      <c r="AK693" s="337"/>
      <c r="AL693" s="43"/>
      <c r="AM693" s="44">
        <f t="shared" si="182"/>
        <v>0</v>
      </c>
      <c r="AN693" s="43"/>
      <c r="AO693" s="28">
        <f t="shared" si="183"/>
        <v>0</v>
      </c>
      <c r="AP693" s="43"/>
      <c r="AQ693" s="323">
        <f t="shared" si="184"/>
        <v>0</v>
      </c>
      <c r="AR693" s="43"/>
      <c r="AS693" s="44">
        <f t="shared" si="185"/>
        <v>96.093999999999994</v>
      </c>
    </row>
    <row r="694" spans="1:45" x14ac:dyDescent="0.25">
      <c r="A694" s="28"/>
      <c r="B694" s="43"/>
      <c r="C694" s="43"/>
      <c r="D694" s="43"/>
      <c r="E694" s="43" t="s">
        <v>1579</v>
      </c>
      <c r="F694" s="43" t="s">
        <v>1580</v>
      </c>
      <c r="G694" s="46">
        <f t="shared" si="172"/>
        <v>80.540400000000005</v>
      </c>
      <c r="H694" s="46">
        <f t="shared" si="173"/>
        <v>71.455050000000014</v>
      </c>
      <c r="I694" s="28" t="s">
        <v>262</v>
      </c>
      <c r="J694" s="337">
        <v>1</v>
      </c>
      <c r="K694" s="46">
        <f t="shared" si="174"/>
        <v>80.540400000000005</v>
      </c>
      <c r="L694" s="46">
        <f t="shared" si="175"/>
        <v>71.455050000000014</v>
      </c>
      <c r="M694" s="338">
        <f t="shared" si="176"/>
        <v>0</v>
      </c>
      <c r="N694" s="43" t="s">
        <v>36</v>
      </c>
      <c r="O694" s="339">
        <v>85365090</v>
      </c>
      <c r="P694" s="340">
        <f>IFERROR(VLOOKUP(O694,NCM!$A$3:$D$99,COLUMN(head_porNCM_IPI)-COLUMN(head_porNCM_NCM)+1,FALSE),"")</f>
        <v>0.15</v>
      </c>
      <c r="Q694" s="43" t="s">
        <v>1894</v>
      </c>
      <c r="R694" s="78" t="s">
        <v>210</v>
      </c>
      <c r="S694" s="341"/>
      <c r="T694" s="28" t="s">
        <v>52</v>
      </c>
      <c r="U694" s="28" t="s">
        <v>1881</v>
      </c>
      <c r="V694" s="548">
        <v>43381</v>
      </c>
      <c r="W694" s="43"/>
      <c r="X694" s="342">
        <f t="shared" si="177"/>
        <v>15.373565217391304</v>
      </c>
      <c r="Y694" s="342">
        <f t="shared" si="178"/>
        <v>12.811304347826081</v>
      </c>
      <c r="Z694" s="46">
        <f t="shared" si="179"/>
        <v>1.4092434782608698</v>
      </c>
      <c r="AA694" s="46">
        <f t="shared" si="180"/>
        <v>6.4910608695652172</v>
      </c>
      <c r="AB694" s="43"/>
      <c r="AC694" s="44">
        <v>98.22</v>
      </c>
      <c r="AD694" s="31">
        <v>0.18</v>
      </c>
      <c r="AE694" s="31">
        <v>0.15</v>
      </c>
      <c r="AF694" s="31">
        <v>0</v>
      </c>
      <c r="AG694" s="28" t="s">
        <v>53</v>
      </c>
      <c r="AH694" s="46">
        <f t="shared" si="181"/>
        <v>112.95299999999999</v>
      </c>
      <c r="AI694" s="43"/>
      <c r="AJ694" s="28" t="s">
        <v>264</v>
      </c>
      <c r="AK694" s="337"/>
      <c r="AL694" s="43"/>
      <c r="AM694" s="44">
        <f t="shared" si="182"/>
        <v>0</v>
      </c>
      <c r="AN694" s="43"/>
      <c r="AO694" s="28">
        <f t="shared" si="183"/>
        <v>0</v>
      </c>
      <c r="AP694" s="43"/>
      <c r="AQ694" s="323">
        <f t="shared" si="184"/>
        <v>0</v>
      </c>
      <c r="AR694" s="43"/>
      <c r="AS694" s="44">
        <f t="shared" si="185"/>
        <v>112.95299999999999</v>
      </c>
    </row>
    <row r="695" spans="1:45" x14ac:dyDescent="0.25">
      <c r="A695" s="28"/>
      <c r="B695" s="43"/>
      <c r="C695" s="43"/>
      <c r="D695" s="43"/>
      <c r="E695" s="43" t="s">
        <v>1581</v>
      </c>
      <c r="F695" s="43" t="s">
        <v>1582</v>
      </c>
      <c r="G695" s="46">
        <f t="shared" si="172"/>
        <v>111.79880000000001</v>
      </c>
      <c r="H695" s="46">
        <f t="shared" si="173"/>
        <v>99.187350000000023</v>
      </c>
      <c r="I695" s="28" t="s">
        <v>262</v>
      </c>
      <c r="J695" s="337">
        <v>1</v>
      </c>
      <c r="K695" s="46">
        <f t="shared" si="174"/>
        <v>111.79880000000001</v>
      </c>
      <c r="L695" s="46">
        <f t="shared" si="175"/>
        <v>99.187350000000023</v>
      </c>
      <c r="M695" s="338">
        <f t="shared" si="176"/>
        <v>0</v>
      </c>
      <c r="N695" s="43" t="s">
        <v>36</v>
      </c>
      <c r="O695" s="339">
        <v>85365090</v>
      </c>
      <c r="P695" s="340">
        <f>IFERROR(VLOOKUP(O695,NCM!$A$3:$D$99,COLUMN(head_porNCM_IPI)-COLUMN(head_porNCM_NCM)+1,FALSE),"")</f>
        <v>0.15</v>
      </c>
      <c r="Q695" s="43" t="s">
        <v>1894</v>
      </c>
      <c r="R695" s="78" t="s">
        <v>210</v>
      </c>
      <c r="S695" s="341"/>
      <c r="T695" s="28" t="s">
        <v>52</v>
      </c>
      <c r="U695" s="28" t="s">
        <v>1881</v>
      </c>
      <c r="V695" s="548">
        <v>43381</v>
      </c>
      <c r="W695" s="43"/>
      <c r="X695" s="342">
        <f t="shared" si="177"/>
        <v>21.340173913043479</v>
      </c>
      <c r="Y695" s="342">
        <f t="shared" si="178"/>
        <v>17.783478260869558</v>
      </c>
      <c r="Z695" s="46">
        <f t="shared" si="179"/>
        <v>1.9561826086956524</v>
      </c>
      <c r="AA695" s="46">
        <f t="shared" si="180"/>
        <v>9.0102956521739141</v>
      </c>
      <c r="AB695" s="43"/>
      <c r="AC695" s="44">
        <v>136.34</v>
      </c>
      <c r="AD695" s="31">
        <v>0.18</v>
      </c>
      <c r="AE695" s="31">
        <v>0.15</v>
      </c>
      <c r="AF695" s="31">
        <v>0</v>
      </c>
      <c r="AG695" s="28" t="s">
        <v>53</v>
      </c>
      <c r="AH695" s="46">
        <f t="shared" si="181"/>
        <v>156.791</v>
      </c>
      <c r="AI695" s="43"/>
      <c r="AJ695" s="28" t="s">
        <v>264</v>
      </c>
      <c r="AK695" s="337"/>
      <c r="AL695" s="43"/>
      <c r="AM695" s="44">
        <f t="shared" si="182"/>
        <v>0</v>
      </c>
      <c r="AN695" s="43"/>
      <c r="AO695" s="28">
        <f t="shared" si="183"/>
        <v>0</v>
      </c>
      <c r="AP695" s="43"/>
      <c r="AQ695" s="323">
        <f t="shared" si="184"/>
        <v>0</v>
      </c>
      <c r="AR695" s="43"/>
      <c r="AS695" s="44">
        <f t="shared" si="185"/>
        <v>156.791</v>
      </c>
    </row>
    <row r="696" spans="1:45" x14ac:dyDescent="0.25">
      <c r="A696" s="28"/>
      <c r="B696" s="43"/>
      <c r="C696" s="43"/>
      <c r="D696" s="43"/>
      <c r="E696" s="43" t="s">
        <v>1583</v>
      </c>
      <c r="F696" s="43" t="s">
        <v>1584</v>
      </c>
      <c r="G696" s="46">
        <f t="shared" ref="G696:G759" si="186">AC696*(1-AD696)</f>
        <v>133.79939999999999</v>
      </c>
      <c r="H696" s="46">
        <f t="shared" ref="H696:H759" si="187">AC696*(1-AD696-pis_naocum-cofins_naocum)</f>
        <v>118.70617500000002</v>
      </c>
      <c r="I696" s="28" t="s">
        <v>262</v>
      </c>
      <c r="J696" s="337">
        <v>1</v>
      </c>
      <c r="K696" s="46">
        <f t="shared" ref="K696:K759" si="188">IFERROR(G696*J696*VLOOKUP(I696,tbl_cambio,2,FALSE),"")</f>
        <v>133.79939999999999</v>
      </c>
      <c r="L696" s="46">
        <f t="shared" ref="L696:L759" si="189">IFERROR(H696*J696*VLOOKUP(I696,tbl_cambio,2,FALSE),"")</f>
        <v>118.70617500000002</v>
      </c>
      <c r="M696" s="338">
        <f t="shared" ref="M696:M759" si="190">SUMIF(col_item,"="&amp;E696,col_qtd)</f>
        <v>0</v>
      </c>
      <c r="N696" s="43" t="s">
        <v>36</v>
      </c>
      <c r="O696" s="339">
        <v>85365090</v>
      </c>
      <c r="P696" s="340">
        <f>IFERROR(VLOOKUP(O696,NCM!$A$3:$D$99,COLUMN(head_porNCM_IPI)-COLUMN(head_porNCM_NCM)+1,FALSE),"")</f>
        <v>0.15</v>
      </c>
      <c r="Q696" s="43" t="s">
        <v>1894</v>
      </c>
      <c r="R696" s="78" t="s">
        <v>210</v>
      </c>
      <c r="S696" s="341"/>
      <c r="T696" s="28" t="s">
        <v>52</v>
      </c>
      <c r="U696" s="28" t="s">
        <v>1881</v>
      </c>
      <c r="V696" s="548">
        <v>43381</v>
      </c>
      <c r="W696" s="43"/>
      <c r="X696" s="342">
        <f t="shared" ref="X696:X759" si="191">(AC696-Y696)*AD696</f>
        <v>25.539652173913044</v>
      </c>
      <c r="Y696" s="342">
        <f t="shared" ref="Y696:Y759" si="192">AC696-AC696/(1+AE696)</f>
        <v>21.283043478260851</v>
      </c>
      <c r="Z696" s="46">
        <f t="shared" ref="Z696:Z759" si="193">(AC696-Y696)*pis_naocum</f>
        <v>2.3411347826086959</v>
      </c>
      <c r="AA696" s="46">
        <f t="shared" ref="AA696:AA759" si="194">(AC696-Y696)*cofins_naocum</f>
        <v>10.783408695652174</v>
      </c>
      <c r="AB696" s="43"/>
      <c r="AC696" s="44">
        <v>163.16999999999999</v>
      </c>
      <c r="AD696" s="31">
        <v>0.18</v>
      </c>
      <c r="AE696" s="31">
        <v>0.15</v>
      </c>
      <c r="AF696" s="31">
        <v>0</v>
      </c>
      <c r="AG696" s="28" t="s">
        <v>53</v>
      </c>
      <c r="AH696" s="46">
        <f t="shared" ref="AH696:AH759" si="195">AC696*(1+AE696)</f>
        <v>187.64549999999997</v>
      </c>
      <c r="AI696" s="43"/>
      <c r="AJ696" s="28" t="s">
        <v>264</v>
      </c>
      <c r="AK696" s="337"/>
      <c r="AL696" s="43"/>
      <c r="AM696" s="44">
        <f t="shared" ref="AM696:AM759" si="196">IF(AND(AJ696&lt;&gt;"",AK696&gt;0),AQ696*(VLOOKUP(AJ696,tbl_cambio,2,FALSE)/AK696-1),0)</f>
        <v>0</v>
      </c>
      <c r="AN696" s="43"/>
      <c r="AO696" s="28">
        <f t="shared" ref="AO696:AO759" si="197">IF(T696="Sim",ROUNDUP(M696*sobress_pc,0),0)</f>
        <v>0</v>
      </c>
      <c r="AP696" s="43"/>
      <c r="AQ696" s="323">
        <f t="shared" ref="AQ696:AQ759" si="198">SUMIFS(col_custoTotal,col_fatdir,"Não",col_item,E696)</f>
        <v>0</v>
      </c>
      <c r="AR696" s="43"/>
      <c r="AS696" s="44">
        <f t="shared" ref="AS696:AS759" si="199">IFERROR(AH696*VLOOKUP(I696,tbl_cambio,2,FALSE),0)</f>
        <v>187.64549999999997</v>
      </c>
    </row>
    <row r="697" spans="1:45" x14ac:dyDescent="0.25">
      <c r="A697" s="28"/>
      <c r="B697" s="43"/>
      <c r="C697" s="43"/>
      <c r="D697" s="43"/>
      <c r="E697" s="43" t="s">
        <v>1585</v>
      </c>
      <c r="F697" s="43" t="s">
        <v>1586</v>
      </c>
      <c r="G697" s="46">
        <f t="shared" si="186"/>
        <v>246.28800000000001</v>
      </c>
      <c r="H697" s="46">
        <f t="shared" si="187"/>
        <v>222.55712500000001</v>
      </c>
      <c r="I697" s="28" t="s">
        <v>262</v>
      </c>
      <c r="J697" s="337">
        <v>1</v>
      </c>
      <c r="K697" s="46">
        <f t="shared" si="188"/>
        <v>246.28800000000001</v>
      </c>
      <c r="L697" s="46">
        <f t="shared" si="189"/>
        <v>222.55712500000001</v>
      </c>
      <c r="M697" s="338">
        <f t="shared" si="190"/>
        <v>0</v>
      </c>
      <c r="N697" s="43" t="s">
        <v>36</v>
      </c>
      <c r="O697" s="339">
        <v>85365090</v>
      </c>
      <c r="P697" s="340">
        <f>IFERROR(VLOOKUP(O697,NCM!$A$3:$D$99,COLUMN(head_porNCM_IPI)-COLUMN(head_porNCM_NCM)+1,FALSE),"")</f>
        <v>0.15</v>
      </c>
      <c r="Q697" s="43" t="s">
        <v>1894</v>
      </c>
      <c r="R697" s="78" t="s">
        <v>210</v>
      </c>
      <c r="S697" s="341"/>
      <c r="T697" s="28" t="s">
        <v>52</v>
      </c>
      <c r="U697" s="28" t="s">
        <v>1881</v>
      </c>
      <c r="V697" s="548">
        <v>43381</v>
      </c>
      <c r="W697" s="43"/>
      <c r="X697" s="342">
        <f t="shared" si="191"/>
        <v>8.9234782608695671</v>
      </c>
      <c r="Y697" s="342">
        <f t="shared" si="192"/>
        <v>33.463043478260857</v>
      </c>
      <c r="Z697" s="46">
        <f t="shared" si="193"/>
        <v>3.6809347826086962</v>
      </c>
      <c r="AA697" s="46">
        <f t="shared" si="194"/>
        <v>16.954608695652176</v>
      </c>
      <c r="AB697" s="43"/>
      <c r="AC697" s="44">
        <v>256.55</v>
      </c>
      <c r="AD697" s="31">
        <v>0.04</v>
      </c>
      <c r="AE697" s="31">
        <v>0.15</v>
      </c>
      <c r="AF697" s="31">
        <v>0</v>
      </c>
      <c r="AG697" s="28" t="s">
        <v>53</v>
      </c>
      <c r="AH697" s="46">
        <f t="shared" si="195"/>
        <v>295.03249999999997</v>
      </c>
      <c r="AI697" s="43"/>
      <c r="AJ697" s="28" t="s">
        <v>264</v>
      </c>
      <c r="AK697" s="337"/>
      <c r="AL697" s="43"/>
      <c r="AM697" s="44">
        <f t="shared" si="196"/>
        <v>0</v>
      </c>
      <c r="AN697" s="43"/>
      <c r="AO697" s="28">
        <f t="shared" si="197"/>
        <v>0</v>
      </c>
      <c r="AP697" s="43"/>
      <c r="AQ697" s="323">
        <f t="shared" si="198"/>
        <v>0</v>
      </c>
      <c r="AR697" s="43"/>
      <c r="AS697" s="44">
        <f t="shared" si="199"/>
        <v>295.03249999999997</v>
      </c>
    </row>
    <row r="698" spans="1:45" x14ac:dyDescent="0.25">
      <c r="A698" s="28"/>
      <c r="B698" s="43"/>
      <c r="C698" s="43"/>
      <c r="D698" s="43"/>
      <c r="E698" s="43" t="s">
        <v>1587</v>
      </c>
      <c r="F698" s="43" t="s">
        <v>1588</v>
      </c>
      <c r="G698" s="46">
        <f t="shared" si="186"/>
        <v>271.62239999999997</v>
      </c>
      <c r="H698" s="46">
        <f t="shared" si="187"/>
        <v>245.45045000000002</v>
      </c>
      <c r="I698" s="28" t="s">
        <v>262</v>
      </c>
      <c r="J698" s="337">
        <v>1</v>
      </c>
      <c r="K698" s="46">
        <f t="shared" si="188"/>
        <v>271.62239999999997</v>
      </c>
      <c r="L698" s="46">
        <f t="shared" si="189"/>
        <v>245.45045000000002</v>
      </c>
      <c r="M698" s="338">
        <f t="shared" si="190"/>
        <v>0</v>
      </c>
      <c r="N698" s="43" t="s">
        <v>36</v>
      </c>
      <c r="O698" s="339">
        <v>85365090</v>
      </c>
      <c r="P698" s="340">
        <f>IFERROR(VLOOKUP(O698,NCM!$A$3:$D$99,COLUMN(head_porNCM_IPI)-COLUMN(head_porNCM_NCM)+1,FALSE),"")</f>
        <v>0.15</v>
      </c>
      <c r="Q698" s="43" t="s">
        <v>1894</v>
      </c>
      <c r="R698" s="78" t="s">
        <v>210</v>
      </c>
      <c r="S698" s="341"/>
      <c r="T698" s="28" t="s">
        <v>52</v>
      </c>
      <c r="U698" s="28" t="s">
        <v>1881</v>
      </c>
      <c r="V698" s="548">
        <v>43381</v>
      </c>
      <c r="W698" s="43"/>
      <c r="X698" s="342">
        <f t="shared" si="191"/>
        <v>9.8413913043478267</v>
      </c>
      <c r="Y698" s="342">
        <f t="shared" si="192"/>
        <v>36.905217391304319</v>
      </c>
      <c r="Z698" s="46">
        <f t="shared" si="193"/>
        <v>4.0595739130434785</v>
      </c>
      <c r="AA698" s="46">
        <f t="shared" si="194"/>
        <v>18.69864347826087</v>
      </c>
      <c r="AB698" s="43"/>
      <c r="AC698" s="44">
        <v>282.94</v>
      </c>
      <c r="AD698" s="31">
        <v>0.04</v>
      </c>
      <c r="AE698" s="31">
        <v>0.15</v>
      </c>
      <c r="AF698" s="31">
        <v>0</v>
      </c>
      <c r="AG698" s="28" t="s">
        <v>53</v>
      </c>
      <c r="AH698" s="46">
        <f t="shared" si="195"/>
        <v>325.38099999999997</v>
      </c>
      <c r="AI698" s="43"/>
      <c r="AJ698" s="28" t="s">
        <v>264</v>
      </c>
      <c r="AK698" s="337"/>
      <c r="AL698" s="43"/>
      <c r="AM698" s="44">
        <f t="shared" si="196"/>
        <v>0</v>
      </c>
      <c r="AN698" s="43"/>
      <c r="AO698" s="28">
        <f t="shared" si="197"/>
        <v>0</v>
      </c>
      <c r="AP698" s="43"/>
      <c r="AQ698" s="323">
        <f t="shared" si="198"/>
        <v>0</v>
      </c>
      <c r="AR698" s="43"/>
      <c r="AS698" s="44">
        <f t="shared" si="199"/>
        <v>325.38099999999997</v>
      </c>
    </row>
    <row r="699" spans="1:45" x14ac:dyDescent="0.25">
      <c r="A699" s="28"/>
      <c r="B699" s="43"/>
      <c r="C699" s="43"/>
      <c r="D699" s="43"/>
      <c r="E699" s="43" t="s">
        <v>1589</v>
      </c>
      <c r="F699" s="43" t="s">
        <v>1590</v>
      </c>
      <c r="G699" s="46">
        <f t="shared" si="186"/>
        <v>119.62559999999999</v>
      </c>
      <c r="H699" s="46">
        <f t="shared" si="187"/>
        <v>108.099175</v>
      </c>
      <c r="I699" s="28" t="s">
        <v>262</v>
      </c>
      <c r="J699" s="337">
        <v>1</v>
      </c>
      <c r="K699" s="46">
        <f t="shared" si="188"/>
        <v>119.62559999999999</v>
      </c>
      <c r="L699" s="46">
        <f t="shared" si="189"/>
        <v>108.099175</v>
      </c>
      <c r="M699" s="338">
        <f t="shared" si="190"/>
        <v>0</v>
      </c>
      <c r="N699" s="43" t="s">
        <v>36</v>
      </c>
      <c r="O699" s="339">
        <v>85365090</v>
      </c>
      <c r="P699" s="340">
        <f>IFERROR(VLOOKUP(O699,NCM!$A$3:$D$99,COLUMN(head_porNCM_IPI)-COLUMN(head_porNCM_NCM)+1,FALSE),"")</f>
        <v>0.15</v>
      </c>
      <c r="Q699" s="43" t="s">
        <v>1894</v>
      </c>
      <c r="R699" s="78" t="s">
        <v>210</v>
      </c>
      <c r="S699" s="341"/>
      <c r="T699" s="28" t="s">
        <v>52</v>
      </c>
      <c r="U699" s="28" t="s">
        <v>1881</v>
      </c>
      <c r="V699" s="548">
        <v>43381</v>
      </c>
      <c r="W699" s="43"/>
      <c r="X699" s="342">
        <f t="shared" si="191"/>
        <v>4.3342608695652176</v>
      </c>
      <c r="Y699" s="342">
        <f t="shared" si="192"/>
        <v>16.253478260869556</v>
      </c>
      <c r="Z699" s="46">
        <f t="shared" si="193"/>
        <v>1.7878826086956523</v>
      </c>
      <c r="AA699" s="46">
        <f t="shared" si="194"/>
        <v>8.2350956521739143</v>
      </c>
      <c r="AB699" s="43"/>
      <c r="AC699" s="44">
        <v>124.61</v>
      </c>
      <c r="AD699" s="31">
        <v>0.04</v>
      </c>
      <c r="AE699" s="31">
        <v>0.15</v>
      </c>
      <c r="AF699" s="31">
        <v>0</v>
      </c>
      <c r="AG699" s="28" t="s">
        <v>53</v>
      </c>
      <c r="AH699" s="46">
        <f t="shared" si="195"/>
        <v>143.30149999999998</v>
      </c>
      <c r="AI699" s="43"/>
      <c r="AJ699" s="28" t="s">
        <v>264</v>
      </c>
      <c r="AK699" s="337"/>
      <c r="AL699" s="43"/>
      <c r="AM699" s="44">
        <f t="shared" si="196"/>
        <v>0</v>
      </c>
      <c r="AN699" s="43"/>
      <c r="AO699" s="28">
        <f t="shared" si="197"/>
        <v>0</v>
      </c>
      <c r="AP699" s="43"/>
      <c r="AQ699" s="323">
        <f t="shared" si="198"/>
        <v>0</v>
      </c>
      <c r="AR699" s="43"/>
      <c r="AS699" s="44">
        <f t="shared" si="199"/>
        <v>143.30149999999998</v>
      </c>
    </row>
    <row r="700" spans="1:45" x14ac:dyDescent="0.25">
      <c r="A700" s="28"/>
      <c r="B700" s="43"/>
      <c r="C700" s="43"/>
      <c r="D700" s="43"/>
      <c r="E700" s="43" t="s">
        <v>1591</v>
      </c>
      <c r="F700" s="43" t="s">
        <v>1592</v>
      </c>
      <c r="G700" s="46">
        <f t="shared" si="186"/>
        <v>144.96</v>
      </c>
      <c r="H700" s="46">
        <f t="shared" si="187"/>
        <v>130.99250000000001</v>
      </c>
      <c r="I700" s="28" t="s">
        <v>262</v>
      </c>
      <c r="J700" s="337">
        <v>1</v>
      </c>
      <c r="K700" s="46">
        <f t="shared" si="188"/>
        <v>144.96</v>
      </c>
      <c r="L700" s="46">
        <f t="shared" si="189"/>
        <v>130.99250000000001</v>
      </c>
      <c r="M700" s="338">
        <f t="shared" si="190"/>
        <v>0</v>
      </c>
      <c r="N700" s="43" t="s">
        <v>36</v>
      </c>
      <c r="O700" s="339">
        <v>85365090</v>
      </c>
      <c r="P700" s="340">
        <f>IFERROR(VLOOKUP(O700,NCM!$A$3:$D$99,COLUMN(head_porNCM_IPI)-COLUMN(head_porNCM_NCM)+1,FALSE),"")</f>
        <v>0.15</v>
      </c>
      <c r="Q700" s="43" t="s">
        <v>1894</v>
      </c>
      <c r="R700" s="78" t="s">
        <v>210</v>
      </c>
      <c r="S700" s="341"/>
      <c r="T700" s="28" t="s">
        <v>52</v>
      </c>
      <c r="U700" s="28" t="s">
        <v>1881</v>
      </c>
      <c r="V700" s="548">
        <v>43381</v>
      </c>
      <c r="W700" s="43"/>
      <c r="X700" s="342">
        <f t="shared" si="191"/>
        <v>5.252173913043479</v>
      </c>
      <c r="Y700" s="342">
        <f t="shared" si="192"/>
        <v>19.695652173913032</v>
      </c>
      <c r="Z700" s="46">
        <f t="shared" si="193"/>
        <v>2.166521739130435</v>
      </c>
      <c r="AA700" s="46">
        <f t="shared" si="194"/>
        <v>9.9791304347826095</v>
      </c>
      <c r="AB700" s="43"/>
      <c r="AC700" s="44">
        <v>151</v>
      </c>
      <c r="AD700" s="31">
        <v>0.04</v>
      </c>
      <c r="AE700" s="31">
        <v>0.15</v>
      </c>
      <c r="AF700" s="31">
        <v>0</v>
      </c>
      <c r="AG700" s="28" t="s">
        <v>53</v>
      </c>
      <c r="AH700" s="46">
        <f t="shared" si="195"/>
        <v>173.64999999999998</v>
      </c>
      <c r="AI700" s="43"/>
      <c r="AJ700" s="28" t="s">
        <v>264</v>
      </c>
      <c r="AK700" s="337"/>
      <c r="AL700" s="43"/>
      <c r="AM700" s="44">
        <f t="shared" si="196"/>
        <v>0</v>
      </c>
      <c r="AN700" s="43"/>
      <c r="AO700" s="28">
        <f t="shared" si="197"/>
        <v>0</v>
      </c>
      <c r="AP700" s="43"/>
      <c r="AQ700" s="323">
        <f t="shared" si="198"/>
        <v>0</v>
      </c>
      <c r="AR700" s="43"/>
      <c r="AS700" s="44">
        <f t="shared" si="199"/>
        <v>173.64999999999998</v>
      </c>
    </row>
    <row r="701" spans="1:45" x14ac:dyDescent="0.25">
      <c r="A701" s="28"/>
      <c r="B701" s="43"/>
      <c r="C701" s="43"/>
      <c r="D701" s="43"/>
      <c r="E701" s="43" t="s">
        <v>1593</v>
      </c>
      <c r="F701" s="43" t="s">
        <v>1594</v>
      </c>
      <c r="G701" s="46">
        <f t="shared" si="186"/>
        <v>58.900600000000004</v>
      </c>
      <c r="H701" s="46">
        <f t="shared" si="187"/>
        <v>52.256325000000011</v>
      </c>
      <c r="I701" s="28" t="s">
        <v>262</v>
      </c>
      <c r="J701" s="337">
        <v>1</v>
      </c>
      <c r="K701" s="46">
        <f t="shared" si="188"/>
        <v>58.900600000000004</v>
      </c>
      <c r="L701" s="46">
        <f t="shared" si="189"/>
        <v>52.256325000000011</v>
      </c>
      <c r="M701" s="338">
        <f t="shared" si="190"/>
        <v>0</v>
      </c>
      <c r="N701" s="43" t="s">
        <v>36</v>
      </c>
      <c r="O701" s="339">
        <v>85365090</v>
      </c>
      <c r="P701" s="340">
        <f>IFERROR(VLOOKUP(O701,NCM!$A$3:$D$99,COLUMN(head_porNCM_IPI)-COLUMN(head_porNCM_NCM)+1,FALSE),"")</f>
        <v>0.15</v>
      </c>
      <c r="Q701" s="43" t="s">
        <v>1894</v>
      </c>
      <c r="R701" s="78" t="s">
        <v>210</v>
      </c>
      <c r="S701" s="341"/>
      <c r="T701" s="28" t="s">
        <v>52</v>
      </c>
      <c r="U701" s="28" t="s">
        <v>1881</v>
      </c>
      <c r="V701" s="548">
        <v>43381</v>
      </c>
      <c r="W701" s="43"/>
      <c r="X701" s="342">
        <f t="shared" si="191"/>
        <v>11.24295652173913</v>
      </c>
      <c r="Y701" s="342">
        <f t="shared" si="192"/>
        <v>9.3691304347826048</v>
      </c>
      <c r="Z701" s="46">
        <f t="shared" si="193"/>
        <v>1.0306043478260871</v>
      </c>
      <c r="AA701" s="46">
        <f t="shared" si="194"/>
        <v>4.747026086956522</v>
      </c>
      <c r="AB701" s="43"/>
      <c r="AC701" s="44">
        <v>71.83</v>
      </c>
      <c r="AD701" s="31">
        <v>0.18</v>
      </c>
      <c r="AE701" s="31">
        <v>0.15</v>
      </c>
      <c r="AF701" s="31">
        <v>0</v>
      </c>
      <c r="AG701" s="28" t="s">
        <v>53</v>
      </c>
      <c r="AH701" s="46">
        <f t="shared" si="195"/>
        <v>82.604499999999987</v>
      </c>
      <c r="AI701" s="43"/>
      <c r="AJ701" s="28" t="s">
        <v>264</v>
      </c>
      <c r="AK701" s="337"/>
      <c r="AL701" s="43"/>
      <c r="AM701" s="44">
        <f t="shared" si="196"/>
        <v>0</v>
      </c>
      <c r="AN701" s="43"/>
      <c r="AO701" s="28">
        <f t="shared" si="197"/>
        <v>0</v>
      </c>
      <c r="AP701" s="43"/>
      <c r="AQ701" s="323">
        <f t="shared" si="198"/>
        <v>0</v>
      </c>
      <c r="AR701" s="43"/>
      <c r="AS701" s="44">
        <f t="shared" si="199"/>
        <v>82.604499999999987</v>
      </c>
    </row>
    <row r="702" spans="1:45" x14ac:dyDescent="0.25">
      <c r="A702" s="28"/>
      <c r="B702" s="43"/>
      <c r="C702" s="43"/>
      <c r="D702" s="43"/>
      <c r="E702" s="43" t="s">
        <v>1595</v>
      </c>
      <c r="F702" s="43" t="s">
        <v>1596</v>
      </c>
      <c r="G702" s="46">
        <f t="shared" si="186"/>
        <v>80.540400000000005</v>
      </c>
      <c r="H702" s="46">
        <f t="shared" si="187"/>
        <v>71.455050000000014</v>
      </c>
      <c r="I702" s="28" t="s">
        <v>262</v>
      </c>
      <c r="J702" s="337">
        <v>1</v>
      </c>
      <c r="K702" s="46">
        <f t="shared" si="188"/>
        <v>80.540400000000005</v>
      </c>
      <c r="L702" s="46">
        <f t="shared" si="189"/>
        <v>71.455050000000014</v>
      </c>
      <c r="M702" s="338">
        <f t="shared" si="190"/>
        <v>0</v>
      </c>
      <c r="N702" s="43" t="s">
        <v>36</v>
      </c>
      <c r="O702" s="339">
        <v>85365090</v>
      </c>
      <c r="P702" s="340">
        <f>IFERROR(VLOOKUP(O702,NCM!$A$3:$D$99,COLUMN(head_porNCM_IPI)-COLUMN(head_porNCM_NCM)+1,FALSE),"")</f>
        <v>0.15</v>
      </c>
      <c r="Q702" s="43" t="s">
        <v>1894</v>
      </c>
      <c r="R702" s="78" t="s">
        <v>210</v>
      </c>
      <c r="S702" s="341"/>
      <c r="T702" s="28" t="s">
        <v>52</v>
      </c>
      <c r="U702" s="28" t="s">
        <v>1881</v>
      </c>
      <c r="V702" s="548">
        <v>43381</v>
      </c>
      <c r="W702" s="43"/>
      <c r="X702" s="342">
        <f t="shared" si="191"/>
        <v>15.373565217391304</v>
      </c>
      <c r="Y702" s="342">
        <f t="shared" si="192"/>
        <v>12.811304347826081</v>
      </c>
      <c r="Z702" s="46">
        <f t="shared" si="193"/>
        <v>1.4092434782608698</v>
      </c>
      <c r="AA702" s="46">
        <f t="shared" si="194"/>
        <v>6.4910608695652172</v>
      </c>
      <c r="AB702" s="43"/>
      <c r="AC702" s="44">
        <v>98.22</v>
      </c>
      <c r="AD702" s="31">
        <v>0.18</v>
      </c>
      <c r="AE702" s="31">
        <v>0.15</v>
      </c>
      <c r="AF702" s="31">
        <v>0</v>
      </c>
      <c r="AG702" s="28" t="s">
        <v>53</v>
      </c>
      <c r="AH702" s="46">
        <f t="shared" si="195"/>
        <v>112.95299999999999</v>
      </c>
      <c r="AI702" s="43"/>
      <c r="AJ702" s="28" t="s">
        <v>264</v>
      </c>
      <c r="AK702" s="337"/>
      <c r="AL702" s="43"/>
      <c r="AM702" s="44">
        <f t="shared" si="196"/>
        <v>0</v>
      </c>
      <c r="AN702" s="43"/>
      <c r="AO702" s="28">
        <f t="shared" si="197"/>
        <v>0</v>
      </c>
      <c r="AP702" s="43"/>
      <c r="AQ702" s="323">
        <f t="shared" si="198"/>
        <v>0</v>
      </c>
      <c r="AR702" s="43"/>
      <c r="AS702" s="44">
        <f t="shared" si="199"/>
        <v>112.95299999999999</v>
      </c>
    </row>
    <row r="703" spans="1:45" x14ac:dyDescent="0.25">
      <c r="A703" s="28"/>
      <c r="B703" s="43"/>
      <c r="C703" s="43"/>
      <c r="D703" s="43"/>
      <c r="E703" s="43" t="s">
        <v>1597</v>
      </c>
      <c r="F703" s="43" t="s">
        <v>1598</v>
      </c>
      <c r="G703" s="46">
        <f t="shared" si="186"/>
        <v>58.900600000000004</v>
      </c>
      <c r="H703" s="46">
        <f t="shared" si="187"/>
        <v>52.256325000000011</v>
      </c>
      <c r="I703" s="28" t="s">
        <v>262</v>
      </c>
      <c r="J703" s="337">
        <v>1</v>
      </c>
      <c r="K703" s="46">
        <f t="shared" si="188"/>
        <v>58.900600000000004</v>
      </c>
      <c r="L703" s="46">
        <f t="shared" si="189"/>
        <v>52.256325000000011</v>
      </c>
      <c r="M703" s="338">
        <f t="shared" si="190"/>
        <v>0</v>
      </c>
      <c r="N703" s="43" t="s">
        <v>36</v>
      </c>
      <c r="O703" s="339">
        <v>85365090</v>
      </c>
      <c r="P703" s="340">
        <f>IFERROR(VLOOKUP(O703,NCM!$A$3:$D$99,COLUMN(head_porNCM_IPI)-COLUMN(head_porNCM_NCM)+1,FALSE),"")</f>
        <v>0.15</v>
      </c>
      <c r="Q703" s="43" t="s">
        <v>1894</v>
      </c>
      <c r="R703" s="78" t="s">
        <v>210</v>
      </c>
      <c r="S703" s="341"/>
      <c r="T703" s="28" t="s">
        <v>52</v>
      </c>
      <c r="U703" s="28" t="s">
        <v>1881</v>
      </c>
      <c r="V703" s="548">
        <v>43381</v>
      </c>
      <c r="W703" s="43"/>
      <c r="X703" s="342">
        <f t="shared" si="191"/>
        <v>11.24295652173913</v>
      </c>
      <c r="Y703" s="342">
        <f t="shared" si="192"/>
        <v>9.3691304347826048</v>
      </c>
      <c r="Z703" s="46">
        <f t="shared" si="193"/>
        <v>1.0306043478260871</v>
      </c>
      <c r="AA703" s="46">
        <f t="shared" si="194"/>
        <v>4.747026086956522</v>
      </c>
      <c r="AB703" s="43"/>
      <c r="AC703" s="44">
        <v>71.83</v>
      </c>
      <c r="AD703" s="31">
        <v>0.18</v>
      </c>
      <c r="AE703" s="31">
        <v>0.15</v>
      </c>
      <c r="AF703" s="31">
        <v>0</v>
      </c>
      <c r="AG703" s="28" t="s">
        <v>53</v>
      </c>
      <c r="AH703" s="46">
        <f t="shared" si="195"/>
        <v>82.604499999999987</v>
      </c>
      <c r="AI703" s="43"/>
      <c r="AJ703" s="28" t="s">
        <v>264</v>
      </c>
      <c r="AK703" s="337"/>
      <c r="AL703" s="43"/>
      <c r="AM703" s="44">
        <f t="shared" si="196"/>
        <v>0</v>
      </c>
      <c r="AN703" s="43"/>
      <c r="AO703" s="28">
        <f t="shared" si="197"/>
        <v>0</v>
      </c>
      <c r="AP703" s="43"/>
      <c r="AQ703" s="323">
        <f t="shared" si="198"/>
        <v>0</v>
      </c>
      <c r="AR703" s="43"/>
      <c r="AS703" s="44">
        <f t="shared" si="199"/>
        <v>82.604499999999987</v>
      </c>
    </row>
    <row r="704" spans="1:45" x14ac:dyDescent="0.25">
      <c r="A704" s="28"/>
      <c r="B704" s="43"/>
      <c r="C704" s="43"/>
      <c r="D704" s="43" t="s">
        <v>1599</v>
      </c>
      <c r="E704" s="43"/>
      <c r="F704" s="43"/>
      <c r="G704" s="46">
        <f t="shared" si="186"/>
        <v>0</v>
      </c>
      <c r="H704" s="46">
        <f t="shared" si="187"/>
        <v>0</v>
      </c>
      <c r="I704" s="28"/>
      <c r="J704" s="337"/>
      <c r="K704" s="46" t="str">
        <f t="shared" si="188"/>
        <v/>
      </c>
      <c r="L704" s="46" t="str">
        <f t="shared" si="189"/>
        <v/>
      </c>
      <c r="M704" s="338">
        <f t="shared" si="190"/>
        <v>0</v>
      </c>
      <c r="N704" s="43"/>
      <c r="O704" s="339"/>
      <c r="P704" s="340" t="str">
        <f>IFERROR(VLOOKUP(O704,NCM!$A$3:$D$99,COLUMN(head_porNCM_IPI)-COLUMN(head_porNCM_NCM)+1,FALSE),"")</f>
        <v/>
      </c>
      <c r="Q704" s="43"/>
      <c r="R704" s="78"/>
      <c r="S704" s="341"/>
      <c r="T704" s="28"/>
      <c r="U704" s="28"/>
      <c r="V704" s="28"/>
      <c r="W704" s="43"/>
      <c r="X704" s="342">
        <f t="shared" si="191"/>
        <v>0</v>
      </c>
      <c r="Y704" s="342">
        <f t="shared" si="192"/>
        <v>0</v>
      </c>
      <c r="Z704" s="46">
        <f t="shared" si="193"/>
        <v>0</v>
      </c>
      <c r="AA704" s="46">
        <f t="shared" si="194"/>
        <v>0</v>
      </c>
      <c r="AB704" s="43"/>
      <c r="AC704" s="44">
        <v>0</v>
      </c>
      <c r="AD704" s="31"/>
      <c r="AE704" s="31"/>
      <c r="AF704" s="31"/>
      <c r="AG704" s="28"/>
      <c r="AH704" s="46">
        <f t="shared" si="195"/>
        <v>0</v>
      </c>
      <c r="AI704" s="43"/>
      <c r="AJ704" s="28"/>
      <c r="AK704" s="337"/>
      <c r="AL704" s="43"/>
      <c r="AM704" s="44">
        <f t="shared" si="196"/>
        <v>0</v>
      </c>
      <c r="AN704" s="43"/>
      <c r="AO704" s="28">
        <f t="shared" si="197"/>
        <v>0</v>
      </c>
      <c r="AP704" s="43"/>
      <c r="AQ704" s="323">
        <f t="shared" si="198"/>
        <v>0</v>
      </c>
      <c r="AR704" s="43"/>
      <c r="AS704" s="44">
        <f t="shared" si="199"/>
        <v>0</v>
      </c>
    </row>
    <row r="705" spans="1:45" x14ac:dyDescent="0.25">
      <c r="A705" s="28"/>
      <c r="B705" s="43"/>
      <c r="C705" s="43"/>
      <c r="D705" s="43"/>
      <c r="E705" s="43" t="s">
        <v>1600</v>
      </c>
      <c r="F705" s="43" t="s">
        <v>1601</v>
      </c>
      <c r="G705" s="46">
        <f t="shared" si="186"/>
        <v>8.6687999999999992</v>
      </c>
      <c r="H705" s="46">
        <f t="shared" si="187"/>
        <v>7.8335249999999998</v>
      </c>
      <c r="I705" s="28" t="s">
        <v>262</v>
      </c>
      <c r="J705" s="337">
        <v>1</v>
      </c>
      <c r="K705" s="46">
        <f t="shared" si="188"/>
        <v>8.6687999999999992</v>
      </c>
      <c r="L705" s="46">
        <f t="shared" si="189"/>
        <v>7.8335249999999998</v>
      </c>
      <c r="M705" s="338">
        <f t="shared" si="190"/>
        <v>0</v>
      </c>
      <c r="N705" s="43" t="s">
        <v>36</v>
      </c>
      <c r="O705" s="339">
        <v>85311090</v>
      </c>
      <c r="P705" s="340" t="str">
        <f>IFERROR(VLOOKUP(O705,NCM!$A$3:$D$99,COLUMN(head_porNCM_IPI)-COLUMN(head_porNCM_NCM)+1,FALSE),"")</f>
        <v/>
      </c>
      <c r="Q705" s="43" t="s">
        <v>1089</v>
      </c>
      <c r="R705" s="78" t="s">
        <v>210</v>
      </c>
      <c r="S705" s="341"/>
      <c r="T705" s="28" t="s">
        <v>52</v>
      </c>
      <c r="U705" s="28" t="s">
        <v>1881</v>
      </c>
      <c r="V705" s="548">
        <v>43381</v>
      </c>
      <c r="W705" s="43"/>
      <c r="X705" s="342">
        <f t="shared" si="191"/>
        <v>0.31408695652173918</v>
      </c>
      <c r="Y705" s="342">
        <f t="shared" si="192"/>
        <v>1.1778260869565207</v>
      </c>
      <c r="Z705" s="46">
        <f t="shared" si="193"/>
        <v>0.1295608695652174</v>
      </c>
      <c r="AA705" s="46">
        <f t="shared" si="194"/>
        <v>0.59676521739130439</v>
      </c>
      <c r="AB705" s="43"/>
      <c r="AC705" s="44">
        <v>9.0299999999999994</v>
      </c>
      <c r="AD705" s="31">
        <v>0.04</v>
      </c>
      <c r="AE705" s="31">
        <v>0.15</v>
      </c>
      <c r="AF705" s="31">
        <v>0</v>
      </c>
      <c r="AG705" s="28" t="s">
        <v>53</v>
      </c>
      <c r="AH705" s="46">
        <f t="shared" si="195"/>
        <v>10.384499999999999</v>
      </c>
      <c r="AI705" s="43"/>
      <c r="AJ705" s="28" t="s">
        <v>264</v>
      </c>
      <c r="AK705" s="337"/>
      <c r="AL705" s="43"/>
      <c r="AM705" s="44">
        <f t="shared" si="196"/>
        <v>0</v>
      </c>
      <c r="AN705" s="43"/>
      <c r="AO705" s="28">
        <f t="shared" si="197"/>
        <v>0</v>
      </c>
      <c r="AP705" s="43"/>
      <c r="AQ705" s="323">
        <f t="shared" si="198"/>
        <v>0</v>
      </c>
      <c r="AR705" s="43"/>
      <c r="AS705" s="44">
        <f t="shared" si="199"/>
        <v>10.384499999999999</v>
      </c>
    </row>
    <row r="706" spans="1:45" x14ac:dyDescent="0.25">
      <c r="A706" s="28"/>
      <c r="B706" s="43"/>
      <c r="C706" s="43"/>
      <c r="D706" s="43"/>
      <c r="E706" s="43" t="s">
        <v>1602</v>
      </c>
      <c r="F706" s="43" t="s">
        <v>1603</v>
      </c>
      <c r="G706" s="46">
        <f t="shared" si="186"/>
        <v>8.6687999999999992</v>
      </c>
      <c r="H706" s="46">
        <f t="shared" si="187"/>
        <v>7.8335249999999998</v>
      </c>
      <c r="I706" s="28" t="s">
        <v>262</v>
      </c>
      <c r="J706" s="337">
        <v>1</v>
      </c>
      <c r="K706" s="46">
        <f t="shared" si="188"/>
        <v>8.6687999999999992</v>
      </c>
      <c r="L706" s="46">
        <f t="shared" si="189"/>
        <v>7.8335249999999998</v>
      </c>
      <c r="M706" s="338">
        <f t="shared" si="190"/>
        <v>0</v>
      </c>
      <c r="N706" s="43" t="s">
        <v>36</v>
      </c>
      <c r="O706" s="339">
        <v>85311090</v>
      </c>
      <c r="P706" s="340" t="str">
        <f>IFERROR(VLOOKUP(O706,NCM!$A$3:$D$99,COLUMN(head_porNCM_IPI)-COLUMN(head_porNCM_NCM)+1,FALSE),"")</f>
        <v/>
      </c>
      <c r="Q706" s="43" t="s">
        <v>1089</v>
      </c>
      <c r="R706" s="78" t="s">
        <v>210</v>
      </c>
      <c r="S706" s="341"/>
      <c r="T706" s="28" t="s">
        <v>52</v>
      </c>
      <c r="U706" s="28" t="s">
        <v>1881</v>
      </c>
      <c r="V706" s="548">
        <v>43381</v>
      </c>
      <c r="W706" s="43"/>
      <c r="X706" s="342">
        <f t="shared" si="191"/>
        <v>0.31408695652173918</v>
      </c>
      <c r="Y706" s="342">
        <f t="shared" si="192"/>
        <v>1.1778260869565207</v>
      </c>
      <c r="Z706" s="46">
        <f t="shared" si="193"/>
        <v>0.1295608695652174</v>
      </c>
      <c r="AA706" s="46">
        <f t="shared" si="194"/>
        <v>0.59676521739130439</v>
      </c>
      <c r="AB706" s="43"/>
      <c r="AC706" s="44">
        <v>9.0299999999999994</v>
      </c>
      <c r="AD706" s="31">
        <v>0.04</v>
      </c>
      <c r="AE706" s="31">
        <v>0.15</v>
      </c>
      <c r="AF706" s="31">
        <v>0</v>
      </c>
      <c r="AG706" s="28" t="s">
        <v>53</v>
      </c>
      <c r="AH706" s="46">
        <f t="shared" si="195"/>
        <v>10.384499999999999</v>
      </c>
      <c r="AI706" s="43"/>
      <c r="AJ706" s="28" t="s">
        <v>264</v>
      </c>
      <c r="AK706" s="337"/>
      <c r="AL706" s="43"/>
      <c r="AM706" s="44">
        <f t="shared" si="196"/>
        <v>0</v>
      </c>
      <c r="AN706" s="43"/>
      <c r="AO706" s="28">
        <f t="shared" si="197"/>
        <v>0</v>
      </c>
      <c r="AP706" s="43"/>
      <c r="AQ706" s="323">
        <f t="shared" si="198"/>
        <v>0</v>
      </c>
      <c r="AR706" s="43"/>
      <c r="AS706" s="44">
        <f t="shared" si="199"/>
        <v>10.384499999999999</v>
      </c>
    </row>
    <row r="707" spans="1:45" x14ac:dyDescent="0.25">
      <c r="A707" s="28"/>
      <c r="B707" s="43"/>
      <c r="C707" s="43"/>
      <c r="D707" s="43"/>
      <c r="E707" s="43" t="s">
        <v>1604</v>
      </c>
      <c r="F707" s="43" t="s">
        <v>1605</v>
      </c>
      <c r="G707" s="46">
        <f t="shared" si="186"/>
        <v>8.6687999999999992</v>
      </c>
      <c r="H707" s="46">
        <f t="shared" si="187"/>
        <v>7.8335249999999998</v>
      </c>
      <c r="I707" s="28" t="s">
        <v>262</v>
      </c>
      <c r="J707" s="337">
        <v>1</v>
      </c>
      <c r="K707" s="46">
        <f t="shared" si="188"/>
        <v>8.6687999999999992</v>
      </c>
      <c r="L707" s="46">
        <f t="shared" si="189"/>
        <v>7.8335249999999998</v>
      </c>
      <c r="M707" s="338">
        <f t="shared" si="190"/>
        <v>0</v>
      </c>
      <c r="N707" s="43" t="s">
        <v>36</v>
      </c>
      <c r="O707" s="339">
        <v>85311090</v>
      </c>
      <c r="P707" s="340" t="str">
        <f>IFERROR(VLOOKUP(O707,NCM!$A$3:$D$99,COLUMN(head_porNCM_IPI)-COLUMN(head_porNCM_NCM)+1,FALSE),"")</f>
        <v/>
      </c>
      <c r="Q707" s="43" t="s">
        <v>1089</v>
      </c>
      <c r="R707" s="78" t="s">
        <v>210</v>
      </c>
      <c r="S707" s="341"/>
      <c r="T707" s="28" t="s">
        <v>52</v>
      </c>
      <c r="U707" s="28" t="s">
        <v>1881</v>
      </c>
      <c r="V707" s="548">
        <v>43381</v>
      </c>
      <c r="W707" s="43"/>
      <c r="X707" s="342">
        <f t="shared" si="191"/>
        <v>0.31408695652173918</v>
      </c>
      <c r="Y707" s="342">
        <f t="shared" si="192"/>
        <v>1.1778260869565207</v>
      </c>
      <c r="Z707" s="46">
        <f t="shared" si="193"/>
        <v>0.1295608695652174</v>
      </c>
      <c r="AA707" s="46">
        <f t="shared" si="194"/>
        <v>0.59676521739130439</v>
      </c>
      <c r="AB707" s="43"/>
      <c r="AC707" s="44">
        <v>9.0299999999999994</v>
      </c>
      <c r="AD707" s="31">
        <v>0.04</v>
      </c>
      <c r="AE707" s="31">
        <v>0.15</v>
      </c>
      <c r="AF707" s="31">
        <v>0</v>
      </c>
      <c r="AG707" s="28" t="s">
        <v>53</v>
      </c>
      <c r="AH707" s="46">
        <f t="shared" si="195"/>
        <v>10.384499999999999</v>
      </c>
      <c r="AI707" s="43"/>
      <c r="AJ707" s="28" t="s">
        <v>264</v>
      </c>
      <c r="AK707" s="337"/>
      <c r="AL707" s="43"/>
      <c r="AM707" s="44">
        <f t="shared" si="196"/>
        <v>0</v>
      </c>
      <c r="AN707" s="43"/>
      <c r="AO707" s="28">
        <f t="shared" si="197"/>
        <v>0</v>
      </c>
      <c r="AP707" s="43"/>
      <c r="AQ707" s="323">
        <f t="shared" si="198"/>
        <v>0</v>
      </c>
      <c r="AR707" s="43"/>
      <c r="AS707" s="44">
        <f t="shared" si="199"/>
        <v>10.384499999999999</v>
      </c>
    </row>
    <row r="708" spans="1:45" x14ac:dyDescent="0.25">
      <c r="A708" s="28"/>
      <c r="B708" s="43"/>
      <c r="C708" s="43"/>
      <c r="D708" s="43"/>
      <c r="E708" s="43" t="s">
        <v>1606</v>
      </c>
      <c r="F708" s="43" t="s">
        <v>1607</v>
      </c>
      <c r="G708" s="46">
        <f t="shared" si="186"/>
        <v>8.6687999999999992</v>
      </c>
      <c r="H708" s="46">
        <f t="shared" si="187"/>
        <v>7.8335249999999998</v>
      </c>
      <c r="I708" s="28" t="s">
        <v>262</v>
      </c>
      <c r="J708" s="337">
        <v>1</v>
      </c>
      <c r="K708" s="46">
        <f t="shared" si="188"/>
        <v>8.6687999999999992</v>
      </c>
      <c r="L708" s="46">
        <f t="shared" si="189"/>
        <v>7.8335249999999998</v>
      </c>
      <c r="M708" s="338">
        <f t="shared" si="190"/>
        <v>0</v>
      </c>
      <c r="N708" s="43" t="s">
        <v>36</v>
      </c>
      <c r="O708" s="339">
        <v>85311090</v>
      </c>
      <c r="P708" s="340" t="str">
        <f>IFERROR(VLOOKUP(O708,NCM!$A$3:$D$99,COLUMN(head_porNCM_IPI)-COLUMN(head_porNCM_NCM)+1,FALSE),"")</f>
        <v/>
      </c>
      <c r="Q708" s="43" t="s">
        <v>1089</v>
      </c>
      <c r="R708" s="78" t="s">
        <v>210</v>
      </c>
      <c r="S708" s="341"/>
      <c r="T708" s="28" t="s">
        <v>52</v>
      </c>
      <c r="U708" s="28" t="s">
        <v>1881</v>
      </c>
      <c r="V708" s="548">
        <v>43381</v>
      </c>
      <c r="W708" s="43"/>
      <c r="X708" s="342">
        <f t="shared" si="191"/>
        <v>0.31408695652173918</v>
      </c>
      <c r="Y708" s="342">
        <f t="shared" si="192"/>
        <v>1.1778260869565207</v>
      </c>
      <c r="Z708" s="46">
        <f t="shared" si="193"/>
        <v>0.1295608695652174</v>
      </c>
      <c r="AA708" s="46">
        <f t="shared" si="194"/>
        <v>0.59676521739130439</v>
      </c>
      <c r="AB708" s="43"/>
      <c r="AC708" s="44">
        <v>9.0299999999999994</v>
      </c>
      <c r="AD708" s="31">
        <v>0.04</v>
      </c>
      <c r="AE708" s="31">
        <v>0.15</v>
      </c>
      <c r="AF708" s="31">
        <v>0</v>
      </c>
      <c r="AG708" s="28" t="s">
        <v>53</v>
      </c>
      <c r="AH708" s="46">
        <f t="shared" si="195"/>
        <v>10.384499999999999</v>
      </c>
      <c r="AI708" s="43"/>
      <c r="AJ708" s="28" t="s">
        <v>264</v>
      </c>
      <c r="AK708" s="337"/>
      <c r="AL708" s="43"/>
      <c r="AM708" s="44">
        <f t="shared" si="196"/>
        <v>0</v>
      </c>
      <c r="AN708" s="43"/>
      <c r="AO708" s="28">
        <f t="shared" si="197"/>
        <v>0</v>
      </c>
      <c r="AP708" s="43"/>
      <c r="AQ708" s="323">
        <f t="shared" si="198"/>
        <v>0</v>
      </c>
      <c r="AR708" s="43"/>
      <c r="AS708" s="44">
        <f t="shared" si="199"/>
        <v>10.384499999999999</v>
      </c>
    </row>
    <row r="709" spans="1:45" x14ac:dyDescent="0.25">
      <c r="A709" s="28"/>
      <c r="B709" s="43"/>
      <c r="C709" s="43"/>
      <c r="D709" s="43"/>
      <c r="E709" s="43" t="s">
        <v>1608</v>
      </c>
      <c r="F709" s="43" t="s">
        <v>1609</v>
      </c>
      <c r="G709" s="46">
        <f t="shared" si="186"/>
        <v>505.64480000000003</v>
      </c>
      <c r="H709" s="46">
        <f t="shared" si="187"/>
        <v>448.60560000000009</v>
      </c>
      <c r="I709" s="28" t="s">
        <v>262</v>
      </c>
      <c r="J709" s="337">
        <v>0.35</v>
      </c>
      <c r="K709" s="46">
        <f t="shared" si="188"/>
        <v>176.97568000000001</v>
      </c>
      <c r="L709" s="46">
        <f t="shared" si="189"/>
        <v>157.01196000000002</v>
      </c>
      <c r="M709" s="338">
        <f t="shared" si="190"/>
        <v>0</v>
      </c>
      <c r="N709" s="43" t="s">
        <v>36</v>
      </c>
      <c r="O709" s="339">
        <v>85311090</v>
      </c>
      <c r="P709" s="340" t="str">
        <f>IFERROR(VLOOKUP(O709,NCM!$A$3:$D$99,COLUMN(head_porNCM_IPI)-COLUMN(head_porNCM_NCM)+1,FALSE),"")</f>
        <v/>
      </c>
      <c r="Q709" s="43" t="s">
        <v>806</v>
      </c>
      <c r="R709" s="78" t="s">
        <v>210</v>
      </c>
      <c r="S709" s="341"/>
      <c r="T709" s="28" t="s">
        <v>52</v>
      </c>
      <c r="U709" s="28" t="s">
        <v>3113</v>
      </c>
      <c r="V709" s="548">
        <v>45469</v>
      </c>
      <c r="W709" s="43"/>
      <c r="X709" s="342">
        <f t="shared" si="191"/>
        <v>101.13457858769932</v>
      </c>
      <c r="Y709" s="342">
        <f t="shared" si="192"/>
        <v>54.781230068337095</v>
      </c>
      <c r="Z709" s="46">
        <f t="shared" si="193"/>
        <v>9.2706697038724375</v>
      </c>
      <c r="AA709" s="46">
        <f t="shared" si="194"/>
        <v>42.701266514806377</v>
      </c>
      <c r="AB709" s="43"/>
      <c r="AC709" s="44">
        <v>616.64</v>
      </c>
      <c r="AD709" s="31">
        <v>0.18</v>
      </c>
      <c r="AE709" s="31">
        <v>9.7500000000000003E-2</v>
      </c>
      <c r="AF709" s="31">
        <v>0</v>
      </c>
      <c r="AG709" s="28" t="s">
        <v>53</v>
      </c>
      <c r="AH709" s="46">
        <f t="shared" si="195"/>
        <v>676.76239999999996</v>
      </c>
      <c r="AI709" s="43"/>
      <c r="AJ709" s="28" t="s">
        <v>264</v>
      </c>
      <c r="AK709" s="337"/>
      <c r="AL709" s="43"/>
      <c r="AM709" s="44">
        <f t="shared" si="196"/>
        <v>0</v>
      </c>
      <c r="AN709" s="43"/>
      <c r="AO709" s="28">
        <f t="shared" si="197"/>
        <v>0</v>
      </c>
      <c r="AP709" s="43"/>
      <c r="AQ709" s="323">
        <f t="shared" si="198"/>
        <v>0</v>
      </c>
      <c r="AR709" s="43"/>
      <c r="AS709" s="44">
        <f t="shared" si="199"/>
        <v>676.76239999999996</v>
      </c>
    </row>
    <row r="710" spans="1:45" x14ac:dyDescent="0.25">
      <c r="A710" s="28"/>
      <c r="B710" s="43"/>
      <c r="C710" s="43"/>
      <c r="D710" s="43"/>
      <c r="E710" s="43" t="s">
        <v>1610</v>
      </c>
      <c r="F710" s="43" t="s">
        <v>1611</v>
      </c>
      <c r="G710" s="46">
        <f t="shared" si="186"/>
        <v>85.173400000000015</v>
      </c>
      <c r="H710" s="46">
        <f t="shared" si="187"/>
        <v>75.565425000000019</v>
      </c>
      <c r="I710" s="28" t="s">
        <v>262</v>
      </c>
      <c r="J710" s="337">
        <v>0.35</v>
      </c>
      <c r="K710" s="46">
        <f t="shared" si="188"/>
        <v>29.810690000000005</v>
      </c>
      <c r="L710" s="46">
        <f t="shared" si="189"/>
        <v>26.447898750000004</v>
      </c>
      <c r="M710" s="338">
        <f t="shared" si="190"/>
        <v>0</v>
      </c>
      <c r="N710" s="43" t="s">
        <v>36</v>
      </c>
      <c r="O710" s="339">
        <v>85318000</v>
      </c>
      <c r="P710" s="340">
        <f>IFERROR(VLOOKUP(O710,NCM!$A$3:$D$99,COLUMN(head_porNCM_IPI)-COLUMN(head_porNCM_NCM)+1,FALSE),"")</f>
        <v>0.15</v>
      </c>
      <c r="Q710" s="43" t="s">
        <v>806</v>
      </c>
      <c r="R710" s="78" t="s">
        <v>210</v>
      </c>
      <c r="S710" s="341"/>
      <c r="T710" s="28" t="s">
        <v>52</v>
      </c>
      <c r="U710" s="28" t="s">
        <v>3113</v>
      </c>
      <c r="V710" s="548">
        <v>45469</v>
      </c>
      <c r="W710" s="43"/>
      <c r="X710" s="342">
        <f t="shared" si="191"/>
        <v>17.035626423690207</v>
      </c>
      <c r="Y710" s="342">
        <f t="shared" si="192"/>
        <v>9.2276309794988549</v>
      </c>
      <c r="Z710" s="46">
        <f t="shared" si="193"/>
        <v>1.5615990888382691</v>
      </c>
      <c r="AA710" s="46">
        <f t="shared" si="194"/>
        <v>7.1928200455580873</v>
      </c>
      <c r="AB710" s="43"/>
      <c r="AC710" s="44">
        <v>103.87</v>
      </c>
      <c r="AD710" s="31">
        <v>0.18</v>
      </c>
      <c r="AE710" s="31">
        <v>9.7500000000000003E-2</v>
      </c>
      <c r="AF710" s="31">
        <v>0</v>
      </c>
      <c r="AG710" s="28" t="s">
        <v>53</v>
      </c>
      <c r="AH710" s="46">
        <f t="shared" si="195"/>
        <v>113.997325</v>
      </c>
      <c r="AI710" s="43"/>
      <c r="AJ710" s="28" t="s">
        <v>264</v>
      </c>
      <c r="AK710" s="337"/>
      <c r="AL710" s="43"/>
      <c r="AM710" s="44">
        <f t="shared" si="196"/>
        <v>0</v>
      </c>
      <c r="AN710" s="43"/>
      <c r="AO710" s="28">
        <f t="shared" si="197"/>
        <v>0</v>
      </c>
      <c r="AP710" s="43"/>
      <c r="AQ710" s="323">
        <f t="shared" si="198"/>
        <v>0</v>
      </c>
      <c r="AR710" s="43"/>
      <c r="AS710" s="44">
        <f t="shared" si="199"/>
        <v>113.997325</v>
      </c>
    </row>
    <row r="711" spans="1:45" x14ac:dyDescent="0.25">
      <c r="A711" s="28"/>
      <c r="B711" s="43"/>
      <c r="C711" s="43"/>
      <c r="D711" s="43"/>
      <c r="E711" s="43" t="s">
        <v>1612</v>
      </c>
      <c r="F711" s="43" t="s">
        <v>1613</v>
      </c>
      <c r="G711" s="46">
        <f t="shared" si="186"/>
        <v>85.173400000000015</v>
      </c>
      <c r="H711" s="46">
        <f t="shared" si="187"/>
        <v>75.565425000000019</v>
      </c>
      <c r="I711" s="28" t="s">
        <v>262</v>
      </c>
      <c r="J711" s="337">
        <v>0.35</v>
      </c>
      <c r="K711" s="46">
        <f t="shared" si="188"/>
        <v>29.810690000000005</v>
      </c>
      <c r="L711" s="46">
        <f t="shared" si="189"/>
        <v>26.447898750000004</v>
      </c>
      <c r="M711" s="338">
        <f t="shared" si="190"/>
        <v>0</v>
      </c>
      <c r="N711" s="43" t="s">
        <v>36</v>
      </c>
      <c r="O711" s="339">
        <v>85318000</v>
      </c>
      <c r="P711" s="340">
        <f>IFERROR(VLOOKUP(O711,NCM!$A$3:$D$99,COLUMN(head_porNCM_IPI)-COLUMN(head_porNCM_NCM)+1,FALSE),"")</f>
        <v>0.15</v>
      </c>
      <c r="Q711" s="43" t="s">
        <v>806</v>
      </c>
      <c r="R711" s="78" t="s">
        <v>210</v>
      </c>
      <c r="S711" s="341"/>
      <c r="T711" s="28" t="s">
        <v>52</v>
      </c>
      <c r="U711" s="28" t="s">
        <v>3113</v>
      </c>
      <c r="V711" s="548">
        <v>45469</v>
      </c>
      <c r="W711" s="43"/>
      <c r="X711" s="342">
        <f t="shared" si="191"/>
        <v>17.035626423690207</v>
      </c>
      <c r="Y711" s="342">
        <f t="shared" si="192"/>
        <v>9.2276309794988549</v>
      </c>
      <c r="Z711" s="46">
        <f t="shared" si="193"/>
        <v>1.5615990888382691</v>
      </c>
      <c r="AA711" s="46">
        <f t="shared" si="194"/>
        <v>7.1928200455580873</v>
      </c>
      <c r="AB711" s="43"/>
      <c r="AC711" s="44">
        <v>103.87</v>
      </c>
      <c r="AD711" s="31">
        <v>0.18</v>
      </c>
      <c r="AE711" s="31">
        <v>9.7500000000000003E-2</v>
      </c>
      <c r="AF711" s="31">
        <v>0</v>
      </c>
      <c r="AG711" s="28" t="s">
        <v>53</v>
      </c>
      <c r="AH711" s="46">
        <f t="shared" si="195"/>
        <v>113.997325</v>
      </c>
      <c r="AI711" s="43"/>
      <c r="AJ711" s="28" t="s">
        <v>264</v>
      </c>
      <c r="AK711" s="337"/>
      <c r="AL711" s="43"/>
      <c r="AM711" s="44">
        <f t="shared" si="196"/>
        <v>0</v>
      </c>
      <c r="AN711" s="43"/>
      <c r="AO711" s="28">
        <f t="shared" si="197"/>
        <v>0</v>
      </c>
      <c r="AP711" s="43"/>
      <c r="AQ711" s="323">
        <f t="shared" si="198"/>
        <v>0</v>
      </c>
      <c r="AR711" s="43"/>
      <c r="AS711" s="44">
        <f t="shared" si="199"/>
        <v>113.997325</v>
      </c>
    </row>
    <row r="712" spans="1:45" x14ac:dyDescent="0.25">
      <c r="A712" s="28"/>
      <c r="B712" s="43"/>
      <c r="C712" s="43"/>
      <c r="D712" s="43"/>
      <c r="E712" s="43" t="s">
        <v>1614</v>
      </c>
      <c r="F712" s="43" t="s">
        <v>1615</v>
      </c>
      <c r="G712" s="46">
        <f t="shared" si="186"/>
        <v>85.173400000000015</v>
      </c>
      <c r="H712" s="46">
        <f t="shared" si="187"/>
        <v>75.565425000000019</v>
      </c>
      <c r="I712" s="28" t="s">
        <v>262</v>
      </c>
      <c r="J712" s="337">
        <v>0.35</v>
      </c>
      <c r="K712" s="46">
        <f t="shared" si="188"/>
        <v>29.810690000000005</v>
      </c>
      <c r="L712" s="46">
        <f t="shared" si="189"/>
        <v>26.447898750000004</v>
      </c>
      <c r="M712" s="338">
        <f t="shared" si="190"/>
        <v>0</v>
      </c>
      <c r="N712" s="43" t="s">
        <v>36</v>
      </c>
      <c r="O712" s="339">
        <v>85318000</v>
      </c>
      <c r="P712" s="340">
        <f>IFERROR(VLOOKUP(O712,NCM!$A$3:$D$99,COLUMN(head_porNCM_IPI)-COLUMN(head_porNCM_NCM)+1,FALSE),"")</f>
        <v>0.15</v>
      </c>
      <c r="Q712" s="43" t="s">
        <v>806</v>
      </c>
      <c r="R712" s="78" t="s">
        <v>210</v>
      </c>
      <c r="S712" s="341"/>
      <c r="T712" s="28" t="s">
        <v>52</v>
      </c>
      <c r="U712" s="28" t="s">
        <v>3113</v>
      </c>
      <c r="V712" s="548">
        <v>45469</v>
      </c>
      <c r="W712" s="43"/>
      <c r="X712" s="342">
        <f t="shared" si="191"/>
        <v>17.035626423690207</v>
      </c>
      <c r="Y712" s="342">
        <f t="shared" si="192"/>
        <v>9.2276309794988549</v>
      </c>
      <c r="Z712" s="46">
        <f t="shared" si="193"/>
        <v>1.5615990888382691</v>
      </c>
      <c r="AA712" s="46">
        <f t="shared" si="194"/>
        <v>7.1928200455580873</v>
      </c>
      <c r="AB712" s="43"/>
      <c r="AC712" s="44">
        <v>103.87</v>
      </c>
      <c r="AD712" s="31">
        <v>0.18</v>
      </c>
      <c r="AE712" s="31">
        <v>9.7500000000000003E-2</v>
      </c>
      <c r="AF712" s="31">
        <v>0</v>
      </c>
      <c r="AG712" s="28" t="s">
        <v>53</v>
      </c>
      <c r="AH712" s="46">
        <f t="shared" si="195"/>
        <v>113.997325</v>
      </c>
      <c r="AI712" s="43"/>
      <c r="AJ712" s="28" t="s">
        <v>264</v>
      </c>
      <c r="AK712" s="337"/>
      <c r="AL712" s="43"/>
      <c r="AM712" s="44">
        <f t="shared" si="196"/>
        <v>0</v>
      </c>
      <c r="AN712" s="43"/>
      <c r="AO712" s="28">
        <f t="shared" si="197"/>
        <v>0</v>
      </c>
      <c r="AP712" s="43"/>
      <c r="AQ712" s="323">
        <f t="shared" si="198"/>
        <v>0</v>
      </c>
      <c r="AR712" s="43"/>
      <c r="AS712" s="44">
        <f t="shared" si="199"/>
        <v>113.997325</v>
      </c>
    </row>
    <row r="713" spans="1:45" x14ac:dyDescent="0.25">
      <c r="A713" s="28"/>
      <c r="B713" s="43"/>
      <c r="C713" s="43"/>
      <c r="D713" s="43"/>
      <c r="E713" s="43" t="s">
        <v>1616</v>
      </c>
      <c r="F713" s="43" t="s">
        <v>1617</v>
      </c>
      <c r="G713" s="46">
        <f t="shared" si="186"/>
        <v>85.173400000000015</v>
      </c>
      <c r="H713" s="46">
        <f t="shared" si="187"/>
        <v>75.565425000000019</v>
      </c>
      <c r="I713" s="28" t="s">
        <v>262</v>
      </c>
      <c r="J713" s="337">
        <v>0.35</v>
      </c>
      <c r="K713" s="46">
        <f t="shared" si="188"/>
        <v>29.810690000000005</v>
      </c>
      <c r="L713" s="46">
        <f t="shared" si="189"/>
        <v>26.447898750000004</v>
      </c>
      <c r="M713" s="338">
        <f t="shared" si="190"/>
        <v>0</v>
      </c>
      <c r="N713" s="43" t="s">
        <v>36</v>
      </c>
      <c r="O713" s="339">
        <v>85318000</v>
      </c>
      <c r="P713" s="340">
        <f>IFERROR(VLOOKUP(O713,NCM!$A$3:$D$99,COLUMN(head_porNCM_IPI)-COLUMN(head_porNCM_NCM)+1,FALSE),"")</f>
        <v>0.15</v>
      </c>
      <c r="Q713" s="43" t="s">
        <v>806</v>
      </c>
      <c r="R713" s="78" t="s">
        <v>210</v>
      </c>
      <c r="S713" s="341"/>
      <c r="T713" s="28" t="s">
        <v>52</v>
      </c>
      <c r="U713" s="28" t="s">
        <v>3113</v>
      </c>
      <c r="V713" s="548">
        <v>45469</v>
      </c>
      <c r="W713" s="43"/>
      <c r="X713" s="342">
        <f t="shared" si="191"/>
        <v>17.035626423690207</v>
      </c>
      <c r="Y713" s="342">
        <f t="shared" si="192"/>
        <v>9.2276309794988549</v>
      </c>
      <c r="Z713" s="46">
        <f t="shared" si="193"/>
        <v>1.5615990888382691</v>
      </c>
      <c r="AA713" s="46">
        <f t="shared" si="194"/>
        <v>7.1928200455580873</v>
      </c>
      <c r="AB713" s="43"/>
      <c r="AC713" s="44">
        <v>103.87</v>
      </c>
      <c r="AD713" s="31">
        <v>0.18</v>
      </c>
      <c r="AE713" s="31">
        <v>9.7500000000000003E-2</v>
      </c>
      <c r="AF713" s="31">
        <v>0</v>
      </c>
      <c r="AG713" s="28" t="s">
        <v>53</v>
      </c>
      <c r="AH713" s="46">
        <f t="shared" si="195"/>
        <v>113.997325</v>
      </c>
      <c r="AI713" s="43"/>
      <c r="AJ713" s="28" t="s">
        <v>264</v>
      </c>
      <c r="AK713" s="337"/>
      <c r="AL713" s="43"/>
      <c r="AM713" s="44">
        <f t="shared" si="196"/>
        <v>0</v>
      </c>
      <c r="AN713" s="43"/>
      <c r="AO713" s="28">
        <f t="shared" si="197"/>
        <v>0</v>
      </c>
      <c r="AP713" s="43"/>
      <c r="AQ713" s="323">
        <f t="shared" si="198"/>
        <v>0</v>
      </c>
      <c r="AR713" s="43"/>
      <c r="AS713" s="44">
        <f t="shared" si="199"/>
        <v>113.997325</v>
      </c>
    </row>
    <row r="714" spans="1:45" x14ac:dyDescent="0.25">
      <c r="A714" s="28"/>
      <c r="B714" s="43"/>
      <c r="C714" s="43"/>
      <c r="D714" s="43"/>
      <c r="E714" s="43" t="s">
        <v>3112</v>
      </c>
      <c r="F714" s="43" t="s">
        <v>1618</v>
      </c>
      <c r="G714" s="46">
        <f t="shared" si="186"/>
        <v>65.222800000000007</v>
      </c>
      <c r="H714" s="46">
        <f t="shared" si="187"/>
        <v>57.865350000000014</v>
      </c>
      <c r="I714" s="28" t="s">
        <v>262</v>
      </c>
      <c r="J714" s="337">
        <v>0.35</v>
      </c>
      <c r="K714" s="46">
        <f t="shared" si="188"/>
        <v>22.82798</v>
      </c>
      <c r="L714" s="46">
        <f t="shared" si="189"/>
        <v>20.252872500000002</v>
      </c>
      <c r="M714" s="338">
        <f t="shared" si="190"/>
        <v>0</v>
      </c>
      <c r="N714" s="43" t="s">
        <v>36</v>
      </c>
      <c r="O714" s="339">
        <v>85365090</v>
      </c>
      <c r="P714" s="340">
        <f>IFERROR(VLOOKUP(O714,NCM!$A$3:$D$99,COLUMN(head_porNCM_IPI)-COLUMN(head_porNCM_NCM)+1,FALSE),"")</f>
        <v>0.15</v>
      </c>
      <c r="Q714" s="43" t="s">
        <v>806</v>
      </c>
      <c r="R714" s="78" t="s">
        <v>210</v>
      </c>
      <c r="S714" s="341"/>
      <c r="T714" s="28" t="s">
        <v>52</v>
      </c>
      <c r="U714" s="28" t="s">
        <v>3113</v>
      </c>
      <c r="V714" s="548">
        <v>45469</v>
      </c>
      <c r="W714" s="43"/>
      <c r="X714" s="342">
        <f t="shared" si="191"/>
        <v>13.045284738041003</v>
      </c>
      <c r="Y714" s="342">
        <f t="shared" si="192"/>
        <v>7.066195899772211</v>
      </c>
      <c r="Z714" s="46">
        <f t="shared" si="193"/>
        <v>1.1958177676537587</v>
      </c>
      <c r="AA714" s="46">
        <f t="shared" si="194"/>
        <v>5.5080091116173122</v>
      </c>
      <c r="AB714" s="43"/>
      <c r="AC714" s="44">
        <v>79.540000000000006</v>
      </c>
      <c r="AD714" s="31">
        <v>0.18</v>
      </c>
      <c r="AE714" s="31">
        <v>9.7500000000000003E-2</v>
      </c>
      <c r="AF714" s="31">
        <v>0</v>
      </c>
      <c r="AG714" s="28" t="s">
        <v>53</v>
      </c>
      <c r="AH714" s="46">
        <f t="shared" si="195"/>
        <v>87.295150000000007</v>
      </c>
      <c r="AI714" s="43"/>
      <c r="AJ714" s="28" t="s">
        <v>264</v>
      </c>
      <c r="AK714" s="337"/>
      <c r="AL714" s="43"/>
      <c r="AM714" s="44">
        <f t="shared" si="196"/>
        <v>0</v>
      </c>
      <c r="AN714" s="43"/>
      <c r="AO714" s="28">
        <f t="shared" si="197"/>
        <v>0</v>
      </c>
      <c r="AP714" s="43"/>
      <c r="AQ714" s="323">
        <f t="shared" si="198"/>
        <v>0</v>
      </c>
      <c r="AR714" s="43"/>
      <c r="AS714" s="44">
        <f t="shared" si="199"/>
        <v>87.295150000000007</v>
      </c>
    </row>
    <row r="715" spans="1:45" x14ac:dyDescent="0.25">
      <c r="A715" s="28"/>
      <c r="B715" s="43"/>
      <c r="C715" s="43"/>
      <c r="D715" s="43"/>
      <c r="E715" s="43" t="s">
        <v>1619</v>
      </c>
      <c r="F715" s="43" t="s">
        <v>1620</v>
      </c>
      <c r="G715" s="46">
        <f t="shared" si="186"/>
        <v>65.222800000000007</v>
      </c>
      <c r="H715" s="46">
        <f t="shared" si="187"/>
        <v>57.865350000000014</v>
      </c>
      <c r="I715" s="28" t="s">
        <v>262</v>
      </c>
      <c r="J715" s="337">
        <v>0.35</v>
      </c>
      <c r="K715" s="46">
        <f t="shared" si="188"/>
        <v>22.82798</v>
      </c>
      <c r="L715" s="46">
        <f t="shared" si="189"/>
        <v>20.252872500000002</v>
      </c>
      <c r="M715" s="338">
        <f t="shared" si="190"/>
        <v>0</v>
      </c>
      <c r="N715" s="43" t="s">
        <v>36</v>
      </c>
      <c r="O715" s="339">
        <v>85365090</v>
      </c>
      <c r="P715" s="340">
        <f>IFERROR(VLOOKUP(O715,NCM!$A$3:$D$99,COLUMN(head_porNCM_IPI)-COLUMN(head_porNCM_NCM)+1,FALSE),"")</f>
        <v>0.15</v>
      </c>
      <c r="Q715" s="43" t="s">
        <v>806</v>
      </c>
      <c r="R715" s="78" t="s">
        <v>210</v>
      </c>
      <c r="S715" s="341"/>
      <c r="T715" s="28" t="s">
        <v>52</v>
      </c>
      <c r="U715" s="28" t="s">
        <v>3113</v>
      </c>
      <c r="V715" s="548">
        <v>45469</v>
      </c>
      <c r="W715" s="43"/>
      <c r="X715" s="342">
        <f t="shared" si="191"/>
        <v>13.045284738041003</v>
      </c>
      <c r="Y715" s="342">
        <f t="shared" si="192"/>
        <v>7.066195899772211</v>
      </c>
      <c r="Z715" s="46">
        <f t="shared" si="193"/>
        <v>1.1958177676537587</v>
      </c>
      <c r="AA715" s="46">
        <f t="shared" si="194"/>
        <v>5.5080091116173122</v>
      </c>
      <c r="AB715" s="43"/>
      <c r="AC715" s="44">
        <v>79.540000000000006</v>
      </c>
      <c r="AD715" s="31">
        <v>0.18</v>
      </c>
      <c r="AE715" s="31">
        <v>9.7500000000000003E-2</v>
      </c>
      <c r="AF715" s="31">
        <v>0</v>
      </c>
      <c r="AG715" s="28" t="s">
        <v>53</v>
      </c>
      <c r="AH715" s="46">
        <f t="shared" si="195"/>
        <v>87.295150000000007</v>
      </c>
      <c r="AI715" s="43"/>
      <c r="AJ715" s="28" t="s">
        <v>264</v>
      </c>
      <c r="AK715" s="337"/>
      <c r="AL715" s="43"/>
      <c r="AM715" s="44">
        <f t="shared" si="196"/>
        <v>0</v>
      </c>
      <c r="AN715" s="43"/>
      <c r="AO715" s="28">
        <f t="shared" si="197"/>
        <v>0</v>
      </c>
      <c r="AP715" s="43"/>
      <c r="AQ715" s="323">
        <f t="shared" si="198"/>
        <v>0</v>
      </c>
      <c r="AR715" s="43"/>
      <c r="AS715" s="44">
        <f t="shared" si="199"/>
        <v>87.295150000000007</v>
      </c>
    </row>
    <row r="716" spans="1:45" x14ac:dyDescent="0.25">
      <c r="A716" s="28"/>
      <c r="B716" s="43"/>
      <c r="C716" s="43"/>
      <c r="D716" s="43"/>
      <c r="E716" s="43" t="s">
        <v>1621</v>
      </c>
      <c r="F716" s="43" t="s">
        <v>1622</v>
      </c>
      <c r="G716" s="46">
        <f t="shared" si="186"/>
        <v>65.222800000000007</v>
      </c>
      <c r="H716" s="46">
        <f t="shared" si="187"/>
        <v>57.865350000000014</v>
      </c>
      <c r="I716" s="28" t="s">
        <v>262</v>
      </c>
      <c r="J716" s="337">
        <v>0.35</v>
      </c>
      <c r="K716" s="46">
        <f t="shared" si="188"/>
        <v>22.82798</v>
      </c>
      <c r="L716" s="46">
        <f t="shared" si="189"/>
        <v>20.252872500000002</v>
      </c>
      <c r="M716" s="338">
        <f t="shared" si="190"/>
        <v>0</v>
      </c>
      <c r="N716" s="43" t="s">
        <v>36</v>
      </c>
      <c r="O716" s="339">
        <v>85365090</v>
      </c>
      <c r="P716" s="340">
        <f>IFERROR(VLOOKUP(O716,NCM!$A$3:$D$99,COLUMN(head_porNCM_IPI)-COLUMN(head_porNCM_NCM)+1,FALSE),"")</f>
        <v>0.15</v>
      </c>
      <c r="Q716" s="43" t="s">
        <v>806</v>
      </c>
      <c r="R716" s="78" t="s">
        <v>210</v>
      </c>
      <c r="S716" s="341"/>
      <c r="T716" s="28" t="s">
        <v>52</v>
      </c>
      <c r="U716" s="28" t="s">
        <v>3113</v>
      </c>
      <c r="V716" s="548">
        <v>45469</v>
      </c>
      <c r="W716" s="43"/>
      <c r="X716" s="342">
        <f t="shared" si="191"/>
        <v>13.045284738041003</v>
      </c>
      <c r="Y716" s="342">
        <f t="shared" si="192"/>
        <v>7.066195899772211</v>
      </c>
      <c r="Z716" s="46">
        <f t="shared" si="193"/>
        <v>1.1958177676537587</v>
      </c>
      <c r="AA716" s="46">
        <f t="shared" si="194"/>
        <v>5.5080091116173122</v>
      </c>
      <c r="AB716" s="43"/>
      <c r="AC716" s="44">
        <v>79.540000000000006</v>
      </c>
      <c r="AD716" s="31">
        <v>0.18</v>
      </c>
      <c r="AE716" s="31">
        <v>9.7500000000000003E-2</v>
      </c>
      <c r="AF716" s="31">
        <v>0</v>
      </c>
      <c r="AG716" s="28" t="s">
        <v>53</v>
      </c>
      <c r="AH716" s="46">
        <f t="shared" si="195"/>
        <v>87.295150000000007</v>
      </c>
      <c r="AI716" s="43"/>
      <c r="AJ716" s="28" t="s">
        <v>264</v>
      </c>
      <c r="AK716" s="337"/>
      <c r="AL716" s="43"/>
      <c r="AM716" s="44">
        <f t="shared" si="196"/>
        <v>0</v>
      </c>
      <c r="AN716" s="43"/>
      <c r="AO716" s="28">
        <f t="shared" si="197"/>
        <v>0</v>
      </c>
      <c r="AP716" s="43"/>
      <c r="AQ716" s="323">
        <f t="shared" si="198"/>
        <v>0</v>
      </c>
      <c r="AR716" s="43"/>
      <c r="AS716" s="44">
        <f t="shared" si="199"/>
        <v>87.295150000000007</v>
      </c>
    </row>
    <row r="717" spans="1:45" x14ac:dyDescent="0.25">
      <c r="A717" s="28"/>
      <c r="B717" s="43"/>
      <c r="C717" s="43"/>
      <c r="D717" s="43"/>
      <c r="E717" s="43" t="s">
        <v>1623</v>
      </c>
      <c r="F717" s="43" t="s">
        <v>1624</v>
      </c>
      <c r="G717" s="46">
        <f t="shared" si="186"/>
        <v>721.45920000000001</v>
      </c>
      <c r="H717" s="46">
        <f t="shared" si="187"/>
        <v>645.62400000000014</v>
      </c>
      <c r="I717" s="28" t="s">
        <v>262</v>
      </c>
      <c r="J717" s="337">
        <v>0.35</v>
      </c>
      <c r="K717" s="46">
        <f t="shared" si="188"/>
        <v>252.51071999999999</v>
      </c>
      <c r="L717" s="46">
        <f t="shared" si="189"/>
        <v>225.96840000000003</v>
      </c>
      <c r="M717" s="338">
        <f t="shared" si="190"/>
        <v>0</v>
      </c>
      <c r="N717" s="43" t="s">
        <v>36</v>
      </c>
      <c r="O717" s="339">
        <v>90303319</v>
      </c>
      <c r="P717" s="340">
        <f>IFERROR(VLOOKUP(O717,NCM!$A$3:$D$99,COLUMN(head_porNCM_IPI)-COLUMN(head_porNCM_NCM)+1,FALSE),"")</f>
        <v>0.05</v>
      </c>
      <c r="Q717" s="43" t="s">
        <v>806</v>
      </c>
      <c r="R717" s="78" t="s">
        <v>210</v>
      </c>
      <c r="S717" s="341"/>
      <c r="T717" s="28" t="s">
        <v>52</v>
      </c>
      <c r="U717" s="28" t="s">
        <v>3113</v>
      </c>
      <c r="V717" s="548">
        <v>45469</v>
      </c>
      <c r="W717" s="43"/>
      <c r="X717" s="342">
        <f t="shared" si="191"/>
        <v>98.380799999999994</v>
      </c>
      <c r="Y717" s="342">
        <f t="shared" si="192"/>
        <v>0</v>
      </c>
      <c r="Z717" s="46">
        <f t="shared" si="193"/>
        <v>13.527360000000002</v>
      </c>
      <c r="AA717" s="46">
        <f t="shared" si="194"/>
        <v>62.307839999999999</v>
      </c>
      <c r="AB717" s="43"/>
      <c r="AC717" s="44">
        <v>819.84</v>
      </c>
      <c r="AD717" s="31">
        <v>0.12</v>
      </c>
      <c r="AE717" s="31">
        <v>0</v>
      </c>
      <c r="AF717" s="31">
        <v>0</v>
      </c>
      <c r="AG717" s="28" t="s">
        <v>53</v>
      </c>
      <c r="AH717" s="46">
        <f t="shared" si="195"/>
        <v>819.84</v>
      </c>
      <c r="AI717" s="43"/>
      <c r="AJ717" s="28" t="s">
        <v>264</v>
      </c>
      <c r="AK717" s="337"/>
      <c r="AL717" s="43"/>
      <c r="AM717" s="44">
        <f t="shared" si="196"/>
        <v>0</v>
      </c>
      <c r="AN717" s="43"/>
      <c r="AO717" s="28">
        <f t="shared" si="197"/>
        <v>0</v>
      </c>
      <c r="AP717" s="43"/>
      <c r="AQ717" s="323">
        <f t="shared" si="198"/>
        <v>0</v>
      </c>
      <c r="AR717" s="43"/>
      <c r="AS717" s="44">
        <f t="shared" si="199"/>
        <v>819.84</v>
      </c>
    </row>
    <row r="718" spans="1:45" x14ac:dyDescent="0.25">
      <c r="A718" s="28"/>
      <c r="B718" s="43"/>
      <c r="C718" s="43"/>
      <c r="D718" s="43"/>
      <c r="E718" s="43" t="s">
        <v>1625</v>
      </c>
      <c r="F718" s="43" t="s">
        <v>1626</v>
      </c>
      <c r="G718" s="46">
        <f t="shared" si="186"/>
        <v>732.12480000000005</v>
      </c>
      <c r="H718" s="46">
        <f t="shared" si="187"/>
        <v>655.16850000000011</v>
      </c>
      <c r="I718" s="28" t="s">
        <v>262</v>
      </c>
      <c r="J718" s="337">
        <v>0.35</v>
      </c>
      <c r="K718" s="46">
        <f t="shared" si="188"/>
        <v>256.24367999999998</v>
      </c>
      <c r="L718" s="46">
        <f t="shared" si="189"/>
        <v>229.30897500000003</v>
      </c>
      <c r="M718" s="338">
        <f t="shared" si="190"/>
        <v>0</v>
      </c>
      <c r="N718" s="43" t="s">
        <v>36</v>
      </c>
      <c r="O718" s="339">
        <v>90303319</v>
      </c>
      <c r="P718" s="340">
        <f>IFERROR(VLOOKUP(O718,NCM!$A$3:$D$99,COLUMN(head_porNCM_IPI)-COLUMN(head_porNCM_NCM)+1,FALSE),"")</f>
        <v>0.05</v>
      </c>
      <c r="Q718" s="43" t="s">
        <v>806</v>
      </c>
      <c r="R718" s="78" t="s">
        <v>210</v>
      </c>
      <c r="S718" s="341"/>
      <c r="T718" s="28" t="s">
        <v>52</v>
      </c>
      <c r="U718" s="28" t="s">
        <v>3113</v>
      </c>
      <c r="V718" s="548">
        <v>45469</v>
      </c>
      <c r="W718" s="43"/>
      <c r="X718" s="342">
        <f t="shared" si="191"/>
        <v>99.8352</v>
      </c>
      <c r="Y718" s="342">
        <f t="shared" si="192"/>
        <v>0</v>
      </c>
      <c r="Z718" s="46">
        <f t="shared" si="193"/>
        <v>13.727340000000002</v>
      </c>
      <c r="AA718" s="46">
        <f t="shared" si="194"/>
        <v>63.228960000000001</v>
      </c>
      <c r="AB718" s="43"/>
      <c r="AC718" s="44">
        <v>831.96</v>
      </c>
      <c r="AD718" s="31">
        <v>0.12</v>
      </c>
      <c r="AE718" s="31">
        <v>0</v>
      </c>
      <c r="AF718" s="31">
        <v>0</v>
      </c>
      <c r="AG718" s="28" t="s">
        <v>53</v>
      </c>
      <c r="AH718" s="46">
        <f t="shared" si="195"/>
        <v>831.96</v>
      </c>
      <c r="AI718" s="43"/>
      <c r="AJ718" s="28" t="s">
        <v>264</v>
      </c>
      <c r="AK718" s="337"/>
      <c r="AL718" s="43"/>
      <c r="AM718" s="44">
        <f t="shared" si="196"/>
        <v>0</v>
      </c>
      <c r="AN718" s="43"/>
      <c r="AO718" s="28">
        <f t="shared" si="197"/>
        <v>0</v>
      </c>
      <c r="AP718" s="43"/>
      <c r="AQ718" s="323">
        <f t="shared" si="198"/>
        <v>0</v>
      </c>
      <c r="AR718" s="43"/>
      <c r="AS718" s="44">
        <f t="shared" si="199"/>
        <v>831.96</v>
      </c>
    </row>
    <row r="719" spans="1:45" x14ac:dyDescent="0.25">
      <c r="A719" s="28"/>
      <c r="B719" s="43"/>
      <c r="C719" s="43"/>
      <c r="D719" s="43"/>
      <c r="E719" s="43" t="s">
        <v>1627</v>
      </c>
      <c r="F719" s="43" t="s">
        <v>1628</v>
      </c>
      <c r="G719" s="46">
        <f t="shared" si="186"/>
        <v>732.12480000000005</v>
      </c>
      <c r="H719" s="46">
        <f t="shared" si="187"/>
        <v>655.16850000000011</v>
      </c>
      <c r="I719" s="28" t="s">
        <v>262</v>
      </c>
      <c r="J719" s="337">
        <v>0.35</v>
      </c>
      <c r="K719" s="46">
        <f t="shared" si="188"/>
        <v>256.24367999999998</v>
      </c>
      <c r="L719" s="46">
        <f t="shared" si="189"/>
        <v>229.30897500000003</v>
      </c>
      <c r="M719" s="338">
        <f t="shared" si="190"/>
        <v>0</v>
      </c>
      <c r="N719" s="43" t="s">
        <v>36</v>
      </c>
      <c r="O719" s="339">
        <v>90303319</v>
      </c>
      <c r="P719" s="340">
        <f>IFERROR(VLOOKUP(O719,NCM!$A$3:$D$99,COLUMN(head_porNCM_IPI)-COLUMN(head_porNCM_NCM)+1,FALSE),"")</f>
        <v>0.05</v>
      </c>
      <c r="Q719" s="43" t="s">
        <v>806</v>
      </c>
      <c r="R719" s="78" t="s">
        <v>210</v>
      </c>
      <c r="S719" s="341"/>
      <c r="T719" s="28" t="s">
        <v>52</v>
      </c>
      <c r="U719" s="28" t="s">
        <v>3113</v>
      </c>
      <c r="V719" s="548">
        <v>45469</v>
      </c>
      <c r="W719" s="43"/>
      <c r="X719" s="342">
        <f t="shared" si="191"/>
        <v>99.8352</v>
      </c>
      <c r="Y719" s="342">
        <f t="shared" si="192"/>
        <v>0</v>
      </c>
      <c r="Z719" s="46">
        <f t="shared" si="193"/>
        <v>13.727340000000002</v>
      </c>
      <c r="AA719" s="46">
        <f t="shared" si="194"/>
        <v>63.228960000000001</v>
      </c>
      <c r="AB719" s="43"/>
      <c r="AC719" s="44">
        <v>831.96</v>
      </c>
      <c r="AD719" s="31">
        <v>0.12</v>
      </c>
      <c r="AE719" s="31">
        <v>0</v>
      </c>
      <c r="AF719" s="31">
        <v>0</v>
      </c>
      <c r="AG719" s="28" t="s">
        <v>53</v>
      </c>
      <c r="AH719" s="46">
        <f t="shared" si="195"/>
        <v>831.96</v>
      </c>
      <c r="AI719" s="43"/>
      <c r="AJ719" s="28" t="s">
        <v>264</v>
      </c>
      <c r="AK719" s="337"/>
      <c r="AL719" s="43"/>
      <c r="AM719" s="44">
        <f t="shared" si="196"/>
        <v>0</v>
      </c>
      <c r="AN719" s="43"/>
      <c r="AO719" s="28">
        <f t="shared" si="197"/>
        <v>0</v>
      </c>
      <c r="AP719" s="43"/>
      <c r="AQ719" s="323">
        <f t="shared" si="198"/>
        <v>0</v>
      </c>
      <c r="AR719" s="43"/>
      <c r="AS719" s="44">
        <f t="shared" si="199"/>
        <v>831.96</v>
      </c>
    </row>
    <row r="720" spans="1:45" x14ac:dyDescent="0.25">
      <c r="A720" s="28"/>
      <c r="B720" s="43"/>
      <c r="C720" s="43"/>
      <c r="D720" s="43"/>
      <c r="E720" s="43" t="s">
        <v>1629</v>
      </c>
      <c r="F720" s="43" t="s">
        <v>1630</v>
      </c>
      <c r="G720" s="46">
        <f t="shared" si="186"/>
        <v>1075.7736</v>
      </c>
      <c r="H720" s="46">
        <f t="shared" si="187"/>
        <v>962.69512500000008</v>
      </c>
      <c r="I720" s="28" t="s">
        <v>262</v>
      </c>
      <c r="J720" s="337">
        <v>0.35</v>
      </c>
      <c r="K720" s="46">
        <f t="shared" si="188"/>
        <v>376.52076</v>
      </c>
      <c r="L720" s="46">
        <f t="shared" si="189"/>
        <v>336.94329375000001</v>
      </c>
      <c r="M720" s="338">
        <f t="shared" si="190"/>
        <v>0</v>
      </c>
      <c r="N720" s="43" t="s">
        <v>36</v>
      </c>
      <c r="O720" s="339">
        <v>90303319</v>
      </c>
      <c r="P720" s="340">
        <f>IFERROR(VLOOKUP(O720,NCM!$A$3:$D$99,COLUMN(head_porNCM_IPI)-COLUMN(head_porNCM_NCM)+1,FALSE),"")</f>
        <v>0.05</v>
      </c>
      <c r="Q720" s="43" t="s">
        <v>806</v>
      </c>
      <c r="R720" s="78" t="s">
        <v>210</v>
      </c>
      <c r="S720" s="341"/>
      <c r="T720" s="28" t="s">
        <v>52</v>
      </c>
      <c r="U720" s="28" t="s">
        <v>3113</v>
      </c>
      <c r="V720" s="548">
        <v>45469</v>
      </c>
      <c r="W720" s="43"/>
      <c r="X720" s="342">
        <f t="shared" si="191"/>
        <v>146.69640000000001</v>
      </c>
      <c r="Y720" s="342">
        <f t="shared" si="192"/>
        <v>0</v>
      </c>
      <c r="Z720" s="46">
        <f t="shared" si="193"/>
        <v>20.170755</v>
      </c>
      <c r="AA720" s="46">
        <f t="shared" si="194"/>
        <v>92.907719999999998</v>
      </c>
      <c r="AB720" s="43"/>
      <c r="AC720" s="44">
        <v>1222.47</v>
      </c>
      <c r="AD720" s="31">
        <v>0.12</v>
      </c>
      <c r="AE720" s="31">
        <v>0</v>
      </c>
      <c r="AF720" s="31">
        <v>0</v>
      </c>
      <c r="AG720" s="28" t="s">
        <v>53</v>
      </c>
      <c r="AH720" s="46">
        <f t="shared" si="195"/>
        <v>1222.47</v>
      </c>
      <c r="AI720" s="43"/>
      <c r="AJ720" s="28" t="s">
        <v>264</v>
      </c>
      <c r="AK720" s="337"/>
      <c r="AL720" s="43"/>
      <c r="AM720" s="44">
        <f t="shared" si="196"/>
        <v>0</v>
      </c>
      <c r="AN720" s="43"/>
      <c r="AO720" s="28">
        <f t="shared" si="197"/>
        <v>0</v>
      </c>
      <c r="AP720" s="43"/>
      <c r="AQ720" s="323">
        <f t="shared" si="198"/>
        <v>0</v>
      </c>
      <c r="AR720" s="43"/>
      <c r="AS720" s="44">
        <f t="shared" si="199"/>
        <v>1222.47</v>
      </c>
    </row>
    <row r="721" spans="1:45" x14ac:dyDescent="0.25">
      <c r="A721" s="28"/>
      <c r="B721" s="43"/>
      <c r="C721" s="43"/>
      <c r="D721" s="43"/>
      <c r="E721" s="43" t="s">
        <v>1631</v>
      </c>
      <c r="F721" s="43" t="s">
        <v>1632</v>
      </c>
      <c r="G721" s="46">
        <f t="shared" si="186"/>
        <v>1075.7736</v>
      </c>
      <c r="H721" s="46">
        <f t="shared" si="187"/>
        <v>962.69512500000008</v>
      </c>
      <c r="I721" s="28" t="s">
        <v>262</v>
      </c>
      <c r="J721" s="337">
        <v>0.35</v>
      </c>
      <c r="K721" s="46">
        <f t="shared" si="188"/>
        <v>376.52076</v>
      </c>
      <c r="L721" s="46">
        <f t="shared" si="189"/>
        <v>336.94329375000001</v>
      </c>
      <c r="M721" s="338">
        <f t="shared" si="190"/>
        <v>0</v>
      </c>
      <c r="N721" s="43" t="s">
        <v>36</v>
      </c>
      <c r="O721" s="339">
        <v>90303319</v>
      </c>
      <c r="P721" s="340">
        <f>IFERROR(VLOOKUP(O721,NCM!$A$3:$D$99,COLUMN(head_porNCM_IPI)-COLUMN(head_porNCM_NCM)+1,FALSE),"")</f>
        <v>0.05</v>
      </c>
      <c r="Q721" s="43" t="s">
        <v>806</v>
      </c>
      <c r="R721" s="78" t="s">
        <v>210</v>
      </c>
      <c r="S721" s="341"/>
      <c r="T721" s="28" t="s">
        <v>52</v>
      </c>
      <c r="U721" s="28" t="s">
        <v>3113</v>
      </c>
      <c r="V721" s="548">
        <v>45469</v>
      </c>
      <c r="W721" s="43"/>
      <c r="X721" s="342">
        <f t="shared" si="191"/>
        <v>146.69640000000001</v>
      </c>
      <c r="Y721" s="342">
        <f t="shared" si="192"/>
        <v>0</v>
      </c>
      <c r="Z721" s="46">
        <f t="shared" si="193"/>
        <v>20.170755</v>
      </c>
      <c r="AA721" s="46">
        <f t="shared" si="194"/>
        <v>92.907719999999998</v>
      </c>
      <c r="AB721" s="43"/>
      <c r="AC721" s="44">
        <v>1222.47</v>
      </c>
      <c r="AD721" s="31">
        <v>0.12</v>
      </c>
      <c r="AE721" s="31">
        <v>0</v>
      </c>
      <c r="AF721" s="31">
        <v>0</v>
      </c>
      <c r="AG721" s="28" t="s">
        <v>53</v>
      </c>
      <c r="AH721" s="46">
        <f t="shared" si="195"/>
        <v>1222.47</v>
      </c>
      <c r="AI721" s="43"/>
      <c r="AJ721" s="28" t="s">
        <v>264</v>
      </c>
      <c r="AK721" s="337"/>
      <c r="AL721" s="43"/>
      <c r="AM721" s="44">
        <f t="shared" si="196"/>
        <v>0</v>
      </c>
      <c r="AN721" s="43"/>
      <c r="AO721" s="28">
        <f t="shared" si="197"/>
        <v>0</v>
      </c>
      <c r="AP721" s="43"/>
      <c r="AQ721" s="323">
        <f t="shared" si="198"/>
        <v>0</v>
      </c>
      <c r="AR721" s="43"/>
      <c r="AS721" s="44">
        <f t="shared" si="199"/>
        <v>1222.47</v>
      </c>
    </row>
    <row r="722" spans="1:45" x14ac:dyDescent="0.25">
      <c r="A722" s="28"/>
      <c r="B722" s="43"/>
      <c r="C722" s="43"/>
      <c r="D722" s="43"/>
      <c r="E722" s="43" t="s">
        <v>2332</v>
      </c>
      <c r="F722" s="43" t="s">
        <v>1633</v>
      </c>
      <c r="G722" s="46">
        <f t="shared" si="186"/>
        <v>7333.0468000000001</v>
      </c>
      <c r="H722" s="46">
        <f t="shared" si="187"/>
        <v>6505.843350000001</v>
      </c>
      <c r="I722" s="28" t="s">
        <v>262</v>
      </c>
      <c r="J722" s="337">
        <v>0.49040401724999994</v>
      </c>
      <c r="K722" s="46">
        <f t="shared" si="188"/>
        <v>3596.1556094022567</v>
      </c>
      <c r="L722" s="46">
        <f t="shared" si="189"/>
        <v>3190.4917144391979</v>
      </c>
      <c r="M722" s="338">
        <f t="shared" si="190"/>
        <v>0</v>
      </c>
      <c r="N722" s="43" t="s">
        <v>36</v>
      </c>
      <c r="O722" s="339">
        <v>85365090</v>
      </c>
      <c r="P722" s="340">
        <f>IFERROR(VLOOKUP(O722,NCM!$A$3:$D$99,COLUMN(head_porNCM_IPI)-COLUMN(head_porNCM_NCM)+1,FALSE),"")</f>
        <v>0.15</v>
      </c>
      <c r="Q722" s="43" t="s">
        <v>806</v>
      </c>
      <c r="R722" s="78" t="s">
        <v>210</v>
      </c>
      <c r="S722" s="341"/>
      <c r="T722" s="28" t="s">
        <v>52</v>
      </c>
      <c r="U722" s="28" t="s">
        <v>3113</v>
      </c>
      <c r="V722" s="548">
        <v>45469</v>
      </c>
      <c r="W722" s="43"/>
      <c r="X722" s="342">
        <f t="shared" si="191"/>
        <v>1466.6908428246013</v>
      </c>
      <c r="Y722" s="342">
        <f t="shared" si="192"/>
        <v>794.45753986332511</v>
      </c>
      <c r="Z722" s="46">
        <f t="shared" si="193"/>
        <v>134.44666059225514</v>
      </c>
      <c r="AA722" s="46">
        <f t="shared" si="194"/>
        <v>619.26946697038727</v>
      </c>
      <c r="AB722" s="43"/>
      <c r="AC722" s="44">
        <v>8942.74</v>
      </c>
      <c r="AD722" s="31">
        <v>0.18</v>
      </c>
      <c r="AE722" s="31">
        <v>9.7500000000000003E-2</v>
      </c>
      <c r="AF722" s="31">
        <v>0</v>
      </c>
      <c r="AG722" s="28" t="s">
        <v>53</v>
      </c>
      <c r="AH722" s="46">
        <f t="shared" si="195"/>
        <v>9814.6571499999991</v>
      </c>
      <c r="AI722" s="43"/>
      <c r="AJ722" s="28" t="s">
        <v>264</v>
      </c>
      <c r="AK722" s="337"/>
      <c r="AL722" s="43"/>
      <c r="AM722" s="44">
        <f t="shared" si="196"/>
        <v>0</v>
      </c>
      <c r="AN722" s="43"/>
      <c r="AO722" s="28">
        <f t="shared" si="197"/>
        <v>0</v>
      </c>
      <c r="AP722" s="43"/>
      <c r="AQ722" s="323">
        <f t="shared" si="198"/>
        <v>0</v>
      </c>
      <c r="AR722" s="43"/>
      <c r="AS722" s="44">
        <f t="shared" si="199"/>
        <v>9814.6571499999991</v>
      </c>
    </row>
    <row r="723" spans="1:45" x14ac:dyDescent="0.25">
      <c r="A723" s="28"/>
      <c r="B723" s="43"/>
      <c r="C723" s="43"/>
      <c r="D723" s="43"/>
      <c r="E723" s="43" t="s">
        <v>1634</v>
      </c>
      <c r="F723" s="43" t="s">
        <v>1635</v>
      </c>
      <c r="G723" s="46">
        <f t="shared" si="186"/>
        <v>201.38380000000001</v>
      </c>
      <c r="H723" s="46">
        <f t="shared" si="187"/>
        <v>178.66672500000004</v>
      </c>
      <c r="I723" s="28" t="s">
        <v>262</v>
      </c>
      <c r="J723" s="337">
        <v>0.35</v>
      </c>
      <c r="K723" s="46">
        <f t="shared" si="188"/>
        <v>70.48433</v>
      </c>
      <c r="L723" s="46">
        <f t="shared" si="189"/>
        <v>62.533353750000011</v>
      </c>
      <c r="M723" s="338">
        <f t="shared" si="190"/>
        <v>0</v>
      </c>
      <c r="N723" s="43" t="s">
        <v>36</v>
      </c>
      <c r="O723" s="339">
        <v>85366910</v>
      </c>
      <c r="P723" s="340" t="str">
        <f>IFERROR(VLOOKUP(O723,NCM!$A$3:$D$99,COLUMN(head_porNCM_IPI)-COLUMN(head_porNCM_NCM)+1,FALSE),"")</f>
        <v/>
      </c>
      <c r="Q723" s="43" t="s">
        <v>806</v>
      </c>
      <c r="R723" s="78" t="s">
        <v>210</v>
      </c>
      <c r="S723" s="341"/>
      <c r="T723" s="28" t="s">
        <v>52</v>
      </c>
      <c r="U723" s="28" t="s">
        <v>3113</v>
      </c>
      <c r="V723" s="548">
        <v>45469</v>
      </c>
      <c r="W723" s="43"/>
      <c r="X723" s="342">
        <f t="shared" si="191"/>
        <v>40.278997722095674</v>
      </c>
      <c r="Y723" s="342">
        <f t="shared" si="192"/>
        <v>21.817790432801814</v>
      </c>
      <c r="Z723" s="46">
        <f t="shared" si="193"/>
        <v>3.6922414578587701</v>
      </c>
      <c r="AA723" s="46">
        <f t="shared" si="194"/>
        <v>17.006687927107063</v>
      </c>
      <c r="AB723" s="43"/>
      <c r="AC723" s="44">
        <v>245.59</v>
      </c>
      <c r="AD723" s="31">
        <v>0.18</v>
      </c>
      <c r="AE723" s="31">
        <v>9.7500000000000003E-2</v>
      </c>
      <c r="AF723" s="31">
        <v>0</v>
      </c>
      <c r="AG723" s="28" t="s">
        <v>53</v>
      </c>
      <c r="AH723" s="46">
        <f t="shared" si="195"/>
        <v>269.53502499999996</v>
      </c>
      <c r="AI723" s="43"/>
      <c r="AJ723" s="28" t="s">
        <v>264</v>
      </c>
      <c r="AK723" s="337"/>
      <c r="AL723" s="43"/>
      <c r="AM723" s="44">
        <f t="shared" si="196"/>
        <v>0</v>
      </c>
      <c r="AN723" s="43"/>
      <c r="AO723" s="28">
        <f t="shared" si="197"/>
        <v>0</v>
      </c>
      <c r="AP723" s="43"/>
      <c r="AQ723" s="323">
        <f t="shared" si="198"/>
        <v>0</v>
      </c>
      <c r="AR723" s="43"/>
      <c r="AS723" s="44">
        <f t="shared" si="199"/>
        <v>269.53502499999996</v>
      </c>
    </row>
    <row r="724" spans="1:45" x14ac:dyDescent="0.25">
      <c r="A724" s="28"/>
      <c r="B724" s="43"/>
      <c r="C724" s="43"/>
      <c r="D724" s="43" t="s">
        <v>1636</v>
      </c>
      <c r="E724" s="43"/>
      <c r="F724" s="43"/>
      <c r="G724" s="46">
        <f t="shared" si="186"/>
        <v>0</v>
      </c>
      <c r="H724" s="46">
        <f t="shared" si="187"/>
        <v>0</v>
      </c>
      <c r="I724" s="28"/>
      <c r="J724" s="337"/>
      <c r="K724" s="46" t="str">
        <f t="shared" si="188"/>
        <v/>
      </c>
      <c r="L724" s="46" t="str">
        <f t="shared" si="189"/>
        <v/>
      </c>
      <c r="M724" s="338">
        <f t="shared" si="190"/>
        <v>0</v>
      </c>
      <c r="N724" s="43"/>
      <c r="O724" s="339"/>
      <c r="P724" s="340" t="str">
        <f>IFERROR(VLOOKUP(O724,NCM!$A$3:$D$99,COLUMN(head_porNCM_IPI)-COLUMN(head_porNCM_NCM)+1,FALSE),"")</f>
        <v/>
      </c>
      <c r="Q724" s="43"/>
      <c r="R724" s="78"/>
      <c r="S724" s="341"/>
      <c r="T724" s="28"/>
      <c r="U724" s="28"/>
      <c r="V724" s="28"/>
      <c r="W724" s="43"/>
      <c r="X724" s="342">
        <f t="shared" si="191"/>
        <v>0</v>
      </c>
      <c r="Y724" s="342">
        <f t="shared" si="192"/>
        <v>0</v>
      </c>
      <c r="Z724" s="46">
        <f t="shared" si="193"/>
        <v>0</v>
      </c>
      <c r="AA724" s="46">
        <f t="shared" si="194"/>
        <v>0</v>
      </c>
      <c r="AB724" s="43"/>
      <c r="AC724" s="44">
        <v>0</v>
      </c>
      <c r="AD724" s="31"/>
      <c r="AE724" s="31"/>
      <c r="AF724" s="31"/>
      <c r="AG724" s="28"/>
      <c r="AH724" s="46">
        <f t="shared" si="195"/>
        <v>0</v>
      </c>
      <c r="AI724" s="43"/>
      <c r="AJ724" s="28"/>
      <c r="AK724" s="337"/>
      <c r="AL724" s="43"/>
      <c r="AM724" s="44">
        <f t="shared" si="196"/>
        <v>0</v>
      </c>
      <c r="AN724" s="43"/>
      <c r="AO724" s="28">
        <f t="shared" si="197"/>
        <v>0</v>
      </c>
      <c r="AP724" s="43"/>
      <c r="AQ724" s="323">
        <f t="shared" si="198"/>
        <v>0</v>
      </c>
      <c r="AR724" s="43"/>
      <c r="AS724" s="44">
        <f t="shared" si="199"/>
        <v>0</v>
      </c>
    </row>
    <row r="725" spans="1:45" x14ac:dyDescent="0.25">
      <c r="A725" s="28"/>
      <c r="B725" s="43"/>
      <c r="C725" s="43"/>
      <c r="D725" s="43"/>
      <c r="E725" s="43" t="s">
        <v>1637</v>
      </c>
      <c r="F725" s="43" t="s">
        <v>1638</v>
      </c>
      <c r="G725" s="46">
        <f t="shared" si="186"/>
        <v>40.779200000000003</v>
      </c>
      <c r="H725" s="46">
        <f t="shared" si="187"/>
        <v>36.492750000000008</v>
      </c>
      <c r="I725" s="28" t="s">
        <v>262</v>
      </c>
      <c r="J725" s="337">
        <v>0.36749999999999999</v>
      </c>
      <c r="K725" s="46">
        <f t="shared" si="188"/>
        <v>14.986356000000001</v>
      </c>
      <c r="L725" s="46">
        <f t="shared" si="189"/>
        <v>13.411085625000002</v>
      </c>
      <c r="M725" s="338">
        <f t="shared" si="190"/>
        <v>0</v>
      </c>
      <c r="N725" s="43" t="s">
        <v>36</v>
      </c>
      <c r="O725" s="339">
        <v>85359000</v>
      </c>
      <c r="P725" s="340">
        <f>IFERROR(VLOOKUP(O725,NCM!$A$3:$D$99,COLUMN(head_porNCM_IPI)-COLUMN(head_porNCM_NCM)+1,FALSE),"")</f>
        <v>0.05</v>
      </c>
      <c r="Q725" s="43" t="s">
        <v>1089</v>
      </c>
      <c r="R725" s="78" t="s">
        <v>210</v>
      </c>
      <c r="S725" s="341"/>
      <c r="T725" s="28" t="s">
        <v>52</v>
      </c>
      <c r="U725" s="28"/>
      <c r="V725" s="28" t="e">
        <v>#VALUE!</v>
      </c>
      <c r="W725" s="43"/>
      <c r="X725" s="342">
        <f t="shared" si="191"/>
        <v>5.2959999999999994</v>
      </c>
      <c r="Y725" s="342">
        <f t="shared" si="192"/>
        <v>2.2066666666666706</v>
      </c>
      <c r="Z725" s="46">
        <f t="shared" si="193"/>
        <v>0.72820000000000007</v>
      </c>
      <c r="AA725" s="46">
        <f t="shared" si="194"/>
        <v>3.3541333333333334</v>
      </c>
      <c r="AB725" s="43"/>
      <c r="AC725" s="44">
        <v>46.34</v>
      </c>
      <c r="AD725" s="31">
        <v>0.12</v>
      </c>
      <c r="AE725" s="31">
        <v>0.05</v>
      </c>
      <c r="AF725" s="31">
        <v>0</v>
      </c>
      <c r="AG725" s="28" t="s">
        <v>53</v>
      </c>
      <c r="AH725" s="46">
        <f t="shared" si="195"/>
        <v>48.657000000000004</v>
      </c>
      <c r="AI725" s="43"/>
      <c r="AJ725" s="28" t="s">
        <v>264</v>
      </c>
      <c r="AK725" s="337"/>
      <c r="AL725" s="43"/>
      <c r="AM725" s="44">
        <f t="shared" si="196"/>
        <v>0</v>
      </c>
      <c r="AN725" s="43"/>
      <c r="AO725" s="28">
        <f t="shared" si="197"/>
        <v>0</v>
      </c>
      <c r="AP725" s="43"/>
      <c r="AQ725" s="323">
        <f t="shared" si="198"/>
        <v>0</v>
      </c>
      <c r="AR725" s="43"/>
      <c r="AS725" s="44">
        <f t="shared" si="199"/>
        <v>48.657000000000004</v>
      </c>
    </row>
    <row r="726" spans="1:45" x14ac:dyDescent="0.25">
      <c r="A726" s="28"/>
      <c r="B726" s="43"/>
      <c r="C726" s="43"/>
      <c r="D726" s="43"/>
      <c r="E726" s="43" t="s">
        <v>1639</v>
      </c>
      <c r="F726" s="43" t="s">
        <v>1640</v>
      </c>
      <c r="G726" s="46">
        <f t="shared" si="186"/>
        <v>585.93100000000004</v>
      </c>
      <c r="H726" s="46">
        <f t="shared" si="187"/>
        <v>519.83512500000006</v>
      </c>
      <c r="I726" s="28" t="s">
        <v>262</v>
      </c>
      <c r="J726" s="337">
        <v>0.35</v>
      </c>
      <c r="K726" s="46">
        <f t="shared" si="188"/>
        <v>205.07585</v>
      </c>
      <c r="L726" s="46">
        <f t="shared" si="189"/>
        <v>181.94229375</v>
      </c>
      <c r="M726" s="338">
        <f t="shared" si="190"/>
        <v>0</v>
      </c>
      <c r="N726" s="43" t="s">
        <v>36</v>
      </c>
      <c r="O726" s="339">
        <v>85359000</v>
      </c>
      <c r="P726" s="340">
        <f>IFERROR(VLOOKUP(O726,NCM!$A$3:$D$99,COLUMN(head_porNCM_IPI)-COLUMN(head_porNCM_NCM)+1,FALSE),"")</f>
        <v>0.05</v>
      </c>
      <c r="Q726" s="43" t="s">
        <v>806</v>
      </c>
      <c r="R726" s="78" t="s">
        <v>210</v>
      </c>
      <c r="S726" s="341"/>
      <c r="T726" s="28" t="s">
        <v>52</v>
      </c>
      <c r="U726" s="28" t="s">
        <v>3113</v>
      </c>
      <c r="V726" s="548">
        <v>45469</v>
      </c>
      <c r="W726" s="43"/>
      <c r="X726" s="342">
        <f t="shared" si="191"/>
        <v>124.57046004842616</v>
      </c>
      <c r="Y726" s="342">
        <f t="shared" si="192"/>
        <v>22.491888619854649</v>
      </c>
      <c r="Z726" s="46">
        <f t="shared" si="193"/>
        <v>11.418958837772399</v>
      </c>
      <c r="AA726" s="46">
        <f t="shared" si="194"/>
        <v>52.596416464891043</v>
      </c>
      <c r="AB726" s="43"/>
      <c r="AC726" s="44">
        <v>714.55</v>
      </c>
      <c r="AD726" s="31">
        <v>0.18</v>
      </c>
      <c r="AE726" s="31">
        <v>3.2500000000000001E-2</v>
      </c>
      <c r="AF726" s="31">
        <v>0</v>
      </c>
      <c r="AG726" s="28" t="s">
        <v>53</v>
      </c>
      <c r="AH726" s="46">
        <f t="shared" si="195"/>
        <v>737.77287499999989</v>
      </c>
      <c r="AI726" s="43"/>
      <c r="AJ726" s="28" t="s">
        <v>264</v>
      </c>
      <c r="AK726" s="337"/>
      <c r="AL726" s="43"/>
      <c r="AM726" s="44">
        <f t="shared" si="196"/>
        <v>0</v>
      </c>
      <c r="AN726" s="43"/>
      <c r="AO726" s="28">
        <f t="shared" si="197"/>
        <v>0</v>
      </c>
      <c r="AP726" s="43"/>
      <c r="AQ726" s="323">
        <f t="shared" si="198"/>
        <v>0</v>
      </c>
      <c r="AR726" s="43"/>
      <c r="AS726" s="44">
        <f t="shared" si="199"/>
        <v>737.77287499999989</v>
      </c>
    </row>
    <row r="727" spans="1:45" x14ac:dyDescent="0.25">
      <c r="A727" s="28"/>
      <c r="B727" s="43"/>
      <c r="C727" s="43"/>
      <c r="D727" s="43"/>
      <c r="E727" s="43" t="s">
        <v>1641</v>
      </c>
      <c r="F727" s="43" t="s">
        <v>1642</v>
      </c>
      <c r="G727" s="46">
        <f t="shared" si="186"/>
        <v>904.04180000000008</v>
      </c>
      <c r="H727" s="46">
        <f t="shared" si="187"/>
        <v>802.0614750000002</v>
      </c>
      <c r="I727" s="28" t="s">
        <v>262</v>
      </c>
      <c r="J727" s="337">
        <v>0.35</v>
      </c>
      <c r="K727" s="46">
        <f t="shared" si="188"/>
        <v>316.41462999999999</v>
      </c>
      <c r="L727" s="46">
        <f t="shared" si="189"/>
        <v>280.72151625000004</v>
      </c>
      <c r="M727" s="338">
        <f t="shared" si="190"/>
        <v>0</v>
      </c>
      <c r="N727" s="43" t="s">
        <v>36</v>
      </c>
      <c r="O727" s="339">
        <v>85359000</v>
      </c>
      <c r="P727" s="340">
        <f>IFERROR(VLOOKUP(O727,NCM!$A$3:$D$99,COLUMN(head_porNCM_IPI)-COLUMN(head_porNCM_NCM)+1,FALSE),"")</f>
        <v>0.05</v>
      </c>
      <c r="Q727" s="43" t="s">
        <v>806</v>
      </c>
      <c r="R727" s="78" t="s">
        <v>210</v>
      </c>
      <c r="S727" s="341"/>
      <c r="T727" s="28" t="s">
        <v>52</v>
      </c>
      <c r="U727" s="28" t="s">
        <v>3113</v>
      </c>
      <c r="V727" s="548">
        <v>45469</v>
      </c>
      <c r="W727" s="43"/>
      <c r="X727" s="342">
        <f t="shared" si="191"/>
        <v>192.20164648910412</v>
      </c>
      <c r="Y727" s="342">
        <f t="shared" si="192"/>
        <v>34.703075060532683</v>
      </c>
      <c r="Z727" s="46">
        <f t="shared" si="193"/>
        <v>17.618484261501212</v>
      </c>
      <c r="AA727" s="46">
        <f t="shared" si="194"/>
        <v>81.15180629539951</v>
      </c>
      <c r="AB727" s="43"/>
      <c r="AC727" s="44">
        <v>1102.49</v>
      </c>
      <c r="AD727" s="31">
        <v>0.18</v>
      </c>
      <c r="AE727" s="31">
        <v>3.2500000000000001E-2</v>
      </c>
      <c r="AF727" s="31">
        <v>0</v>
      </c>
      <c r="AG727" s="28" t="s">
        <v>53</v>
      </c>
      <c r="AH727" s="46">
        <f t="shared" si="195"/>
        <v>1138.320925</v>
      </c>
      <c r="AI727" s="43"/>
      <c r="AJ727" s="28" t="s">
        <v>264</v>
      </c>
      <c r="AK727" s="337"/>
      <c r="AL727" s="43"/>
      <c r="AM727" s="44">
        <f t="shared" si="196"/>
        <v>0</v>
      </c>
      <c r="AN727" s="43"/>
      <c r="AO727" s="28">
        <f t="shared" si="197"/>
        <v>0</v>
      </c>
      <c r="AP727" s="43"/>
      <c r="AQ727" s="323">
        <f t="shared" si="198"/>
        <v>0</v>
      </c>
      <c r="AR727" s="43"/>
      <c r="AS727" s="44">
        <f t="shared" si="199"/>
        <v>1138.320925</v>
      </c>
    </row>
    <row r="728" spans="1:45" x14ac:dyDescent="0.25">
      <c r="A728" s="28"/>
      <c r="B728" s="43"/>
      <c r="C728" s="43"/>
      <c r="D728" s="43"/>
      <c r="E728" s="43" t="s">
        <v>1643</v>
      </c>
      <c r="F728" s="43" t="s">
        <v>1644</v>
      </c>
      <c r="G728" s="46">
        <f t="shared" si="186"/>
        <v>1145.0972000000002</v>
      </c>
      <c r="H728" s="46">
        <f t="shared" si="187"/>
        <v>1015.9246500000003</v>
      </c>
      <c r="I728" s="28" t="s">
        <v>262</v>
      </c>
      <c r="J728" s="337">
        <v>0.35</v>
      </c>
      <c r="K728" s="46">
        <f t="shared" si="188"/>
        <v>400.78402000000006</v>
      </c>
      <c r="L728" s="46">
        <f t="shared" si="189"/>
        <v>355.5736275000001</v>
      </c>
      <c r="M728" s="338">
        <f t="shared" si="190"/>
        <v>0</v>
      </c>
      <c r="N728" s="43" t="s">
        <v>36</v>
      </c>
      <c r="O728" s="339">
        <v>85359000</v>
      </c>
      <c r="P728" s="340">
        <f>IFERROR(VLOOKUP(O728,NCM!$A$3:$D$99,COLUMN(head_porNCM_IPI)-COLUMN(head_porNCM_NCM)+1,FALSE),"")</f>
        <v>0.05</v>
      </c>
      <c r="Q728" s="43" t="s">
        <v>806</v>
      </c>
      <c r="R728" s="78" t="s">
        <v>210</v>
      </c>
      <c r="S728" s="341"/>
      <c r="T728" s="28" t="s">
        <v>52</v>
      </c>
      <c r="U728" s="28" t="s">
        <v>3113</v>
      </c>
      <c r="V728" s="548">
        <v>45469</v>
      </c>
      <c r="W728" s="43"/>
      <c r="X728" s="342">
        <f t="shared" si="191"/>
        <v>243.45065375302661</v>
      </c>
      <c r="Y728" s="342">
        <f t="shared" si="192"/>
        <v>43.956368038740948</v>
      </c>
      <c r="Z728" s="46">
        <f t="shared" si="193"/>
        <v>22.316309927360777</v>
      </c>
      <c r="AA728" s="46">
        <f t="shared" si="194"/>
        <v>102.79027602905569</v>
      </c>
      <c r="AB728" s="43"/>
      <c r="AC728" s="44">
        <v>1396.46</v>
      </c>
      <c r="AD728" s="31">
        <v>0.18</v>
      </c>
      <c r="AE728" s="31">
        <v>3.2500000000000001E-2</v>
      </c>
      <c r="AF728" s="31">
        <v>0</v>
      </c>
      <c r="AG728" s="28" t="s">
        <v>53</v>
      </c>
      <c r="AH728" s="46">
        <f t="shared" si="195"/>
        <v>1441.8449499999999</v>
      </c>
      <c r="AI728" s="43"/>
      <c r="AJ728" s="28" t="s">
        <v>264</v>
      </c>
      <c r="AK728" s="337"/>
      <c r="AL728" s="43"/>
      <c r="AM728" s="44">
        <f t="shared" si="196"/>
        <v>0</v>
      </c>
      <c r="AN728" s="43"/>
      <c r="AO728" s="28">
        <f t="shared" si="197"/>
        <v>0</v>
      </c>
      <c r="AP728" s="43"/>
      <c r="AQ728" s="323">
        <f t="shared" si="198"/>
        <v>0</v>
      </c>
      <c r="AR728" s="43"/>
      <c r="AS728" s="44">
        <f t="shared" si="199"/>
        <v>1441.8449499999999</v>
      </c>
    </row>
    <row r="729" spans="1:45" x14ac:dyDescent="0.25">
      <c r="A729" s="28"/>
      <c r="B729" s="43"/>
      <c r="C729" s="43"/>
      <c r="D729" s="43"/>
      <c r="E729" s="43" t="s">
        <v>1645</v>
      </c>
      <c r="F729" s="43" t="s">
        <v>1646</v>
      </c>
      <c r="G729" s="46">
        <f t="shared" si="186"/>
        <v>1659.4750000000001</v>
      </c>
      <c r="H729" s="46">
        <f t="shared" si="187"/>
        <v>1472.2781250000003</v>
      </c>
      <c r="I729" s="28" t="s">
        <v>262</v>
      </c>
      <c r="J729" s="337">
        <v>0.35</v>
      </c>
      <c r="K729" s="46">
        <f t="shared" si="188"/>
        <v>580.81624999999997</v>
      </c>
      <c r="L729" s="46">
        <f t="shared" si="189"/>
        <v>515.2973437500001</v>
      </c>
      <c r="M729" s="338">
        <f t="shared" si="190"/>
        <v>0</v>
      </c>
      <c r="N729" s="43" t="s">
        <v>36</v>
      </c>
      <c r="O729" s="339">
        <v>85359000</v>
      </c>
      <c r="P729" s="340">
        <f>IFERROR(VLOOKUP(O729,NCM!$A$3:$D$99,COLUMN(head_porNCM_IPI)-COLUMN(head_porNCM_NCM)+1,FALSE),"")</f>
        <v>0.05</v>
      </c>
      <c r="Q729" s="43" t="s">
        <v>806</v>
      </c>
      <c r="R729" s="78" t="s">
        <v>210</v>
      </c>
      <c r="S729" s="341"/>
      <c r="T729" s="28" t="s">
        <v>52</v>
      </c>
      <c r="U729" s="28" t="s">
        <v>3113</v>
      </c>
      <c r="V729" s="548">
        <v>45469</v>
      </c>
      <c r="W729" s="43"/>
      <c r="X729" s="342">
        <f t="shared" si="191"/>
        <v>352.80871670702174</v>
      </c>
      <c r="Y729" s="342">
        <f t="shared" si="192"/>
        <v>63.701573849878969</v>
      </c>
      <c r="Z729" s="46">
        <f t="shared" si="193"/>
        <v>32.340799031476998</v>
      </c>
      <c r="AA729" s="46">
        <f t="shared" si="194"/>
        <v>148.9636803874092</v>
      </c>
      <c r="AB729" s="43"/>
      <c r="AC729" s="44">
        <v>2023.75</v>
      </c>
      <c r="AD729" s="31">
        <v>0.18</v>
      </c>
      <c r="AE729" s="31">
        <v>3.2500000000000001E-2</v>
      </c>
      <c r="AF729" s="31">
        <v>0</v>
      </c>
      <c r="AG729" s="28" t="s">
        <v>53</v>
      </c>
      <c r="AH729" s="46">
        <f t="shared" si="195"/>
        <v>2089.5218749999999</v>
      </c>
      <c r="AI729" s="43"/>
      <c r="AJ729" s="28" t="s">
        <v>264</v>
      </c>
      <c r="AK729" s="337"/>
      <c r="AL729" s="43"/>
      <c r="AM729" s="44">
        <f t="shared" si="196"/>
        <v>0</v>
      </c>
      <c r="AN729" s="43"/>
      <c r="AO729" s="28">
        <f t="shared" si="197"/>
        <v>0</v>
      </c>
      <c r="AP729" s="43"/>
      <c r="AQ729" s="323">
        <f t="shared" si="198"/>
        <v>0</v>
      </c>
      <c r="AR729" s="43"/>
      <c r="AS729" s="44">
        <f t="shared" si="199"/>
        <v>2089.5218749999999</v>
      </c>
    </row>
    <row r="730" spans="1:45" x14ac:dyDescent="0.25">
      <c r="A730" s="28"/>
      <c r="B730" s="43"/>
      <c r="C730" s="43"/>
      <c r="D730" s="43"/>
      <c r="E730" s="43" t="s">
        <v>1647</v>
      </c>
      <c r="F730" s="43" t="s">
        <v>1648</v>
      </c>
      <c r="G730" s="46">
        <f t="shared" si="186"/>
        <v>3763.4392000000007</v>
      </c>
      <c r="H730" s="46">
        <f t="shared" si="187"/>
        <v>3338.9049000000009</v>
      </c>
      <c r="I730" s="28" t="s">
        <v>262</v>
      </c>
      <c r="J730" s="337">
        <v>0.35</v>
      </c>
      <c r="K730" s="46">
        <f t="shared" si="188"/>
        <v>1317.2037200000002</v>
      </c>
      <c r="L730" s="46">
        <f t="shared" si="189"/>
        <v>1168.6167150000003</v>
      </c>
      <c r="M730" s="338">
        <f t="shared" si="190"/>
        <v>0</v>
      </c>
      <c r="N730" s="43" t="s">
        <v>161</v>
      </c>
      <c r="O730" s="339">
        <v>85359000</v>
      </c>
      <c r="P730" s="340">
        <f>IFERROR(VLOOKUP(O730,NCM!$A$3:$D$99,COLUMN(head_porNCM_IPI)-COLUMN(head_porNCM_NCM)+1,FALSE),"")</f>
        <v>0.05</v>
      </c>
      <c r="Q730" s="43" t="s">
        <v>806</v>
      </c>
      <c r="R730" s="78" t="s">
        <v>210</v>
      </c>
      <c r="S730" s="341"/>
      <c r="T730" s="28" t="s">
        <v>52</v>
      </c>
      <c r="U730" s="28" t="s">
        <v>3113</v>
      </c>
      <c r="V730" s="548">
        <v>45469</v>
      </c>
      <c r="W730" s="43"/>
      <c r="X730" s="342">
        <f t="shared" si="191"/>
        <v>800.11699757869246</v>
      </c>
      <c r="Y730" s="342">
        <f t="shared" si="192"/>
        <v>144.46556900726409</v>
      </c>
      <c r="Z730" s="46">
        <f t="shared" si="193"/>
        <v>73.34405811138015</v>
      </c>
      <c r="AA730" s="46">
        <f t="shared" si="194"/>
        <v>337.82717675544797</v>
      </c>
      <c r="AB730" s="43"/>
      <c r="AC730" s="44">
        <v>4589.5600000000004</v>
      </c>
      <c r="AD730" s="31">
        <v>0.18</v>
      </c>
      <c r="AE730" s="31">
        <v>3.2500000000000001E-2</v>
      </c>
      <c r="AF730" s="31">
        <v>0</v>
      </c>
      <c r="AG730" s="28" t="s">
        <v>53</v>
      </c>
      <c r="AH730" s="46">
        <f t="shared" si="195"/>
        <v>4738.7206999999999</v>
      </c>
      <c r="AI730" s="43"/>
      <c r="AJ730" s="28" t="s">
        <v>264</v>
      </c>
      <c r="AK730" s="337"/>
      <c r="AL730" s="43"/>
      <c r="AM730" s="44">
        <f t="shared" si="196"/>
        <v>0</v>
      </c>
      <c r="AN730" s="43"/>
      <c r="AO730" s="28">
        <f t="shared" si="197"/>
        <v>0</v>
      </c>
      <c r="AP730" s="43"/>
      <c r="AQ730" s="323">
        <f t="shared" si="198"/>
        <v>0</v>
      </c>
      <c r="AR730" s="43"/>
      <c r="AS730" s="44">
        <f t="shared" si="199"/>
        <v>4738.7206999999999</v>
      </c>
    </row>
    <row r="731" spans="1:45" x14ac:dyDescent="0.25">
      <c r="A731" s="28"/>
      <c r="B731" s="43"/>
      <c r="C731" s="43"/>
      <c r="D731" s="43" t="s">
        <v>1649</v>
      </c>
      <c r="E731" s="43"/>
      <c r="F731" s="43"/>
      <c r="G731" s="46">
        <f t="shared" si="186"/>
        <v>0</v>
      </c>
      <c r="H731" s="46">
        <f t="shared" si="187"/>
        <v>0</v>
      </c>
      <c r="I731" s="28"/>
      <c r="J731" s="337"/>
      <c r="K731" s="46" t="str">
        <f t="shared" si="188"/>
        <v/>
      </c>
      <c r="L731" s="46" t="str">
        <f t="shared" si="189"/>
        <v/>
      </c>
      <c r="M731" s="338">
        <f t="shared" si="190"/>
        <v>0</v>
      </c>
      <c r="N731" s="43"/>
      <c r="O731" s="339"/>
      <c r="P731" s="340" t="str">
        <f>IFERROR(VLOOKUP(O731,NCM!$A$3:$D$99,COLUMN(head_porNCM_IPI)-COLUMN(head_porNCM_NCM)+1,FALSE),"")</f>
        <v/>
      </c>
      <c r="Q731" s="43"/>
      <c r="R731" s="78"/>
      <c r="S731" s="341"/>
      <c r="T731" s="28"/>
      <c r="U731" s="28"/>
      <c r="V731" s="28"/>
      <c r="W731" s="43"/>
      <c r="X731" s="342">
        <f t="shared" si="191"/>
        <v>0</v>
      </c>
      <c r="Y731" s="342">
        <f t="shared" si="192"/>
        <v>0</v>
      </c>
      <c r="Z731" s="46">
        <f t="shared" si="193"/>
        <v>0</v>
      </c>
      <c r="AA731" s="46">
        <f t="shared" si="194"/>
        <v>0</v>
      </c>
      <c r="AB731" s="43"/>
      <c r="AC731" s="44">
        <v>0</v>
      </c>
      <c r="AD731" s="31"/>
      <c r="AE731" s="31"/>
      <c r="AF731" s="31"/>
      <c r="AG731" s="28"/>
      <c r="AH731" s="46">
        <f t="shared" si="195"/>
        <v>0</v>
      </c>
      <c r="AI731" s="43"/>
      <c r="AJ731" s="28"/>
      <c r="AK731" s="337"/>
      <c r="AL731" s="43"/>
      <c r="AM731" s="44">
        <f t="shared" si="196"/>
        <v>0</v>
      </c>
      <c r="AN731" s="43"/>
      <c r="AO731" s="28">
        <f t="shared" si="197"/>
        <v>0</v>
      </c>
      <c r="AP731" s="43"/>
      <c r="AQ731" s="323">
        <f t="shared" si="198"/>
        <v>0</v>
      </c>
      <c r="AR731" s="43"/>
      <c r="AS731" s="44">
        <f t="shared" si="199"/>
        <v>0</v>
      </c>
    </row>
    <row r="732" spans="1:45" x14ac:dyDescent="0.25">
      <c r="A732" s="28"/>
      <c r="B732" s="43"/>
      <c r="C732" s="43"/>
      <c r="D732" s="43"/>
      <c r="E732" s="43" t="s">
        <v>1650</v>
      </c>
      <c r="F732" s="43" t="s">
        <v>1651</v>
      </c>
      <c r="G732" s="46">
        <f t="shared" si="186"/>
        <v>11.7178</v>
      </c>
      <c r="H732" s="46">
        <f t="shared" si="187"/>
        <v>10.395975000000002</v>
      </c>
      <c r="I732" s="28" t="s">
        <v>262</v>
      </c>
      <c r="J732" s="337">
        <v>1</v>
      </c>
      <c r="K732" s="46">
        <f t="shared" si="188"/>
        <v>11.7178</v>
      </c>
      <c r="L732" s="46">
        <f t="shared" si="189"/>
        <v>10.395975000000002</v>
      </c>
      <c r="M732" s="338">
        <f t="shared" si="190"/>
        <v>0</v>
      </c>
      <c r="N732" s="43" t="s">
        <v>36</v>
      </c>
      <c r="O732" s="339">
        <v>74071010</v>
      </c>
      <c r="P732" s="340">
        <f>IFERROR(VLOOKUP(O732,NCM!$A$3:$D$99,COLUMN(head_porNCM_IPI)-COLUMN(head_porNCM_NCM)+1,FALSE),"")</f>
        <v>0.05</v>
      </c>
      <c r="Q732" s="43" t="s">
        <v>1891</v>
      </c>
      <c r="R732" s="78" t="s">
        <v>209</v>
      </c>
      <c r="S732" s="341"/>
      <c r="T732" s="28" t="s">
        <v>53</v>
      </c>
      <c r="U732" s="28" t="s">
        <v>1895</v>
      </c>
      <c r="V732" s="548">
        <v>44061</v>
      </c>
      <c r="W732" s="43"/>
      <c r="X732" s="342">
        <f t="shared" si="191"/>
        <v>2.2366956521739132</v>
      </c>
      <c r="Y732" s="342">
        <f t="shared" si="192"/>
        <v>1.8639130434782594</v>
      </c>
      <c r="Z732" s="46">
        <f t="shared" si="193"/>
        <v>0.20503043478260871</v>
      </c>
      <c r="AA732" s="46">
        <f t="shared" si="194"/>
        <v>0.94438260869565216</v>
      </c>
      <c r="AB732" s="43"/>
      <c r="AC732" s="44">
        <v>14.29</v>
      </c>
      <c r="AD732" s="31">
        <v>0.18</v>
      </c>
      <c r="AE732" s="31">
        <v>0.15</v>
      </c>
      <c r="AF732" s="31">
        <v>0</v>
      </c>
      <c r="AG732" s="28" t="s">
        <v>53</v>
      </c>
      <c r="AH732" s="46">
        <f t="shared" si="195"/>
        <v>16.433499999999999</v>
      </c>
      <c r="AI732" s="43"/>
      <c r="AJ732" s="28"/>
      <c r="AK732" s="337"/>
      <c r="AL732" s="43"/>
      <c r="AM732" s="44">
        <f t="shared" si="196"/>
        <v>0</v>
      </c>
      <c r="AN732" s="43"/>
      <c r="AO732" s="28">
        <f t="shared" si="197"/>
        <v>0</v>
      </c>
      <c r="AP732" s="43"/>
      <c r="AQ732" s="323">
        <f t="shared" si="198"/>
        <v>0</v>
      </c>
      <c r="AR732" s="43"/>
      <c r="AS732" s="44">
        <f t="shared" si="199"/>
        <v>16.433499999999999</v>
      </c>
    </row>
    <row r="733" spans="1:45" x14ac:dyDescent="0.25">
      <c r="A733" s="28"/>
      <c r="B733" s="43"/>
      <c r="C733" s="43"/>
      <c r="D733" s="43"/>
      <c r="E733" s="43" t="s">
        <v>1652</v>
      </c>
      <c r="F733" s="43" t="s">
        <v>1653</v>
      </c>
      <c r="G733" s="46">
        <f t="shared" si="186"/>
        <v>2.1566000000000001</v>
      </c>
      <c r="H733" s="46">
        <f t="shared" si="187"/>
        <v>1.9133250000000004</v>
      </c>
      <c r="I733" s="28" t="s">
        <v>262</v>
      </c>
      <c r="J733" s="337">
        <v>1</v>
      </c>
      <c r="K733" s="46">
        <f t="shared" si="188"/>
        <v>2.1566000000000001</v>
      </c>
      <c r="L733" s="46">
        <f t="shared" si="189"/>
        <v>1.9133250000000004</v>
      </c>
      <c r="M733" s="338">
        <f t="shared" si="190"/>
        <v>0</v>
      </c>
      <c r="N733" s="43" t="s">
        <v>36</v>
      </c>
      <c r="O733" s="339">
        <v>74071010</v>
      </c>
      <c r="P733" s="340">
        <f>IFERROR(VLOOKUP(O733,NCM!$A$3:$D$99,COLUMN(head_porNCM_IPI)-COLUMN(head_porNCM_NCM)+1,FALSE),"")</f>
        <v>0.05</v>
      </c>
      <c r="Q733" s="43" t="s">
        <v>1891</v>
      </c>
      <c r="R733" s="78" t="s">
        <v>209</v>
      </c>
      <c r="S733" s="341">
        <v>1.335</v>
      </c>
      <c r="T733" s="28" t="s">
        <v>53</v>
      </c>
      <c r="U733" s="28" t="s">
        <v>1895</v>
      </c>
      <c r="V733" s="548">
        <v>44061</v>
      </c>
      <c r="W733" s="43"/>
      <c r="X733" s="342">
        <f t="shared" si="191"/>
        <v>0.41165217391304348</v>
      </c>
      <c r="Y733" s="342">
        <f t="shared" si="192"/>
        <v>0.34304347826086934</v>
      </c>
      <c r="Z733" s="46">
        <f t="shared" si="193"/>
        <v>3.7734782608695658E-2</v>
      </c>
      <c r="AA733" s="46">
        <f t="shared" si="194"/>
        <v>0.17380869565217391</v>
      </c>
      <c r="AB733" s="43"/>
      <c r="AC733" s="44">
        <v>2.63</v>
      </c>
      <c r="AD733" s="31">
        <v>0.18</v>
      </c>
      <c r="AE733" s="31">
        <v>0.15</v>
      </c>
      <c r="AF733" s="31">
        <v>0</v>
      </c>
      <c r="AG733" s="28" t="s">
        <v>53</v>
      </c>
      <c r="AH733" s="46">
        <f t="shared" si="195"/>
        <v>3.0244999999999997</v>
      </c>
      <c r="AI733" s="43"/>
      <c r="AJ733" s="28"/>
      <c r="AK733" s="337"/>
      <c r="AL733" s="43"/>
      <c r="AM733" s="44">
        <f t="shared" si="196"/>
        <v>0</v>
      </c>
      <c r="AN733" s="43"/>
      <c r="AO733" s="28">
        <f t="shared" si="197"/>
        <v>0</v>
      </c>
      <c r="AP733" s="43"/>
      <c r="AQ733" s="323">
        <f t="shared" si="198"/>
        <v>0</v>
      </c>
      <c r="AR733" s="43"/>
      <c r="AS733" s="44">
        <f t="shared" si="199"/>
        <v>3.0244999999999997</v>
      </c>
    </row>
    <row r="734" spans="1:45" x14ac:dyDescent="0.25">
      <c r="A734" s="28"/>
      <c r="B734" s="43"/>
      <c r="C734" s="43"/>
      <c r="D734" s="43"/>
      <c r="E734" s="43" t="s">
        <v>1654</v>
      </c>
      <c r="F734" s="43" t="s">
        <v>1655</v>
      </c>
      <c r="G734" s="46">
        <f t="shared" si="186"/>
        <v>25.567600000000002</v>
      </c>
      <c r="H734" s="46">
        <f t="shared" si="187"/>
        <v>22.683450000000004</v>
      </c>
      <c r="I734" s="28" t="s">
        <v>262</v>
      </c>
      <c r="J734" s="337">
        <v>1</v>
      </c>
      <c r="K734" s="46">
        <f t="shared" si="188"/>
        <v>25.567600000000002</v>
      </c>
      <c r="L734" s="46">
        <f t="shared" si="189"/>
        <v>22.683450000000004</v>
      </c>
      <c r="M734" s="338">
        <f t="shared" si="190"/>
        <v>0</v>
      </c>
      <c r="N734" s="43" t="s">
        <v>36</v>
      </c>
      <c r="O734" s="339">
        <v>74071010</v>
      </c>
      <c r="P734" s="340">
        <f>IFERROR(VLOOKUP(O734,NCM!$A$3:$D$99,COLUMN(head_porNCM_IPI)-COLUMN(head_porNCM_NCM)+1,FALSE),"")</f>
        <v>0.05</v>
      </c>
      <c r="Q734" s="43" t="s">
        <v>1891</v>
      </c>
      <c r="R734" s="78" t="s">
        <v>209</v>
      </c>
      <c r="S734" s="341">
        <v>1.1125</v>
      </c>
      <c r="T734" s="28" t="s">
        <v>53</v>
      </c>
      <c r="U734" s="28" t="s">
        <v>1895</v>
      </c>
      <c r="V734" s="548">
        <v>44061</v>
      </c>
      <c r="W734" s="43"/>
      <c r="X734" s="342">
        <f t="shared" si="191"/>
        <v>4.8803478260869566</v>
      </c>
      <c r="Y734" s="342">
        <f t="shared" si="192"/>
        <v>4.0669565217391295</v>
      </c>
      <c r="Z734" s="46">
        <f t="shared" si="193"/>
        <v>0.44736521739130436</v>
      </c>
      <c r="AA734" s="46">
        <f t="shared" si="194"/>
        <v>2.0605913043478261</v>
      </c>
      <c r="AB734" s="43"/>
      <c r="AC734" s="44">
        <v>31.18</v>
      </c>
      <c r="AD734" s="31">
        <v>0.18</v>
      </c>
      <c r="AE734" s="31">
        <v>0.15</v>
      </c>
      <c r="AF734" s="31">
        <v>0</v>
      </c>
      <c r="AG734" s="28" t="s">
        <v>53</v>
      </c>
      <c r="AH734" s="46">
        <f t="shared" si="195"/>
        <v>35.856999999999999</v>
      </c>
      <c r="AI734" s="43"/>
      <c r="AJ734" s="28"/>
      <c r="AK734" s="337"/>
      <c r="AL734" s="43"/>
      <c r="AM734" s="44">
        <f t="shared" si="196"/>
        <v>0</v>
      </c>
      <c r="AN734" s="43"/>
      <c r="AO734" s="28">
        <f t="shared" si="197"/>
        <v>0</v>
      </c>
      <c r="AP734" s="43"/>
      <c r="AQ734" s="323">
        <f t="shared" si="198"/>
        <v>0</v>
      </c>
      <c r="AR734" s="43"/>
      <c r="AS734" s="44">
        <f t="shared" si="199"/>
        <v>35.856999999999999</v>
      </c>
    </row>
    <row r="735" spans="1:45" x14ac:dyDescent="0.25">
      <c r="A735" s="28"/>
      <c r="B735" s="43"/>
      <c r="C735" s="43"/>
      <c r="D735" s="43"/>
      <c r="E735" s="43" t="s">
        <v>1656</v>
      </c>
      <c r="F735" s="43" t="s">
        <v>1657</v>
      </c>
      <c r="G735" s="46">
        <f t="shared" si="186"/>
        <v>3.4686000000000008</v>
      </c>
      <c r="H735" s="46">
        <f t="shared" si="187"/>
        <v>3.077325000000001</v>
      </c>
      <c r="I735" s="28" t="s">
        <v>262</v>
      </c>
      <c r="J735" s="337">
        <v>1</v>
      </c>
      <c r="K735" s="46">
        <f t="shared" si="188"/>
        <v>3.4686000000000008</v>
      </c>
      <c r="L735" s="46">
        <f t="shared" si="189"/>
        <v>3.077325000000001</v>
      </c>
      <c r="M735" s="338">
        <f t="shared" si="190"/>
        <v>0</v>
      </c>
      <c r="N735" s="43" t="s">
        <v>36</v>
      </c>
      <c r="O735" s="339">
        <v>74071010</v>
      </c>
      <c r="P735" s="340">
        <f>IFERROR(VLOOKUP(O735,NCM!$A$3:$D$99,COLUMN(head_porNCM_IPI)-COLUMN(head_porNCM_NCM)+1,FALSE),"")</f>
        <v>0.05</v>
      </c>
      <c r="Q735" s="43" t="s">
        <v>1891</v>
      </c>
      <c r="R735" s="78" t="s">
        <v>209</v>
      </c>
      <c r="S735" s="341">
        <v>0.66749999999999998</v>
      </c>
      <c r="T735" s="28" t="s">
        <v>53</v>
      </c>
      <c r="U735" s="28" t="s">
        <v>1895</v>
      </c>
      <c r="V735" s="548">
        <v>44061</v>
      </c>
      <c r="W735" s="43"/>
      <c r="X735" s="342">
        <f t="shared" si="191"/>
        <v>0.66208695652173921</v>
      </c>
      <c r="Y735" s="342">
        <f t="shared" si="192"/>
        <v>0.55173913043478251</v>
      </c>
      <c r="Z735" s="46">
        <f t="shared" si="193"/>
        <v>6.0691304347826096E-2</v>
      </c>
      <c r="AA735" s="46">
        <f t="shared" si="194"/>
        <v>0.27954782608695655</v>
      </c>
      <c r="AB735" s="43"/>
      <c r="AC735" s="44">
        <v>4.2300000000000004</v>
      </c>
      <c r="AD735" s="31">
        <v>0.18</v>
      </c>
      <c r="AE735" s="31">
        <v>0.15</v>
      </c>
      <c r="AF735" s="31">
        <v>0</v>
      </c>
      <c r="AG735" s="28" t="s">
        <v>53</v>
      </c>
      <c r="AH735" s="46">
        <f t="shared" si="195"/>
        <v>4.8645000000000005</v>
      </c>
      <c r="AI735" s="43"/>
      <c r="AJ735" s="28"/>
      <c r="AK735" s="337"/>
      <c r="AL735" s="43"/>
      <c r="AM735" s="44">
        <f t="shared" si="196"/>
        <v>0</v>
      </c>
      <c r="AN735" s="43"/>
      <c r="AO735" s="28">
        <f t="shared" si="197"/>
        <v>0</v>
      </c>
      <c r="AP735" s="43"/>
      <c r="AQ735" s="323">
        <f t="shared" si="198"/>
        <v>0</v>
      </c>
      <c r="AR735" s="43"/>
      <c r="AS735" s="44">
        <f t="shared" si="199"/>
        <v>4.8645000000000005</v>
      </c>
    </row>
    <row r="736" spans="1:45" x14ac:dyDescent="0.25">
      <c r="A736" s="28"/>
      <c r="B736" s="43"/>
      <c r="C736" s="43"/>
      <c r="D736" s="43"/>
      <c r="E736" s="43" t="s">
        <v>1658</v>
      </c>
      <c r="F736" s="43" t="s">
        <v>1659</v>
      </c>
      <c r="G736" s="46">
        <f t="shared" si="186"/>
        <v>3.9852000000000007</v>
      </c>
      <c r="H736" s="46">
        <f t="shared" si="187"/>
        <v>3.5356500000000008</v>
      </c>
      <c r="I736" s="28" t="s">
        <v>262</v>
      </c>
      <c r="J736" s="337">
        <v>1</v>
      </c>
      <c r="K736" s="46">
        <f t="shared" si="188"/>
        <v>3.9852000000000007</v>
      </c>
      <c r="L736" s="46">
        <f t="shared" si="189"/>
        <v>3.5356500000000008</v>
      </c>
      <c r="M736" s="338">
        <f t="shared" si="190"/>
        <v>0</v>
      </c>
      <c r="N736" s="43" t="s">
        <v>36</v>
      </c>
      <c r="O736" s="339">
        <v>74071010</v>
      </c>
      <c r="P736" s="340">
        <f>IFERROR(VLOOKUP(O736,NCM!$A$3:$D$99,COLUMN(head_porNCM_IPI)-COLUMN(head_porNCM_NCM)+1,FALSE),"")</f>
        <v>0.05</v>
      </c>
      <c r="Q736" s="43" t="s">
        <v>1891</v>
      </c>
      <c r="R736" s="78" t="s">
        <v>209</v>
      </c>
      <c r="S736" s="341">
        <v>0.21360000000000001</v>
      </c>
      <c r="T736" s="28" t="s">
        <v>53</v>
      </c>
      <c r="U736" s="28" t="s">
        <v>1895</v>
      </c>
      <c r="V736" s="548">
        <v>44061</v>
      </c>
      <c r="W736" s="43"/>
      <c r="X736" s="342">
        <f t="shared" si="191"/>
        <v>0.76069565217391311</v>
      </c>
      <c r="Y736" s="342">
        <f t="shared" si="192"/>
        <v>0.63391304347826072</v>
      </c>
      <c r="Z736" s="46">
        <f t="shared" si="193"/>
        <v>6.9730434782608708E-2</v>
      </c>
      <c r="AA736" s="46">
        <f t="shared" si="194"/>
        <v>0.32118260869565218</v>
      </c>
      <c r="AB736" s="43"/>
      <c r="AC736" s="44">
        <v>4.8600000000000003</v>
      </c>
      <c r="AD736" s="31">
        <v>0.18</v>
      </c>
      <c r="AE736" s="31">
        <v>0.15</v>
      </c>
      <c r="AF736" s="31">
        <v>0</v>
      </c>
      <c r="AG736" s="28" t="s">
        <v>53</v>
      </c>
      <c r="AH736" s="46">
        <f t="shared" si="195"/>
        <v>5.5889999999999995</v>
      </c>
      <c r="AI736" s="43"/>
      <c r="AJ736" s="28"/>
      <c r="AK736" s="337"/>
      <c r="AL736" s="43"/>
      <c r="AM736" s="44">
        <f t="shared" si="196"/>
        <v>0</v>
      </c>
      <c r="AN736" s="43"/>
      <c r="AO736" s="28">
        <f t="shared" si="197"/>
        <v>0</v>
      </c>
      <c r="AP736" s="43"/>
      <c r="AQ736" s="323">
        <f t="shared" si="198"/>
        <v>0</v>
      </c>
      <c r="AR736" s="43"/>
      <c r="AS736" s="44">
        <f t="shared" si="199"/>
        <v>5.5889999999999995</v>
      </c>
    </row>
    <row r="737" spans="1:45" x14ac:dyDescent="0.25">
      <c r="A737" s="28"/>
      <c r="B737" s="43"/>
      <c r="C737" s="43"/>
      <c r="D737" s="43"/>
      <c r="E737" s="43" t="s">
        <v>1660</v>
      </c>
      <c r="F737" s="43" t="s">
        <v>1661</v>
      </c>
      <c r="G737" s="46">
        <f t="shared" si="186"/>
        <v>1.4022000000000001</v>
      </c>
      <c r="H737" s="46">
        <f t="shared" si="187"/>
        <v>1.2440250000000002</v>
      </c>
      <c r="I737" s="28" t="s">
        <v>262</v>
      </c>
      <c r="J737" s="337">
        <v>1</v>
      </c>
      <c r="K737" s="46">
        <f t="shared" si="188"/>
        <v>1.4022000000000001</v>
      </c>
      <c r="L737" s="46">
        <f t="shared" si="189"/>
        <v>1.2440250000000002</v>
      </c>
      <c r="M737" s="338">
        <f t="shared" si="190"/>
        <v>0</v>
      </c>
      <c r="N737" s="43" t="s">
        <v>36</v>
      </c>
      <c r="O737" s="339">
        <v>74071010</v>
      </c>
      <c r="P737" s="340">
        <f>IFERROR(VLOOKUP(O737,NCM!$A$3:$D$99,COLUMN(head_porNCM_IPI)-COLUMN(head_porNCM_NCM)+1,FALSE),"")</f>
        <v>0.05</v>
      </c>
      <c r="Q737" s="43" t="s">
        <v>1891</v>
      </c>
      <c r="R737" s="78" t="s">
        <v>209</v>
      </c>
      <c r="S737" s="341">
        <v>0.26699999999999996</v>
      </c>
      <c r="T737" s="28" t="s">
        <v>53</v>
      </c>
      <c r="U737" s="28" t="s">
        <v>1895</v>
      </c>
      <c r="V737" s="548">
        <v>44061</v>
      </c>
      <c r="W737" s="43"/>
      <c r="X737" s="342">
        <f t="shared" si="191"/>
        <v>0.26765217391304347</v>
      </c>
      <c r="Y737" s="342">
        <f t="shared" si="192"/>
        <v>0.22304347826086945</v>
      </c>
      <c r="Z737" s="46">
        <f t="shared" si="193"/>
        <v>2.4534782608695654E-2</v>
      </c>
      <c r="AA737" s="46">
        <f t="shared" si="194"/>
        <v>0.11300869565217392</v>
      </c>
      <c r="AB737" s="43"/>
      <c r="AC737" s="44">
        <v>1.71</v>
      </c>
      <c r="AD737" s="31">
        <v>0.18</v>
      </c>
      <c r="AE737" s="31">
        <v>0.15</v>
      </c>
      <c r="AF737" s="31">
        <v>0</v>
      </c>
      <c r="AG737" s="28" t="s">
        <v>53</v>
      </c>
      <c r="AH737" s="46">
        <f t="shared" si="195"/>
        <v>1.9664999999999999</v>
      </c>
      <c r="AI737" s="43"/>
      <c r="AJ737" s="28"/>
      <c r="AK737" s="337"/>
      <c r="AL737" s="43"/>
      <c r="AM737" s="44">
        <f t="shared" si="196"/>
        <v>0</v>
      </c>
      <c r="AN737" s="43"/>
      <c r="AO737" s="28">
        <f t="shared" si="197"/>
        <v>0</v>
      </c>
      <c r="AP737" s="43"/>
      <c r="AQ737" s="323">
        <f t="shared" si="198"/>
        <v>0</v>
      </c>
      <c r="AR737" s="43"/>
      <c r="AS737" s="44">
        <f t="shared" si="199"/>
        <v>1.9664999999999999</v>
      </c>
    </row>
    <row r="738" spans="1:45" x14ac:dyDescent="0.25">
      <c r="A738" s="28"/>
      <c r="B738" s="43"/>
      <c r="C738" s="43"/>
      <c r="D738" s="43"/>
      <c r="E738" s="43" t="s">
        <v>1662</v>
      </c>
      <c r="F738" s="43" t="s">
        <v>1663</v>
      </c>
      <c r="G738" s="46">
        <f t="shared" si="186"/>
        <v>1.1890000000000001</v>
      </c>
      <c r="H738" s="46">
        <f t="shared" si="187"/>
        <v>1.0548750000000002</v>
      </c>
      <c r="I738" s="28" t="s">
        <v>262</v>
      </c>
      <c r="J738" s="337">
        <v>1</v>
      </c>
      <c r="K738" s="46">
        <f t="shared" si="188"/>
        <v>1.1890000000000001</v>
      </c>
      <c r="L738" s="46">
        <f t="shared" si="189"/>
        <v>1.0548750000000002</v>
      </c>
      <c r="M738" s="338">
        <f t="shared" si="190"/>
        <v>0</v>
      </c>
      <c r="N738" s="43" t="s">
        <v>36</v>
      </c>
      <c r="O738" s="339">
        <v>74071010</v>
      </c>
      <c r="P738" s="340">
        <f>IFERROR(VLOOKUP(O738,NCM!$A$3:$D$99,COLUMN(head_porNCM_IPI)-COLUMN(head_porNCM_NCM)+1,FALSE),"")</f>
        <v>0.05</v>
      </c>
      <c r="Q738" s="43" t="s">
        <v>1891</v>
      </c>
      <c r="R738" s="78" t="s">
        <v>209</v>
      </c>
      <c r="S738" s="341">
        <v>0.35600000000000004</v>
      </c>
      <c r="T738" s="28" t="s">
        <v>53</v>
      </c>
      <c r="U738" s="28" t="s">
        <v>1895</v>
      </c>
      <c r="V738" s="548">
        <v>44061</v>
      </c>
      <c r="W738" s="43"/>
      <c r="X738" s="342">
        <f t="shared" si="191"/>
        <v>0.22695652173913045</v>
      </c>
      <c r="Y738" s="342">
        <f t="shared" si="192"/>
        <v>0.1891304347826086</v>
      </c>
      <c r="Z738" s="46">
        <f t="shared" si="193"/>
        <v>2.0804347826086957E-2</v>
      </c>
      <c r="AA738" s="46">
        <f t="shared" si="194"/>
        <v>9.5826086956521742E-2</v>
      </c>
      <c r="AB738" s="43"/>
      <c r="AC738" s="44">
        <v>1.45</v>
      </c>
      <c r="AD738" s="31">
        <v>0.18</v>
      </c>
      <c r="AE738" s="31">
        <v>0.15</v>
      </c>
      <c r="AF738" s="31">
        <v>0</v>
      </c>
      <c r="AG738" s="28" t="s">
        <v>53</v>
      </c>
      <c r="AH738" s="46">
        <f t="shared" si="195"/>
        <v>1.6674999999999998</v>
      </c>
      <c r="AI738" s="43"/>
      <c r="AJ738" s="28"/>
      <c r="AK738" s="337"/>
      <c r="AL738" s="43"/>
      <c r="AM738" s="44">
        <f t="shared" si="196"/>
        <v>0</v>
      </c>
      <c r="AN738" s="43"/>
      <c r="AO738" s="28">
        <f t="shared" si="197"/>
        <v>0</v>
      </c>
      <c r="AP738" s="43"/>
      <c r="AQ738" s="323">
        <f t="shared" si="198"/>
        <v>0</v>
      </c>
      <c r="AR738" s="43"/>
      <c r="AS738" s="44">
        <f t="shared" si="199"/>
        <v>1.6674999999999998</v>
      </c>
    </row>
    <row r="739" spans="1:45" x14ac:dyDescent="0.25">
      <c r="A739" s="28"/>
      <c r="B739" s="43"/>
      <c r="C739" s="43"/>
      <c r="D739" s="43"/>
      <c r="E739" s="43" t="s">
        <v>1664</v>
      </c>
      <c r="F739" s="43" t="s">
        <v>1665</v>
      </c>
      <c r="G739" s="46">
        <f t="shared" si="186"/>
        <v>0.66420000000000012</v>
      </c>
      <c r="H739" s="46">
        <f t="shared" si="187"/>
        <v>0.5892750000000001</v>
      </c>
      <c r="I739" s="28" t="s">
        <v>262</v>
      </c>
      <c r="J739" s="337">
        <v>1</v>
      </c>
      <c r="K739" s="46">
        <f t="shared" si="188"/>
        <v>0.66420000000000012</v>
      </c>
      <c r="L739" s="46">
        <f t="shared" si="189"/>
        <v>0.5892750000000001</v>
      </c>
      <c r="M739" s="338">
        <f t="shared" si="190"/>
        <v>0</v>
      </c>
      <c r="N739" s="43" t="s">
        <v>36</v>
      </c>
      <c r="O739" s="339">
        <v>74071010</v>
      </c>
      <c r="P739" s="340">
        <f>IFERROR(VLOOKUP(O739,NCM!$A$3:$D$99,COLUMN(head_porNCM_IPI)-COLUMN(head_porNCM_NCM)+1,FALSE),"")</f>
        <v>0.05</v>
      </c>
      <c r="Q739" s="43" t="s">
        <v>1891</v>
      </c>
      <c r="R739" s="78" t="s">
        <v>209</v>
      </c>
      <c r="S739" s="341">
        <v>0.40049999999999997</v>
      </c>
      <c r="T739" s="28" t="s">
        <v>53</v>
      </c>
      <c r="U739" s="28" t="s">
        <v>1895</v>
      </c>
      <c r="V739" s="548">
        <v>44061</v>
      </c>
      <c r="W739" s="43"/>
      <c r="X739" s="342">
        <f t="shared" si="191"/>
        <v>0.12678260869565219</v>
      </c>
      <c r="Y739" s="342">
        <f t="shared" si="192"/>
        <v>0.10565217391304338</v>
      </c>
      <c r="Z739" s="46">
        <f t="shared" si="193"/>
        <v>1.1621739130434785E-2</v>
      </c>
      <c r="AA739" s="46">
        <f t="shared" si="194"/>
        <v>5.3530434782608709E-2</v>
      </c>
      <c r="AB739" s="43"/>
      <c r="AC739" s="44">
        <v>0.81</v>
      </c>
      <c r="AD739" s="31">
        <v>0.18</v>
      </c>
      <c r="AE739" s="31">
        <v>0.15</v>
      </c>
      <c r="AF739" s="31">
        <v>0</v>
      </c>
      <c r="AG739" s="28" t="s">
        <v>53</v>
      </c>
      <c r="AH739" s="46">
        <f t="shared" si="195"/>
        <v>0.93149999999999999</v>
      </c>
      <c r="AI739" s="43"/>
      <c r="AJ739" s="28"/>
      <c r="AK739" s="337"/>
      <c r="AL739" s="43"/>
      <c r="AM739" s="44">
        <f t="shared" si="196"/>
        <v>0</v>
      </c>
      <c r="AN739" s="43"/>
      <c r="AO739" s="28">
        <f t="shared" si="197"/>
        <v>0</v>
      </c>
      <c r="AP739" s="43"/>
      <c r="AQ739" s="323">
        <f t="shared" si="198"/>
        <v>0</v>
      </c>
      <c r="AR739" s="43"/>
      <c r="AS739" s="44">
        <f t="shared" si="199"/>
        <v>0.93149999999999999</v>
      </c>
    </row>
    <row r="740" spans="1:45" x14ac:dyDescent="0.25">
      <c r="A740" s="28"/>
      <c r="B740" s="43"/>
      <c r="C740" s="43"/>
      <c r="D740" s="43"/>
      <c r="E740" s="43" t="s">
        <v>1666</v>
      </c>
      <c r="F740" s="43" t="s">
        <v>1667</v>
      </c>
      <c r="G740" s="46">
        <f t="shared" si="186"/>
        <v>8.5526</v>
      </c>
      <c r="H740" s="46">
        <f t="shared" si="187"/>
        <v>7.5878250000000014</v>
      </c>
      <c r="I740" s="28" t="s">
        <v>262</v>
      </c>
      <c r="J740" s="337">
        <v>1</v>
      </c>
      <c r="K740" s="46">
        <f t="shared" si="188"/>
        <v>8.5526</v>
      </c>
      <c r="L740" s="46">
        <f t="shared" si="189"/>
        <v>7.5878250000000014</v>
      </c>
      <c r="M740" s="338">
        <f t="shared" si="190"/>
        <v>0</v>
      </c>
      <c r="N740" s="43" t="s">
        <v>36</v>
      </c>
      <c r="O740" s="339">
        <v>74071010</v>
      </c>
      <c r="P740" s="340">
        <f>IFERROR(VLOOKUP(O740,NCM!$A$3:$D$99,COLUMN(head_porNCM_IPI)-COLUMN(head_porNCM_NCM)+1,FALSE),"")</f>
        <v>0.05</v>
      </c>
      <c r="Q740" s="43" t="s">
        <v>1891</v>
      </c>
      <c r="R740" s="78" t="s">
        <v>209</v>
      </c>
      <c r="S740" s="341">
        <v>0.53399999999999992</v>
      </c>
      <c r="T740" s="28" t="s">
        <v>53</v>
      </c>
      <c r="U740" s="28" t="s">
        <v>1895</v>
      </c>
      <c r="V740" s="548">
        <v>44061</v>
      </c>
      <c r="W740" s="43"/>
      <c r="X740" s="342">
        <f t="shared" si="191"/>
        <v>1.6325217391304347</v>
      </c>
      <c r="Y740" s="342">
        <f t="shared" si="192"/>
        <v>1.3604347826086958</v>
      </c>
      <c r="Z740" s="46">
        <f t="shared" si="193"/>
        <v>0.14964782608695651</v>
      </c>
      <c r="AA740" s="46">
        <f t="shared" si="194"/>
        <v>0.6892869565217391</v>
      </c>
      <c r="AB740" s="43"/>
      <c r="AC740" s="44">
        <v>10.43</v>
      </c>
      <c r="AD740" s="31">
        <v>0.18</v>
      </c>
      <c r="AE740" s="31">
        <v>0.15</v>
      </c>
      <c r="AF740" s="31">
        <v>0</v>
      </c>
      <c r="AG740" s="28" t="s">
        <v>53</v>
      </c>
      <c r="AH740" s="46">
        <f t="shared" si="195"/>
        <v>11.994499999999999</v>
      </c>
      <c r="AI740" s="43"/>
      <c r="AJ740" s="28"/>
      <c r="AK740" s="337"/>
      <c r="AL740" s="43"/>
      <c r="AM740" s="44">
        <f t="shared" si="196"/>
        <v>0</v>
      </c>
      <c r="AN740" s="43"/>
      <c r="AO740" s="28">
        <f t="shared" si="197"/>
        <v>0</v>
      </c>
      <c r="AP740" s="43"/>
      <c r="AQ740" s="323">
        <f t="shared" si="198"/>
        <v>0</v>
      </c>
      <c r="AR740" s="43"/>
      <c r="AS740" s="44">
        <f t="shared" si="199"/>
        <v>11.994499999999999</v>
      </c>
    </row>
    <row r="741" spans="1:45" x14ac:dyDescent="0.25">
      <c r="A741" s="28"/>
      <c r="B741" s="43"/>
      <c r="C741" s="43"/>
      <c r="D741" s="43"/>
      <c r="E741" s="43" t="s">
        <v>1668</v>
      </c>
      <c r="F741" s="43" t="s">
        <v>1669</v>
      </c>
      <c r="G741" s="46">
        <f t="shared" si="186"/>
        <v>0.87740000000000007</v>
      </c>
      <c r="H741" s="46">
        <f t="shared" si="187"/>
        <v>0.77842500000000026</v>
      </c>
      <c r="I741" s="28" t="s">
        <v>262</v>
      </c>
      <c r="J741" s="337">
        <v>1</v>
      </c>
      <c r="K741" s="46">
        <f t="shared" si="188"/>
        <v>0.87740000000000007</v>
      </c>
      <c r="L741" s="46">
        <f t="shared" si="189"/>
        <v>0.77842500000000026</v>
      </c>
      <c r="M741" s="338">
        <f t="shared" si="190"/>
        <v>0</v>
      </c>
      <c r="N741" s="43" t="s">
        <v>36</v>
      </c>
      <c r="O741" s="339">
        <v>74071010</v>
      </c>
      <c r="P741" s="340">
        <f>IFERROR(VLOOKUP(O741,NCM!$A$3:$D$99,COLUMN(head_porNCM_IPI)-COLUMN(head_porNCM_NCM)+1,FALSE),"")</f>
        <v>0.05</v>
      </c>
      <c r="Q741" s="43" t="s">
        <v>1891</v>
      </c>
      <c r="R741" s="78" t="s">
        <v>209</v>
      </c>
      <c r="S741" s="341">
        <v>0.66749999999999998</v>
      </c>
      <c r="T741" s="28" t="s">
        <v>53</v>
      </c>
      <c r="U741" s="28" t="s">
        <v>1895</v>
      </c>
      <c r="V741" s="548">
        <v>44061</v>
      </c>
      <c r="W741" s="43"/>
      <c r="X741" s="342">
        <f t="shared" si="191"/>
        <v>0.16747826086956524</v>
      </c>
      <c r="Y741" s="342">
        <f t="shared" si="192"/>
        <v>0.13956521739130423</v>
      </c>
      <c r="Z741" s="46">
        <f t="shared" si="193"/>
        <v>1.5352173913043481E-2</v>
      </c>
      <c r="AA741" s="46">
        <f t="shared" si="194"/>
        <v>7.0713043478260879E-2</v>
      </c>
      <c r="AB741" s="43"/>
      <c r="AC741" s="44">
        <v>1.07</v>
      </c>
      <c r="AD741" s="31">
        <v>0.18</v>
      </c>
      <c r="AE741" s="31">
        <v>0.15</v>
      </c>
      <c r="AF741" s="31">
        <v>0</v>
      </c>
      <c r="AG741" s="28" t="s">
        <v>53</v>
      </c>
      <c r="AH741" s="46">
        <f t="shared" si="195"/>
        <v>1.2304999999999999</v>
      </c>
      <c r="AI741" s="43"/>
      <c r="AJ741" s="28"/>
      <c r="AK741" s="337"/>
      <c r="AL741" s="43"/>
      <c r="AM741" s="44">
        <f t="shared" si="196"/>
        <v>0</v>
      </c>
      <c r="AN741" s="43"/>
      <c r="AO741" s="28">
        <f t="shared" si="197"/>
        <v>0</v>
      </c>
      <c r="AP741" s="43"/>
      <c r="AQ741" s="323">
        <f t="shared" si="198"/>
        <v>0</v>
      </c>
      <c r="AR741" s="43"/>
      <c r="AS741" s="44">
        <f t="shared" si="199"/>
        <v>1.2304999999999999</v>
      </c>
    </row>
    <row r="742" spans="1:45" x14ac:dyDescent="0.25">
      <c r="A742" s="28"/>
      <c r="B742" s="43"/>
      <c r="C742" s="43"/>
      <c r="D742" s="43"/>
      <c r="E742" s="43"/>
      <c r="F742" s="43"/>
      <c r="G742" s="46">
        <f t="shared" si="186"/>
        <v>0</v>
      </c>
      <c r="H742" s="46">
        <f t="shared" si="187"/>
        <v>0</v>
      </c>
      <c r="I742" s="28" t="s">
        <v>262</v>
      </c>
      <c r="J742" s="337">
        <v>1</v>
      </c>
      <c r="K742" s="46">
        <f t="shared" si="188"/>
        <v>0</v>
      </c>
      <c r="L742" s="46">
        <f t="shared" si="189"/>
        <v>0</v>
      </c>
      <c r="M742" s="338">
        <f t="shared" si="190"/>
        <v>0</v>
      </c>
      <c r="N742" s="43" t="s">
        <v>148</v>
      </c>
      <c r="O742" s="339">
        <v>74071010</v>
      </c>
      <c r="P742" s="340">
        <f>IFERROR(VLOOKUP(O742,NCM!$A$3:$D$99,COLUMN(head_porNCM_IPI)-COLUMN(head_porNCM_NCM)+1,FALSE),"")</f>
        <v>0.05</v>
      </c>
      <c r="Q742" s="43"/>
      <c r="R742" s="78" t="s">
        <v>209</v>
      </c>
      <c r="S742" s="341">
        <v>0.80099999999999993</v>
      </c>
      <c r="T742" s="28" t="s">
        <v>53</v>
      </c>
      <c r="U742" s="28" t="s">
        <v>1895</v>
      </c>
      <c r="V742" s="548">
        <v>44061</v>
      </c>
      <c r="W742" s="43"/>
      <c r="X742" s="342">
        <f t="shared" si="191"/>
        <v>0</v>
      </c>
      <c r="Y742" s="342">
        <f t="shared" si="192"/>
        <v>0</v>
      </c>
      <c r="Z742" s="46">
        <f t="shared" si="193"/>
        <v>0</v>
      </c>
      <c r="AA742" s="46">
        <f t="shared" si="194"/>
        <v>0</v>
      </c>
      <c r="AB742" s="43"/>
      <c r="AC742" s="44"/>
      <c r="AD742" s="31">
        <v>0.18</v>
      </c>
      <c r="AE742" s="31">
        <v>0.15</v>
      </c>
      <c r="AF742" s="31">
        <v>0</v>
      </c>
      <c r="AG742" s="28" t="s">
        <v>53</v>
      </c>
      <c r="AH742" s="46">
        <f t="shared" si="195"/>
        <v>0</v>
      </c>
      <c r="AI742" s="43"/>
      <c r="AJ742" s="28"/>
      <c r="AK742" s="337"/>
      <c r="AL742" s="43"/>
      <c r="AM742" s="44">
        <f t="shared" si="196"/>
        <v>0</v>
      </c>
      <c r="AN742" s="43"/>
      <c r="AO742" s="28">
        <f t="shared" si="197"/>
        <v>0</v>
      </c>
      <c r="AP742" s="43"/>
      <c r="AQ742" s="323">
        <f t="shared" si="198"/>
        <v>0</v>
      </c>
      <c r="AR742" s="43"/>
      <c r="AS742" s="44">
        <f t="shared" si="199"/>
        <v>0</v>
      </c>
    </row>
    <row r="743" spans="1:45" x14ac:dyDescent="0.25">
      <c r="A743" s="28"/>
      <c r="B743" s="43"/>
      <c r="C743" s="43"/>
      <c r="D743" s="43" t="s">
        <v>1670</v>
      </c>
      <c r="E743" s="43"/>
      <c r="F743" s="43"/>
      <c r="G743" s="46">
        <f t="shared" si="186"/>
        <v>0</v>
      </c>
      <c r="H743" s="46">
        <f t="shared" si="187"/>
        <v>0</v>
      </c>
      <c r="I743" s="28"/>
      <c r="J743" s="337"/>
      <c r="K743" s="46" t="str">
        <f t="shared" si="188"/>
        <v/>
      </c>
      <c r="L743" s="46" t="str">
        <f t="shared" si="189"/>
        <v/>
      </c>
      <c r="M743" s="338">
        <f t="shared" si="190"/>
        <v>0</v>
      </c>
      <c r="N743" s="43"/>
      <c r="O743" s="339"/>
      <c r="P743" s="340" t="str">
        <f>IFERROR(VLOOKUP(O743,NCM!$A$3:$D$99,COLUMN(head_porNCM_IPI)-COLUMN(head_porNCM_NCM)+1,FALSE),"")</f>
        <v/>
      </c>
      <c r="Q743" s="43"/>
      <c r="R743" s="78"/>
      <c r="S743" s="341"/>
      <c r="T743" s="28"/>
      <c r="U743" s="28"/>
      <c r="V743" s="28"/>
      <c r="W743" s="43"/>
      <c r="X743" s="342">
        <f t="shared" si="191"/>
        <v>0</v>
      </c>
      <c r="Y743" s="342">
        <f t="shared" si="192"/>
        <v>0</v>
      </c>
      <c r="Z743" s="46">
        <f t="shared" si="193"/>
        <v>0</v>
      </c>
      <c r="AA743" s="46">
        <f t="shared" si="194"/>
        <v>0</v>
      </c>
      <c r="AB743" s="43"/>
      <c r="AC743" s="44">
        <v>0</v>
      </c>
      <c r="AD743" s="31"/>
      <c r="AE743" s="31"/>
      <c r="AF743" s="31"/>
      <c r="AG743" s="28"/>
      <c r="AH743" s="46">
        <f t="shared" si="195"/>
        <v>0</v>
      </c>
      <c r="AI743" s="43"/>
      <c r="AJ743" s="28"/>
      <c r="AK743" s="337"/>
      <c r="AL743" s="43"/>
      <c r="AM743" s="44">
        <f t="shared" si="196"/>
        <v>0</v>
      </c>
      <c r="AN743" s="43"/>
      <c r="AO743" s="28">
        <f t="shared" si="197"/>
        <v>0</v>
      </c>
      <c r="AP743" s="43"/>
      <c r="AQ743" s="323">
        <f t="shared" si="198"/>
        <v>0</v>
      </c>
      <c r="AR743" s="43"/>
      <c r="AS743" s="44">
        <f t="shared" si="199"/>
        <v>0</v>
      </c>
    </row>
    <row r="744" spans="1:45" x14ac:dyDescent="0.25">
      <c r="A744" s="28"/>
      <c r="B744" s="43"/>
      <c r="C744" s="43"/>
      <c r="D744" s="43"/>
      <c r="E744" s="43" t="s">
        <v>1671</v>
      </c>
      <c r="F744" s="43" t="s">
        <v>1672</v>
      </c>
      <c r="G744" s="46">
        <f t="shared" si="186"/>
        <v>9.84</v>
      </c>
      <c r="H744" s="46">
        <f t="shared" si="187"/>
        <v>8.7300000000000022</v>
      </c>
      <c r="I744" s="28" t="s">
        <v>262</v>
      </c>
      <c r="J744" s="337">
        <v>1</v>
      </c>
      <c r="K744" s="46">
        <f t="shared" si="188"/>
        <v>9.84</v>
      </c>
      <c r="L744" s="46">
        <f t="shared" si="189"/>
        <v>8.7300000000000022</v>
      </c>
      <c r="M744" s="338">
        <f t="shared" si="190"/>
        <v>0</v>
      </c>
      <c r="N744" s="43" t="s">
        <v>148</v>
      </c>
      <c r="O744" s="339">
        <v>74071010</v>
      </c>
      <c r="P744" s="340">
        <f>IFERROR(VLOOKUP(O744,NCM!$A$3:$D$99,COLUMN(head_porNCM_IPI)-COLUMN(head_porNCM_NCM)+1,FALSE),"")</f>
        <v>0.05</v>
      </c>
      <c r="Q744" s="43"/>
      <c r="R744" s="78" t="s">
        <v>209</v>
      </c>
      <c r="S744" s="341"/>
      <c r="T744" s="28" t="s">
        <v>53</v>
      </c>
      <c r="U744" s="28" t="s">
        <v>1896</v>
      </c>
      <c r="V744" s="548">
        <v>43494</v>
      </c>
      <c r="W744" s="43"/>
      <c r="X744" s="342">
        <f t="shared" si="191"/>
        <v>2.0571428571428569</v>
      </c>
      <c r="Y744" s="342">
        <f t="shared" si="192"/>
        <v>0.57142857142857117</v>
      </c>
      <c r="Z744" s="46">
        <f t="shared" si="193"/>
        <v>0.18857142857142858</v>
      </c>
      <c r="AA744" s="46">
        <f t="shared" si="194"/>
        <v>0.86857142857142855</v>
      </c>
      <c r="AB744" s="43"/>
      <c r="AC744" s="44">
        <v>12</v>
      </c>
      <c r="AD744" s="31">
        <v>0.18</v>
      </c>
      <c r="AE744" s="31">
        <v>0.05</v>
      </c>
      <c r="AF744" s="31">
        <v>0</v>
      </c>
      <c r="AG744" s="28" t="s">
        <v>53</v>
      </c>
      <c r="AH744" s="46">
        <f t="shared" si="195"/>
        <v>12.600000000000001</v>
      </c>
      <c r="AI744" s="43"/>
      <c r="AJ744" s="28"/>
      <c r="AK744" s="337"/>
      <c r="AL744" s="43"/>
      <c r="AM744" s="44">
        <f t="shared" si="196"/>
        <v>0</v>
      </c>
      <c r="AN744" s="43"/>
      <c r="AO744" s="28">
        <f t="shared" si="197"/>
        <v>0</v>
      </c>
      <c r="AP744" s="43"/>
      <c r="AQ744" s="323">
        <f t="shared" si="198"/>
        <v>0</v>
      </c>
      <c r="AR744" s="43"/>
      <c r="AS744" s="44">
        <f t="shared" si="199"/>
        <v>12.600000000000001</v>
      </c>
    </row>
    <row r="745" spans="1:45" x14ac:dyDescent="0.25">
      <c r="A745" s="28"/>
      <c r="B745" s="43"/>
      <c r="C745" s="43"/>
      <c r="D745" s="43"/>
      <c r="E745" s="43" t="s">
        <v>1673</v>
      </c>
      <c r="F745" s="43" t="s">
        <v>1674</v>
      </c>
      <c r="G745" s="46">
        <f t="shared" si="186"/>
        <v>131.364</v>
      </c>
      <c r="H745" s="46">
        <f t="shared" si="187"/>
        <v>116.54550000000002</v>
      </c>
      <c r="I745" s="28" t="s">
        <v>262</v>
      </c>
      <c r="J745" s="337">
        <v>1</v>
      </c>
      <c r="K745" s="46">
        <f t="shared" si="188"/>
        <v>131.364</v>
      </c>
      <c r="L745" s="46">
        <f t="shared" si="189"/>
        <v>116.54550000000002</v>
      </c>
      <c r="M745" s="338">
        <f t="shared" si="190"/>
        <v>0</v>
      </c>
      <c r="N745" s="43" t="s">
        <v>148</v>
      </c>
      <c r="O745" s="339">
        <v>74071010</v>
      </c>
      <c r="P745" s="340">
        <f>IFERROR(VLOOKUP(O745,NCM!$A$3:$D$99,COLUMN(head_porNCM_IPI)-COLUMN(head_porNCM_NCM)+1,FALSE),"")</f>
        <v>0.05</v>
      </c>
      <c r="Q745" s="43"/>
      <c r="R745" s="78" t="s">
        <v>209</v>
      </c>
      <c r="S745" s="341">
        <v>1.335</v>
      </c>
      <c r="T745" s="28" t="s">
        <v>53</v>
      </c>
      <c r="U745" s="28" t="s">
        <v>1897</v>
      </c>
      <c r="V745" s="548">
        <v>43899</v>
      </c>
      <c r="W745" s="43"/>
      <c r="X745" s="342">
        <f t="shared" si="191"/>
        <v>27.462857142857139</v>
      </c>
      <c r="Y745" s="342">
        <f t="shared" si="192"/>
        <v>7.6285714285714334</v>
      </c>
      <c r="Z745" s="46">
        <f t="shared" si="193"/>
        <v>2.5174285714285713</v>
      </c>
      <c r="AA745" s="46">
        <f t="shared" si="194"/>
        <v>11.59542857142857</v>
      </c>
      <c r="AB745" s="43"/>
      <c r="AC745" s="44">
        <v>160.19999999999999</v>
      </c>
      <c r="AD745" s="31">
        <v>0.18</v>
      </c>
      <c r="AE745" s="31">
        <v>0.05</v>
      </c>
      <c r="AF745" s="31">
        <v>0</v>
      </c>
      <c r="AG745" s="28" t="s">
        <v>53</v>
      </c>
      <c r="AH745" s="46">
        <f t="shared" si="195"/>
        <v>168.21</v>
      </c>
      <c r="AI745" s="43"/>
      <c r="AJ745" s="28"/>
      <c r="AK745" s="337"/>
      <c r="AL745" s="43"/>
      <c r="AM745" s="44">
        <f t="shared" si="196"/>
        <v>0</v>
      </c>
      <c r="AN745" s="43"/>
      <c r="AO745" s="28">
        <f t="shared" si="197"/>
        <v>0</v>
      </c>
      <c r="AP745" s="43"/>
      <c r="AQ745" s="323">
        <f t="shared" si="198"/>
        <v>0</v>
      </c>
      <c r="AR745" s="43"/>
      <c r="AS745" s="44">
        <f t="shared" si="199"/>
        <v>168.21</v>
      </c>
    </row>
    <row r="746" spans="1:45" x14ac:dyDescent="0.25">
      <c r="A746" s="28"/>
      <c r="B746" s="43"/>
      <c r="C746" s="43"/>
      <c r="D746" s="43"/>
      <c r="E746" s="43" t="s">
        <v>1675</v>
      </c>
      <c r="F746" s="43" t="s">
        <v>1676</v>
      </c>
      <c r="G746" s="46">
        <f t="shared" si="186"/>
        <v>109.47000000000001</v>
      </c>
      <c r="H746" s="46">
        <f t="shared" si="187"/>
        <v>97.121250000000018</v>
      </c>
      <c r="I746" s="28" t="s">
        <v>262</v>
      </c>
      <c r="J746" s="337">
        <v>1</v>
      </c>
      <c r="K746" s="46">
        <f t="shared" si="188"/>
        <v>109.47000000000001</v>
      </c>
      <c r="L746" s="46">
        <f t="shared" si="189"/>
        <v>97.121250000000018</v>
      </c>
      <c r="M746" s="338">
        <f t="shared" si="190"/>
        <v>0</v>
      </c>
      <c r="N746" s="43" t="s">
        <v>148</v>
      </c>
      <c r="O746" s="339">
        <v>74071010</v>
      </c>
      <c r="P746" s="340">
        <f>IFERROR(VLOOKUP(O746,NCM!$A$3:$D$99,COLUMN(head_porNCM_IPI)-COLUMN(head_porNCM_NCM)+1,FALSE),"")</f>
        <v>0.05</v>
      </c>
      <c r="Q746" s="43"/>
      <c r="R746" s="78" t="s">
        <v>209</v>
      </c>
      <c r="S746" s="341">
        <v>1.1125</v>
      </c>
      <c r="T746" s="28" t="s">
        <v>53</v>
      </c>
      <c r="U746" s="28" t="s">
        <v>1898</v>
      </c>
      <c r="V746" s="548">
        <v>44225</v>
      </c>
      <c r="W746" s="43"/>
      <c r="X746" s="342">
        <f t="shared" si="191"/>
        <v>22.885714285714283</v>
      </c>
      <c r="Y746" s="342">
        <f t="shared" si="192"/>
        <v>6.3571428571428612</v>
      </c>
      <c r="Z746" s="46">
        <f t="shared" si="193"/>
        <v>2.0978571428571429</v>
      </c>
      <c r="AA746" s="46">
        <f t="shared" si="194"/>
        <v>9.6628571428571419</v>
      </c>
      <c r="AB746" s="43"/>
      <c r="AC746" s="44">
        <v>133.5</v>
      </c>
      <c r="AD746" s="31">
        <v>0.18</v>
      </c>
      <c r="AE746" s="31">
        <v>0.05</v>
      </c>
      <c r="AF746" s="31">
        <v>0</v>
      </c>
      <c r="AG746" s="28" t="s">
        <v>53</v>
      </c>
      <c r="AH746" s="46">
        <f t="shared" si="195"/>
        <v>140.17500000000001</v>
      </c>
      <c r="AI746" s="43"/>
      <c r="AJ746" s="28"/>
      <c r="AK746" s="337"/>
      <c r="AL746" s="43"/>
      <c r="AM746" s="44">
        <f t="shared" si="196"/>
        <v>0</v>
      </c>
      <c r="AN746" s="43"/>
      <c r="AO746" s="28">
        <f t="shared" si="197"/>
        <v>0</v>
      </c>
      <c r="AP746" s="43"/>
      <c r="AQ746" s="323">
        <f t="shared" si="198"/>
        <v>0</v>
      </c>
      <c r="AR746" s="43"/>
      <c r="AS746" s="44">
        <f t="shared" si="199"/>
        <v>140.17500000000001</v>
      </c>
    </row>
    <row r="747" spans="1:45" x14ac:dyDescent="0.25">
      <c r="A747" s="28"/>
      <c r="B747" s="43"/>
      <c r="C747" s="43"/>
      <c r="D747" s="43"/>
      <c r="E747" s="43" t="s">
        <v>1677</v>
      </c>
      <c r="F747" s="43" t="s">
        <v>1678</v>
      </c>
      <c r="G747" s="46">
        <f t="shared" si="186"/>
        <v>65.682000000000002</v>
      </c>
      <c r="H747" s="46">
        <f t="shared" si="187"/>
        <v>58.272750000000009</v>
      </c>
      <c r="I747" s="28" t="s">
        <v>262</v>
      </c>
      <c r="J747" s="337">
        <v>1</v>
      </c>
      <c r="K747" s="46">
        <f t="shared" si="188"/>
        <v>65.682000000000002</v>
      </c>
      <c r="L747" s="46">
        <f t="shared" si="189"/>
        <v>58.272750000000009</v>
      </c>
      <c r="M747" s="338">
        <f t="shared" si="190"/>
        <v>0</v>
      </c>
      <c r="N747" s="43" t="s">
        <v>148</v>
      </c>
      <c r="O747" s="339">
        <v>74071010</v>
      </c>
      <c r="P747" s="340">
        <f>IFERROR(VLOOKUP(O747,NCM!$A$3:$D$99,COLUMN(head_porNCM_IPI)-COLUMN(head_porNCM_NCM)+1,FALSE),"")</f>
        <v>0.05</v>
      </c>
      <c r="Q747" s="43"/>
      <c r="R747" s="78" t="s">
        <v>209</v>
      </c>
      <c r="S747" s="341">
        <v>0.66749999999999998</v>
      </c>
      <c r="T747" s="28" t="s">
        <v>53</v>
      </c>
      <c r="U747" s="28" t="s">
        <v>1899</v>
      </c>
      <c r="V747" s="548">
        <v>44590</v>
      </c>
      <c r="W747" s="43"/>
      <c r="X747" s="342">
        <f t="shared" si="191"/>
        <v>13.73142857142857</v>
      </c>
      <c r="Y747" s="342">
        <f t="shared" si="192"/>
        <v>3.8142857142857167</v>
      </c>
      <c r="Z747" s="46">
        <f t="shared" si="193"/>
        <v>1.2587142857142857</v>
      </c>
      <c r="AA747" s="46">
        <f t="shared" si="194"/>
        <v>5.7977142857142852</v>
      </c>
      <c r="AB747" s="43"/>
      <c r="AC747" s="44">
        <v>80.099999999999994</v>
      </c>
      <c r="AD747" s="31">
        <v>0.18</v>
      </c>
      <c r="AE747" s="31">
        <v>0.05</v>
      </c>
      <c r="AF747" s="31">
        <v>0</v>
      </c>
      <c r="AG747" s="28" t="s">
        <v>53</v>
      </c>
      <c r="AH747" s="46">
        <f t="shared" si="195"/>
        <v>84.105000000000004</v>
      </c>
      <c r="AI747" s="43"/>
      <c r="AJ747" s="28"/>
      <c r="AK747" s="337"/>
      <c r="AL747" s="43"/>
      <c r="AM747" s="44">
        <f t="shared" si="196"/>
        <v>0</v>
      </c>
      <c r="AN747" s="43"/>
      <c r="AO747" s="28">
        <f t="shared" si="197"/>
        <v>0</v>
      </c>
      <c r="AP747" s="43"/>
      <c r="AQ747" s="323">
        <f t="shared" si="198"/>
        <v>0</v>
      </c>
      <c r="AR747" s="43"/>
      <c r="AS747" s="44">
        <f t="shared" si="199"/>
        <v>84.105000000000004</v>
      </c>
    </row>
    <row r="748" spans="1:45" x14ac:dyDescent="0.25">
      <c r="A748" s="28"/>
      <c r="B748" s="43"/>
      <c r="C748" s="43"/>
      <c r="D748" s="43"/>
      <c r="E748" s="43" t="s">
        <v>1679</v>
      </c>
      <c r="F748" s="43" t="s">
        <v>1680</v>
      </c>
      <c r="G748" s="46">
        <f t="shared" si="186"/>
        <v>21.018240000000002</v>
      </c>
      <c r="H748" s="46">
        <f t="shared" si="187"/>
        <v>18.647280000000006</v>
      </c>
      <c r="I748" s="28" t="s">
        <v>262</v>
      </c>
      <c r="J748" s="337">
        <v>1</v>
      </c>
      <c r="K748" s="46">
        <f t="shared" si="188"/>
        <v>21.018240000000002</v>
      </c>
      <c r="L748" s="46">
        <f t="shared" si="189"/>
        <v>18.647280000000006</v>
      </c>
      <c r="M748" s="338">
        <f t="shared" si="190"/>
        <v>0</v>
      </c>
      <c r="N748" s="43" t="s">
        <v>148</v>
      </c>
      <c r="O748" s="339">
        <v>74071010</v>
      </c>
      <c r="P748" s="340">
        <f>IFERROR(VLOOKUP(O748,NCM!$A$3:$D$99,COLUMN(head_porNCM_IPI)-COLUMN(head_porNCM_NCM)+1,FALSE),"")</f>
        <v>0.05</v>
      </c>
      <c r="Q748" s="43"/>
      <c r="R748" s="78" t="s">
        <v>209</v>
      </c>
      <c r="S748" s="341">
        <v>0.21360000000000001</v>
      </c>
      <c r="T748" s="28" t="s">
        <v>53</v>
      </c>
      <c r="U748" s="28" t="s">
        <v>1900</v>
      </c>
      <c r="V748" s="548">
        <v>43859</v>
      </c>
      <c r="W748" s="43"/>
      <c r="X748" s="342">
        <f t="shared" si="191"/>
        <v>4.3940571428571431</v>
      </c>
      <c r="Y748" s="342">
        <f t="shared" si="192"/>
        <v>1.2205714285714286</v>
      </c>
      <c r="Z748" s="46">
        <f t="shared" si="193"/>
        <v>0.4027885714285715</v>
      </c>
      <c r="AA748" s="46">
        <f t="shared" si="194"/>
        <v>1.8552685714285715</v>
      </c>
      <c r="AB748" s="43"/>
      <c r="AC748" s="44">
        <v>25.632000000000001</v>
      </c>
      <c r="AD748" s="31">
        <v>0.18</v>
      </c>
      <c r="AE748" s="31">
        <v>0.05</v>
      </c>
      <c r="AF748" s="31">
        <v>0</v>
      </c>
      <c r="AG748" s="28" t="s">
        <v>53</v>
      </c>
      <c r="AH748" s="46">
        <f t="shared" si="195"/>
        <v>26.913600000000002</v>
      </c>
      <c r="AI748" s="43"/>
      <c r="AJ748" s="28"/>
      <c r="AK748" s="337"/>
      <c r="AL748" s="43"/>
      <c r="AM748" s="44">
        <f t="shared" si="196"/>
        <v>0</v>
      </c>
      <c r="AN748" s="43"/>
      <c r="AO748" s="28">
        <f t="shared" si="197"/>
        <v>0</v>
      </c>
      <c r="AP748" s="43"/>
      <c r="AQ748" s="323">
        <f t="shared" si="198"/>
        <v>0</v>
      </c>
      <c r="AR748" s="43"/>
      <c r="AS748" s="44">
        <f t="shared" si="199"/>
        <v>26.913600000000002</v>
      </c>
    </row>
    <row r="749" spans="1:45" x14ac:dyDescent="0.25">
      <c r="A749" s="28"/>
      <c r="B749" s="43"/>
      <c r="C749" s="43"/>
      <c r="D749" s="43"/>
      <c r="E749" s="43" t="s">
        <v>1681</v>
      </c>
      <c r="F749" s="43" t="s">
        <v>1682</v>
      </c>
      <c r="G749" s="46">
        <f t="shared" si="186"/>
        <v>26.272799999999997</v>
      </c>
      <c r="H749" s="46">
        <f t="shared" si="187"/>
        <v>23.309099999999997</v>
      </c>
      <c r="I749" s="28" t="s">
        <v>262</v>
      </c>
      <c r="J749" s="337">
        <v>1</v>
      </c>
      <c r="K749" s="46">
        <f t="shared" si="188"/>
        <v>26.272799999999997</v>
      </c>
      <c r="L749" s="46">
        <f t="shared" si="189"/>
        <v>23.309099999999997</v>
      </c>
      <c r="M749" s="338">
        <f t="shared" si="190"/>
        <v>0</v>
      </c>
      <c r="N749" s="43" t="s">
        <v>148</v>
      </c>
      <c r="O749" s="339">
        <v>74071010</v>
      </c>
      <c r="P749" s="340">
        <f>IFERROR(VLOOKUP(O749,NCM!$A$3:$D$99,COLUMN(head_porNCM_IPI)-COLUMN(head_porNCM_NCM)+1,FALSE),"")</f>
        <v>0.05</v>
      </c>
      <c r="Q749" s="43"/>
      <c r="R749" s="78" t="s">
        <v>209</v>
      </c>
      <c r="S749" s="341">
        <v>0.26699999999999996</v>
      </c>
      <c r="T749" s="28" t="s">
        <v>53</v>
      </c>
      <c r="U749" s="28" t="s">
        <v>1900</v>
      </c>
      <c r="V749" s="548">
        <v>43859</v>
      </c>
      <c r="W749" s="43"/>
      <c r="X749" s="342">
        <f t="shared" si="191"/>
        <v>5.4925714285714271</v>
      </c>
      <c r="Y749" s="342">
        <f t="shared" si="192"/>
        <v>1.5257142857142867</v>
      </c>
      <c r="Z749" s="46">
        <f t="shared" si="193"/>
        <v>0.5034857142857142</v>
      </c>
      <c r="AA749" s="46">
        <f t="shared" si="194"/>
        <v>2.3190857142857135</v>
      </c>
      <c r="AB749" s="43"/>
      <c r="AC749" s="44">
        <v>32.039999999999992</v>
      </c>
      <c r="AD749" s="31">
        <v>0.18</v>
      </c>
      <c r="AE749" s="31">
        <v>0.05</v>
      </c>
      <c r="AF749" s="31">
        <v>0</v>
      </c>
      <c r="AG749" s="28" t="s">
        <v>53</v>
      </c>
      <c r="AH749" s="46">
        <f t="shared" si="195"/>
        <v>33.641999999999996</v>
      </c>
      <c r="AI749" s="43"/>
      <c r="AJ749" s="28"/>
      <c r="AK749" s="337"/>
      <c r="AL749" s="43"/>
      <c r="AM749" s="44">
        <f t="shared" si="196"/>
        <v>0</v>
      </c>
      <c r="AN749" s="43"/>
      <c r="AO749" s="28">
        <f t="shared" si="197"/>
        <v>0</v>
      </c>
      <c r="AP749" s="43"/>
      <c r="AQ749" s="323">
        <f t="shared" si="198"/>
        <v>0</v>
      </c>
      <c r="AR749" s="43"/>
      <c r="AS749" s="44">
        <f t="shared" si="199"/>
        <v>33.641999999999996</v>
      </c>
    </row>
    <row r="750" spans="1:45" x14ac:dyDescent="0.25">
      <c r="A750" s="28"/>
      <c r="B750" s="43"/>
      <c r="C750" s="43"/>
      <c r="D750" s="43"/>
      <c r="E750" s="43" t="s">
        <v>1683</v>
      </c>
      <c r="F750" s="43" t="s">
        <v>1684</v>
      </c>
      <c r="G750" s="46">
        <f t="shared" si="186"/>
        <v>35.030400000000007</v>
      </c>
      <c r="H750" s="46">
        <f t="shared" si="187"/>
        <v>31.078800000000012</v>
      </c>
      <c r="I750" s="28" t="s">
        <v>262</v>
      </c>
      <c r="J750" s="337">
        <v>1</v>
      </c>
      <c r="K750" s="46">
        <f t="shared" si="188"/>
        <v>35.030400000000007</v>
      </c>
      <c r="L750" s="46">
        <f t="shared" si="189"/>
        <v>31.078800000000012</v>
      </c>
      <c r="M750" s="338">
        <f t="shared" si="190"/>
        <v>0</v>
      </c>
      <c r="N750" s="43" t="s">
        <v>148</v>
      </c>
      <c r="O750" s="339">
        <v>74071010</v>
      </c>
      <c r="P750" s="340">
        <f>IFERROR(VLOOKUP(O750,NCM!$A$3:$D$99,COLUMN(head_porNCM_IPI)-COLUMN(head_porNCM_NCM)+1,FALSE),"")</f>
        <v>0.05</v>
      </c>
      <c r="Q750" s="43"/>
      <c r="R750" s="78" t="s">
        <v>209</v>
      </c>
      <c r="S750" s="341">
        <v>0.35600000000000004</v>
      </c>
      <c r="T750" s="28" t="s">
        <v>53</v>
      </c>
      <c r="U750" s="28" t="s">
        <v>1900</v>
      </c>
      <c r="V750" s="548">
        <v>43859</v>
      </c>
      <c r="W750" s="43"/>
      <c r="X750" s="342">
        <f t="shared" si="191"/>
        <v>7.3234285714285718</v>
      </c>
      <c r="Y750" s="342">
        <f t="shared" si="192"/>
        <v>2.0342857142857156</v>
      </c>
      <c r="Z750" s="46">
        <f t="shared" si="193"/>
        <v>0.67131428571428586</v>
      </c>
      <c r="AA750" s="46">
        <f t="shared" si="194"/>
        <v>3.092114285714286</v>
      </c>
      <c r="AB750" s="43"/>
      <c r="AC750" s="44">
        <v>42.720000000000006</v>
      </c>
      <c r="AD750" s="31">
        <v>0.18</v>
      </c>
      <c r="AE750" s="31">
        <v>0.05</v>
      </c>
      <c r="AF750" s="31">
        <v>0</v>
      </c>
      <c r="AG750" s="28" t="s">
        <v>53</v>
      </c>
      <c r="AH750" s="46">
        <f t="shared" si="195"/>
        <v>44.856000000000009</v>
      </c>
      <c r="AI750" s="43"/>
      <c r="AJ750" s="28"/>
      <c r="AK750" s="337"/>
      <c r="AL750" s="43"/>
      <c r="AM750" s="44">
        <f t="shared" si="196"/>
        <v>0</v>
      </c>
      <c r="AN750" s="43"/>
      <c r="AO750" s="28">
        <f t="shared" si="197"/>
        <v>0</v>
      </c>
      <c r="AP750" s="43"/>
      <c r="AQ750" s="323">
        <f t="shared" si="198"/>
        <v>0</v>
      </c>
      <c r="AR750" s="43"/>
      <c r="AS750" s="44">
        <f t="shared" si="199"/>
        <v>44.856000000000009</v>
      </c>
    </row>
    <row r="751" spans="1:45" x14ac:dyDescent="0.25">
      <c r="A751" s="28"/>
      <c r="B751" s="43"/>
      <c r="C751" s="43"/>
      <c r="D751" s="43"/>
      <c r="E751" s="43" t="s">
        <v>1683</v>
      </c>
      <c r="F751" s="43" t="s">
        <v>1685</v>
      </c>
      <c r="G751" s="46">
        <f t="shared" si="186"/>
        <v>39.409199999999998</v>
      </c>
      <c r="H751" s="46">
        <f t="shared" si="187"/>
        <v>34.963650000000001</v>
      </c>
      <c r="I751" s="28" t="s">
        <v>262</v>
      </c>
      <c r="J751" s="337">
        <v>1</v>
      </c>
      <c r="K751" s="46">
        <f t="shared" si="188"/>
        <v>39.409199999999998</v>
      </c>
      <c r="L751" s="46">
        <f t="shared" si="189"/>
        <v>34.963650000000001</v>
      </c>
      <c r="M751" s="338">
        <f t="shared" si="190"/>
        <v>0</v>
      </c>
      <c r="N751" s="43" t="s">
        <v>148</v>
      </c>
      <c r="O751" s="339">
        <v>74071010</v>
      </c>
      <c r="P751" s="340">
        <f>IFERROR(VLOOKUP(O751,NCM!$A$3:$D$99,COLUMN(head_porNCM_IPI)-COLUMN(head_porNCM_NCM)+1,FALSE),"")</f>
        <v>0.05</v>
      </c>
      <c r="Q751" s="43"/>
      <c r="R751" s="78" t="s">
        <v>209</v>
      </c>
      <c r="S751" s="341">
        <v>0.40049999999999997</v>
      </c>
      <c r="T751" s="28" t="s">
        <v>53</v>
      </c>
      <c r="U751" s="28" t="s">
        <v>1900</v>
      </c>
      <c r="V751" s="548">
        <v>43859</v>
      </c>
      <c r="W751" s="43"/>
      <c r="X751" s="342">
        <f t="shared" si="191"/>
        <v>8.2388571428571407</v>
      </c>
      <c r="Y751" s="342">
        <f t="shared" si="192"/>
        <v>2.28857142857143</v>
      </c>
      <c r="Z751" s="46">
        <f t="shared" si="193"/>
        <v>0.75522857142857136</v>
      </c>
      <c r="AA751" s="46">
        <f t="shared" si="194"/>
        <v>3.4786285714285707</v>
      </c>
      <c r="AB751" s="43"/>
      <c r="AC751" s="44">
        <v>48.059999999999995</v>
      </c>
      <c r="AD751" s="31">
        <v>0.18</v>
      </c>
      <c r="AE751" s="31">
        <v>0.05</v>
      </c>
      <c r="AF751" s="31">
        <v>0</v>
      </c>
      <c r="AG751" s="28" t="s">
        <v>53</v>
      </c>
      <c r="AH751" s="46">
        <f t="shared" si="195"/>
        <v>50.462999999999994</v>
      </c>
      <c r="AI751" s="43"/>
      <c r="AJ751" s="28"/>
      <c r="AK751" s="337"/>
      <c r="AL751" s="43"/>
      <c r="AM751" s="44">
        <f t="shared" si="196"/>
        <v>0</v>
      </c>
      <c r="AN751" s="43"/>
      <c r="AO751" s="28">
        <f t="shared" si="197"/>
        <v>0</v>
      </c>
      <c r="AP751" s="43"/>
      <c r="AQ751" s="323">
        <f t="shared" si="198"/>
        <v>0</v>
      </c>
      <c r="AR751" s="43"/>
      <c r="AS751" s="44">
        <f t="shared" si="199"/>
        <v>50.462999999999994</v>
      </c>
    </row>
    <row r="752" spans="1:45" x14ac:dyDescent="0.25">
      <c r="A752" s="28"/>
      <c r="B752" s="43"/>
      <c r="C752" s="43"/>
      <c r="D752" s="43"/>
      <c r="E752" s="43" t="s">
        <v>1686</v>
      </c>
      <c r="F752" s="43" t="s">
        <v>1687</v>
      </c>
      <c r="G752" s="46">
        <f t="shared" si="186"/>
        <v>52.545599999999993</v>
      </c>
      <c r="H752" s="46">
        <f t="shared" si="187"/>
        <v>46.618199999999995</v>
      </c>
      <c r="I752" s="28" t="s">
        <v>262</v>
      </c>
      <c r="J752" s="337">
        <v>1</v>
      </c>
      <c r="K752" s="46">
        <f t="shared" si="188"/>
        <v>52.545599999999993</v>
      </c>
      <c r="L752" s="46">
        <f t="shared" si="189"/>
        <v>46.618199999999995</v>
      </c>
      <c r="M752" s="338">
        <f t="shared" si="190"/>
        <v>0</v>
      </c>
      <c r="N752" s="43" t="s">
        <v>148</v>
      </c>
      <c r="O752" s="339">
        <v>74071010</v>
      </c>
      <c r="P752" s="340">
        <f>IFERROR(VLOOKUP(O752,NCM!$A$3:$D$99,COLUMN(head_porNCM_IPI)-COLUMN(head_porNCM_NCM)+1,FALSE),"")</f>
        <v>0.05</v>
      </c>
      <c r="Q752" s="43"/>
      <c r="R752" s="78" t="s">
        <v>209</v>
      </c>
      <c r="S752" s="341">
        <v>0.53399999999999992</v>
      </c>
      <c r="T752" s="28" t="s">
        <v>53</v>
      </c>
      <c r="U752" s="28" t="s">
        <v>1900</v>
      </c>
      <c r="V752" s="548">
        <v>43859</v>
      </c>
      <c r="W752" s="43"/>
      <c r="X752" s="342">
        <f t="shared" si="191"/>
        <v>10.985142857142854</v>
      </c>
      <c r="Y752" s="342">
        <f t="shared" si="192"/>
        <v>3.0514285714285734</v>
      </c>
      <c r="Z752" s="46">
        <f t="shared" si="193"/>
        <v>1.0069714285714284</v>
      </c>
      <c r="AA752" s="46">
        <f t="shared" si="194"/>
        <v>4.6381714285714271</v>
      </c>
      <c r="AB752" s="43"/>
      <c r="AC752" s="44">
        <v>64.079999999999984</v>
      </c>
      <c r="AD752" s="31">
        <v>0.18</v>
      </c>
      <c r="AE752" s="31">
        <v>0.05</v>
      </c>
      <c r="AF752" s="31">
        <v>0</v>
      </c>
      <c r="AG752" s="28" t="s">
        <v>53</v>
      </c>
      <c r="AH752" s="46">
        <f t="shared" si="195"/>
        <v>67.283999999999992</v>
      </c>
      <c r="AI752" s="43"/>
      <c r="AJ752" s="28"/>
      <c r="AK752" s="337"/>
      <c r="AL752" s="43"/>
      <c r="AM752" s="44">
        <f t="shared" si="196"/>
        <v>0</v>
      </c>
      <c r="AN752" s="43"/>
      <c r="AO752" s="28">
        <f t="shared" si="197"/>
        <v>0</v>
      </c>
      <c r="AP752" s="43"/>
      <c r="AQ752" s="323">
        <f t="shared" si="198"/>
        <v>0</v>
      </c>
      <c r="AR752" s="43"/>
      <c r="AS752" s="44">
        <f t="shared" si="199"/>
        <v>67.283999999999992</v>
      </c>
    </row>
    <row r="753" spans="1:45" x14ac:dyDescent="0.25">
      <c r="A753" s="28"/>
      <c r="B753" s="43"/>
      <c r="C753" s="43"/>
      <c r="D753" s="43"/>
      <c r="E753" s="43" t="s">
        <v>1688</v>
      </c>
      <c r="F753" s="43" t="s">
        <v>1689</v>
      </c>
      <c r="G753" s="46">
        <f t="shared" si="186"/>
        <v>65.682000000000002</v>
      </c>
      <c r="H753" s="46">
        <f t="shared" si="187"/>
        <v>58.272750000000009</v>
      </c>
      <c r="I753" s="28" t="s">
        <v>262</v>
      </c>
      <c r="J753" s="337">
        <v>1</v>
      </c>
      <c r="K753" s="46">
        <f t="shared" si="188"/>
        <v>65.682000000000002</v>
      </c>
      <c r="L753" s="46">
        <f t="shared" si="189"/>
        <v>58.272750000000009</v>
      </c>
      <c r="M753" s="338">
        <f t="shared" si="190"/>
        <v>0</v>
      </c>
      <c r="N753" s="43" t="s">
        <v>148</v>
      </c>
      <c r="O753" s="339">
        <v>74071010</v>
      </c>
      <c r="P753" s="340">
        <f>IFERROR(VLOOKUP(O753,NCM!$A$3:$D$99,COLUMN(head_porNCM_IPI)-COLUMN(head_porNCM_NCM)+1,FALSE),"")</f>
        <v>0.05</v>
      </c>
      <c r="Q753" s="43"/>
      <c r="R753" s="78" t="s">
        <v>209</v>
      </c>
      <c r="S753" s="341">
        <v>0.66749999999999998</v>
      </c>
      <c r="T753" s="28" t="s">
        <v>53</v>
      </c>
      <c r="U753" s="28" t="s">
        <v>1900</v>
      </c>
      <c r="V753" s="548">
        <v>43859</v>
      </c>
      <c r="W753" s="43"/>
      <c r="X753" s="342">
        <f t="shared" si="191"/>
        <v>13.73142857142857</v>
      </c>
      <c r="Y753" s="342">
        <f t="shared" si="192"/>
        <v>3.8142857142857167</v>
      </c>
      <c r="Z753" s="46">
        <f t="shared" si="193"/>
        <v>1.2587142857142857</v>
      </c>
      <c r="AA753" s="46">
        <f t="shared" si="194"/>
        <v>5.7977142857142852</v>
      </c>
      <c r="AB753" s="43"/>
      <c r="AC753" s="44">
        <v>80.099999999999994</v>
      </c>
      <c r="AD753" s="31">
        <v>0.18</v>
      </c>
      <c r="AE753" s="31">
        <v>0.05</v>
      </c>
      <c r="AF753" s="31">
        <v>0</v>
      </c>
      <c r="AG753" s="28" t="s">
        <v>53</v>
      </c>
      <c r="AH753" s="46">
        <f t="shared" si="195"/>
        <v>84.105000000000004</v>
      </c>
      <c r="AI753" s="43"/>
      <c r="AJ753" s="28"/>
      <c r="AK753" s="337"/>
      <c r="AL753" s="43"/>
      <c r="AM753" s="44">
        <f t="shared" si="196"/>
        <v>0</v>
      </c>
      <c r="AN753" s="43"/>
      <c r="AO753" s="28">
        <f t="shared" si="197"/>
        <v>0</v>
      </c>
      <c r="AP753" s="43"/>
      <c r="AQ753" s="323">
        <f t="shared" si="198"/>
        <v>0</v>
      </c>
      <c r="AR753" s="43"/>
      <c r="AS753" s="44">
        <f t="shared" si="199"/>
        <v>84.105000000000004</v>
      </c>
    </row>
    <row r="754" spans="1:45" x14ac:dyDescent="0.25">
      <c r="A754" s="28"/>
      <c r="B754" s="43"/>
      <c r="C754" s="43"/>
      <c r="D754" s="43"/>
      <c r="E754" s="43" t="s">
        <v>1690</v>
      </c>
      <c r="F754" s="43" t="s">
        <v>1691</v>
      </c>
      <c r="G754" s="46">
        <f t="shared" si="186"/>
        <v>78.818399999999997</v>
      </c>
      <c r="H754" s="46">
        <f t="shared" si="187"/>
        <v>69.927300000000002</v>
      </c>
      <c r="I754" s="28" t="s">
        <v>262</v>
      </c>
      <c r="J754" s="337">
        <v>1</v>
      </c>
      <c r="K754" s="46">
        <f t="shared" si="188"/>
        <v>78.818399999999997</v>
      </c>
      <c r="L754" s="46">
        <f t="shared" si="189"/>
        <v>69.927300000000002</v>
      </c>
      <c r="M754" s="338">
        <f t="shared" si="190"/>
        <v>0</v>
      </c>
      <c r="N754" s="43" t="s">
        <v>148</v>
      </c>
      <c r="O754" s="339">
        <v>74071010</v>
      </c>
      <c r="P754" s="340">
        <f>IFERROR(VLOOKUP(O754,NCM!$A$3:$D$99,COLUMN(head_porNCM_IPI)-COLUMN(head_porNCM_NCM)+1,FALSE),"")</f>
        <v>0.05</v>
      </c>
      <c r="Q754" s="43"/>
      <c r="R754" s="78" t="s">
        <v>209</v>
      </c>
      <c r="S754" s="341">
        <v>0.80099999999999993</v>
      </c>
      <c r="T754" s="28" t="s">
        <v>53</v>
      </c>
      <c r="U754" s="28" t="s">
        <v>1900</v>
      </c>
      <c r="V754" s="548">
        <v>43859</v>
      </c>
      <c r="W754" s="43"/>
      <c r="X754" s="342">
        <f t="shared" si="191"/>
        <v>16.477714285714281</v>
      </c>
      <c r="Y754" s="342">
        <f t="shared" si="192"/>
        <v>4.5771428571428601</v>
      </c>
      <c r="Z754" s="46">
        <f t="shared" si="193"/>
        <v>1.5104571428571427</v>
      </c>
      <c r="AA754" s="46">
        <f t="shared" si="194"/>
        <v>6.9572571428571415</v>
      </c>
      <c r="AB754" s="43"/>
      <c r="AC754" s="44">
        <v>96.11999999999999</v>
      </c>
      <c r="AD754" s="31">
        <v>0.18</v>
      </c>
      <c r="AE754" s="31">
        <v>0.05</v>
      </c>
      <c r="AF754" s="31">
        <v>0</v>
      </c>
      <c r="AG754" s="28" t="s">
        <v>53</v>
      </c>
      <c r="AH754" s="46">
        <f t="shared" si="195"/>
        <v>100.92599999999999</v>
      </c>
      <c r="AI754" s="43"/>
      <c r="AJ754" s="28"/>
      <c r="AK754" s="337"/>
      <c r="AL754" s="43"/>
      <c r="AM754" s="44">
        <f t="shared" si="196"/>
        <v>0</v>
      </c>
      <c r="AN754" s="43"/>
      <c r="AO754" s="28">
        <f t="shared" si="197"/>
        <v>0</v>
      </c>
      <c r="AP754" s="43"/>
      <c r="AQ754" s="323">
        <f t="shared" si="198"/>
        <v>0</v>
      </c>
      <c r="AR754" s="43"/>
      <c r="AS754" s="44">
        <f t="shared" si="199"/>
        <v>100.92599999999999</v>
      </c>
    </row>
    <row r="755" spans="1:45" x14ac:dyDescent="0.25">
      <c r="A755" s="28"/>
      <c r="B755" s="43"/>
      <c r="C755" s="43"/>
      <c r="D755" s="43"/>
      <c r="E755" s="43" t="s">
        <v>1692</v>
      </c>
      <c r="F755" s="43" t="s">
        <v>1693</v>
      </c>
      <c r="G755" s="46">
        <f t="shared" si="186"/>
        <v>87.576000000000008</v>
      </c>
      <c r="H755" s="46">
        <f t="shared" si="187"/>
        <v>77.697000000000017</v>
      </c>
      <c r="I755" s="28" t="s">
        <v>262</v>
      </c>
      <c r="J755" s="337">
        <v>1</v>
      </c>
      <c r="K755" s="46">
        <f t="shared" si="188"/>
        <v>87.576000000000008</v>
      </c>
      <c r="L755" s="46">
        <f t="shared" si="189"/>
        <v>77.697000000000017</v>
      </c>
      <c r="M755" s="338">
        <f t="shared" si="190"/>
        <v>0</v>
      </c>
      <c r="N755" s="43" t="s">
        <v>148</v>
      </c>
      <c r="O755" s="339">
        <v>74071010</v>
      </c>
      <c r="P755" s="340">
        <f>IFERROR(VLOOKUP(O755,NCM!$A$3:$D$99,COLUMN(head_porNCM_IPI)-COLUMN(head_porNCM_NCM)+1,FALSE),"")</f>
        <v>0.05</v>
      </c>
      <c r="Q755" s="43"/>
      <c r="R755" s="78" t="s">
        <v>209</v>
      </c>
      <c r="S755" s="341">
        <v>0.89</v>
      </c>
      <c r="T755" s="28" t="s">
        <v>53</v>
      </c>
      <c r="U755" s="28" t="s">
        <v>1900</v>
      </c>
      <c r="V755" s="548">
        <v>43859</v>
      </c>
      <c r="W755" s="43"/>
      <c r="X755" s="342">
        <f t="shared" si="191"/>
        <v>18.308571428571426</v>
      </c>
      <c r="Y755" s="342">
        <f t="shared" si="192"/>
        <v>5.085714285714289</v>
      </c>
      <c r="Z755" s="46">
        <f t="shared" si="193"/>
        <v>1.6782857142857142</v>
      </c>
      <c r="AA755" s="46">
        <f t="shared" si="194"/>
        <v>7.7302857142857135</v>
      </c>
      <c r="AB755" s="43"/>
      <c r="AC755" s="44">
        <v>106.8</v>
      </c>
      <c r="AD755" s="31">
        <v>0.18</v>
      </c>
      <c r="AE755" s="31">
        <v>0.05</v>
      </c>
      <c r="AF755" s="31">
        <v>0</v>
      </c>
      <c r="AG755" s="28" t="s">
        <v>53</v>
      </c>
      <c r="AH755" s="46">
        <f t="shared" si="195"/>
        <v>112.14</v>
      </c>
      <c r="AI755" s="43"/>
      <c r="AJ755" s="28"/>
      <c r="AK755" s="337"/>
      <c r="AL755" s="43"/>
      <c r="AM755" s="44">
        <f t="shared" si="196"/>
        <v>0</v>
      </c>
      <c r="AN755" s="43"/>
      <c r="AO755" s="28">
        <f t="shared" si="197"/>
        <v>0</v>
      </c>
      <c r="AP755" s="43"/>
      <c r="AQ755" s="323">
        <f t="shared" si="198"/>
        <v>0</v>
      </c>
      <c r="AR755" s="43"/>
      <c r="AS755" s="44">
        <f t="shared" si="199"/>
        <v>112.14</v>
      </c>
    </row>
    <row r="756" spans="1:45" x14ac:dyDescent="0.25">
      <c r="A756" s="28"/>
      <c r="B756" s="43"/>
      <c r="C756" s="43"/>
      <c r="D756" s="43"/>
      <c r="E756" s="43" t="s">
        <v>1694</v>
      </c>
      <c r="F756" s="43" t="s">
        <v>1695</v>
      </c>
      <c r="G756" s="46">
        <f t="shared" si="186"/>
        <v>105.09119999999999</v>
      </c>
      <c r="H756" s="46">
        <f t="shared" si="187"/>
        <v>93.236399999999989</v>
      </c>
      <c r="I756" s="28" t="s">
        <v>262</v>
      </c>
      <c r="J756" s="337">
        <v>1</v>
      </c>
      <c r="K756" s="46">
        <f t="shared" si="188"/>
        <v>105.09119999999999</v>
      </c>
      <c r="L756" s="46">
        <f t="shared" si="189"/>
        <v>93.236399999999989</v>
      </c>
      <c r="M756" s="338">
        <f t="shared" si="190"/>
        <v>0</v>
      </c>
      <c r="N756" s="43" t="s">
        <v>148</v>
      </c>
      <c r="O756" s="339">
        <v>74071010</v>
      </c>
      <c r="P756" s="340">
        <f>IFERROR(VLOOKUP(O756,NCM!$A$3:$D$99,COLUMN(head_porNCM_IPI)-COLUMN(head_porNCM_NCM)+1,FALSE),"")</f>
        <v>0.05</v>
      </c>
      <c r="Q756" s="43"/>
      <c r="R756" s="78" t="s">
        <v>209</v>
      </c>
      <c r="S756" s="341">
        <v>1.0679999999999998</v>
      </c>
      <c r="T756" s="28" t="s">
        <v>53</v>
      </c>
      <c r="U756" s="28" t="s">
        <v>1900</v>
      </c>
      <c r="V756" s="548">
        <v>43859</v>
      </c>
      <c r="W756" s="43"/>
      <c r="X756" s="342">
        <f t="shared" si="191"/>
        <v>21.970285714285708</v>
      </c>
      <c r="Y756" s="342">
        <f t="shared" si="192"/>
        <v>6.1028571428571468</v>
      </c>
      <c r="Z756" s="46">
        <f t="shared" si="193"/>
        <v>2.0139428571428568</v>
      </c>
      <c r="AA756" s="46">
        <f t="shared" si="194"/>
        <v>9.2763428571428541</v>
      </c>
      <c r="AB756" s="43"/>
      <c r="AC756" s="44">
        <v>128.15999999999997</v>
      </c>
      <c r="AD756" s="31">
        <v>0.18</v>
      </c>
      <c r="AE756" s="31">
        <v>0.05</v>
      </c>
      <c r="AF756" s="31">
        <v>0</v>
      </c>
      <c r="AG756" s="28" t="s">
        <v>53</v>
      </c>
      <c r="AH756" s="46">
        <f t="shared" si="195"/>
        <v>134.56799999999998</v>
      </c>
      <c r="AI756" s="43"/>
      <c r="AJ756" s="28"/>
      <c r="AK756" s="337"/>
      <c r="AL756" s="43"/>
      <c r="AM756" s="44">
        <f t="shared" si="196"/>
        <v>0</v>
      </c>
      <c r="AN756" s="43"/>
      <c r="AO756" s="28">
        <f t="shared" si="197"/>
        <v>0</v>
      </c>
      <c r="AP756" s="43"/>
      <c r="AQ756" s="323">
        <f t="shared" si="198"/>
        <v>0</v>
      </c>
      <c r="AR756" s="43"/>
      <c r="AS756" s="44">
        <f t="shared" si="199"/>
        <v>134.56799999999998</v>
      </c>
    </row>
    <row r="757" spans="1:45" x14ac:dyDescent="0.25">
      <c r="A757" s="28"/>
      <c r="B757" s="43"/>
      <c r="C757" s="43"/>
      <c r="D757" s="43"/>
      <c r="E757" s="43" t="s">
        <v>1696</v>
      </c>
      <c r="F757" s="43" t="s">
        <v>1697</v>
      </c>
      <c r="G757" s="46">
        <f t="shared" si="186"/>
        <v>109.47000000000001</v>
      </c>
      <c r="H757" s="46">
        <f t="shared" si="187"/>
        <v>97.121250000000018</v>
      </c>
      <c r="I757" s="28" t="s">
        <v>262</v>
      </c>
      <c r="J757" s="337">
        <v>1</v>
      </c>
      <c r="K757" s="46">
        <f t="shared" si="188"/>
        <v>109.47000000000001</v>
      </c>
      <c r="L757" s="46">
        <f t="shared" si="189"/>
        <v>97.121250000000018</v>
      </c>
      <c r="M757" s="338">
        <f t="shared" si="190"/>
        <v>0</v>
      </c>
      <c r="N757" s="43" t="s">
        <v>148</v>
      </c>
      <c r="O757" s="339">
        <v>74071010</v>
      </c>
      <c r="P757" s="340">
        <f>IFERROR(VLOOKUP(O757,NCM!$A$3:$D$99,COLUMN(head_porNCM_IPI)-COLUMN(head_porNCM_NCM)+1,FALSE),"")</f>
        <v>0.05</v>
      </c>
      <c r="Q757" s="43"/>
      <c r="R757" s="78" t="s">
        <v>209</v>
      </c>
      <c r="S757" s="341">
        <v>1.1125</v>
      </c>
      <c r="T757" s="28" t="s">
        <v>53</v>
      </c>
      <c r="U757" s="28" t="s">
        <v>1900</v>
      </c>
      <c r="V757" s="548">
        <v>43859</v>
      </c>
      <c r="W757" s="43"/>
      <c r="X757" s="342">
        <f t="shared" si="191"/>
        <v>22.885714285714283</v>
      </c>
      <c r="Y757" s="342">
        <f t="shared" si="192"/>
        <v>6.3571428571428612</v>
      </c>
      <c r="Z757" s="46">
        <f t="shared" si="193"/>
        <v>2.0978571428571429</v>
      </c>
      <c r="AA757" s="46">
        <f t="shared" si="194"/>
        <v>9.6628571428571419</v>
      </c>
      <c r="AB757" s="43"/>
      <c r="AC757" s="44">
        <v>133.5</v>
      </c>
      <c r="AD757" s="31">
        <v>0.18</v>
      </c>
      <c r="AE757" s="31">
        <v>0.05</v>
      </c>
      <c r="AF757" s="31">
        <v>0</v>
      </c>
      <c r="AG757" s="28" t="s">
        <v>53</v>
      </c>
      <c r="AH757" s="46">
        <f t="shared" si="195"/>
        <v>140.17500000000001</v>
      </c>
      <c r="AI757" s="43"/>
      <c r="AJ757" s="28"/>
      <c r="AK757" s="337"/>
      <c r="AL757" s="43"/>
      <c r="AM757" s="44">
        <f t="shared" si="196"/>
        <v>0</v>
      </c>
      <c r="AN757" s="43"/>
      <c r="AO757" s="28">
        <f t="shared" si="197"/>
        <v>0</v>
      </c>
      <c r="AP757" s="43"/>
      <c r="AQ757" s="323">
        <f t="shared" si="198"/>
        <v>0</v>
      </c>
      <c r="AR757" s="43"/>
      <c r="AS757" s="44">
        <f t="shared" si="199"/>
        <v>140.17500000000001</v>
      </c>
    </row>
    <row r="758" spans="1:45" x14ac:dyDescent="0.25">
      <c r="A758" s="28"/>
      <c r="B758" s="43"/>
      <c r="C758" s="43"/>
      <c r="D758" s="43"/>
      <c r="E758" s="43" t="s">
        <v>1698</v>
      </c>
      <c r="F758" s="43" t="s">
        <v>1699</v>
      </c>
      <c r="G758" s="46">
        <f t="shared" si="186"/>
        <v>131.364</v>
      </c>
      <c r="H758" s="46">
        <f t="shared" si="187"/>
        <v>116.54550000000002</v>
      </c>
      <c r="I758" s="28" t="s">
        <v>262</v>
      </c>
      <c r="J758" s="337">
        <v>1</v>
      </c>
      <c r="K758" s="46">
        <f t="shared" si="188"/>
        <v>131.364</v>
      </c>
      <c r="L758" s="46">
        <f t="shared" si="189"/>
        <v>116.54550000000002</v>
      </c>
      <c r="M758" s="338">
        <f t="shared" si="190"/>
        <v>0</v>
      </c>
      <c r="N758" s="43" t="s">
        <v>148</v>
      </c>
      <c r="O758" s="339">
        <v>74071010</v>
      </c>
      <c r="P758" s="340">
        <f>IFERROR(VLOOKUP(O758,NCM!$A$3:$D$99,COLUMN(head_porNCM_IPI)-COLUMN(head_porNCM_NCM)+1,FALSE),"")</f>
        <v>0.05</v>
      </c>
      <c r="Q758" s="43"/>
      <c r="R758" s="78" t="s">
        <v>209</v>
      </c>
      <c r="S758" s="341">
        <v>1.335</v>
      </c>
      <c r="T758" s="28" t="s">
        <v>53</v>
      </c>
      <c r="U758" s="28" t="s">
        <v>1900</v>
      </c>
      <c r="V758" s="548">
        <v>43859</v>
      </c>
      <c r="W758" s="43"/>
      <c r="X758" s="342">
        <f t="shared" si="191"/>
        <v>27.462857142857139</v>
      </c>
      <c r="Y758" s="342">
        <f t="shared" si="192"/>
        <v>7.6285714285714334</v>
      </c>
      <c r="Z758" s="46">
        <f t="shared" si="193"/>
        <v>2.5174285714285713</v>
      </c>
      <c r="AA758" s="46">
        <f t="shared" si="194"/>
        <v>11.59542857142857</v>
      </c>
      <c r="AB758" s="43"/>
      <c r="AC758" s="44">
        <v>160.19999999999999</v>
      </c>
      <c r="AD758" s="31">
        <v>0.18</v>
      </c>
      <c r="AE758" s="31">
        <v>0.05</v>
      </c>
      <c r="AF758" s="31">
        <v>0</v>
      </c>
      <c r="AG758" s="28" t="s">
        <v>53</v>
      </c>
      <c r="AH758" s="46">
        <f t="shared" si="195"/>
        <v>168.21</v>
      </c>
      <c r="AI758" s="43"/>
      <c r="AJ758" s="28"/>
      <c r="AK758" s="337"/>
      <c r="AL758" s="43"/>
      <c r="AM758" s="44">
        <f t="shared" si="196"/>
        <v>0</v>
      </c>
      <c r="AN758" s="43"/>
      <c r="AO758" s="28">
        <f t="shared" si="197"/>
        <v>0</v>
      </c>
      <c r="AP758" s="43"/>
      <c r="AQ758" s="323">
        <f t="shared" si="198"/>
        <v>0</v>
      </c>
      <c r="AR758" s="43"/>
      <c r="AS758" s="44">
        <f t="shared" si="199"/>
        <v>168.21</v>
      </c>
    </row>
    <row r="759" spans="1:45" x14ac:dyDescent="0.25">
      <c r="A759" s="28"/>
      <c r="B759" s="43"/>
      <c r="C759" s="43"/>
      <c r="D759" s="43"/>
      <c r="E759" s="43" t="s">
        <v>1700</v>
      </c>
      <c r="F759" s="43" t="s">
        <v>1701</v>
      </c>
      <c r="G759" s="46">
        <f t="shared" si="186"/>
        <v>175.15200000000002</v>
      </c>
      <c r="H759" s="46">
        <f t="shared" si="187"/>
        <v>155.39400000000003</v>
      </c>
      <c r="I759" s="28" t="s">
        <v>262</v>
      </c>
      <c r="J759" s="337">
        <v>1</v>
      </c>
      <c r="K759" s="46">
        <f t="shared" si="188"/>
        <v>175.15200000000002</v>
      </c>
      <c r="L759" s="46">
        <f t="shared" si="189"/>
        <v>155.39400000000003</v>
      </c>
      <c r="M759" s="338">
        <f t="shared" si="190"/>
        <v>0</v>
      </c>
      <c r="N759" s="43" t="s">
        <v>148</v>
      </c>
      <c r="O759" s="339">
        <v>74071010</v>
      </c>
      <c r="P759" s="340">
        <f>IFERROR(VLOOKUP(O759,NCM!$A$3:$D$99,COLUMN(head_porNCM_IPI)-COLUMN(head_porNCM_NCM)+1,FALSE),"")</f>
        <v>0.05</v>
      </c>
      <c r="Q759" s="43"/>
      <c r="R759" s="78" t="s">
        <v>209</v>
      </c>
      <c r="S759" s="341">
        <v>1.78</v>
      </c>
      <c r="T759" s="28" t="s">
        <v>53</v>
      </c>
      <c r="U759" s="28" t="s">
        <v>1900</v>
      </c>
      <c r="V759" s="548">
        <v>43859</v>
      </c>
      <c r="W759" s="43"/>
      <c r="X759" s="342">
        <f t="shared" si="191"/>
        <v>36.617142857142852</v>
      </c>
      <c r="Y759" s="342">
        <f t="shared" si="192"/>
        <v>10.171428571428578</v>
      </c>
      <c r="Z759" s="46">
        <f t="shared" si="193"/>
        <v>3.3565714285714283</v>
      </c>
      <c r="AA759" s="46">
        <f t="shared" si="194"/>
        <v>15.460571428571427</v>
      </c>
      <c r="AB759" s="43"/>
      <c r="AC759" s="44">
        <v>213.6</v>
      </c>
      <c r="AD759" s="31">
        <v>0.18</v>
      </c>
      <c r="AE759" s="31">
        <v>0.05</v>
      </c>
      <c r="AF759" s="31">
        <v>0</v>
      </c>
      <c r="AG759" s="28" t="s">
        <v>53</v>
      </c>
      <c r="AH759" s="46">
        <f t="shared" si="195"/>
        <v>224.28</v>
      </c>
      <c r="AI759" s="43"/>
      <c r="AJ759" s="28"/>
      <c r="AK759" s="337"/>
      <c r="AL759" s="43"/>
      <c r="AM759" s="44">
        <f t="shared" si="196"/>
        <v>0</v>
      </c>
      <c r="AN759" s="43"/>
      <c r="AO759" s="28">
        <f t="shared" si="197"/>
        <v>0</v>
      </c>
      <c r="AP759" s="43"/>
      <c r="AQ759" s="323">
        <f t="shared" si="198"/>
        <v>0</v>
      </c>
      <c r="AR759" s="43"/>
      <c r="AS759" s="44">
        <f t="shared" si="199"/>
        <v>224.28</v>
      </c>
    </row>
    <row r="760" spans="1:45" x14ac:dyDescent="0.25">
      <c r="A760" s="28"/>
      <c r="B760" s="43"/>
      <c r="C760" s="43"/>
      <c r="D760" s="43"/>
      <c r="E760" s="43" t="s">
        <v>1702</v>
      </c>
      <c r="F760" s="43" t="s">
        <v>1703</v>
      </c>
      <c r="G760" s="46">
        <f t="shared" ref="G760:G823" si="200">AC760*(1-AD760)</f>
        <v>175.15200000000002</v>
      </c>
      <c r="H760" s="46">
        <f t="shared" ref="H760:H823" si="201">AC760*(1-AD760-pis_naocum-cofins_naocum)</f>
        <v>155.39400000000003</v>
      </c>
      <c r="I760" s="28" t="s">
        <v>262</v>
      </c>
      <c r="J760" s="337">
        <v>1</v>
      </c>
      <c r="K760" s="46">
        <f t="shared" ref="K760:K823" si="202">IFERROR(G760*J760*VLOOKUP(I760,tbl_cambio,2,FALSE),"")</f>
        <v>175.15200000000002</v>
      </c>
      <c r="L760" s="46">
        <f t="shared" ref="L760:L823" si="203">IFERROR(H760*J760*VLOOKUP(I760,tbl_cambio,2,FALSE),"")</f>
        <v>155.39400000000003</v>
      </c>
      <c r="M760" s="338">
        <f t="shared" ref="M760:M823" si="204">SUMIF(col_item,"="&amp;E760,col_qtd)</f>
        <v>0</v>
      </c>
      <c r="N760" s="43" t="s">
        <v>148</v>
      </c>
      <c r="O760" s="339">
        <v>74071010</v>
      </c>
      <c r="P760" s="340">
        <f>IFERROR(VLOOKUP(O760,NCM!$A$3:$D$99,COLUMN(head_porNCM_IPI)-COLUMN(head_porNCM_NCM)+1,FALSE),"")</f>
        <v>0.05</v>
      </c>
      <c r="Q760" s="43"/>
      <c r="R760" s="78" t="s">
        <v>209</v>
      </c>
      <c r="S760" s="341">
        <v>1.78</v>
      </c>
      <c r="T760" s="28" t="s">
        <v>53</v>
      </c>
      <c r="U760" s="28" t="s">
        <v>1900</v>
      </c>
      <c r="V760" s="548">
        <v>43859</v>
      </c>
      <c r="W760" s="43"/>
      <c r="X760" s="342">
        <f t="shared" ref="X760:X823" si="205">(AC760-Y760)*AD760</f>
        <v>36.617142857142852</v>
      </c>
      <c r="Y760" s="342">
        <f t="shared" ref="Y760:Y823" si="206">AC760-AC760/(1+AE760)</f>
        <v>10.171428571428578</v>
      </c>
      <c r="Z760" s="46">
        <f t="shared" ref="Z760:Z823" si="207">(AC760-Y760)*pis_naocum</f>
        <v>3.3565714285714283</v>
      </c>
      <c r="AA760" s="46">
        <f t="shared" ref="AA760:AA823" si="208">(AC760-Y760)*cofins_naocum</f>
        <v>15.460571428571427</v>
      </c>
      <c r="AB760" s="43"/>
      <c r="AC760" s="44">
        <v>213.6</v>
      </c>
      <c r="AD760" s="31">
        <v>0.18</v>
      </c>
      <c r="AE760" s="31">
        <v>0.05</v>
      </c>
      <c r="AF760" s="31">
        <v>0</v>
      </c>
      <c r="AG760" s="28" t="s">
        <v>53</v>
      </c>
      <c r="AH760" s="46">
        <f t="shared" ref="AH760:AH823" si="209">AC760*(1+AE760)</f>
        <v>224.28</v>
      </c>
      <c r="AI760" s="43"/>
      <c r="AJ760" s="28"/>
      <c r="AK760" s="337"/>
      <c r="AL760" s="43"/>
      <c r="AM760" s="44">
        <f t="shared" ref="AM760:AM823" si="210">IF(AND(AJ760&lt;&gt;"",AK760&gt;0),AQ760*(VLOOKUP(AJ760,tbl_cambio,2,FALSE)/AK760-1),0)</f>
        <v>0</v>
      </c>
      <c r="AN760" s="43"/>
      <c r="AO760" s="28">
        <f t="shared" ref="AO760:AO823" si="211">IF(T760="Sim",ROUNDUP(M760*sobress_pc,0),0)</f>
        <v>0</v>
      </c>
      <c r="AP760" s="43"/>
      <c r="AQ760" s="323">
        <f t="shared" ref="AQ760:AQ823" si="212">SUMIFS(col_custoTotal,col_fatdir,"Não",col_item,E760)</f>
        <v>0</v>
      </c>
      <c r="AR760" s="43"/>
      <c r="AS760" s="44">
        <f t="shared" ref="AS760:AS823" si="213">IFERROR(AH760*VLOOKUP(I760,tbl_cambio,2,FALSE),0)</f>
        <v>224.28</v>
      </c>
    </row>
    <row r="761" spans="1:45" x14ac:dyDescent="0.25">
      <c r="A761" s="28"/>
      <c r="B761" s="43"/>
      <c r="C761" s="43"/>
      <c r="D761" s="43"/>
      <c r="E761" s="43" t="s">
        <v>1704</v>
      </c>
      <c r="F761" s="43" t="s">
        <v>1705</v>
      </c>
      <c r="G761" s="46">
        <f t="shared" si="200"/>
        <v>218.94000000000003</v>
      </c>
      <c r="H761" s="46">
        <f t="shared" si="201"/>
        <v>194.24250000000004</v>
      </c>
      <c r="I761" s="28" t="s">
        <v>262</v>
      </c>
      <c r="J761" s="337">
        <v>1</v>
      </c>
      <c r="K761" s="46">
        <f t="shared" si="202"/>
        <v>218.94000000000003</v>
      </c>
      <c r="L761" s="46">
        <f t="shared" si="203"/>
        <v>194.24250000000004</v>
      </c>
      <c r="M761" s="338">
        <f t="shared" si="204"/>
        <v>0</v>
      </c>
      <c r="N761" s="43" t="s">
        <v>148</v>
      </c>
      <c r="O761" s="339">
        <v>74071010</v>
      </c>
      <c r="P761" s="340">
        <f>IFERROR(VLOOKUP(O761,NCM!$A$3:$D$99,COLUMN(head_porNCM_IPI)-COLUMN(head_porNCM_NCM)+1,FALSE),"")</f>
        <v>0.05</v>
      </c>
      <c r="Q761" s="43"/>
      <c r="R761" s="78" t="s">
        <v>209</v>
      </c>
      <c r="S761" s="341">
        <v>2.2250000000000001</v>
      </c>
      <c r="T761" s="28" t="s">
        <v>53</v>
      </c>
      <c r="U761" s="28" t="s">
        <v>1900</v>
      </c>
      <c r="V761" s="548">
        <v>43859</v>
      </c>
      <c r="W761" s="43"/>
      <c r="X761" s="342">
        <f t="shared" si="205"/>
        <v>45.771428571428565</v>
      </c>
      <c r="Y761" s="342">
        <f t="shared" si="206"/>
        <v>12.714285714285722</v>
      </c>
      <c r="Z761" s="46">
        <f t="shared" si="207"/>
        <v>4.1957142857142857</v>
      </c>
      <c r="AA761" s="46">
        <f t="shared" si="208"/>
        <v>19.325714285714284</v>
      </c>
      <c r="AB761" s="43"/>
      <c r="AC761" s="44">
        <v>267</v>
      </c>
      <c r="AD761" s="31">
        <v>0.18</v>
      </c>
      <c r="AE761" s="31">
        <v>0.05</v>
      </c>
      <c r="AF761" s="31">
        <v>0</v>
      </c>
      <c r="AG761" s="28" t="s">
        <v>53</v>
      </c>
      <c r="AH761" s="46">
        <f t="shared" si="209"/>
        <v>280.35000000000002</v>
      </c>
      <c r="AI761" s="43"/>
      <c r="AJ761" s="28"/>
      <c r="AK761" s="337"/>
      <c r="AL761" s="43"/>
      <c r="AM761" s="44">
        <f t="shared" si="210"/>
        <v>0</v>
      </c>
      <c r="AN761" s="43"/>
      <c r="AO761" s="28">
        <f t="shared" si="211"/>
        <v>0</v>
      </c>
      <c r="AP761" s="43"/>
      <c r="AQ761" s="323">
        <f t="shared" si="212"/>
        <v>0</v>
      </c>
      <c r="AR761" s="43"/>
      <c r="AS761" s="44">
        <f t="shared" si="213"/>
        <v>280.35000000000002</v>
      </c>
    </row>
    <row r="762" spans="1:45" x14ac:dyDescent="0.25">
      <c r="A762" s="28"/>
      <c r="B762" s="43"/>
      <c r="C762" s="43"/>
      <c r="D762" s="43"/>
      <c r="E762" s="43" t="s">
        <v>1706</v>
      </c>
      <c r="F762" s="43" t="s">
        <v>1707</v>
      </c>
      <c r="G762" s="46">
        <f t="shared" si="200"/>
        <v>262.72800000000001</v>
      </c>
      <c r="H762" s="46">
        <f t="shared" si="201"/>
        <v>233.09100000000004</v>
      </c>
      <c r="I762" s="28" t="s">
        <v>262</v>
      </c>
      <c r="J762" s="337">
        <v>1</v>
      </c>
      <c r="K762" s="46">
        <f t="shared" si="202"/>
        <v>262.72800000000001</v>
      </c>
      <c r="L762" s="46">
        <f t="shared" si="203"/>
        <v>233.09100000000004</v>
      </c>
      <c r="M762" s="338">
        <f t="shared" si="204"/>
        <v>0</v>
      </c>
      <c r="N762" s="43" t="s">
        <v>148</v>
      </c>
      <c r="O762" s="339">
        <v>74071010</v>
      </c>
      <c r="P762" s="340">
        <f>IFERROR(VLOOKUP(O762,NCM!$A$3:$D$99,COLUMN(head_porNCM_IPI)-COLUMN(head_porNCM_NCM)+1,FALSE),"")</f>
        <v>0.05</v>
      </c>
      <c r="Q762" s="43"/>
      <c r="R762" s="78" t="s">
        <v>209</v>
      </c>
      <c r="S762" s="341">
        <v>2.67</v>
      </c>
      <c r="T762" s="28" t="s">
        <v>53</v>
      </c>
      <c r="U762" s="28" t="s">
        <v>1900</v>
      </c>
      <c r="V762" s="548">
        <v>43859</v>
      </c>
      <c r="W762" s="43"/>
      <c r="X762" s="342">
        <f t="shared" si="205"/>
        <v>54.925714285714278</v>
      </c>
      <c r="Y762" s="342">
        <f t="shared" si="206"/>
        <v>15.257142857142867</v>
      </c>
      <c r="Z762" s="46">
        <f t="shared" si="207"/>
        <v>5.0348571428571427</v>
      </c>
      <c r="AA762" s="46">
        <f t="shared" si="208"/>
        <v>23.190857142857141</v>
      </c>
      <c r="AB762" s="43"/>
      <c r="AC762" s="44">
        <v>320.39999999999998</v>
      </c>
      <c r="AD762" s="31">
        <v>0.18</v>
      </c>
      <c r="AE762" s="31">
        <v>0.05</v>
      </c>
      <c r="AF762" s="31">
        <v>0</v>
      </c>
      <c r="AG762" s="28" t="s">
        <v>53</v>
      </c>
      <c r="AH762" s="46">
        <f t="shared" si="209"/>
        <v>336.42</v>
      </c>
      <c r="AI762" s="43"/>
      <c r="AJ762" s="28"/>
      <c r="AK762" s="337"/>
      <c r="AL762" s="43"/>
      <c r="AM762" s="44">
        <f t="shared" si="210"/>
        <v>0</v>
      </c>
      <c r="AN762" s="43"/>
      <c r="AO762" s="28">
        <f t="shared" si="211"/>
        <v>0</v>
      </c>
      <c r="AP762" s="43"/>
      <c r="AQ762" s="323">
        <f t="shared" si="212"/>
        <v>0</v>
      </c>
      <c r="AR762" s="43"/>
      <c r="AS762" s="44">
        <f t="shared" si="213"/>
        <v>336.42</v>
      </c>
    </row>
    <row r="763" spans="1:45" x14ac:dyDescent="0.25">
      <c r="A763" s="28"/>
      <c r="B763" s="43"/>
      <c r="C763" s="43"/>
      <c r="D763" s="43"/>
      <c r="E763" s="43" t="s">
        <v>1708</v>
      </c>
      <c r="F763" s="43" t="s">
        <v>1709</v>
      </c>
      <c r="G763" s="46">
        <f t="shared" si="200"/>
        <v>262.72800000000001</v>
      </c>
      <c r="H763" s="46">
        <f t="shared" si="201"/>
        <v>233.09100000000004</v>
      </c>
      <c r="I763" s="28" t="s">
        <v>262</v>
      </c>
      <c r="J763" s="337">
        <v>1</v>
      </c>
      <c r="K763" s="46">
        <f t="shared" si="202"/>
        <v>262.72800000000001</v>
      </c>
      <c r="L763" s="46">
        <f t="shared" si="203"/>
        <v>233.09100000000004</v>
      </c>
      <c r="M763" s="338">
        <f t="shared" si="204"/>
        <v>0</v>
      </c>
      <c r="N763" s="43" t="s">
        <v>148</v>
      </c>
      <c r="O763" s="339">
        <v>74071010</v>
      </c>
      <c r="P763" s="340">
        <f>IFERROR(VLOOKUP(O763,NCM!$A$3:$D$99,COLUMN(head_porNCM_IPI)-COLUMN(head_porNCM_NCM)+1,FALSE),"")</f>
        <v>0.05</v>
      </c>
      <c r="Q763" s="43"/>
      <c r="R763" s="78" t="s">
        <v>209</v>
      </c>
      <c r="S763" s="341">
        <v>2.67</v>
      </c>
      <c r="T763" s="28" t="s">
        <v>53</v>
      </c>
      <c r="U763" s="28" t="s">
        <v>1900</v>
      </c>
      <c r="V763" s="548">
        <v>43859</v>
      </c>
      <c r="W763" s="43"/>
      <c r="X763" s="342">
        <f t="shared" si="205"/>
        <v>54.925714285714278</v>
      </c>
      <c r="Y763" s="342">
        <f t="shared" si="206"/>
        <v>15.257142857142867</v>
      </c>
      <c r="Z763" s="46">
        <f t="shared" si="207"/>
        <v>5.0348571428571427</v>
      </c>
      <c r="AA763" s="46">
        <f t="shared" si="208"/>
        <v>23.190857142857141</v>
      </c>
      <c r="AB763" s="43"/>
      <c r="AC763" s="44">
        <v>320.39999999999998</v>
      </c>
      <c r="AD763" s="31">
        <v>0.18</v>
      </c>
      <c r="AE763" s="31">
        <v>0.05</v>
      </c>
      <c r="AF763" s="31">
        <v>0</v>
      </c>
      <c r="AG763" s="28" t="s">
        <v>53</v>
      </c>
      <c r="AH763" s="46">
        <f t="shared" si="209"/>
        <v>336.42</v>
      </c>
      <c r="AI763" s="43"/>
      <c r="AJ763" s="28"/>
      <c r="AK763" s="337"/>
      <c r="AL763" s="43"/>
      <c r="AM763" s="44">
        <f t="shared" si="210"/>
        <v>0</v>
      </c>
      <c r="AN763" s="43"/>
      <c r="AO763" s="28">
        <f t="shared" si="211"/>
        <v>0</v>
      </c>
      <c r="AP763" s="43"/>
      <c r="AQ763" s="323">
        <f t="shared" si="212"/>
        <v>0</v>
      </c>
      <c r="AR763" s="43"/>
      <c r="AS763" s="44">
        <f t="shared" si="213"/>
        <v>336.42</v>
      </c>
    </row>
    <row r="764" spans="1:45" x14ac:dyDescent="0.25">
      <c r="A764" s="28"/>
      <c r="B764" s="43"/>
      <c r="C764" s="43"/>
      <c r="D764" s="43"/>
      <c r="E764" s="43" t="s">
        <v>1710</v>
      </c>
      <c r="F764" s="43" t="s">
        <v>1711</v>
      </c>
      <c r="G764" s="46">
        <f t="shared" si="200"/>
        <v>350.30400000000003</v>
      </c>
      <c r="H764" s="46">
        <f t="shared" si="201"/>
        <v>310.78800000000007</v>
      </c>
      <c r="I764" s="28" t="s">
        <v>262</v>
      </c>
      <c r="J764" s="337">
        <v>1</v>
      </c>
      <c r="K764" s="46">
        <f t="shared" si="202"/>
        <v>350.30400000000003</v>
      </c>
      <c r="L764" s="46">
        <f t="shared" si="203"/>
        <v>310.78800000000007</v>
      </c>
      <c r="M764" s="338">
        <f t="shared" si="204"/>
        <v>0</v>
      </c>
      <c r="N764" s="43" t="s">
        <v>148</v>
      </c>
      <c r="O764" s="339">
        <v>74071010</v>
      </c>
      <c r="P764" s="340">
        <f>IFERROR(VLOOKUP(O764,NCM!$A$3:$D$99,COLUMN(head_porNCM_IPI)-COLUMN(head_porNCM_NCM)+1,FALSE),"")</f>
        <v>0.05</v>
      </c>
      <c r="Q764" s="43"/>
      <c r="R764" s="78" t="s">
        <v>209</v>
      </c>
      <c r="S764" s="341">
        <v>3.56</v>
      </c>
      <c r="T764" s="28" t="s">
        <v>53</v>
      </c>
      <c r="U764" s="28" t="s">
        <v>1900</v>
      </c>
      <c r="V764" s="548">
        <v>43859</v>
      </c>
      <c r="W764" s="43"/>
      <c r="X764" s="342">
        <f t="shared" si="205"/>
        <v>73.234285714285704</v>
      </c>
      <c r="Y764" s="342">
        <f t="shared" si="206"/>
        <v>20.342857142857156</v>
      </c>
      <c r="Z764" s="46">
        <f t="shared" si="207"/>
        <v>6.7131428571428566</v>
      </c>
      <c r="AA764" s="46">
        <f t="shared" si="208"/>
        <v>30.921142857142854</v>
      </c>
      <c r="AB764" s="43"/>
      <c r="AC764" s="44">
        <v>427.2</v>
      </c>
      <c r="AD764" s="31">
        <v>0.18</v>
      </c>
      <c r="AE764" s="31">
        <v>0.05</v>
      </c>
      <c r="AF764" s="31">
        <v>0</v>
      </c>
      <c r="AG764" s="28" t="s">
        <v>53</v>
      </c>
      <c r="AH764" s="46">
        <f t="shared" si="209"/>
        <v>448.56</v>
      </c>
      <c r="AI764" s="43"/>
      <c r="AJ764" s="28"/>
      <c r="AK764" s="337"/>
      <c r="AL764" s="43"/>
      <c r="AM764" s="44">
        <f t="shared" si="210"/>
        <v>0</v>
      </c>
      <c r="AN764" s="43"/>
      <c r="AO764" s="28">
        <f t="shared" si="211"/>
        <v>0</v>
      </c>
      <c r="AP764" s="43"/>
      <c r="AQ764" s="323">
        <f t="shared" si="212"/>
        <v>0</v>
      </c>
      <c r="AR764" s="43"/>
      <c r="AS764" s="44">
        <f t="shared" si="213"/>
        <v>448.56</v>
      </c>
    </row>
    <row r="765" spans="1:45" x14ac:dyDescent="0.25">
      <c r="A765" s="28"/>
      <c r="B765" s="43"/>
      <c r="C765" s="43"/>
      <c r="D765" s="43"/>
      <c r="E765" s="43" t="s">
        <v>1712</v>
      </c>
      <c r="F765" s="43" t="s">
        <v>1713</v>
      </c>
      <c r="G765" s="46">
        <f t="shared" si="200"/>
        <v>350.30400000000003</v>
      </c>
      <c r="H765" s="46">
        <f t="shared" si="201"/>
        <v>310.78800000000007</v>
      </c>
      <c r="I765" s="28" t="s">
        <v>262</v>
      </c>
      <c r="J765" s="337">
        <v>1</v>
      </c>
      <c r="K765" s="46">
        <f t="shared" si="202"/>
        <v>350.30400000000003</v>
      </c>
      <c r="L765" s="46">
        <f t="shared" si="203"/>
        <v>310.78800000000007</v>
      </c>
      <c r="M765" s="338">
        <f t="shared" si="204"/>
        <v>0</v>
      </c>
      <c r="N765" s="43" t="s">
        <v>148</v>
      </c>
      <c r="O765" s="339">
        <v>74071010</v>
      </c>
      <c r="P765" s="340">
        <f>IFERROR(VLOOKUP(O765,NCM!$A$3:$D$99,COLUMN(head_porNCM_IPI)-COLUMN(head_porNCM_NCM)+1,FALSE),"")</f>
        <v>0.05</v>
      </c>
      <c r="Q765" s="43"/>
      <c r="R765" s="78" t="s">
        <v>209</v>
      </c>
      <c r="S765" s="341">
        <v>3.56</v>
      </c>
      <c r="T765" s="28" t="s">
        <v>53</v>
      </c>
      <c r="U765" s="28" t="s">
        <v>1900</v>
      </c>
      <c r="V765" s="548">
        <v>43859</v>
      </c>
      <c r="W765" s="43"/>
      <c r="X765" s="342">
        <f t="shared" si="205"/>
        <v>73.234285714285704</v>
      </c>
      <c r="Y765" s="342">
        <f t="shared" si="206"/>
        <v>20.342857142857156</v>
      </c>
      <c r="Z765" s="46">
        <f t="shared" si="207"/>
        <v>6.7131428571428566</v>
      </c>
      <c r="AA765" s="46">
        <f t="shared" si="208"/>
        <v>30.921142857142854</v>
      </c>
      <c r="AB765" s="43"/>
      <c r="AC765" s="44">
        <v>427.2</v>
      </c>
      <c r="AD765" s="31">
        <v>0.18</v>
      </c>
      <c r="AE765" s="31">
        <v>0.05</v>
      </c>
      <c r="AF765" s="31">
        <v>0</v>
      </c>
      <c r="AG765" s="28" t="s">
        <v>53</v>
      </c>
      <c r="AH765" s="46">
        <f t="shared" si="209"/>
        <v>448.56</v>
      </c>
      <c r="AI765" s="43"/>
      <c r="AJ765" s="28"/>
      <c r="AK765" s="337"/>
      <c r="AL765" s="43"/>
      <c r="AM765" s="44">
        <f t="shared" si="210"/>
        <v>0</v>
      </c>
      <c r="AN765" s="43"/>
      <c r="AO765" s="28">
        <f t="shared" si="211"/>
        <v>0</v>
      </c>
      <c r="AP765" s="43"/>
      <c r="AQ765" s="323">
        <f t="shared" si="212"/>
        <v>0</v>
      </c>
      <c r="AR765" s="43"/>
      <c r="AS765" s="44">
        <f t="shared" si="213"/>
        <v>448.56</v>
      </c>
    </row>
    <row r="766" spans="1:45" x14ac:dyDescent="0.25">
      <c r="A766" s="28"/>
      <c r="B766" s="43"/>
      <c r="C766" s="43"/>
      <c r="D766" s="43"/>
      <c r="E766" s="43" t="s">
        <v>1714</v>
      </c>
      <c r="F766" s="43" t="s">
        <v>1715</v>
      </c>
      <c r="G766" s="46">
        <f t="shared" si="200"/>
        <v>437.88000000000005</v>
      </c>
      <c r="H766" s="46">
        <f t="shared" si="201"/>
        <v>388.48500000000007</v>
      </c>
      <c r="I766" s="28" t="s">
        <v>262</v>
      </c>
      <c r="J766" s="337">
        <v>1</v>
      </c>
      <c r="K766" s="46">
        <f t="shared" si="202"/>
        <v>437.88000000000005</v>
      </c>
      <c r="L766" s="46">
        <f t="shared" si="203"/>
        <v>388.48500000000007</v>
      </c>
      <c r="M766" s="338">
        <f t="shared" si="204"/>
        <v>0</v>
      </c>
      <c r="N766" s="43" t="s">
        <v>148</v>
      </c>
      <c r="O766" s="339">
        <v>74071010</v>
      </c>
      <c r="P766" s="340">
        <f>IFERROR(VLOOKUP(O766,NCM!$A$3:$D$99,COLUMN(head_porNCM_IPI)-COLUMN(head_porNCM_NCM)+1,FALSE),"")</f>
        <v>0.05</v>
      </c>
      <c r="Q766" s="43"/>
      <c r="R766" s="78" t="s">
        <v>209</v>
      </c>
      <c r="S766" s="341">
        <v>4.45</v>
      </c>
      <c r="T766" s="28" t="s">
        <v>53</v>
      </c>
      <c r="U766" s="28" t="s">
        <v>1900</v>
      </c>
      <c r="V766" s="548">
        <v>43859</v>
      </c>
      <c r="W766" s="43"/>
      <c r="X766" s="342">
        <f t="shared" si="205"/>
        <v>91.54285714285713</v>
      </c>
      <c r="Y766" s="342">
        <f t="shared" si="206"/>
        <v>25.428571428571445</v>
      </c>
      <c r="Z766" s="46">
        <f t="shared" si="207"/>
        <v>8.3914285714285715</v>
      </c>
      <c r="AA766" s="46">
        <f t="shared" si="208"/>
        <v>38.651428571428568</v>
      </c>
      <c r="AB766" s="43"/>
      <c r="AC766" s="44">
        <v>534</v>
      </c>
      <c r="AD766" s="31">
        <v>0.18</v>
      </c>
      <c r="AE766" s="31">
        <v>0.05</v>
      </c>
      <c r="AF766" s="31">
        <v>0</v>
      </c>
      <c r="AG766" s="28" t="s">
        <v>53</v>
      </c>
      <c r="AH766" s="46">
        <f t="shared" si="209"/>
        <v>560.70000000000005</v>
      </c>
      <c r="AI766" s="43"/>
      <c r="AJ766" s="28"/>
      <c r="AK766" s="337"/>
      <c r="AL766" s="43"/>
      <c r="AM766" s="44">
        <f t="shared" si="210"/>
        <v>0</v>
      </c>
      <c r="AN766" s="43"/>
      <c r="AO766" s="28">
        <f t="shared" si="211"/>
        <v>0</v>
      </c>
      <c r="AP766" s="43"/>
      <c r="AQ766" s="323">
        <f t="shared" si="212"/>
        <v>0</v>
      </c>
      <c r="AR766" s="43"/>
      <c r="AS766" s="44">
        <f t="shared" si="213"/>
        <v>560.70000000000005</v>
      </c>
    </row>
    <row r="767" spans="1:45" x14ac:dyDescent="0.25">
      <c r="A767" s="28"/>
      <c r="B767" s="43"/>
      <c r="C767" s="43"/>
      <c r="D767" s="43"/>
      <c r="E767" s="43" t="s">
        <v>1716</v>
      </c>
      <c r="F767" s="43" t="s">
        <v>1717</v>
      </c>
      <c r="G767" s="46">
        <f t="shared" si="200"/>
        <v>437.88000000000005</v>
      </c>
      <c r="H767" s="46">
        <f t="shared" si="201"/>
        <v>388.48500000000007</v>
      </c>
      <c r="I767" s="28" t="s">
        <v>262</v>
      </c>
      <c r="J767" s="337">
        <v>1</v>
      </c>
      <c r="K767" s="46">
        <f t="shared" si="202"/>
        <v>437.88000000000005</v>
      </c>
      <c r="L767" s="46">
        <f t="shared" si="203"/>
        <v>388.48500000000007</v>
      </c>
      <c r="M767" s="338">
        <f t="shared" si="204"/>
        <v>0</v>
      </c>
      <c r="N767" s="43" t="s">
        <v>148</v>
      </c>
      <c r="O767" s="339">
        <v>74071010</v>
      </c>
      <c r="P767" s="340">
        <f>IFERROR(VLOOKUP(O767,NCM!$A$3:$D$99,COLUMN(head_porNCM_IPI)-COLUMN(head_porNCM_NCM)+1,FALSE),"")</f>
        <v>0.05</v>
      </c>
      <c r="Q767" s="43"/>
      <c r="R767" s="78" t="s">
        <v>209</v>
      </c>
      <c r="S767" s="341">
        <v>4.45</v>
      </c>
      <c r="T767" s="28" t="s">
        <v>53</v>
      </c>
      <c r="U767" s="28" t="s">
        <v>1900</v>
      </c>
      <c r="V767" s="548">
        <v>43859</v>
      </c>
      <c r="W767" s="43"/>
      <c r="X767" s="342">
        <f t="shared" si="205"/>
        <v>91.54285714285713</v>
      </c>
      <c r="Y767" s="342">
        <f t="shared" si="206"/>
        <v>25.428571428571445</v>
      </c>
      <c r="Z767" s="46">
        <f t="shared" si="207"/>
        <v>8.3914285714285715</v>
      </c>
      <c r="AA767" s="46">
        <f t="shared" si="208"/>
        <v>38.651428571428568</v>
      </c>
      <c r="AB767" s="43"/>
      <c r="AC767" s="44">
        <v>534</v>
      </c>
      <c r="AD767" s="31">
        <v>0.18</v>
      </c>
      <c r="AE767" s="31">
        <v>0.05</v>
      </c>
      <c r="AF767" s="31">
        <v>0</v>
      </c>
      <c r="AG767" s="28" t="s">
        <v>53</v>
      </c>
      <c r="AH767" s="46">
        <f t="shared" si="209"/>
        <v>560.70000000000005</v>
      </c>
      <c r="AI767" s="43"/>
      <c r="AJ767" s="28"/>
      <c r="AK767" s="337"/>
      <c r="AL767" s="43"/>
      <c r="AM767" s="44">
        <f t="shared" si="210"/>
        <v>0</v>
      </c>
      <c r="AN767" s="43"/>
      <c r="AO767" s="28">
        <f t="shared" si="211"/>
        <v>0</v>
      </c>
      <c r="AP767" s="43"/>
      <c r="AQ767" s="323">
        <f t="shared" si="212"/>
        <v>0</v>
      </c>
      <c r="AR767" s="43"/>
      <c r="AS767" s="44">
        <f t="shared" si="213"/>
        <v>560.70000000000005</v>
      </c>
    </row>
    <row r="768" spans="1:45" x14ac:dyDescent="0.25">
      <c r="A768" s="28"/>
      <c r="B768" s="43"/>
      <c r="C768" s="43"/>
      <c r="D768" s="43"/>
      <c r="E768" s="43" t="s">
        <v>1718</v>
      </c>
      <c r="F768" s="43" t="s">
        <v>1719</v>
      </c>
      <c r="G768" s="46">
        <f t="shared" si="200"/>
        <v>525.45600000000002</v>
      </c>
      <c r="H768" s="46">
        <f t="shared" si="201"/>
        <v>466.18200000000007</v>
      </c>
      <c r="I768" s="28" t="s">
        <v>262</v>
      </c>
      <c r="J768" s="337">
        <v>1</v>
      </c>
      <c r="K768" s="46">
        <f t="shared" si="202"/>
        <v>525.45600000000002</v>
      </c>
      <c r="L768" s="46">
        <f t="shared" si="203"/>
        <v>466.18200000000007</v>
      </c>
      <c r="M768" s="338">
        <f t="shared" si="204"/>
        <v>0</v>
      </c>
      <c r="N768" s="43" t="s">
        <v>148</v>
      </c>
      <c r="O768" s="339">
        <v>74071010</v>
      </c>
      <c r="P768" s="340">
        <f>IFERROR(VLOOKUP(O768,NCM!$A$3:$D$99,COLUMN(head_porNCM_IPI)-COLUMN(head_porNCM_NCM)+1,FALSE),"")</f>
        <v>0.05</v>
      </c>
      <c r="Q768" s="43"/>
      <c r="R768" s="78" t="s">
        <v>209</v>
      </c>
      <c r="S768" s="341">
        <v>5.34</v>
      </c>
      <c r="T768" s="28" t="s">
        <v>53</v>
      </c>
      <c r="U768" s="28" t="s">
        <v>1900</v>
      </c>
      <c r="V768" s="548">
        <v>43859</v>
      </c>
      <c r="W768" s="43"/>
      <c r="X768" s="342">
        <f t="shared" si="205"/>
        <v>109.85142857142856</v>
      </c>
      <c r="Y768" s="342">
        <f t="shared" si="206"/>
        <v>30.514285714285734</v>
      </c>
      <c r="Z768" s="46">
        <f t="shared" si="207"/>
        <v>10.069714285714285</v>
      </c>
      <c r="AA768" s="46">
        <f t="shared" si="208"/>
        <v>46.381714285714281</v>
      </c>
      <c r="AB768" s="43"/>
      <c r="AC768" s="44">
        <v>640.79999999999995</v>
      </c>
      <c r="AD768" s="31">
        <v>0.18</v>
      </c>
      <c r="AE768" s="31">
        <v>0.05</v>
      </c>
      <c r="AF768" s="31">
        <v>0</v>
      </c>
      <c r="AG768" s="28" t="s">
        <v>53</v>
      </c>
      <c r="AH768" s="46">
        <f t="shared" si="209"/>
        <v>672.84</v>
      </c>
      <c r="AI768" s="43"/>
      <c r="AJ768" s="28"/>
      <c r="AK768" s="337"/>
      <c r="AL768" s="43"/>
      <c r="AM768" s="44">
        <f t="shared" si="210"/>
        <v>0</v>
      </c>
      <c r="AN768" s="43"/>
      <c r="AO768" s="28">
        <f t="shared" si="211"/>
        <v>0</v>
      </c>
      <c r="AP768" s="43"/>
      <c r="AQ768" s="323">
        <f t="shared" si="212"/>
        <v>0</v>
      </c>
      <c r="AR768" s="43"/>
      <c r="AS768" s="44">
        <f t="shared" si="213"/>
        <v>672.84</v>
      </c>
    </row>
    <row r="769" spans="1:45" x14ac:dyDescent="0.25">
      <c r="A769" s="28"/>
      <c r="B769" s="43"/>
      <c r="C769" s="43"/>
      <c r="D769" s="43"/>
      <c r="E769" s="43" t="s">
        <v>1720</v>
      </c>
      <c r="F769" s="43" t="s">
        <v>1721</v>
      </c>
      <c r="G769" s="46">
        <f t="shared" si="200"/>
        <v>700.60800000000006</v>
      </c>
      <c r="H769" s="46">
        <f t="shared" si="201"/>
        <v>621.57600000000014</v>
      </c>
      <c r="I769" s="28" t="s">
        <v>262</v>
      </c>
      <c r="J769" s="337">
        <v>1</v>
      </c>
      <c r="K769" s="46">
        <f t="shared" si="202"/>
        <v>700.60800000000006</v>
      </c>
      <c r="L769" s="46">
        <f t="shared" si="203"/>
        <v>621.57600000000014</v>
      </c>
      <c r="M769" s="338">
        <f t="shared" si="204"/>
        <v>0</v>
      </c>
      <c r="N769" s="43" t="s">
        <v>148</v>
      </c>
      <c r="O769" s="339">
        <v>74071010</v>
      </c>
      <c r="P769" s="340">
        <f>IFERROR(VLOOKUP(O769,NCM!$A$3:$D$99,COLUMN(head_porNCM_IPI)-COLUMN(head_porNCM_NCM)+1,FALSE),"")</f>
        <v>0.05</v>
      </c>
      <c r="Q769" s="43"/>
      <c r="R769" s="78" t="s">
        <v>209</v>
      </c>
      <c r="S769" s="341">
        <v>7.12</v>
      </c>
      <c r="T769" s="28" t="s">
        <v>53</v>
      </c>
      <c r="U769" s="28" t="s">
        <v>1900</v>
      </c>
      <c r="V769" s="548">
        <v>43859</v>
      </c>
      <c r="W769" s="43"/>
      <c r="X769" s="342">
        <f t="shared" si="205"/>
        <v>146.46857142857141</v>
      </c>
      <c r="Y769" s="342">
        <f t="shared" si="206"/>
        <v>40.685714285714312</v>
      </c>
      <c r="Z769" s="46">
        <f t="shared" si="207"/>
        <v>13.426285714285713</v>
      </c>
      <c r="AA769" s="46">
        <f t="shared" si="208"/>
        <v>61.842285714285708</v>
      </c>
      <c r="AB769" s="43"/>
      <c r="AC769" s="44">
        <v>854.4</v>
      </c>
      <c r="AD769" s="31">
        <v>0.18</v>
      </c>
      <c r="AE769" s="31">
        <v>0.05</v>
      </c>
      <c r="AF769" s="31">
        <v>0</v>
      </c>
      <c r="AG769" s="28" t="s">
        <v>53</v>
      </c>
      <c r="AH769" s="46">
        <f t="shared" si="209"/>
        <v>897.12</v>
      </c>
      <c r="AI769" s="43"/>
      <c r="AJ769" s="28"/>
      <c r="AK769" s="337"/>
      <c r="AL769" s="43"/>
      <c r="AM769" s="44">
        <f t="shared" si="210"/>
        <v>0</v>
      </c>
      <c r="AN769" s="43"/>
      <c r="AO769" s="28">
        <f t="shared" si="211"/>
        <v>0</v>
      </c>
      <c r="AP769" s="43"/>
      <c r="AQ769" s="323">
        <f t="shared" si="212"/>
        <v>0</v>
      </c>
      <c r="AR769" s="43"/>
      <c r="AS769" s="44">
        <f t="shared" si="213"/>
        <v>897.12</v>
      </c>
    </row>
    <row r="770" spans="1:45" x14ac:dyDescent="0.25">
      <c r="A770" s="28"/>
      <c r="B770" s="43"/>
      <c r="C770" s="43"/>
      <c r="D770" s="43"/>
      <c r="E770" s="43" t="s">
        <v>1722</v>
      </c>
      <c r="F770" s="43" t="s">
        <v>1723</v>
      </c>
      <c r="G770" s="46">
        <f t="shared" si="200"/>
        <v>875.7600000000001</v>
      </c>
      <c r="H770" s="46">
        <f t="shared" si="201"/>
        <v>776.97000000000014</v>
      </c>
      <c r="I770" s="28" t="s">
        <v>262</v>
      </c>
      <c r="J770" s="337">
        <v>1</v>
      </c>
      <c r="K770" s="46">
        <f t="shared" si="202"/>
        <v>875.7600000000001</v>
      </c>
      <c r="L770" s="46">
        <f t="shared" si="203"/>
        <v>776.97000000000014</v>
      </c>
      <c r="M770" s="338">
        <f t="shared" si="204"/>
        <v>0</v>
      </c>
      <c r="N770" s="43" t="s">
        <v>148</v>
      </c>
      <c r="O770" s="339">
        <v>74071010</v>
      </c>
      <c r="P770" s="340">
        <f>IFERROR(VLOOKUP(O770,NCM!$A$3:$D$99,COLUMN(head_porNCM_IPI)-COLUMN(head_porNCM_NCM)+1,FALSE),"")</f>
        <v>0.05</v>
      </c>
      <c r="Q770" s="43"/>
      <c r="R770" s="78" t="s">
        <v>209</v>
      </c>
      <c r="S770" s="341">
        <v>8.9</v>
      </c>
      <c r="T770" s="28" t="s">
        <v>53</v>
      </c>
      <c r="U770" s="28" t="s">
        <v>1900</v>
      </c>
      <c r="V770" s="548">
        <v>43859</v>
      </c>
      <c r="W770" s="43"/>
      <c r="X770" s="342">
        <f t="shared" si="205"/>
        <v>183.08571428571426</v>
      </c>
      <c r="Y770" s="342">
        <f t="shared" si="206"/>
        <v>50.85714285714289</v>
      </c>
      <c r="Z770" s="46">
        <f t="shared" si="207"/>
        <v>16.782857142857143</v>
      </c>
      <c r="AA770" s="46">
        <f t="shared" si="208"/>
        <v>77.302857142857135</v>
      </c>
      <c r="AB770" s="43"/>
      <c r="AC770" s="44">
        <v>1068</v>
      </c>
      <c r="AD770" s="31">
        <v>0.18</v>
      </c>
      <c r="AE770" s="31">
        <v>0.05</v>
      </c>
      <c r="AF770" s="31">
        <v>0</v>
      </c>
      <c r="AG770" s="28" t="s">
        <v>53</v>
      </c>
      <c r="AH770" s="46">
        <f t="shared" si="209"/>
        <v>1121.4000000000001</v>
      </c>
      <c r="AI770" s="43"/>
      <c r="AJ770" s="28"/>
      <c r="AK770" s="337"/>
      <c r="AL770" s="43"/>
      <c r="AM770" s="44">
        <f t="shared" si="210"/>
        <v>0</v>
      </c>
      <c r="AN770" s="43"/>
      <c r="AO770" s="28">
        <f t="shared" si="211"/>
        <v>0</v>
      </c>
      <c r="AP770" s="43"/>
      <c r="AQ770" s="323">
        <f t="shared" si="212"/>
        <v>0</v>
      </c>
      <c r="AR770" s="43"/>
      <c r="AS770" s="44">
        <f t="shared" si="213"/>
        <v>1121.4000000000001</v>
      </c>
    </row>
    <row r="771" spans="1:45" x14ac:dyDescent="0.25">
      <c r="A771" s="28"/>
      <c r="B771" s="43"/>
      <c r="C771" s="43"/>
      <c r="D771" s="43"/>
      <c r="E771" s="43" t="s">
        <v>1724</v>
      </c>
      <c r="F771" s="43" t="s">
        <v>1725</v>
      </c>
      <c r="G771" s="46">
        <f t="shared" si="200"/>
        <v>1050.912</v>
      </c>
      <c r="H771" s="46">
        <f t="shared" si="201"/>
        <v>932.36400000000015</v>
      </c>
      <c r="I771" s="28" t="s">
        <v>262</v>
      </c>
      <c r="J771" s="337">
        <v>1</v>
      </c>
      <c r="K771" s="46">
        <f t="shared" si="202"/>
        <v>1050.912</v>
      </c>
      <c r="L771" s="46">
        <f t="shared" si="203"/>
        <v>932.36400000000015</v>
      </c>
      <c r="M771" s="338">
        <f t="shared" si="204"/>
        <v>0</v>
      </c>
      <c r="N771" s="43" t="s">
        <v>148</v>
      </c>
      <c r="O771" s="339">
        <v>74071010</v>
      </c>
      <c r="P771" s="340">
        <f>IFERROR(VLOOKUP(O771,NCM!$A$3:$D$99,COLUMN(head_porNCM_IPI)-COLUMN(head_porNCM_NCM)+1,FALSE),"")</f>
        <v>0.05</v>
      </c>
      <c r="Q771" s="43"/>
      <c r="R771" s="78" t="s">
        <v>209</v>
      </c>
      <c r="S771" s="341">
        <v>10.68</v>
      </c>
      <c r="T771" s="28" t="s">
        <v>53</v>
      </c>
      <c r="U771" s="28" t="s">
        <v>1900</v>
      </c>
      <c r="V771" s="548">
        <v>43859</v>
      </c>
      <c r="W771" s="43"/>
      <c r="X771" s="342">
        <f t="shared" si="205"/>
        <v>219.70285714285711</v>
      </c>
      <c r="Y771" s="342">
        <f t="shared" si="206"/>
        <v>61.028571428571468</v>
      </c>
      <c r="Z771" s="46">
        <f t="shared" si="207"/>
        <v>20.139428571428571</v>
      </c>
      <c r="AA771" s="46">
        <f t="shared" si="208"/>
        <v>92.763428571428562</v>
      </c>
      <c r="AB771" s="43"/>
      <c r="AC771" s="44">
        <v>1281.5999999999999</v>
      </c>
      <c r="AD771" s="31">
        <v>0.18</v>
      </c>
      <c r="AE771" s="31">
        <v>0.05</v>
      </c>
      <c r="AF771" s="31">
        <v>0</v>
      </c>
      <c r="AG771" s="28" t="s">
        <v>53</v>
      </c>
      <c r="AH771" s="46">
        <f t="shared" si="209"/>
        <v>1345.68</v>
      </c>
      <c r="AI771" s="43"/>
      <c r="AJ771" s="28"/>
      <c r="AK771" s="337"/>
      <c r="AL771" s="43"/>
      <c r="AM771" s="44">
        <f t="shared" si="210"/>
        <v>0</v>
      </c>
      <c r="AN771" s="43"/>
      <c r="AO771" s="28">
        <f t="shared" si="211"/>
        <v>0</v>
      </c>
      <c r="AP771" s="43"/>
      <c r="AQ771" s="323">
        <f t="shared" si="212"/>
        <v>0</v>
      </c>
      <c r="AR771" s="43"/>
      <c r="AS771" s="44">
        <f t="shared" si="213"/>
        <v>1345.68</v>
      </c>
    </row>
    <row r="772" spans="1:45" x14ac:dyDescent="0.25">
      <c r="A772" s="28"/>
      <c r="B772" s="43"/>
      <c r="C772" s="43"/>
      <c r="D772" s="43"/>
      <c r="E772" s="43" t="s">
        <v>1726</v>
      </c>
      <c r="F772" s="43" t="s">
        <v>1727</v>
      </c>
      <c r="G772" s="46">
        <f t="shared" si="200"/>
        <v>1050.912</v>
      </c>
      <c r="H772" s="46">
        <f t="shared" si="201"/>
        <v>932.36400000000015</v>
      </c>
      <c r="I772" s="28" t="s">
        <v>262</v>
      </c>
      <c r="J772" s="337">
        <v>1</v>
      </c>
      <c r="K772" s="46">
        <f t="shared" si="202"/>
        <v>1050.912</v>
      </c>
      <c r="L772" s="46">
        <f t="shared" si="203"/>
        <v>932.36400000000015</v>
      </c>
      <c r="M772" s="338">
        <f t="shared" si="204"/>
        <v>0</v>
      </c>
      <c r="N772" s="43" t="s">
        <v>148</v>
      </c>
      <c r="O772" s="339">
        <v>74071010</v>
      </c>
      <c r="P772" s="340">
        <f>IFERROR(VLOOKUP(O772,NCM!$A$3:$D$99,COLUMN(head_porNCM_IPI)-COLUMN(head_porNCM_NCM)+1,FALSE),"")</f>
        <v>0.05</v>
      </c>
      <c r="Q772" s="43"/>
      <c r="R772" s="78" t="s">
        <v>209</v>
      </c>
      <c r="S772" s="341">
        <v>10.68</v>
      </c>
      <c r="T772" s="28" t="s">
        <v>53</v>
      </c>
      <c r="U772" s="28" t="s">
        <v>1900</v>
      </c>
      <c r="V772" s="548">
        <v>43859</v>
      </c>
      <c r="W772" s="43"/>
      <c r="X772" s="342">
        <f t="shared" si="205"/>
        <v>219.70285714285711</v>
      </c>
      <c r="Y772" s="342">
        <f t="shared" si="206"/>
        <v>61.028571428571468</v>
      </c>
      <c r="Z772" s="46">
        <f t="shared" si="207"/>
        <v>20.139428571428571</v>
      </c>
      <c r="AA772" s="46">
        <f t="shared" si="208"/>
        <v>92.763428571428562</v>
      </c>
      <c r="AB772" s="43"/>
      <c r="AC772" s="44">
        <v>1281.5999999999999</v>
      </c>
      <c r="AD772" s="31">
        <v>0.18</v>
      </c>
      <c r="AE772" s="31">
        <v>0.05</v>
      </c>
      <c r="AF772" s="31">
        <v>0</v>
      </c>
      <c r="AG772" s="28" t="s">
        <v>53</v>
      </c>
      <c r="AH772" s="46">
        <f t="shared" si="209"/>
        <v>1345.68</v>
      </c>
      <c r="AI772" s="43"/>
      <c r="AJ772" s="28"/>
      <c r="AK772" s="337"/>
      <c r="AL772" s="43"/>
      <c r="AM772" s="44">
        <f t="shared" si="210"/>
        <v>0</v>
      </c>
      <c r="AN772" s="43"/>
      <c r="AO772" s="28">
        <f t="shared" si="211"/>
        <v>0</v>
      </c>
      <c r="AP772" s="43"/>
      <c r="AQ772" s="323">
        <f t="shared" si="212"/>
        <v>0</v>
      </c>
      <c r="AR772" s="43"/>
      <c r="AS772" s="44">
        <f t="shared" si="213"/>
        <v>1345.68</v>
      </c>
    </row>
    <row r="773" spans="1:45" x14ac:dyDescent="0.25">
      <c r="A773" s="28"/>
      <c r="B773" s="43"/>
      <c r="C773" s="43"/>
      <c r="D773" s="43"/>
      <c r="E773" s="43" t="s">
        <v>1728</v>
      </c>
      <c r="F773" s="43" t="s">
        <v>1729</v>
      </c>
      <c r="G773" s="46">
        <f t="shared" si="200"/>
        <v>1313.64</v>
      </c>
      <c r="H773" s="46">
        <f t="shared" si="201"/>
        <v>1165.4550000000002</v>
      </c>
      <c r="I773" s="28" t="s">
        <v>262</v>
      </c>
      <c r="J773" s="337">
        <v>1</v>
      </c>
      <c r="K773" s="46">
        <f t="shared" si="202"/>
        <v>1313.64</v>
      </c>
      <c r="L773" s="46">
        <f t="shared" si="203"/>
        <v>1165.4550000000002</v>
      </c>
      <c r="M773" s="338">
        <f t="shared" si="204"/>
        <v>0</v>
      </c>
      <c r="N773" s="43" t="s">
        <v>148</v>
      </c>
      <c r="O773" s="339">
        <v>74071010</v>
      </c>
      <c r="P773" s="340">
        <f>IFERROR(VLOOKUP(O773,NCM!$A$3:$D$99,COLUMN(head_porNCM_IPI)-COLUMN(head_porNCM_NCM)+1,FALSE),"")</f>
        <v>0.05</v>
      </c>
      <c r="Q773" s="43"/>
      <c r="R773" s="78" t="s">
        <v>209</v>
      </c>
      <c r="S773" s="341">
        <v>13.35</v>
      </c>
      <c r="T773" s="28" t="s">
        <v>53</v>
      </c>
      <c r="U773" s="28" t="s">
        <v>1900</v>
      </c>
      <c r="V773" s="548">
        <v>43859</v>
      </c>
      <c r="W773" s="43"/>
      <c r="X773" s="342">
        <f t="shared" si="205"/>
        <v>274.62857142857138</v>
      </c>
      <c r="Y773" s="342">
        <f t="shared" si="206"/>
        <v>76.285714285714448</v>
      </c>
      <c r="Z773" s="46">
        <f t="shared" si="207"/>
        <v>25.174285714285713</v>
      </c>
      <c r="AA773" s="46">
        <f t="shared" si="208"/>
        <v>115.9542857142857</v>
      </c>
      <c r="AB773" s="43"/>
      <c r="AC773" s="44">
        <v>1602</v>
      </c>
      <c r="AD773" s="31">
        <v>0.18</v>
      </c>
      <c r="AE773" s="31">
        <v>0.05</v>
      </c>
      <c r="AF773" s="31">
        <v>0</v>
      </c>
      <c r="AG773" s="28" t="s">
        <v>53</v>
      </c>
      <c r="AH773" s="46">
        <f t="shared" si="209"/>
        <v>1682.1000000000001</v>
      </c>
      <c r="AI773" s="43"/>
      <c r="AJ773" s="28"/>
      <c r="AK773" s="337"/>
      <c r="AL773" s="43"/>
      <c r="AM773" s="44">
        <f t="shared" si="210"/>
        <v>0</v>
      </c>
      <c r="AN773" s="43"/>
      <c r="AO773" s="28">
        <f t="shared" si="211"/>
        <v>0</v>
      </c>
      <c r="AP773" s="43"/>
      <c r="AQ773" s="323">
        <f t="shared" si="212"/>
        <v>0</v>
      </c>
      <c r="AR773" s="43"/>
      <c r="AS773" s="44">
        <f t="shared" si="213"/>
        <v>1682.1000000000001</v>
      </c>
    </row>
    <row r="774" spans="1:45" x14ac:dyDescent="0.25">
      <c r="A774" s="28"/>
      <c r="B774" s="43"/>
      <c r="C774" s="43"/>
      <c r="D774" s="43"/>
      <c r="E774" s="43" t="s">
        <v>1730</v>
      </c>
      <c r="F774" s="43" t="s">
        <v>1731</v>
      </c>
      <c r="G774" s="46">
        <f t="shared" si="200"/>
        <v>1401.2160000000001</v>
      </c>
      <c r="H774" s="46">
        <f t="shared" si="201"/>
        <v>1243.1520000000003</v>
      </c>
      <c r="I774" s="28" t="s">
        <v>262</v>
      </c>
      <c r="J774" s="337">
        <v>1</v>
      </c>
      <c r="K774" s="46">
        <f t="shared" si="202"/>
        <v>1401.2160000000001</v>
      </c>
      <c r="L774" s="46">
        <f t="shared" si="203"/>
        <v>1243.1520000000003</v>
      </c>
      <c r="M774" s="338">
        <f t="shared" si="204"/>
        <v>0</v>
      </c>
      <c r="N774" s="43" t="s">
        <v>148</v>
      </c>
      <c r="O774" s="339">
        <v>74071010</v>
      </c>
      <c r="P774" s="340">
        <f>IFERROR(VLOOKUP(O774,NCM!$A$3:$D$99,COLUMN(head_porNCM_IPI)-COLUMN(head_porNCM_NCM)+1,FALSE),"")</f>
        <v>0.05</v>
      </c>
      <c r="Q774" s="43"/>
      <c r="R774" s="78" t="s">
        <v>209</v>
      </c>
      <c r="S774" s="341">
        <v>14.24</v>
      </c>
      <c r="T774" s="28" t="s">
        <v>53</v>
      </c>
      <c r="U774" s="28" t="s">
        <v>1900</v>
      </c>
      <c r="V774" s="548">
        <v>43859</v>
      </c>
      <c r="W774" s="43"/>
      <c r="X774" s="342">
        <f t="shared" si="205"/>
        <v>292.93714285714282</v>
      </c>
      <c r="Y774" s="342">
        <f t="shared" si="206"/>
        <v>81.371428571428623</v>
      </c>
      <c r="Z774" s="46">
        <f t="shared" si="207"/>
        <v>26.852571428571427</v>
      </c>
      <c r="AA774" s="46">
        <f t="shared" si="208"/>
        <v>123.68457142857142</v>
      </c>
      <c r="AB774" s="43"/>
      <c r="AC774" s="44">
        <v>1708.8</v>
      </c>
      <c r="AD774" s="31">
        <v>0.18</v>
      </c>
      <c r="AE774" s="31">
        <v>0.05</v>
      </c>
      <c r="AF774" s="31">
        <v>0</v>
      </c>
      <c r="AG774" s="28" t="s">
        <v>53</v>
      </c>
      <c r="AH774" s="46">
        <f t="shared" si="209"/>
        <v>1794.24</v>
      </c>
      <c r="AI774" s="43"/>
      <c r="AJ774" s="28"/>
      <c r="AK774" s="337"/>
      <c r="AL774" s="43"/>
      <c r="AM774" s="44">
        <f t="shared" si="210"/>
        <v>0</v>
      </c>
      <c r="AN774" s="43"/>
      <c r="AO774" s="28">
        <f t="shared" si="211"/>
        <v>0</v>
      </c>
      <c r="AP774" s="43"/>
      <c r="AQ774" s="323">
        <f t="shared" si="212"/>
        <v>0</v>
      </c>
      <c r="AR774" s="43"/>
      <c r="AS774" s="44">
        <f t="shared" si="213"/>
        <v>1794.24</v>
      </c>
    </row>
    <row r="775" spans="1:45" x14ac:dyDescent="0.25">
      <c r="A775" s="28"/>
      <c r="B775" s="43"/>
      <c r="C775" s="43"/>
      <c r="D775" s="43"/>
      <c r="E775" s="43" t="s">
        <v>1732</v>
      </c>
      <c r="F775" s="43" t="s">
        <v>1733</v>
      </c>
      <c r="G775" s="46">
        <f t="shared" si="200"/>
        <v>1751.5200000000002</v>
      </c>
      <c r="H775" s="46">
        <f t="shared" si="201"/>
        <v>1553.9400000000003</v>
      </c>
      <c r="I775" s="28" t="s">
        <v>262</v>
      </c>
      <c r="J775" s="337">
        <v>1</v>
      </c>
      <c r="K775" s="46">
        <f t="shared" si="202"/>
        <v>1751.5200000000002</v>
      </c>
      <c r="L775" s="46">
        <f t="shared" si="203"/>
        <v>1553.9400000000003</v>
      </c>
      <c r="M775" s="338">
        <f t="shared" si="204"/>
        <v>0</v>
      </c>
      <c r="N775" s="43" t="s">
        <v>148</v>
      </c>
      <c r="O775" s="339">
        <v>74071010</v>
      </c>
      <c r="P775" s="340">
        <f>IFERROR(VLOOKUP(O775,NCM!$A$3:$D$99,COLUMN(head_porNCM_IPI)-COLUMN(head_porNCM_NCM)+1,FALSE),"")</f>
        <v>0.05</v>
      </c>
      <c r="Q775" s="43"/>
      <c r="R775" s="78" t="s">
        <v>209</v>
      </c>
      <c r="S775" s="341">
        <v>17.8</v>
      </c>
      <c r="T775" s="28" t="s">
        <v>53</v>
      </c>
      <c r="U775" s="28" t="s">
        <v>1900</v>
      </c>
      <c r="V775" s="548">
        <v>43859</v>
      </c>
      <c r="W775" s="43"/>
      <c r="X775" s="342">
        <f t="shared" si="205"/>
        <v>366.17142857142852</v>
      </c>
      <c r="Y775" s="342">
        <f t="shared" si="206"/>
        <v>101.71428571428578</v>
      </c>
      <c r="Z775" s="46">
        <f t="shared" si="207"/>
        <v>33.565714285714286</v>
      </c>
      <c r="AA775" s="46">
        <f t="shared" si="208"/>
        <v>154.60571428571427</v>
      </c>
      <c r="AB775" s="43"/>
      <c r="AC775" s="44">
        <v>2136</v>
      </c>
      <c r="AD775" s="31">
        <v>0.18</v>
      </c>
      <c r="AE775" s="31">
        <v>0.05</v>
      </c>
      <c r="AF775" s="31">
        <v>0</v>
      </c>
      <c r="AG775" s="28" t="s">
        <v>53</v>
      </c>
      <c r="AH775" s="46">
        <f t="shared" si="209"/>
        <v>2242.8000000000002</v>
      </c>
      <c r="AI775" s="43"/>
      <c r="AJ775" s="28"/>
      <c r="AK775" s="337"/>
      <c r="AL775" s="43"/>
      <c r="AM775" s="44">
        <f t="shared" si="210"/>
        <v>0</v>
      </c>
      <c r="AN775" s="43"/>
      <c r="AO775" s="28">
        <f t="shared" si="211"/>
        <v>0</v>
      </c>
      <c r="AP775" s="43"/>
      <c r="AQ775" s="323">
        <f t="shared" si="212"/>
        <v>0</v>
      </c>
      <c r="AR775" s="43"/>
      <c r="AS775" s="44">
        <f t="shared" si="213"/>
        <v>2242.8000000000002</v>
      </c>
    </row>
    <row r="776" spans="1:45" x14ac:dyDescent="0.25">
      <c r="A776" s="28"/>
      <c r="B776" s="43"/>
      <c r="C776" s="43"/>
      <c r="D776" s="43" t="s">
        <v>645</v>
      </c>
      <c r="E776" s="43"/>
      <c r="F776" s="43"/>
      <c r="G776" s="46">
        <f t="shared" si="200"/>
        <v>0</v>
      </c>
      <c r="H776" s="46">
        <f t="shared" si="201"/>
        <v>0</v>
      </c>
      <c r="I776" s="28"/>
      <c r="J776" s="337"/>
      <c r="K776" s="46" t="str">
        <f t="shared" si="202"/>
        <v/>
      </c>
      <c r="L776" s="46" t="str">
        <f t="shared" si="203"/>
        <v/>
      </c>
      <c r="M776" s="338">
        <f t="shared" si="204"/>
        <v>0</v>
      </c>
      <c r="N776" s="43"/>
      <c r="O776" s="339"/>
      <c r="P776" s="340" t="str">
        <f>IFERROR(VLOOKUP(O776,NCM!$A$3:$D$99,COLUMN(head_porNCM_IPI)-COLUMN(head_porNCM_NCM)+1,FALSE),"")</f>
        <v/>
      </c>
      <c r="Q776" s="43"/>
      <c r="R776" s="78"/>
      <c r="S776" s="341"/>
      <c r="T776" s="28"/>
      <c r="U776" s="28"/>
      <c r="V776" s="28"/>
      <c r="W776" s="43"/>
      <c r="X776" s="342">
        <f t="shared" si="205"/>
        <v>0</v>
      </c>
      <c r="Y776" s="342">
        <f t="shared" si="206"/>
        <v>0</v>
      </c>
      <c r="Z776" s="46">
        <f t="shared" si="207"/>
        <v>0</v>
      </c>
      <c r="AA776" s="46">
        <f t="shared" si="208"/>
        <v>0</v>
      </c>
      <c r="AB776" s="43"/>
      <c r="AC776" s="44">
        <v>0</v>
      </c>
      <c r="AD776" s="31"/>
      <c r="AE776" s="31"/>
      <c r="AF776" s="31"/>
      <c r="AG776" s="28"/>
      <c r="AH776" s="46">
        <f t="shared" si="209"/>
        <v>0</v>
      </c>
      <c r="AI776" s="43"/>
      <c r="AJ776" s="28"/>
      <c r="AK776" s="337"/>
      <c r="AL776" s="43"/>
      <c r="AM776" s="44">
        <f t="shared" si="210"/>
        <v>0</v>
      </c>
      <c r="AN776" s="43"/>
      <c r="AO776" s="28">
        <f t="shared" si="211"/>
        <v>0</v>
      </c>
      <c r="AP776" s="43"/>
      <c r="AQ776" s="323">
        <f t="shared" si="212"/>
        <v>0</v>
      </c>
      <c r="AR776" s="43"/>
      <c r="AS776" s="44">
        <f t="shared" si="213"/>
        <v>0</v>
      </c>
    </row>
    <row r="777" spans="1:45" x14ac:dyDescent="0.25">
      <c r="A777" s="28"/>
      <c r="B777" s="43"/>
      <c r="C777" s="43"/>
      <c r="D777" s="43" t="s">
        <v>1734</v>
      </c>
      <c r="E777" s="43"/>
      <c r="F777" s="43"/>
      <c r="G777" s="46">
        <f t="shared" si="200"/>
        <v>0</v>
      </c>
      <c r="H777" s="46">
        <f t="shared" si="201"/>
        <v>0</v>
      </c>
      <c r="I777" s="28"/>
      <c r="J777" s="337"/>
      <c r="K777" s="46" t="str">
        <f t="shared" si="202"/>
        <v/>
      </c>
      <c r="L777" s="46" t="str">
        <f t="shared" si="203"/>
        <v/>
      </c>
      <c r="M777" s="338">
        <f t="shared" si="204"/>
        <v>0</v>
      </c>
      <c r="N777" s="43"/>
      <c r="O777" s="339"/>
      <c r="P777" s="340" t="str">
        <f>IFERROR(VLOOKUP(O777,NCM!$A$3:$D$99,COLUMN(head_porNCM_IPI)-COLUMN(head_porNCM_NCM)+1,FALSE),"")</f>
        <v/>
      </c>
      <c r="Q777" s="43"/>
      <c r="R777" s="78"/>
      <c r="S777" s="341"/>
      <c r="T777" s="28"/>
      <c r="U777" s="28"/>
      <c r="V777" s="28"/>
      <c r="W777" s="43"/>
      <c r="X777" s="342">
        <f t="shared" si="205"/>
        <v>0</v>
      </c>
      <c r="Y777" s="342">
        <f t="shared" si="206"/>
        <v>0</v>
      </c>
      <c r="Z777" s="46">
        <f t="shared" si="207"/>
        <v>0</v>
      </c>
      <c r="AA777" s="46">
        <f t="shared" si="208"/>
        <v>0</v>
      </c>
      <c r="AB777" s="43"/>
      <c r="AC777" s="44">
        <v>0</v>
      </c>
      <c r="AD777" s="31"/>
      <c r="AE777" s="31"/>
      <c r="AF777" s="31"/>
      <c r="AG777" s="28"/>
      <c r="AH777" s="46">
        <f t="shared" si="209"/>
        <v>0</v>
      </c>
      <c r="AI777" s="43"/>
      <c r="AJ777" s="28"/>
      <c r="AK777" s="337"/>
      <c r="AL777" s="43"/>
      <c r="AM777" s="44">
        <f t="shared" si="210"/>
        <v>0</v>
      </c>
      <c r="AN777" s="43"/>
      <c r="AO777" s="28">
        <f t="shared" si="211"/>
        <v>0</v>
      </c>
      <c r="AP777" s="43"/>
      <c r="AQ777" s="323">
        <f t="shared" si="212"/>
        <v>0</v>
      </c>
      <c r="AR777" s="43"/>
      <c r="AS777" s="44">
        <f t="shared" si="213"/>
        <v>0</v>
      </c>
    </row>
    <row r="778" spans="1:45" x14ac:dyDescent="0.25">
      <c r="A778" s="28"/>
      <c r="B778" s="43"/>
      <c r="C778" s="43"/>
      <c r="D778" s="43"/>
      <c r="E778" s="43" t="s">
        <v>2670</v>
      </c>
      <c r="F778" s="43" t="s">
        <v>2671</v>
      </c>
      <c r="G778" s="46">
        <f t="shared" si="200"/>
        <v>929.36800000000017</v>
      </c>
      <c r="H778" s="46">
        <f t="shared" si="201"/>
        <v>831.67875000000015</v>
      </c>
      <c r="I778" s="28" t="s">
        <v>262</v>
      </c>
      <c r="J778" s="337">
        <v>1</v>
      </c>
      <c r="K778" s="46">
        <f t="shared" si="202"/>
        <v>929.36800000000017</v>
      </c>
      <c r="L778" s="46">
        <f t="shared" si="203"/>
        <v>831.67875000000015</v>
      </c>
      <c r="M778" s="338">
        <f t="shared" si="204"/>
        <v>0</v>
      </c>
      <c r="N778" s="43" t="s">
        <v>37</v>
      </c>
      <c r="O778" s="339">
        <v>85372090</v>
      </c>
      <c r="P778" s="340">
        <f>IFERROR(VLOOKUP(O778,NCM!$A$3:$D$99,COLUMN(head_porNCM_IPI)-COLUMN(head_porNCM_NCM)+1,FALSE),"")</f>
        <v>0</v>
      </c>
      <c r="Q778" s="43" t="s">
        <v>1109</v>
      </c>
      <c r="R778" s="78" t="s">
        <v>209</v>
      </c>
      <c r="S778" s="341"/>
      <c r="T778" s="28" t="s">
        <v>53</v>
      </c>
      <c r="U778" s="28" t="s">
        <v>2775</v>
      </c>
      <c r="V778" s="548">
        <v>45061</v>
      </c>
      <c r="W778" s="43"/>
      <c r="X778" s="342">
        <f t="shared" si="205"/>
        <v>126.73200000000001</v>
      </c>
      <c r="Y778" s="342">
        <f t="shared" si="206"/>
        <v>0</v>
      </c>
      <c r="Z778" s="46">
        <f t="shared" si="207"/>
        <v>17.425650000000005</v>
      </c>
      <c r="AA778" s="46">
        <f t="shared" si="208"/>
        <v>80.263600000000011</v>
      </c>
      <c r="AB778" s="43"/>
      <c r="AC778" s="44">
        <v>1056.1000000000001</v>
      </c>
      <c r="AD778" s="31">
        <v>0.12</v>
      </c>
      <c r="AE778" s="31">
        <v>0</v>
      </c>
      <c r="AF778" s="31">
        <v>0</v>
      </c>
      <c r="AG778" s="28" t="s">
        <v>53</v>
      </c>
      <c r="AH778" s="46">
        <f t="shared" si="209"/>
        <v>1056.1000000000001</v>
      </c>
      <c r="AI778" s="43"/>
      <c r="AJ778" s="28"/>
      <c r="AK778" s="337"/>
      <c r="AL778" s="43"/>
      <c r="AM778" s="44">
        <f t="shared" si="210"/>
        <v>0</v>
      </c>
      <c r="AN778" s="43"/>
      <c r="AO778" s="28">
        <f t="shared" si="211"/>
        <v>0</v>
      </c>
      <c r="AP778" s="43"/>
      <c r="AQ778" s="323">
        <f t="shared" si="212"/>
        <v>0</v>
      </c>
      <c r="AR778" s="43"/>
      <c r="AS778" s="44">
        <f t="shared" si="213"/>
        <v>1056.1000000000001</v>
      </c>
    </row>
    <row r="779" spans="1:45" x14ac:dyDescent="0.25">
      <c r="A779" s="28"/>
      <c r="B779" s="43"/>
      <c r="C779" s="43"/>
      <c r="D779" s="43"/>
      <c r="E779" s="43" t="s">
        <v>1735</v>
      </c>
      <c r="F779" s="43" t="s">
        <v>1736</v>
      </c>
      <c r="G779" s="46">
        <f t="shared" si="200"/>
        <v>2842</v>
      </c>
      <c r="H779" s="46">
        <f t="shared" si="201"/>
        <v>2579.1150000000002</v>
      </c>
      <c r="I779" s="28" t="s">
        <v>264</v>
      </c>
      <c r="J779" s="337">
        <v>1</v>
      </c>
      <c r="K779" s="46">
        <f t="shared" si="202"/>
        <v>16767.8</v>
      </c>
      <c r="L779" s="46">
        <f t="shared" si="203"/>
        <v>15216.778500000002</v>
      </c>
      <c r="M779" s="338">
        <f t="shared" si="204"/>
        <v>0</v>
      </c>
      <c r="N779" s="43" t="s">
        <v>666</v>
      </c>
      <c r="O779" s="339">
        <v>85235190</v>
      </c>
      <c r="P779" s="340">
        <f>IFERROR(VLOOKUP(O779,NCM!$A$3:$D$99,COLUMN(head_porNCM_IPI)-COLUMN(head_porNCM_NCM)+1,FALSE),"")</f>
        <v>0.15</v>
      </c>
      <c r="Q779" s="43" t="s">
        <v>1109</v>
      </c>
      <c r="R779" s="78" t="s">
        <v>211</v>
      </c>
      <c r="S779" s="341"/>
      <c r="T779" s="28" t="s">
        <v>53</v>
      </c>
      <c r="U779" s="28" t="s">
        <v>1901</v>
      </c>
      <c r="V779" s="548">
        <v>43899</v>
      </c>
      <c r="W779" s="43"/>
      <c r="X779" s="342">
        <f t="shared" si="205"/>
        <v>0</v>
      </c>
      <c r="Y779" s="342">
        <f t="shared" si="206"/>
        <v>0</v>
      </c>
      <c r="Z779" s="46">
        <f t="shared" si="207"/>
        <v>46.893000000000001</v>
      </c>
      <c r="AA779" s="46">
        <f t="shared" si="208"/>
        <v>215.99199999999999</v>
      </c>
      <c r="AB779" s="43"/>
      <c r="AC779" s="44">
        <v>2842</v>
      </c>
      <c r="AD779" s="31">
        <v>0</v>
      </c>
      <c r="AE779" s="31">
        <v>0</v>
      </c>
      <c r="AF779" s="31">
        <v>0</v>
      </c>
      <c r="AG779" s="28" t="s">
        <v>53</v>
      </c>
      <c r="AH779" s="46">
        <f t="shared" si="209"/>
        <v>2842</v>
      </c>
      <c r="AI779" s="43"/>
      <c r="AJ779" s="28"/>
      <c r="AK779" s="337"/>
      <c r="AL779" s="43"/>
      <c r="AM779" s="44">
        <f t="shared" si="210"/>
        <v>0</v>
      </c>
      <c r="AN779" s="43"/>
      <c r="AO779" s="28">
        <f t="shared" si="211"/>
        <v>0</v>
      </c>
      <c r="AP779" s="43"/>
      <c r="AQ779" s="323">
        <f t="shared" si="212"/>
        <v>0</v>
      </c>
      <c r="AR779" s="43"/>
      <c r="AS779" s="44">
        <f t="shared" si="213"/>
        <v>16767.8</v>
      </c>
    </row>
    <row r="780" spans="1:45" x14ac:dyDescent="0.25">
      <c r="A780" s="28"/>
      <c r="B780" s="43"/>
      <c r="C780" s="43"/>
      <c r="D780" s="43"/>
      <c r="E780" s="43" t="s">
        <v>1737</v>
      </c>
      <c r="F780" s="43" t="s">
        <v>1738</v>
      </c>
      <c r="G780" s="46">
        <f t="shared" si="200"/>
        <v>2763.685668443281</v>
      </c>
      <c r="H780" s="46">
        <f t="shared" si="201"/>
        <v>2451.9284436493745</v>
      </c>
      <c r="I780" s="28" t="s">
        <v>264</v>
      </c>
      <c r="J780" s="337">
        <v>1</v>
      </c>
      <c r="K780" s="46">
        <f t="shared" si="202"/>
        <v>16305.745443815358</v>
      </c>
      <c r="L780" s="46">
        <f t="shared" si="203"/>
        <v>14466.377817531311</v>
      </c>
      <c r="M780" s="338">
        <f t="shared" si="204"/>
        <v>0</v>
      </c>
      <c r="N780" s="43" t="s">
        <v>666</v>
      </c>
      <c r="O780" s="339">
        <v>85176259</v>
      </c>
      <c r="P780" s="340">
        <f>IFERROR(VLOOKUP(O780,NCM!$A$3:$D$99,COLUMN(head_porNCM_IPI)-COLUMN(head_porNCM_NCM)+1,FALSE),"")</f>
        <v>0.15</v>
      </c>
      <c r="Q780" s="43" t="s">
        <v>1109</v>
      </c>
      <c r="R780" s="78" t="s">
        <v>211</v>
      </c>
      <c r="S780" s="341">
        <v>690</v>
      </c>
      <c r="T780" s="28" t="s">
        <v>52</v>
      </c>
      <c r="U780" s="28" t="s">
        <v>2776</v>
      </c>
      <c r="V780" s="548">
        <v>44963</v>
      </c>
      <c r="W780" s="43"/>
      <c r="X780" s="342">
        <f t="shared" si="205"/>
        <v>527.53278931048828</v>
      </c>
      <c r="Y780" s="342">
        <f t="shared" si="206"/>
        <v>439.61065775874022</v>
      </c>
      <c r="Z780" s="46">
        <f t="shared" si="207"/>
        <v>48.357172353461436</v>
      </c>
      <c r="AA780" s="46">
        <f t="shared" si="208"/>
        <v>222.73606659776175</v>
      </c>
      <c r="AB780" s="43"/>
      <c r="AC780" s="44">
        <v>3370.3483761503421</v>
      </c>
      <c r="AD780" s="31">
        <v>0.18</v>
      </c>
      <c r="AE780" s="31">
        <v>0.15</v>
      </c>
      <c r="AF780" s="31">
        <v>0</v>
      </c>
      <c r="AG780" s="28" t="s">
        <v>53</v>
      </c>
      <c r="AH780" s="46">
        <f t="shared" si="209"/>
        <v>3875.9006325728933</v>
      </c>
      <c r="AI780" s="43"/>
      <c r="AJ780" s="28" t="s">
        <v>264</v>
      </c>
      <c r="AK780" s="337">
        <v>5.59</v>
      </c>
      <c r="AL780" s="43"/>
      <c r="AM780" s="44">
        <f t="shared" si="210"/>
        <v>0</v>
      </c>
      <c r="AN780" s="43"/>
      <c r="AO780" s="28">
        <f t="shared" si="211"/>
        <v>0</v>
      </c>
      <c r="AP780" s="43"/>
      <c r="AQ780" s="323">
        <f t="shared" si="212"/>
        <v>0</v>
      </c>
      <c r="AR780" s="43"/>
      <c r="AS780" s="44">
        <f t="shared" si="213"/>
        <v>22867.813732180071</v>
      </c>
    </row>
    <row r="781" spans="1:45" x14ac:dyDescent="0.25">
      <c r="A781" s="28"/>
      <c r="B781" s="43"/>
      <c r="C781" s="43"/>
      <c r="D781" s="43"/>
      <c r="E781" s="43" t="s">
        <v>1741</v>
      </c>
      <c r="F781" s="43" t="s">
        <v>1742</v>
      </c>
      <c r="G781" s="46">
        <f t="shared" si="200"/>
        <v>1025.7972201218424</v>
      </c>
      <c r="H781" s="46">
        <f t="shared" si="201"/>
        <v>910.08228980322008</v>
      </c>
      <c r="I781" s="28" t="s">
        <v>264</v>
      </c>
      <c r="J781" s="337">
        <v>1</v>
      </c>
      <c r="K781" s="46">
        <f t="shared" si="202"/>
        <v>6052.203598718871</v>
      </c>
      <c r="L781" s="46">
        <f t="shared" si="203"/>
        <v>5369.485509838999</v>
      </c>
      <c r="M781" s="338">
        <f t="shared" si="204"/>
        <v>0</v>
      </c>
      <c r="N781" s="43" t="s">
        <v>666</v>
      </c>
      <c r="O781" s="339">
        <v>85177900</v>
      </c>
      <c r="P781" s="340">
        <f>IFERROR(VLOOKUP(O781,NCM!$A$3:$D$99,COLUMN(head_porNCM_IPI)-COLUMN(head_porNCM_NCM)+1,FALSE),"")</f>
        <v>7.4999999999999997E-2</v>
      </c>
      <c r="Q781" s="43" t="s">
        <v>1109</v>
      </c>
      <c r="R781" s="78" t="s">
        <v>211</v>
      </c>
      <c r="S781" s="341">
        <v>720</v>
      </c>
      <c r="T781" s="28" t="s">
        <v>52</v>
      </c>
      <c r="U781" s="28" t="s">
        <v>2776</v>
      </c>
      <c r="V781" s="548">
        <v>44963</v>
      </c>
      <c r="W781" s="43"/>
      <c r="X781" s="342">
        <f t="shared" si="205"/>
        <v>209.46511585017768</v>
      </c>
      <c r="Y781" s="342">
        <f t="shared" si="206"/>
        <v>87.277131604240594</v>
      </c>
      <c r="Z781" s="46">
        <f t="shared" si="207"/>
        <v>19.200968952932957</v>
      </c>
      <c r="AA781" s="46">
        <f t="shared" si="208"/>
        <v>88.44082669229725</v>
      </c>
      <c r="AB781" s="43"/>
      <c r="AC781" s="44">
        <v>1250.9722196607834</v>
      </c>
      <c r="AD781" s="31">
        <v>0.18</v>
      </c>
      <c r="AE781" s="31">
        <v>7.4999999999999997E-2</v>
      </c>
      <c r="AF781" s="31">
        <v>0</v>
      </c>
      <c r="AG781" s="28" t="s">
        <v>53</v>
      </c>
      <c r="AH781" s="46">
        <f t="shared" si="209"/>
        <v>1344.7951361353421</v>
      </c>
      <c r="AI781" s="43"/>
      <c r="AJ781" s="28" t="s">
        <v>264</v>
      </c>
      <c r="AK781" s="337">
        <v>5.59</v>
      </c>
      <c r="AL781" s="43"/>
      <c r="AM781" s="44">
        <f t="shared" si="210"/>
        <v>0</v>
      </c>
      <c r="AN781" s="43"/>
      <c r="AO781" s="28">
        <f t="shared" si="211"/>
        <v>0</v>
      </c>
      <c r="AP781" s="43"/>
      <c r="AQ781" s="323">
        <f t="shared" si="212"/>
        <v>0</v>
      </c>
      <c r="AR781" s="43"/>
      <c r="AS781" s="44">
        <f t="shared" si="213"/>
        <v>7934.291303198519</v>
      </c>
    </row>
    <row r="782" spans="1:45" x14ac:dyDescent="0.25">
      <c r="A782" s="28"/>
      <c r="B782" s="43"/>
      <c r="C782" s="43"/>
      <c r="D782" s="43"/>
      <c r="E782" s="43" t="s">
        <v>1739</v>
      </c>
      <c r="F782" s="43" t="s">
        <v>1740</v>
      </c>
      <c r="G782" s="46">
        <f t="shared" si="200"/>
        <v>1063.7008403567984</v>
      </c>
      <c r="H782" s="46">
        <f t="shared" si="201"/>
        <v>943.71019677996446</v>
      </c>
      <c r="I782" s="28" t="s">
        <v>264</v>
      </c>
      <c r="J782" s="337">
        <v>1</v>
      </c>
      <c r="K782" s="46">
        <f t="shared" si="202"/>
        <v>6275.8349581051107</v>
      </c>
      <c r="L782" s="46">
        <f t="shared" si="203"/>
        <v>5567.8901610017911</v>
      </c>
      <c r="M782" s="338">
        <f t="shared" si="204"/>
        <v>0</v>
      </c>
      <c r="N782" s="43" t="s">
        <v>666</v>
      </c>
      <c r="O782" s="339">
        <v>85177900</v>
      </c>
      <c r="P782" s="340">
        <f>IFERROR(VLOOKUP(O782,NCM!$A$3:$D$99,COLUMN(head_porNCM_IPI)-COLUMN(head_porNCM_NCM)+1,FALSE),"")</f>
        <v>7.4999999999999997E-2</v>
      </c>
      <c r="Q782" s="43" t="s">
        <v>1109</v>
      </c>
      <c r="R782" s="78" t="s">
        <v>211</v>
      </c>
      <c r="S782" s="341">
        <v>720</v>
      </c>
      <c r="T782" s="28" t="s">
        <v>52</v>
      </c>
      <c r="U782" s="28" t="s">
        <v>2776</v>
      </c>
      <c r="V782" s="548">
        <v>44963</v>
      </c>
      <c r="W782" s="43"/>
      <c r="X782" s="342">
        <f t="shared" si="205"/>
        <v>217.20493620445114</v>
      </c>
      <c r="Y782" s="342">
        <f t="shared" si="206"/>
        <v>90.502056751854525</v>
      </c>
      <c r="Z782" s="46">
        <f t="shared" si="207"/>
        <v>19.910452485408022</v>
      </c>
      <c r="AA782" s="46">
        <f t="shared" si="208"/>
        <v>91.708750841879379</v>
      </c>
      <c r="AB782" s="43"/>
      <c r="AC782" s="44">
        <v>1297.1961467765832</v>
      </c>
      <c r="AD782" s="31">
        <v>0.18</v>
      </c>
      <c r="AE782" s="31">
        <v>7.4999999999999997E-2</v>
      </c>
      <c r="AF782" s="31">
        <v>0</v>
      </c>
      <c r="AG782" s="28" t="s">
        <v>53</v>
      </c>
      <c r="AH782" s="46">
        <f t="shared" si="209"/>
        <v>1394.485857784827</v>
      </c>
      <c r="AI782" s="43"/>
      <c r="AJ782" s="28" t="s">
        <v>264</v>
      </c>
      <c r="AK782" s="337">
        <v>5.59</v>
      </c>
      <c r="AL782" s="43"/>
      <c r="AM782" s="44">
        <f t="shared" si="210"/>
        <v>0</v>
      </c>
      <c r="AN782" s="43"/>
      <c r="AO782" s="28">
        <f t="shared" si="211"/>
        <v>0</v>
      </c>
      <c r="AP782" s="43"/>
      <c r="AQ782" s="323">
        <f t="shared" si="212"/>
        <v>0</v>
      </c>
      <c r="AR782" s="43"/>
      <c r="AS782" s="44">
        <f t="shared" si="213"/>
        <v>8227.4665609304793</v>
      </c>
    </row>
    <row r="783" spans="1:45" x14ac:dyDescent="0.25">
      <c r="A783" s="28"/>
      <c r="B783" s="43"/>
      <c r="C783" s="43"/>
      <c r="D783" s="43"/>
      <c r="E783" s="43" t="s">
        <v>1972</v>
      </c>
      <c r="F783" s="43" t="s">
        <v>1743</v>
      </c>
      <c r="G783" s="46">
        <f t="shared" si="200"/>
        <v>496.48741923783882</v>
      </c>
      <c r="H783" s="46">
        <f t="shared" si="201"/>
        <v>440.48121645796067</v>
      </c>
      <c r="I783" s="28" t="s">
        <v>264</v>
      </c>
      <c r="J783" s="337">
        <v>1</v>
      </c>
      <c r="K783" s="46">
        <f t="shared" si="202"/>
        <v>2929.2757735032492</v>
      </c>
      <c r="L783" s="46">
        <f t="shared" si="203"/>
        <v>2598.8391771019683</v>
      </c>
      <c r="M783" s="338">
        <f t="shared" si="204"/>
        <v>0</v>
      </c>
      <c r="N783" s="43" t="s">
        <v>666</v>
      </c>
      <c r="O783" s="339">
        <v>85177900</v>
      </c>
      <c r="P783" s="340">
        <f>IFERROR(VLOOKUP(O783,NCM!$A$3:$D$99,COLUMN(head_porNCM_IPI)-COLUMN(head_porNCM_NCM)+1,FALSE),"")</f>
        <v>7.4999999999999997E-2</v>
      </c>
      <c r="Q783" s="43" t="s">
        <v>1109</v>
      </c>
      <c r="R783" s="78" t="s">
        <v>211</v>
      </c>
      <c r="S783" s="341">
        <v>320</v>
      </c>
      <c r="T783" s="28" t="s">
        <v>52</v>
      </c>
      <c r="U783" s="28" t="s">
        <v>2776</v>
      </c>
      <c r="V783" s="548">
        <v>44963</v>
      </c>
      <c r="W783" s="43"/>
      <c r="X783" s="342">
        <f t="shared" si="205"/>
        <v>101.38143557891206</v>
      </c>
      <c r="Y783" s="342">
        <f t="shared" si="206"/>
        <v>42.242264824546623</v>
      </c>
      <c r="Z783" s="46">
        <f t="shared" si="207"/>
        <v>9.2932982614002739</v>
      </c>
      <c r="AA783" s="46">
        <f t="shared" si="208"/>
        <v>42.805495022207317</v>
      </c>
      <c r="AB783" s="43"/>
      <c r="AC783" s="44">
        <v>605.47246248516922</v>
      </c>
      <c r="AD783" s="31">
        <v>0.18</v>
      </c>
      <c r="AE783" s="31">
        <v>7.4999999999999997E-2</v>
      </c>
      <c r="AF783" s="31">
        <v>0</v>
      </c>
      <c r="AG783" s="28" t="s">
        <v>53</v>
      </c>
      <c r="AH783" s="46">
        <f t="shared" si="209"/>
        <v>650.88289717155692</v>
      </c>
      <c r="AI783" s="43"/>
      <c r="AJ783" s="28" t="s">
        <v>264</v>
      </c>
      <c r="AK783" s="337">
        <v>5.59</v>
      </c>
      <c r="AL783" s="43"/>
      <c r="AM783" s="44">
        <f t="shared" si="210"/>
        <v>0</v>
      </c>
      <c r="AN783" s="43"/>
      <c r="AO783" s="28">
        <f t="shared" si="211"/>
        <v>0</v>
      </c>
      <c r="AP783" s="43"/>
      <c r="AQ783" s="323">
        <f t="shared" si="212"/>
        <v>0</v>
      </c>
      <c r="AR783" s="43"/>
      <c r="AS783" s="44">
        <f t="shared" si="213"/>
        <v>3840.2090933121863</v>
      </c>
    </row>
    <row r="784" spans="1:45" x14ac:dyDescent="0.25">
      <c r="A784" s="28"/>
      <c r="B784" s="43"/>
      <c r="C784" s="43"/>
      <c r="D784" s="43"/>
      <c r="E784" s="43" t="s">
        <v>2333</v>
      </c>
      <c r="F784" s="43" t="s">
        <v>2334</v>
      </c>
      <c r="G784" s="46">
        <f t="shared" si="200"/>
        <v>221.66639857668594</v>
      </c>
      <c r="H784" s="46">
        <f t="shared" si="201"/>
        <v>196.66134751773055</v>
      </c>
      <c r="I784" s="28" t="s">
        <v>264</v>
      </c>
      <c r="J784" s="337">
        <v>1</v>
      </c>
      <c r="K784" s="46">
        <f t="shared" si="202"/>
        <v>1307.8317516024472</v>
      </c>
      <c r="L784" s="46">
        <f t="shared" si="203"/>
        <v>1160.3019503546102</v>
      </c>
      <c r="M784" s="338">
        <f t="shared" si="204"/>
        <v>0</v>
      </c>
      <c r="N784" s="43" t="s">
        <v>666</v>
      </c>
      <c r="O784" s="339">
        <v>85177900</v>
      </c>
      <c r="P784" s="340">
        <f>IFERROR(VLOOKUP(O784,NCM!$A$3:$D$99,COLUMN(head_porNCM_IPI)-COLUMN(head_porNCM_NCM)+1,FALSE),"")</f>
        <v>7.4999999999999997E-2</v>
      </c>
      <c r="Q784" s="43" t="s">
        <v>1109</v>
      </c>
      <c r="R784" s="78" t="s">
        <v>211</v>
      </c>
      <c r="S784" s="341"/>
      <c r="T784" s="28" t="s">
        <v>52</v>
      </c>
      <c r="U784" s="28" t="s">
        <v>2352</v>
      </c>
      <c r="V784" s="548">
        <v>44999</v>
      </c>
      <c r="W784" s="43"/>
      <c r="X784" s="342">
        <f t="shared" si="205"/>
        <v>45.263700219856453</v>
      </c>
      <c r="Y784" s="342">
        <f t="shared" si="206"/>
        <v>18.859875091606852</v>
      </c>
      <c r="Z784" s="46">
        <f t="shared" si="207"/>
        <v>4.1491725201535088</v>
      </c>
      <c r="AA784" s="46">
        <f t="shared" si="208"/>
        <v>19.111340092828282</v>
      </c>
      <c r="AB784" s="43"/>
      <c r="AC784" s="44">
        <v>270.32487631303161</v>
      </c>
      <c r="AD784" s="31">
        <v>0.18</v>
      </c>
      <c r="AE784" s="31">
        <v>7.4999999999999997E-2</v>
      </c>
      <c r="AF784" s="31">
        <v>0</v>
      </c>
      <c r="AG784" s="28" t="s">
        <v>53</v>
      </c>
      <c r="AH784" s="46">
        <f t="shared" si="209"/>
        <v>290.59924203650894</v>
      </c>
      <c r="AI784" s="43"/>
      <c r="AJ784" s="28" t="s">
        <v>264</v>
      </c>
      <c r="AK784" s="337">
        <v>5.64</v>
      </c>
      <c r="AL784" s="43"/>
      <c r="AM784" s="44">
        <f t="shared" si="210"/>
        <v>0</v>
      </c>
      <c r="AN784" s="43"/>
      <c r="AO784" s="28">
        <f t="shared" si="211"/>
        <v>0</v>
      </c>
      <c r="AP784" s="43"/>
      <c r="AQ784" s="323">
        <f t="shared" si="212"/>
        <v>0</v>
      </c>
      <c r="AR784" s="43"/>
      <c r="AS784" s="44">
        <f t="shared" si="213"/>
        <v>1714.5355280154029</v>
      </c>
    </row>
    <row r="785" spans="1:45" x14ac:dyDescent="0.25">
      <c r="A785" s="28"/>
      <c r="B785" s="43"/>
      <c r="C785" s="43"/>
      <c r="D785" s="43"/>
      <c r="E785" s="43" t="s">
        <v>1744</v>
      </c>
      <c r="F785" s="43" t="s">
        <v>1745</v>
      </c>
      <c r="G785" s="46">
        <f t="shared" si="200"/>
        <v>2927.1790546476891</v>
      </c>
      <c r="H785" s="46">
        <f t="shared" si="201"/>
        <v>2619.492619926199</v>
      </c>
      <c r="I785" s="28" t="s">
        <v>263</v>
      </c>
      <c r="J785" s="337">
        <v>1</v>
      </c>
      <c r="K785" s="46">
        <f t="shared" si="202"/>
        <v>15894.58226673695</v>
      </c>
      <c r="L785" s="46">
        <f t="shared" si="203"/>
        <v>14223.844926199261</v>
      </c>
      <c r="M785" s="338">
        <f t="shared" si="204"/>
        <v>0</v>
      </c>
      <c r="N785" s="43" t="s">
        <v>668</v>
      </c>
      <c r="O785" s="339">
        <v>85437099</v>
      </c>
      <c r="P785" s="340">
        <f>IFERROR(VLOOKUP(O785,NCM!$A$3:$D$99,COLUMN(head_porNCM_IPI)-COLUMN(head_porNCM_NCM)+1,FALSE),"")</f>
        <v>6.5000000000000002E-2</v>
      </c>
      <c r="Q785" s="43" t="s">
        <v>1109</v>
      </c>
      <c r="R785" s="78" t="s">
        <v>211</v>
      </c>
      <c r="S785" s="341"/>
      <c r="T785" s="28" t="s">
        <v>52</v>
      </c>
      <c r="U785" s="28" t="s">
        <v>2287</v>
      </c>
      <c r="V785" s="548">
        <v>44756</v>
      </c>
      <c r="W785" s="43"/>
      <c r="X785" s="342">
        <f t="shared" si="205"/>
        <v>362.87343652657296</v>
      </c>
      <c r="Y785" s="342">
        <f t="shared" si="206"/>
        <v>302.39453043881122</v>
      </c>
      <c r="Z785" s="46">
        <f t="shared" si="207"/>
        <v>49.895097522403788</v>
      </c>
      <c r="AA785" s="46">
        <f t="shared" si="208"/>
        <v>229.81984313349622</v>
      </c>
      <c r="AB785" s="43"/>
      <c r="AC785" s="44">
        <v>3326.3398348269193</v>
      </c>
      <c r="AD785" s="31">
        <v>0.12</v>
      </c>
      <c r="AE785" s="31">
        <v>0.1</v>
      </c>
      <c r="AF785" s="31">
        <v>0</v>
      </c>
      <c r="AG785" s="28" t="s">
        <v>53</v>
      </c>
      <c r="AH785" s="46">
        <f t="shared" si="209"/>
        <v>3658.9738183096115</v>
      </c>
      <c r="AI785" s="43"/>
      <c r="AJ785" s="28" t="s">
        <v>263</v>
      </c>
      <c r="AK785" s="337">
        <v>5.42</v>
      </c>
      <c r="AL785" s="43"/>
      <c r="AM785" s="44">
        <f t="shared" si="210"/>
        <v>0</v>
      </c>
      <c r="AN785" s="43"/>
      <c r="AO785" s="28">
        <f t="shared" si="211"/>
        <v>0</v>
      </c>
      <c r="AP785" s="43"/>
      <c r="AQ785" s="323">
        <f t="shared" si="212"/>
        <v>0</v>
      </c>
      <c r="AR785" s="43"/>
      <c r="AS785" s="44">
        <f t="shared" si="213"/>
        <v>19868.227833421188</v>
      </c>
    </row>
    <row r="786" spans="1:45" x14ac:dyDescent="0.25">
      <c r="A786" s="28"/>
      <c r="B786" s="43"/>
      <c r="C786" s="43"/>
      <c r="D786" s="43" t="s">
        <v>2170</v>
      </c>
      <c r="E786" s="43"/>
      <c r="F786" s="43"/>
      <c r="G786" s="46">
        <f t="shared" si="200"/>
        <v>0</v>
      </c>
      <c r="H786" s="46">
        <f t="shared" si="201"/>
        <v>0</v>
      </c>
      <c r="I786" s="28"/>
      <c r="J786" s="337"/>
      <c r="K786" s="46" t="str">
        <f t="shared" si="202"/>
        <v/>
      </c>
      <c r="L786" s="46" t="str">
        <f t="shared" si="203"/>
        <v/>
      </c>
      <c r="M786" s="338">
        <f t="shared" si="204"/>
        <v>0</v>
      </c>
      <c r="N786" s="43"/>
      <c r="O786" s="339"/>
      <c r="P786" s="340" t="str">
        <f>IFERROR(VLOOKUP(O786,NCM!$A$3:$D$99,COLUMN(head_porNCM_IPI)-COLUMN(head_porNCM_NCM)+1,FALSE),"")</f>
        <v/>
      </c>
      <c r="Q786" s="43"/>
      <c r="R786" s="78"/>
      <c r="S786" s="341"/>
      <c r="T786" s="28"/>
      <c r="U786" s="28"/>
      <c r="V786" s="28"/>
      <c r="W786" s="43"/>
      <c r="X786" s="342">
        <f t="shared" si="205"/>
        <v>0</v>
      </c>
      <c r="Y786" s="342">
        <f t="shared" si="206"/>
        <v>0</v>
      </c>
      <c r="Z786" s="46">
        <f t="shared" si="207"/>
        <v>0</v>
      </c>
      <c r="AA786" s="46">
        <f t="shared" si="208"/>
        <v>0</v>
      </c>
      <c r="AB786" s="43"/>
      <c r="AC786" s="44">
        <v>0</v>
      </c>
      <c r="AD786" s="31"/>
      <c r="AE786" s="31"/>
      <c r="AF786" s="31"/>
      <c r="AG786" s="28"/>
      <c r="AH786" s="46">
        <f t="shared" si="209"/>
        <v>0</v>
      </c>
      <c r="AI786" s="43"/>
      <c r="AJ786" s="28"/>
      <c r="AK786" s="337"/>
      <c r="AL786" s="43"/>
      <c r="AM786" s="44">
        <f t="shared" si="210"/>
        <v>0</v>
      </c>
      <c r="AN786" s="43"/>
      <c r="AO786" s="28">
        <f t="shared" si="211"/>
        <v>0</v>
      </c>
      <c r="AP786" s="43"/>
      <c r="AQ786" s="323">
        <f t="shared" si="212"/>
        <v>0</v>
      </c>
      <c r="AR786" s="43"/>
      <c r="AS786" s="44">
        <f t="shared" si="213"/>
        <v>0</v>
      </c>
    </row>
    <row r="787" spans="1:45" x14ac:dyDescent="0.25">
      <c r="A787" s="28"/>
      <c r="B787" s="43"/>
      <c r="C787" s="43"/>
      <c r="D787" s="43"/>
      <c r="E787" s="43" t="s">
        <v>2171</v>
      </c>
      <c r="F787" s="43" t="s">
        <v>2172</v>
      </c>
      <c r="G787" s="46">
        <f t="shared" si="200"/>
        <v>15480.112164948452</v>
      </c>
      <c r="H787" s="46">
        <f t="shared" si="201"/>
        <v>13733.880000000001</v>
      </c>
      <c r="I787" s="28" t="s">
        <v>262</v>
      </c>
      <c r="J787" s="337">
        <v>1</v>
      </c>
      <c r="K787" s="46">
        <f t="shared" si="202"/>
        <v>15480.112164948452</v>
      </c>
      <c r="L787" s="46">
        <f t="shared" si="203"/>
        <v>13733.880000000001</v>
      </c>
      <c r="M787" s="338">
        <f t="shared" si="204"/>
        <v>0</v>
      </c>
      <c r="N787" s="43" t="s">
        <v>666</v>
      </c>
      <c r="O787" s="339">
        <v>85389010</v>
      </c>
      <c r="P787" s="340">
        <f>IFERROR(VLOOKUP(O787,NCM!$A$3:$D$99,COLUMN(head_porNCM_IPI)-COLUMN(head_porNCM_NCM)+1,FALSE),"")</f>
        <v>9.7500000000000003E-2</v>
      </c>
      <c r="Q787" s="43" t="s">
        <v>1165</v>
      </c>
      <c r="R787" s="78" t="s">
        <v>210</v>
      </c>
      <c r="S787" s="341"/>
      <c r="T787" s="28" t="s">
        <v>52</v>
      </c>
      <c r="U787" s="28" t="s">
        <v>2288</v>
      </c>
      <c r="V787" s="548">
        <v>44735</v>
      </c>
      <c r="W787" s="43"/>
      <c r="X787" s="342">
        <f t="shared" si="205"/>
        <v>3061.3273892449142</v>
      </c>
      <c r="Y787" s="342">
        <f t="shared" si="206"/>
        <v>1870.8111823163381</v>
      </c>
      <c r="Z787" s="46">
        <f t="shared" si="207"/>
        <v>280.62167734745049</v>
      </c>
      <c r="AA787" s="46">
        <f t="shared" si="208"/>
        <v>1292.5604532367415</v>
      </c>
      <c r="AB787" s="43"/>
      <c r="AC787" s="44">
        <v>18878.185567010307</v>
      </c>
      <c r="AD787" s="31">
        <v>0.18</v>
      </c>
      <c r="AE787" s="31">
        <v>0.11</v>
      </c>
      <c r="AF787" s="31">
        <v>0</v>
      </c>
      <c r="AG787" s="28" t="s">
        <v>53</v>
      </c>
      <c r="AH787" s="46">
        <f t="shared" si="209"/>
        <v>20954.785979381442</v>
      </c>
      <c r="AI787" s="43"/>
      <c r="AJ787" s="28" t="s">
        <v>263</v>
      </c>
      <c r="AK787" s="337">
        <v>5.23</v>
      </c>
      <c r="AL787" s="43"/>
      <c r="AM787" s="44">
        <f t="shared" si="210"/>
        <v>0</v>
      </c>
      <c r="AN787" s="43"/>
      <c r="AO787" s="28">
        <f t="shared" si="211"/>
        <v>0</v>
      </c>
      <c r="AP787" s="43"/>
      <c r="AQ787" s="323">
        <f t="shared" si="212"/>
        <v>0</v>
      </c>
      <c r="AR787" s="43"/>
      <c r="AS787" s="44">
        <f t="shared" si="213"/>
        <v>20954.785979381442</v>
      </c>
    </row>
    <row r="788" spans="1:45" x14ac:dyDescent="0.25">
      <c r="A788" s="28"/>
      <c r="B788" s="43"/>
      <c r="C788" s="43"/>
      <c r="D788" s="43"/>
      <c r="E788" s="43" t="s">
        <v>2173</v>
      </c>
      <c r="F788" s="43" t="s">
        <v>2174</v>
      </c>
      <c r="G788" s="46">
        <f t="shared" si="200"/>
        <v>7349.1386941580759</v>
      </c>
      <c r="H788" s="46">
        <f t="shared" si="201"/>
        <v>6520.1200000000008</v>
      </c>
      <c r="I788" s="28" t="s">
        <v>262</v>
      </c>
      <c r="J788" s="337">
        <v>1</v>
      </c>
      <c r="K788" s="46">
        <f t="shared" si="202"/>
        <v>7349.1386941580759</v>
      </c>
      <c r="L788" s="46">
        <f t="shared" si="203"/>
        <v>6520.1200000000008</v>
      </c>
      <c r="M788" s="338">
        <f t="shared" si="204"/>
        <v>0</v>
      </c>
      <c r="N788" s="43" t="s">
        <v>666</v>
      </c>
      <c r="O788" s="339">
        <v>85389010</v>
      </c>
      <c r="P788" s="340">
        <f>IFERROR(VLOOKUP(O788,NCM!$A$3:$D$99,COLUMN(head_porNCM_IPI)-COLUMN(head_porNCM_NCM)+1,FALSE),"")</f>
        <v>9.7500000000000003E-2</v>
      </c>
      <c r="Q788" s="43" t="s">
        <v>1165</v>
      </c>
      <c r="R788" s="78" t="s">
        <v>210</v>
      </c>
      <c r="S788" s="341"/>
      <c r="T788" s="28" t="s">
        <v>52</v>
      </c>
      <c r="U788" s="28" t="s">
        <v>2288</v>
      </c>
      <c r="V788" s="548">
        <v>44735</v>
      </c>
      <c r="W788" s="43"/>
      <c r="X788" s="342">
        <f t="shared" si="205"/>
        <v>1453.356366675954</v>
      </c>
      <c r="Y788" s="342">
        <f t="shared" si="206"/>
        <v>888.16222407975056</v>
      </c>
      <c r="Z788" s="46">
        <f t="shared" si="207"/>
        <v>133.22433361196246</v>
      </c>
      <c r="AA788" s="46">
        <f t="shared" si="208"/>
        <v>613.63935481873614</v>
      </c>
      <c r="AB788" s="43"/>
      <c r="AC788" s="44">
        <v>8962.3642611683845</v>
      </c>
      <c r="AD788" s="31">
        <v>0.18</v>
      </c>
      <c r="AE788" s="31">
        <v>0.11</v>
      </c>
      <c r="AF788" s="31">
        <v>0</v>
      </c>
      <c r="AG788" s="28" t="s">
        <v>53</v>
      </c>
      <c r="AH788" s="46">
        <f t="shared" si="209"/>
        <v>9948.2243298969079</v>
      </c>
      <c r="AI788" s="43"/>
      <c r="AJ788" s="28" t="s">
        <v>263</v>
      </c>
      <c r="AK788" s="337">
        <v>5.23</v>
      </c>
      <c r="AL788" s="43"/>
      <c r="AM788" s="44">
        <f t="shared" si="210"/>
        <v>0</v>
      </c>
      <c r="AN788" s="43"/>
      <c r="AO788" s="28">
        <f t="shared" si="211"/>
        <v>0</v>
      </c>
      <c r="AP788" s="43"/>
      <c r="AQ788" s="323">
        <f t="shared" si="212"/>
        <v>0</v>
      </c>
      <c r="AR788" s="43"/>
      <c r="AS788" s="44">
        <f t="shared" si="213"/>
        <v>9948.2243298969079</v>
      </c>
    </row>
    <row r="789" spans="1:45" x14ac:dyDescent="0.25">
      <c r="A789" s="28"/>
      <c r="B789" s="43"/>
      <c r="C789" s="43"/>
      <c r="D789" s="43"/>
      <c r="E789" s="43" t="s">
        <v>2175</v>
      </c>
      <c r="F789" s="43" t="s">
        <v>2176</v>
      </c>
      <c r="G789" s="46">
        <f t="shared" si="200"/>
        <v>5976.6108591065295</v>
      </c>
      <c r="H789" s="46">
        <f t="shared" si="201"/>
        <v>5302.420000000001</v>
      </c>
      <c r="I789" s="28" t="s">
        <v>262</v>
      </c>
      <c r="J789" s="337">
        <v>1</v>
      </c>
      <c r="K789" s="46">
        <f t="shared" si="202"/>
        <v>5976.6108591065295</v>
      </c>
      <c r="L789" s="46">
        <f t="shared" si="203"/>
        <v>5302.420000000001</v>
      </c>
      <c r="M789" s="338">
        <f t="shared" si="204"/>
        <v>0</v>
      </c>
      <c r="N789" s="43" t="s">
        <v>666</v>
      </c>
      <c r="O789" s="339">
        <v>85389010</v>
      </c>
      <c r="P789" s="340">
        <f>IFERROR(VLOOKUP(O789,NCM!$A$3:$D$99,COLUMN(head_porNCM_IPI)-COLUMN(head_porNCM_NCM)+1,FALSE),"")</f>
        <v>9.7500000000000003E-2</v>
      </c>
      <c r="Q789" s="43" t="s">
        <v>1165</v>
      </c>
      <c r="R789" s="78" t="s">
        <v>210</v>
      </c>
      <c r="S789" s="341"/>
      <c r="T789" s="28" t="s">
        <v>52</v>
      </c>
      <c r="U789" s="28" t="s">
        <v>2288</v>
      </c>
      <c r="V789" s="548">
        <v>44735</v>
      </c>
      <c r="W789" s="43"/>
      <c r="X789" s="342">
        <f t="shared" si="205"/>
        <v>1181.9269991641124</v>
      </c>
      <c r="Y789" s="342">
        <f t="shared" si="206"/>
        <v>722.28872171140301</v>
      </c>
      <c r="Z789" s="46">
        <f t="shared" si="207"/>
        <v>108.3433082567103</v>
      </c>
      <c r="AA789" s="46">
        <f t="shared" si="208"/>
        <v>499.03584409151409</v>
      </c>
      <c r="AB789" s="43"/>
      <c r="AC789" s="44">
        <v>7288.549828178694</v>
      </c>
      <c r="AD789" s="31">
        <v>0.18</v>
      </c>
      <c r="AE789" s="31">
        <v>0.11</v>
      </c>
      <c r="AF789" s="31">
        <v>0</v>
      </c>
      <c r="AG789" s="28" t="s">
        <v>53</v>
      </c>
      <c r="AH789" s="46">
        <f t="shared" si="209"/>
        <v>8090.2903092783508</v>
      </c>
      <c r="AI789" s="43"/>
      <c r="AJ789" s="28" t="s">
        <v>263</v>
      </c>
      <c r="AK789" s="337">
        <v>5.23</v>
      </c>
      <c r="AL789" s="43"/>
      <c r="AM789" s="44">
        <f t="shared" si="210"/>
        <v>0</v>
      </c>
      <c r="AN789" s="43"/>
      <c r="AO789" s="28">
        <f t="shared" si="211"/>
        <v>0</v>
      </c>
      <c r="AP789" s="43"/>
      <c r="AQ789" s="323">
        <f t="shared" si="212"/>
        <v>0</v>
      </c>
      <c r="AR789" s="43"/>
      <c r="AS789" s="44">
        <f t="shared" si="213"/>
        <v>8090.2903092783508</v>
      </c>
    </row>
    <row r="790" spans="1:45" x14ac:dyDescent="0.25">
      <c r="A790" s="28"/>
      <c r="B790" s="43"/>
      <c r="C790" s="43"/>
      <c r="D790" s="43"/>
      <c r="E790" s="43" t="s">
        <v>2177</v>
      </c>
      <c r="F790" s="43" t="s">
        <v>2178</v>
      </c>
      <c r="G790" s="46">
        <f t="shared" si="200"/>
        <v>16.422542955326463</v>
      </c>
      <c r="H790" s="46">
        <f t="shared" si="201"/>
        <v>14.570000000000002</v>
      </c>
      <c r="I790" s="28" t="s">
        <v>262</v>
      </c>
      <c r="J790" s="337">
        <v>1</v>
      </c>
      <c r="K790" s="46">
        <f t="shared" si="202"/>
        <v>16.422542955326463</v>
      </c>
      <c r="L790" s="46">
        <f t="shared" si="203"/>
        <v>14.570000000000002</v>
      </c>
      <c r="M790" s="338">
        <f t="shared" si="204"/>
        <v>0</v>
      </c>
      <c r="N790" s="43" t="s">
        <v>666</v>
      </c>
      <c r="O790" s="339">
        <v>85389010</v>
      </c>
      <c r="P790" s="340">
        <f>IFERROR(VLOOKUP(O790,NCM!$A$3:$D$99,COLUMN(head_porNCM_IPI)-COLUMN(head_porNCM_NCM)+1,FALSE),"")</f>
        <v>9.7500000000000003E-2</v>
      </c>
      <c r="Q790" s="43" t="s">
        <v>1165</v>
      </c>
      <c r="R790" s="78" t="s">
        <v>210</v>
      </c>
      <c r="S790" s="341"/>
      <c r="T790" s="28" t="s">
        <v>52</v>
      </c>
      <c r="U790" s="28" t="s">
        <v>2288</v>
      </c>
      <c r="V790" s="548">
        <v>44735</v>
      </c>
      <c r="W790" s="43"/>
      <c r="X790" s="342">
        <f t="shared" si="205"/>
        <v>3.2477013095569793</v>
      </c>
      <c r="Y790" s="342">
        <f t="shared" si="206"/>
        <v>1.9847063558403768</v>
      </c>
      <c r="Z790" s="46">
        <f t="shared" si="207"/>
        <v>0.29770595337605649</v>
      </c>
      <c r="AA790" s="46">
        <f t="shared" si="208"/>
        <v>1.3712516640351691</v>
      </c>
      <c r="AB790" s="43"/>
      <c r="AC790" s="44">
        <v>20.027491408934708</v>
      </c>
      <c r="AD790" s="31">
        <v>0.18</v>
      </c>
      <c r="AE790" s="31">
        <v>0.11</v>
      </c>
      <c r="AF790" s="31">
        <v>0</v>
      </c>
      <c r="AG790" s="28" t="s">
        <v>53</v>
      </c>
      <c r="AH790" s="46">
        <f t="shared" si="209"/>
        <v>22.230515463917527</v>
      </c>
      <c r="AI790" s="43"/>
      <c r="AJ790" s="28" t="s">
        <v>263</v>
      </c>
      <c r="AK790" s="337">
        <v>5.23</v>
      </c>
      <c r="AL790" s="43"/>
      <c r="AM790" s="44">
        <f t="shared" si="210"/>
        <v>0</v>
      </c>
      <c r="AN790" s="43"/>
      <c r="AO790" s="28">
        <f t="shared" si="211"/>
        <v>0</v>
      </c>
      <c r="AP790" s="43"/>
      <c r="AQ790" s="323">
        <f t="shared" si="212"/>
        <v>0</v>
      </c>
      <c r="AR790" s="43"/>
      <c r="AS790" s="44">
        <f t="shared" si="213"/>
        <v>22.230515463917527</v>
      </c>
    </row>
    <row r="791" spans="1:45" x14ac:dyDescent="0.25">
      <c r="A791" s="28"/>
      <c r="B791" s="43"/>
      <c r="C791" s="43"/>
      <c r="D791" s="43"/>
      <c r="E791" s="43" t="s">
        <v>2179</v>
      </c>
      <c r="F791" s="43" t="s">
        <v>2180</v>
      </c>
      <c r="G791" s="46">
        <f t="shared" si="200"/>
        <v>42.910515463917527</v>
      </c>
      <c r="H791" s="46">
        <f t="shared" si="201"/>
        <v>38.070000000000007</v>
      </c>
      <c r="I791" s="28" t="s">
        <v>262</v>
      </c>
      <c r="J791" s="337">
        <v>1</v>
      </c>
      <c r="K791" s="46">
        <f t="shared" si="202"/>
        <v>42.910515463917527</v>
      </c>
      <c r="L791" s="46">
        <f t="shared" si="203"/>
        <v>38.070000000000007</v>
      </c>
      <c r="M791" s="338">
        <f t="shared" si="204"/>
        <v>0</v>
      </c>
      <c r="N791" s="43" t="s">
        <v>666</v>
      </c>
      <c r="O791" s="339">
        <v>85389010</v>
      </c>
      <c r="P791" s="340">
        <f>IFERROR(VLOOKUP(O791,NCM!$A$3:$D$99,COLUMN(head_porNCM_IPI)-COLUMN(head_porNCM_NCM)+1,FALSE),"")</f>
        <v>9.7500000000000003E-2</v>
      </c>
      <c r="Q791" s="43" t="s">
        <v>1165</v>
      </c>
      <c r="R791" s="78" t="s">
        <v>210</v>
      </c>
      <c r="S791" s="341"/>
      <c r="T791" s="28" t="s">
        <v>52</v>
      </c>
      <c r="U791" s="28" t="s">
        <v>2288</v>
      </c>
      <c r="V791" s="548">
        <v>44735</v>
      </c>
      <c r="W791" s="43"/>
      <c r="X791" s="342">
        <f t="shared" si="205"/>
        <v>8.4859292281972696</v>
      </c>
      <c r="Y791" s="342">
        <f t="shared" si="206"/>
        <v>5.1858456394538877</v>
      </c>
      <c r="Z791" s="46">
        <f t="shared" si="207"/>
        <v>0.77787684591808304</v>
      </c>
      <c r="AA791" s="46">
        <f t="shared" si="208"/>
        <v>3.5829478963499581</v>
      </c>
      <c r="AB791" s="43"/>
      <c r="AC791" s="44">
        <v>52.329896907216494</v>
      </c>
      <c r="AD791" s="31">
        <v>0.18</v>
      </c>
      <c r="AE791" s="31">
        <v>0.11</v>
      </c>
      <c r="AF791" s="31">
        <v>0</v>
      </c>
      <c r="AG791" s="28" t="s">
        <v>53</v>
      </c>
      <c r="AH791" s="46">
        <f t="shared" si="209"/>
        <v>58.086185567010311</v>
      </c>
      <c r="AI791" s="43"/>
      <c r="AJ791" s="28" t="s">
        <v>263</v>
      </c>
      <c r="AK791" s="337">
        <v>5.23</v>
      </c>
      <c r="AL791" s="43"/>
      <c r="AM791" s="44">
        <f t="shared" si="210"/>
        <v>0</v>
      </c>
      <c r="AN791" s="43"/>
      <c r="AO791" s="28">
        <f t="shared" si="211"/>
        <v>0</v>
      </c>
      <c r="AP791" s="43"/>
      <c r="AQ791" s="323">
        <f t="shared" si="212"/>
        <v>0</v>
      </c>
      <c r="AR791" s="43"/>
      <c r="AS791" s="44">
        <f t="shared" si="213"/>
        <v>58.086185567010311</v>
      </c>
    </row>
    <row r="792" spans="1:45" x14ac:dyDescent="0.25">
      <c r="A792" s="28"/>
      <c r="B792" s="43"/>
      <c r="C792" s="43"/>
      <c r="D792" s="43"/>
      <c r="E792" s="43" t="s">
        <v>2181</v>
      </c>
      <c r="F792" s="43" t="s">
        <v>2182</v>
      </c>
      <c r="G792" s="46">
        <f t="shared" si="200"/>
        <v>10789.171134020618</v>
      </c>
      <c r="H792" s="46">
        <f t="shared" si="201"/>
        <v>9572.1000000000022</v>
      </c>
      <c r="I792" s="28" t="s">
        <v>262</v>
      </c>
      <c r="J792" s="337">
        <v>1</v>
      </c>
      <c r="K792" s="46">
        <f t="shared" si="202"/>
        <v>10789.171134020618</v>
      </c>
      <c r="L792" s="46">
        <f t="shared" si="203"/>
        <v>9572.1000000000022</v>
      </c>
      <c r="M792" s="338">
        <f t="shared" si="204"/>
        <v>0</v>
      </c>
      <c r="N792" s="43" t="s">
        <v>666</v>
      </c>
      <c r="O792" s="339">
        <v>85389010</v>
      </c>
      <c r="P792" s="340">
        <f>IFERROR(VLOOKUP(O792,NCM!$A$3:$D$99,COLUMN(head_porNCM_IPI)-COLUMN(head_porNCM_NCM)+1,FALSE),"")</f>
        <v>9.7500000000000003E-2</v>
      </c>
      <c r="Q792" s="43" t="s">
        <v>1165</v>
      </c>
      <c r="R792" s="78" t="s">
        <v>210</v>
      </c>
      <c r="S792" s="341"/>
      <c r="T792" s="28" t="s">
        <v>52</v>
      </c>
      <c r="U792" s="28" t="s">
        <v>2288</v>
      </c>
      <c r="V792" s="548">
        <v>44735</v>
      </c>
      <c r="W792" s="43"/>
      <c r="X792" s="342">
        <f t="shared" si="205"/>
        <v>2133.6528280858174</v>
      </c>
      <c r="Y792" s="342">
        <f t="shared" si="206"/>
        <v>1303.8989504968904</v>
      </c>
      <c r="Z792" s="46">
        <f t="shared" si="207"/>
        <v>195.58484257453327</v>
      </c>
      <c r="AA792" s="46">
        <f t="shared" si="208"/>
        <v>900.87563852512289</v>
      </c>
      <c r="AB792" s="43"/>
      <c r="AC792" s="44">
        <v>13157.525773195875</v>
      </c>
      <c r="AD792" s="31">
        <v>0.18</v>
      </c>
      <c r="AE792" s="31">
        <v>0.11</v>
      </c>
      <c r="AF792" s="31">
        <v>0</v>
      </c>
      <c r="AG792" s="28" t="s">
        <v>53</v>
      </c>
      <c r="AH792" s="46">
        <f t="shared" si="209"/>
        <v>14604.853608247424</v>
      </c>
      <c r="AI792" s="43"/>
      <c r="AJ792" s="28" t="s">
        <v>263</v>
      </c>
      <c r="AK792" s="337">
        <v>5.23</v>
      </c>
      <c r="AL792" s="43"/>
      <c r="AM792" s="44">
        <f t="shared" si="210"/>
        <v>0</v>
      </c>
      <c r="AN792" s="43"/>
      <c r="AO792" s="28">
        <f t="shared" si="211"/>
        <v>0</v>
      </c>
      <c r="AP792" s="43"/>
      <c r="AQ792" s="323">
        <f t="shared" si="212"/>
        <v>0</v>
      </c>
      <c r="AR792" s="43"/>
      <c r="AS792" s="44">
        <f t="shared" si="213"/>
        <v>14604.853608247424</v>
      </c>
    </row>
    <row r="793" spans="1:45" x14ac:dyDescent="0.25">
      <c r="A793" s="28"/>
      <c r="B793" s="43"/>
      <c r="C793" s="43"/>
      <c r="D793" s="43"/>
      <c r="E793" s="43" t="s">
        <v>2183</v>
      </c>
      <c r="F793" s="43" t="s">
        <v>2184</v>
      </c>
      <c r="G793" s="46">
        <f t="shared" si="200"/>
        <v>21943.188728522338</v>
      </c>
      <c r="H793" s="46">
        <f t="shared" si="201"/>
        <v>19467.890000000003</v>
      </c>
      <c r="I793" s="28" t="s">
        <v>262</v>
      </c>
      <c r="J793" s="337">
        <v>1</v>
      </c>
      <c r="K793" s="46">
        <f t="shared" si="202"/>
        <v>21943.188728522338</v>
      </c>
      <c r="L793" s="46">
        <f t="shared" si="203"/>
        <v>19467.890000000003</v>
      </c>
      <c r="M793" s="338">
        <f t="shared" si="204"/>
        <v>0</v>
      </c>
      <c r="N793" s="43" t="s">
        <v>666</v>
      </c>
      <c r="O793" s="339">
        <v>85389010</v>
      </c>
      <c r="P793" s="340">
        <f>IFERROR(VLOOKUP(O793,NCM!$A$3:$D$99,COLUMN(head_porNCM_IPI)-COLUMN(head_porNCM_NCM)+1,FALSE),"")</f>
        <v>9.7500000000000003E-2</v>
      </c>
      <c r="Q793" s="43" t="s">
        <v>1165</v>
      </c>
      <c r="R793" s="78" t="s">
        <v>210</v>
      </c>
      <c r="S793" s="341"/>
      <c r="T793" s="28" t="s">
        <v>52</v>
      </c>
      <c r="U793" s="28" t="s">
        <v>2288</v>
      </c>
      <c r="V793" s="548">
        <v>44735</v>
      </c>
      <c r="W793" s="43"/>
      <c r="X793" s="342">
        <f t="shared" si="205"/>
        <v>4339.457230426302</v>
      </c>
      <c r="Y793" s="342">
        <f t="shared" si="206"/>
        <v>2651.8905297049641</v>
      </c>
      <c r="Z793" s="46">
        <f t="shared" si="207"/>
        <v>397.78357945574436</v>
      </c>
      <c r="AA793" s="46">
        <f t="shared" si="208"/>
        <v>1832.2152750688831</v>
      </c>
      <c r="AB793" s="43"/>
      <c r="AC793" s="44">
        <v>26759.986254295531</v>
      </c>
      <c r="AD793" s="31">
        <v>0.18</v>
      </c>
      <c r="AE793" s="31">
        <v>0.11</v>
      </c>
      <c r="AF793" s="31">
        <v>0</v>
      </c>
      <c r="AG793" s="28" t="s">
        <v>53</v>
      </c>
      <c r="AH793" s="46">
        <f t="shared" si="209"/>
        <v>29703.584742268042</v>
      </c>
      <c r="AI793" s="43"/>
      <c r="AJ793" s="28" t="s">
        <v>263</v>
      </c>
      <c r="AK793" s="337">
        <v>5.23</v>
      </c>
      <c r="AL793" s="43"/>
      <c r="AM793" s="44">
        <f t="shared" si="210"/>
        <v>0</v>
      </c>
      <c r="AN793" s="43"/>
      <c r="AO793" s="28">
        <f t="shared" si="211"/>
        <v>0</v>
      </c>
      <c r="AP793" s="43"/>
      <c r="AQ793" s="323">
        <f t="shared" si="212"/>
        <v>0</v>
      </c>
      <c r="AR793" s="43"/>
      <c r="AS793" s="44">
        <f t="shared" si="213"/>
        <v>29703.584742268042</v>
      </c>
    </row>
    <row r="794" spans="1:45" x14ac:dyDescent="0.25">
      <c r="A794" s="28"/>
      <c r="B794" s="43"/>
      <c r="C794" s="43"/>
      <c r="D794" s="43"/>
      <c r="E794" s="43" t="s">
        <v>2185</v>
      </c>
      <c r="F794" s="43" t="s">
        <v>2186</v>
      </c>
      <c r="G794" s="46">
        <f t="shared" si="200"/>
        <v>12926.153127147767</v>
      </c>
      <c r="H794" s="46">
        <f t="shared" si="201"/>
        <v>11468.020000000002</v>
      </c>
      <c r="I794" s="28" t="s">
        <v>262</v>
      </c>
      <c r="J794" s="337">
        <v>1</v>
      </c>
      <c r="K794" s="46">
        <f t="shared" si="202"/>
        <v>12926.153127147767</v>
      </c>
      <c r="L794" s="46">
        <f t="shared" si="203"/>
        <v>11468.020000000002</v>
      </c>
      <c r="M794" s="338">
        <f t="shared" si="204"/>
        <v>0</v>
      </c>
      <c r="N794" s="43" t="s">
        <v>666</v>
      </c>
      <c r="O794" s="339">
        <v>85389010</v>
      </c>
      <c r="P794" s="340">
        <f>IFERROR(VLOOKUP(O794,NCM!$A$3:$D$99,COLUMN(head_porNCM_IPI)-COLUMN(head_porNCM_NCM)+1,FALSE),"")</f>
        <v>9.7500000000000003E-2</v>
      </c>
      <c r="Q794" s="43" t="s">
        <v>1165</v>
      </c>
      <c r="R794" s="78" t="s">
        <v>210</v>
      </c>
      <c r="S794" s="341"/>
      <c r="T794" s="28" t="s">
        <v>52</v>
      </c>
      <c r="U794" s="28" t="s">
        <v>2288</v>
      </c>
      <c r="V794" s="548">
        <v>44735</v>
      </c>
      <c r="W794" s="43"/>
      <c r="X794" s="342">
        <f t="shared" si="205"/>
        <v>2556.2596823627746</v>
      </c>
      <c r="Y794" s="342">
        <f t="shared" si="206"/>
        <v>1562.1586947772521</v>
      </c>
      <c r="Z794" s="46">
        <f t="shared" si="207"/>
        <v>234.32380421658772</v>
      </c>
      <c r="AA794" s="46">
        <f t="shared" si="208"/>
        <v>1079.3096436642827</v>
      </c>
      <c r="AB794" s="43"/>
      <c r="AC794" s="44">
        <v>15763.601374570446</v>
      </c>
      <c r="AD794" s="31">
        <v>0.18</v>
      </c>
      <c r="AE794" s="31">
        <v>0.11</v>
      </c>
      <c r="AF794" s="31">
        <v>0</v>
      </c>
      <c r="AG794" s="28" t="s">
        <v>53</v>
      </c>
      <c r="AH794" s="46">
        <f t="shared" si="209"/>
        <v>17497.597525773195</v>
      </c>
      <c r="AI794" s="43"/>
      <c r="AJ794" s="28" t="s">
        <v>263</v>
      </c>
      <c r="AK794" s="337">
        <v>5.23</v>
      </c>
      <c r="AL794" s="43"/>
      <c r="AM794" s="44">
        <f t="shared" si="210"/>
        <v>0</v>
      </c>
      <c r="AN794" s="43"/>
      <c r="AO794" s="28">
        <f t="shared" si="211"/>
        <v>0</v>
      </c>
      <c r="AP794" s="43"/>
      <c r="AQ794" s="323">
        <f t="shared" si="212"/>
        <v>0</v>
      </c>
      <c r="AR794" s="43"/>
      <c r="AS794" s="44">
        <f t="shared" si="213"/>
        <v>17497.597525773195</v>
      </c>
    </row>
    <row r="795" spans="1:45" x14ac:dyDescent="0.25">
      <c r="A795" s="28"/>
      <c r="B795" s="43"/>
      <c r="C795" s="43"/>
      <c r="D795" s="43"/>
      <c r="E795" s="43" t="s">
        <v>2187</v>
      </c>
      <c r="F795" s="43" t="s">
        <v>2188</v>
      </c>
      <c r="G795" s="46">
        <f t="shared" si="200"/>
        <v>20327.411134020622</v>
      </c>
      <c r="H795" s="46">
        <f t="shared" si="201"/>
        <v>18034.380000000005</v>
      </c>
      <c r="I795" s="28" t="s">
        <v>262</v>
      </c>
      <c r="J795" s="337">
        <v>1</v>
      </c>
      <c r="K795" s="46">
        <f t="shared" si="202"/>
        <v>20327.411134020622</v>
      </c>
      <c r="L795" s="46">
        <f t="shared" si="203"/>
        <v>18034.380000000005</v>
      </c>
      <c r="M795" s="338">
        <f t="shared" si="204"/>
        <v>0</v>
      </c>
      <c r="N795" s="43" t="s">
        <v>666</v>
      </c>
      <c r="O795" s="339">
        <v>85389010</v>
      </c>
      <c r="P795" s="340">
        <f>IFERROR(VLOOKUP(O795,NCM!$A$3:$D$99,COLUMN(head_porNCM_IPI)-COLUMN(head_porNCM_NCM)+1,FALSE),"")</f>
        <v>9.7500000000000003E-2</v>
      </c>
      <c r="Q795" s="43" t="s">
        <v>1165</v>
      </c>
      <c r="R795" s="78" t="s">
        <v>210</v>
      </c>
      <c r="S795" s="341"/>
      <c r="T795" s="28" t="s">
        <v>52</v>
      </c>
      <c r="U795" s="28" t="s">
        <v>2288</v>
      </c>
      <c r="V795" s="548">
        <v>44735</v>
      </c>
      <c r="W795" s="43"/>
      <c r="X795" s="342">
        <f t="shared" si="205"/>
        <v>4019.9230983560878</v>
      </c>
      <c r="Y795" s="342">
        <f t="shared" si="206"/>
        <v>2456.6196712176097</v>
      </c>
      <c r="Z795" s="46">
        <f t="shared" si="207"/>
        <v>368.49295068264144</v>
      </c>
      <c r="AA795" s="46">
        <f t="shared" si="208"/>
        <v>1697.3008637503483</v>
      </c>
      <c r="AB795" s="43"/>
      <c r="AC795" s="44">
        <v>24789.525773195877</v>
      </c>
      <c r="AD795" s="31">
        <v>0.18</v>
      </c>
      <c r="AE795" s="31">
        <v>0.11</v>
      </c>
      <c r="AF795" s="31">
        <v>0</v>
      </c>
      <c r="AG795" s="28" t="s">
        <v>53</v>
      </c>
      <c r="AH795" s="46">
        <f t="shared" si="209"/>
        <v>27516.373608247428</v>
      </c>
      <c r="AI795" s="43"/>
      <c r="AJ795" s="28" t="s">
        <v>263</v>
      </c>
      <c r="AK795" s="337">
        <v>5.23</v>
      </c>
      <c r="AL795" s="43"/>
      <c r="AM795" s="44">
        <f t="shared" si="210"/>
        <v>0</v>
      </c>
      <c r="AN795" s="43"/>
      <c r="AO795" s="28">
        <f t="shared" si="211"/>
        <v>0</v>
      </c>
      <c r="AP795" s="43"/>
      <c r="AQ795" s="323">
        <f t="shared" si="212"/>
        <v>0</v>
      </c>
      <c r="AR795" s="43"/>
      <c r="AS795" s="44">
        <f t="shared" si="213"/>
        <v>27516.373608247428</v>
      </c>
    </row>
    <row r="796" spans="1:45" x14ac:dyDescent="0.25">
      <c r="A796" s="28"/>
      <c r="B796" s="43"/>
      <c r="C796" s="43"/>
      <c r="D796" s="43"/>
      <c r="E796" s="43" t="s">
        <v>2189</v>
      </c>
      <c r="F796" s="43" t="s">
        <v>2190</v>
      </c>
      <c r="G796" s="46">
        <f t="shared" si="200"/>
        <v>2205.4787628865984</v>
      </c>
      <c r="H796" s="46">
        <f t="shared" si="201"/>
        <v>1956.6900000000005</v>
      </c>
      <c r="I796" s="28" t="s">
        <v>262</v>
      </c>
      <c r="J796" s="337">
        <v>1</v>
      </c>
      <c r="K796" s="46">
        <f t="shared" si="202"/>
        <v>2205.4787628865984</v>
      </c>
      <c r="L796" s="46">
        <f t="shared" si="203"/>
        <v>1956.6900000000005</v>
      </c>
      <c r="M796" s="338">
        <f t="shared" si="204"/>
        <v>0</v>
      </c>
      <c r="N796" s="43" t="s">
        <v>666</v>
      </c>
      <c r="O796" s="339">
        <v>85389010</v>
      </c>
      <c r="P796" s="340">
        <f>IFERROR(VLOOKUP(O796,NCM!$A$3:$D$99,COLUMN(head_porNCM_IPI)-COLUMN(head_porNCM_NCM)+1,FALSE),"")</f>
        <v>9.7500000000000003E-2</v>
      </c>
      <c r="Q796" s="43" t="s">
        <v>1165</v>
      </c>
      <c r="R796" s="78" t="s">
        <v>210</v>
      </c>
      <c r="S796" s="341"/>
      <c r="T796" s="28" t="s">
        <v>52</v>
      </c>
      <c r="U796" s="28" t="s">
        <v>2288</v>
      </c>
      <c r="V796" s="548">
        <v>44735</v>
      </c>
      <c r="W796" s="43"/>
      <c r="X796" s="342">
        <f t="shared" si="205"/>
        <v>436.15268877124544</v>
      </c>
      <c r="Y796" s="342">
        <f t="shared" si="206"/>
        <v>266.53775424909463</v>
      </c>
      <c r="Z796" s="46">
        <f t="shared" si="207"/>
        <v>39.980663137364168</v>
      </c>
      <c r="AA796" s="46">
        <f t="shared" si="208"/>
        <v>184.15335748119253</v>
      </c>
      <c r="AB796" s="43"/>
      <c r="AC796" s="44">
        <v>2689.6082474226805</v>
      </c>
      <c r="AD796" s="31">
        <v>0.18</v>
      </c>
      <c r="AE796" s="31">
        <v>0.11</v>
      </c>
      <c r="AF796" s="31">
        <v>0</v>
      </c>
      <c r="AG796" s="28" t="s">
        <v>53</v>
      </c>
      <c r="AH796" s="46">
        <f t="shared" si="209"/>
        <v>2985.4651546391756</v>
      </c>
      <c r="AI796" s="43"/>
      <c r="AJ796" s="28" t="s">
        <v>263</v>
      </c>
      <c r="AK796" s="337">
        <v>5.23</v>
      </c>
      <c r="AL796" s="43"/>
      <c r="AM796" s="44">
        <f t="shared" si="210"/>
        <v>0</v>
      </c>
      <c r="AN796" s="43"/>
      <c r="AO796" s="28">
        <f t="shared" si="211"/>
        <v>0</v>
      </c>
      <c r="AP796" s="43"/>
      <c r="AQ796" s="323">
        <f t="shared" si="212"/>
        <v>0</v>
      </c>
      <c r="AR796" s="43"/>
      <c r="AS796" s="44">
        <f t="shared" si="213"/>
        <v>2985.4651546391756</v>
      </c>
    </row>
    <row r="797" spans="1:45" x14ac:dyDescent="0.25">
      <c r="A797" s="28"/>
      <c r="B797" s="43"/>
      <c r="C797" s="43"/>
      <c r="D797" s="43"/>
      <c r="E797" s="43" t="s">
        <v>2191</v>
      </c>
      <c r="F797" s="43" t="s">
        <v>2192</v>
      </c>
      <c r="G797" s="46">
        <f t="shared" si="200"/>
        <v>1528.2094845360825</v>
      </c>
      <c r="H797" s="46">
        <f t="shared" si="201"/>
        <v>1355.8200000000002</v>
      </c>
      <c r="I797" s="28" t="s">
        <v>262</v>
      </c>
      <c r="J797" s="337">
        <v>1</v>
      </c>
      <c r="K797" s="46">
        <f t="shared" si="202"/>
        <v>1528.2094845360825</v>
      </c>
      <c r="L797" s="46">
        <f t="shared" si="203"/>
        <v>1355.8200000000002</v>
      </c>
      <c r="M797" s="338">
        <f t="shared" si="204"/>
        <v>0</v>
      </c>
      <c r="N797" s="43" t="s">
        <v>666</v>
      </c>
      <c r="O797" s="339">
        <v>85389010</v>
      </c>
      <c r="P797" s="340">
        <f>IFERROR(VLOOKUP(O797,NCM!$A$3:$D$99,COLUMN(head_porNCM_IPI)-COLUMN(head_porNCM_NCM)+1,FALSE),"")</f>
        <v>9.7500000000000003E-2</v>
      </c>
      <c r="Q797" s="43" t="s">
        <v>1165</v>
      </c>
      <c r="R797" s="78" t="s">
        <v>210</v>
      </c>
      <c r="S797" s="341"/>
      <c r="T797" s="28" t="s">
        <v>52</v>
      </c>
      <c r="U797" s="28" t="s">
        <v>2288</v>
      </c>
      <c r="V797" s="548">
        <v>44735</v>
      </c>
      <c r="W797" s="43"/>
      <c r="X797" s="342">
        <f t="shared" si="205"/>
        <v>302.21677347450537</v>
      </c>
      <c r="Y797" s="342">
        <f t="shared" si="206"/>
        <v>184.68802823442002</v>
      </c>
      <c r="Z797" s="46">
        <f t="shared" si="207"/>
        <v>27.703204235162996</v>
      </c>
      <c r="AA797" s="46">
        <f t="shared" si="208"/>
        <v>127.60263768923561</v>
      </c>
      <c r="AB797" s="43"/>
      <c r="AC797" s="44">
        <v>1863.6701030927834</v>
      </c>
      <c r="AD797" s="31">
        <v>0.18</v>
      </c>
      <c r="AE797" s="31">
        <v>0.11</v>
      </c>
      <c r="AF797" s="31">
        <v>0</v>
      </c>
      <c r="AG797" s="28" t="s">
        <v>53</v>
      </c>
      <c r="AH797" s="46">
        <f t="shared" si="209"/>
        <v>2068.6738144329897</v>
      </c>
      <c r="AI797" s="43"/>
      <c r="AJ797" s="28" t="s">
        <v>263</v>
      </c>
      <c r="AK797" s="337">
        <v>5.23</v>
      </c>
      <c r="AL797" s="43"/>
      <c r="AM797" s="44">
        <f t="shared" si="210"/>
        <v>0</v>
      </c>
      <c r="AN797" s="43"/>
      <c r="AO797" s="28">
        <f t="shared" si="211"/>
        <v>0</v>
      </c>
      <c r="AP797" s="43"/>
      <c r="AQ797" s="323">
        <f t="shared" si="212"/>
        <v>0</v>
      </c>
      <c r="AR797" s="43"/>
      <c r="AS797" s="44">
        <f t="shared" si="213"/>
        <v>2068.6738144329897</v>
      </c>
    </row>
    <row r="798" spans="1:45" x14ac:dyDescent="0.25">
      <c r="A798" s="28"/>
      <c r="B798" s="43"/>
      <c r="C798" s="43"/>
      <c r="D798" s="43"/>
      <c r="E798" s="43" t="s">
        <v>2193</v>
      </c>
      <c r="F798" s="43" t="s">
        <v>2194</v>
      </c>
      <c r="G798" s="46">
        <f t="shared" si="200"/>
        <v>3212.7092783505159</v>
      </c>
      <c r="H798" s="46">
        <f t="shared" si="201"/>
        <v>2850.3000000000006</v>
      </c>
      <c r="I798" s="28" t="s">
        <v>262</v>
      </c>
      <c r="J798" s="337">
        <v>1</v>
      </c>
      <c r="K798" s="46">
        <f t="shared" si="202"/>
        <v>3212.7092783505159</v>
      </c>
      <c r="L798" s="46">
        <f t="shared" si="203"/>
        <v>2850.3000000000006</v>
      </c>
      <c r="M798" s="338">
        <f t="shared" si="204"/>
        <v>0</v>
      </c>
      <c r="N798" s="43" t="s">
        <v>666</v>
      </c>
      <c r="O798" s="339">
        <v>85389010</v>
      </c>
      <c r="P798" s="340">
        <f>IFERROR(VLOOKUP(O798,NCM!$A$3:$D$99,COLUMN(head_porNCM_IPI)-COLUMN(head_porNCM_NCM)+1,FALSE),"")</f>
        <v>9.7500000000000003E-2</v>
      </c>
      <c r="Q798" s="43" t="s">
        <v>1165</v>
      </c>
      <c r="R798" s="78" t="s">
        <v>210</v>
      </c>
      <c r="S798" s="341"/>
      <c r="T798" s="28" t="s">
        <v>52</v>
      </c>
      <c r="U798" s="28" t="s">
        <v>2288</v>
      </c>
      <c r="V798" s="548">
        <v>44735</v>
      </c>
      <c r="W798" s="43"/>
      <c r="X798" s="342">
        <f t="shared" si="205"/>
        <v>635.34132070214537</v>
      </c>
      <c r="Y798" s="342">
        <f t="shared" si="206"/>
        <v>388.26414042908937</v>
      </c>
      <c r="Z798" s="46">
        <f t="shared" si="207"/>
        <v>58.239621064363334</v>
      </c>
      <c r="AA798" s="46">
        <f t="shared" si="208"/>
        <v>268.25522429646139</v>
      </c>
      <c r="AB798" s="43"/>
      <c r="AC798" s="44">
        <v>3917.9381443298971</v>
      </c>
      <c r="AD798" s="31">
        <v>0.18</v>
      </c>
      <c r="AE798" s="31">
        <v>0.11</v>
      </c>
      <c r="AF798" s="31">
        <v>0</v>
      </c>
      <c r="AG798" s="28" t="s">
        <v>53</v>
      </c>
      <c r="AH798" s="46">
        <f t="shared" si="209"/>
        <v>4348.9113402061857</v>
      </c>
      <c r="AI798" s="43"/>
      <c r="AJ798" s="28" t="s">
        <v>263</v>
      </c>
      <c r="AK798" s="337">
        <v>5.23</v>
      </c>
      <c r="AL798" s="43"/>
      <c r="AM798" s="44">
        <f t="shared" si="210"/>
        <v>0</v>
      </c>
      <c r="AN798" s="43"/>
      <c r="AO798" s="28">
        <f t="shared" si="211"/>
        <v>0</v>
      </c>
      <c r="AP798" s="43"/>
      <c r="AQ798" s="323">
        <f t="shared" si="212"/>
        <v>0</v>
      </c>
      <c r="AR798" s="43"/>
      <c r="AS798" s="44">
        <f t="shared" si="213"/>
        <v>4348.9113402061857</v>
      </c>
    </row>
    <row r="799" spans="1:45" x14ac:dyDescent="0.25">
      <c r="A799" s="28"/>
      <c r="B799" s="43"/>
      <c r="C799" s="43"/>
      <c r="D799" s="43"/>
      <c r="E799" s="43" t="s">
        <v>2195</v>
      </c>
      <c r="F799" s="43" t="s">
        <v>2196</v>
      </c>
      <c r="G799" s="46">
        <f t="shared" si="200"/>
        <v>122.78020618556701</v>
      </c>
      <c r="H799" s="46">
        <f t="shared" si="201"/>
        <v>108.93000000000002</v>
      </c>
      <c r="I799" s="28" t="s">
        <v>262</v>
      </c>
      <c r="J799" s="337">
        <v>1</v>
      </c>
      <c r="K799" s="46">
        <f t="shared" si="202"/>
        <v>122.78020618556701</v>
      </c>
      <c r="L799" s="46">
        <f t="shared" si="203"/>
        <v>108.93000000000002</v>
      </c>
      <c r="M799" s="338">
        <f t="shared" si="204"/>
        <v>0</v>
      </c>
      <c r="N799" s="43" t="s">
        <v>666</v>
      </c>
      <c r="O799" s="339">
        <v>85389010</v>
      </c>
      <c r="P799" s="340">
        <f>IFERROR(VLOOKUP(O799,NCM!$A$3:$D$99,COLUMN(head_porNCM_IPI)-COLUMN(head_porNCM_NCM)+1,FALSE),"")</f>
        <v>9.7500000000000003E-2</v>
      </c>
      <c r="Q799" s="43" t="s">
        <v>1165</v>
      </c>
      <c r="R799" s="78" t="s">
        <v>210</v>
      </c>
      <c r="S799" s="341"/>
      <c r="T799" s="28" t="s">
        <v>52</v>
      </c>
      <c r="U799" s="28" t="s">
        <v>2288</v>
      </c>
      <c r="V799" s="548">
        <v>44735</v>
      </c>
      <c r="W799" s="43"/>
      <c r="X799" s="342">
        <f t="shared" si="205"/>
        <v>24.280858177765388</v>
      </c>
      <c r="Y799" s="342">
        <f t="shared" si="206"/>
        <v>14.838302219745543</v>
      </c>
      <c r="Z799" s="46">
        <f t="shared" si="207"/>
        <v>2.2257453329618273</v>
      </c>
      <c r="AA799" s="46">
        <f t="shared" si="208"/>
        <v>10.251917897278719</v>
      </c>
      <c r="AB799" s="43"/>
      <c r="AC799" s="44">
        <v>149.73195876288659</v>
      </c>
      <c r="AD799" s="31">
        <v>0.18</v>
      </c>
      <c r="AE799" s="31">
        <v>0.11</v>
      </c>
      <c r="AF799" s="31">
        <v>0</v>
      </c>
      <c r="AG799" s="28" t="s">
        <v>53</v>
      </c>
      <c r="AH799" s="46">
        <f t="shared" si="209"/>
        <v>166.20247422680413</v>
      </c>
      <c r="AI799" s="43"/>
      <c r="AJ799" s="28" t="s">
        <v>263</v>
      </c>
      <c r="AK799" s="337">
        <v>5.23</v>
      </c>
      <c r="AL799" s="43"/>
      <c r="AM799" s="44">
        <f t="shared" si="210"/>
        <v>0</v>
      </c>
      <c r="AN799" s="43"/>
      <c r="AO799" s="28">
        <f t="shared" si="211"/>
        <v>0</v>
      </c>
      <c r="AP799" s="43"/>
      <c r="AQ799" s="323">
        <f t="shared" si="212"/>
        <v>0</v>
      </c>
      <c r="AR799" s="43"/>
      <c r="AS799" s="44">
        <f t="shared" si="213"/>
        <v>166.20247422680413</v>
      </c>
    </row>
    <row r="800" spans="1:45" x14ac:dyDescent="0.25">
      <c r="A800" s="28"/>
      <c r="B800" s="43"/>
      <c r="C800" s="43"/>
      <c r="D800" s="43" t="s">
        <v>1746</v>
      </c>
      <c r="E800" s="43"/>
      <c r="F800" s="43"/>
      <c r="G800" s="46">
        <f t="shared" si="200"/>
        <v>0</v>
      </c>
      <c r="H800" s="46">
        <f t="shared" si="201"/>
        <v>0</v>
      </c>
      <c r="I800" s="28"/>
      <c r="J800" s="337"/>
      <c r="K800" s="46" t="str">
        <f t="shared" si="202"/>
        <v/>
      </c>
      <c r="L800" s="46" t="str">
        <f t="shared" si="203"/>
        <v/>
      </c>
      <c r="M800" s="338">
        <f t="shared" si="204"/>
        <v>0</v>
      </c>
      <c r="N800" s="43"/>
      <c r="O800" s="339"/>
      <c r="P800" s="340" t="str">
        <f>IFERROR(VLOOKUP(O800,NCM!$A$3:$D$99,COLUMN(head_porNCM_IPI)-COLUMN(head_porNCM_NCM)+1,FALSE),"")</f>
        <v/>
      </c>
      <c r="Q800" s="43"/>
      <c r="R800" s="78"/>
      <c r="S800" s="341"/>
      <c r="T800" s="28"/>
      <c r="U800" s="28"/>
      <c r="V800" s="28"/>
      <c r="W800" s="43"/>
      <c r="X800" s="342">
        <f t="shared" si="205"/>
        <v>0</v>
      </c>
      <c r="Y800" s="342">
        <f t="shared" si="206"/>
        <v>0</v>
      </c>
      <c r="Z800" s="46">
        <f t="shared" si="207"/>
        <v>0</v>
      </c>
      <c r="AA800" s="46">
        <f t="shared" si="208"/>
        <v>0</v>
      </c>
      <c r="AB800" s="43"/>
      <c r="AC800" s="44">
        <v>0</v>
      </c>
      <c r="AD800" s="31"/>
      <c r="AE800" s="31"/>
      <c r="AF800" s="31"/>
      <c r="AG800" s="28"/>
      <c r="AH800" s="46">
        <f t="shared" si="209"/>
        <v>0</v>
      </c>
      <c r="AI800" s="43"/>
      <c r="AJ800" s="28"/>
      <c r="AK800" s="337"/>
      <c r="AL800" s="43"/>
      <c r="AM800" s="44">
        <f t="shared" si="210"/>
        <v>0</v>
      </c>
      <c r="AN800" s="43"/>
      <c r="AO800" s="28">
        <f t="shared" si="211"/>
        <v>0</v>
      </c>
      <c r="AP800" s="43"/>
      <c r="AQ800" s="323">
        <f t="shared" si="212"/>
        <v>0</v>
      </c>
      <c r="AR800" s="43"/>
      <c r="AS800" s="44">
        <f t="shared" si="213"/>
        <v>0</v>
      </c>
    </row>
    <row r="801" spans="1:45" x14ac:dyDescent="0.25">
      <c r="A801" s="28"/>
      <c r="B801" s="43"/>
      <c r="C801" s="43"/>
      <c r="D801" s="43"/>
      <c r="E801" s="43" t="s">
        <v>1747</v>
      </c>
      <c r="F801" s="43" t="s">
        <v>1748</v>
      </c>
      <c r="G801" s="46">
        <f t="shared" si="200"/>
        <v>28700.000000000004</v>
      </c>
      <c r="H801" s="46">
        <f t="shared" si="201"/>
        <v>25462.500000000004</v>
      </c>
      <c r="I801" s="28" t="s">
        <v>262</v>
      </c>
      <c r="J801" s="337">
        <v>1</v>
      </c>
      <c r="K801" s="46">
        <f t="shared" si="202"/>
        <v>28700.000000000004</v>
      </c>
      <c r="L801" s="46">
        <f t="shared" si="203"/>
        <v>25462.500000000004</v>
      </c>
      <c r="M801" s="338">
        <f t="shared" si="204"/>
        <v>0</v>
      </c>
      <c r="N801" s="43" t="s">
        <v>666</v>
      </c>
      <c r="O801" s="339">
        <v>85389010</v>
      </c>
      <c r="P801" s="340">
        <f>IFERROR(VLOOKUP(O801,NCM!$A$3:$D$99,COLUMN(head_porNCM_IPI)-COLUMN(head_porNCM_NCM)+1,FALSE),"")</f>
        <v>9.7500000000000003E-2</v>
      </c>
      <c r="Q801" s="43" t="s">
        <v>620</v>
      </c>
      <c r="R801" s="78" t="s">
        <v>210</v>
      </c>
      <c r="S801" s="341"/>
      <c r="T801" s="28" t="s">
        <v>52</v>
      </c>
      <c r="U801" s="28" t="s">
        <v>1902</v>
      </c>
      <c r="V801" s="548">
        <v>43563</v>
      </c>
      <c r="W801" s="43"/>
      <c r="X801" s="342">
        <f t="shared" si="205"/>
        <v>5478.2608695652179</v>
      </c>
      <c r="Y801" s="342">
        <f t="shared" si="206"/>
        <v>4565.2173913043443</v>
      </c>
      <c r="Z801" s="46">
        <f t="shared" si="207"/>
        <v>502.17391304347836</v>
      </c>
      <c r="AA801" s="46">
        <f t="shared" si="208"/>
        <v>2313.04347826087</v>
      </c>
      <c r="AB801" s="43"/>
      <c r="AC801" s="44">
        <v>35000</v>
      </c>
      <c r="AD801" s="31">
        <v>0.18</v>
      </c>
      <c r="AE801" s="31">
        <v>0.15</v>
      </c>
      <c r="AF801" s="31">
        <v>0</v>
      </c>
      <c r="AG801" s="28" t="s">
        <v>53</v>
      </c>
      <c r="AH801" s="46">
        <f t="shared" si="209"/>
        <v>40250</v>
      </c>
      <c r="AI801" s="43"/>
      <c r="AJ801" s="28" t="s">
        <v>263</v>
      </c>
      <c r="AK801" s="337">
        <v>3.84</v>
      </c>
      <c r="AL801" s="43"/>
      <c r="AM801" s="44">
        <f t="shared" si="210"/>
        <v>0</v>
      </c>
      <c r="AN801" s="43"/>
      <c r="AO801" s="28">
        <f t="shared" si="211"/>
        <v>0</v>
      </c>
      <c r="AP801" s="43"/>
      <c r="AQ801" s="323">
        <f t="shared" si="212"/>
        <v>0</v>
      </c>
      <c r="AR801" s="43"/>
      <c r="AS801" s="44">
        <f t="shared" si="213"/>
        <v>40250</v>
      </c>
    </row>
    <row r="802" spans="1:45" x14ac:dyDescent="0.25">
      <c r="A802" s="28"/>
      <c r="B802" s="43"/>
      <c r="C802" s="43"/>
      <c r="D802" s="43" t="s">
        <v>1749</v>
      </c>
      <c r="E802" s="43"/>
      <c r="F802" s="43"/>
      <c r="G802" s="46">
        <f t="shared" si="200"/>
        <v>0</v>
      </c>
      <c r="H802" s="46">
        <f t="shared" si="201"/>
        <v>0</v>
      </c>
      <c r="I802" s="28"/>
      <c r="J802" s="337"/>
      <c r="K802" s="46" t="str">
        <f t="shared" si="202"/>
        <v/>
      </c>
      <c r="L802" s="46" t="str">
        <f t="shared" si="203"/>
        <v/>
      </c>
      <c r="M802" s="338">
        <f t="shared" si="204"/>
        <v>0</v>
      </c>
      <c r="N802" s="43"/>
      <c r="O802" s="339"/>
      <c r="P802" s="340" t="str">
        <f>IFERROR(VLOOKUP(O802,NCM!$A$3:$D$99,COLUMN(head_porNCM_IPI)-COLUMN(head_porNCM_NCM)+1,FALSE),"")</f>
        <v/>
      </c>
      <c r="Q802" s="43"/>
      <c r="R802" s="78"/>
      <c r="S802" s="341"/>
      <c r="T802" s="28"/>
      <c r="U802" s="28"/>
      <c r="V802" s="28"/>
      <c r="W802" s="43"/>
      <c r="X802" s="342">
        <f t="shared" si="205"/>
        <v>0</v>
      </c>
      <c r="Y802" s="342">
        <f t="shared" si="206"/>
        <v>0</v>
      </c>
      <c r="Z802" s="46">
        <f t="shared" si="207"/>
        <v>0</v>
      </c>
      <c r="AA802" s="46">
        <f t="shared" si="208"/>
        <v>0</v>
      </c>
      <c r="AB802" s="43"/>
      <c r="AC802" s="44">
        <v>0</v>
      </c>
      <c r="AD802" s="31"/>
      <c r="AE802" s="31"/>
      <c r="AF802" s="31"/>
      <c r="AG802" s="28"/>
      <c r="AH802" s="46">
        <f t="shared" si="209"/>
        <v>0</v>
      </c>
      <c r="AI802" s="43"/>
      <c r="AJ802" s="28"/>
      <c r="AK802" s="337"/>
      <c r="AL802" s="43"/>
      <c r="AM802" s="44">
        <f t="shared" si="210"/>
        <v>0</v>
      </c>
      <c r="AN802" s="43"/>
      <c r="AO802" s="28">
        <f t="shared" si="211"/>
        <v>0</v>
      </c>
      <c r="AP802" s="43"/>
      <c r="AQ802" s="323">
        <f t="shared" si="212"/>
        <v>0</v>
      </c>
      <c r="AR802" s="43"/>
      <c r="AS802" s="44">
        <f t="shared" si="213"/>
        <v>0</v>
      </c>
    </row>
    <row r="803" spans="1:45" x14ac:dyDescent="0.25">
      <c r="A803" s="28"/>
      <c r="B803" s="43"/>
      <c r="C803" s="43"/>
      <c r="D803" s="43"/>
      <c r="E803" s="43" t="s">
        <v>2335</v>
      </c>
      <c r="F803" s="43" t="s">
        <v>2336</v>
      </c>
      <c r="G803" s="46">
        <f t="shared" si="200"/>
        <v>20132.349599999998</v>
      </c>
      <c r="H803" s="46">
        <f t="shared" si="201"/>
        <v>18016.165125</v>
      </c>
      <c r="I803" s="28" t="s">
        <v>262</v>
      </c>
      <c r="J803" s="337">
        <v>1</v>
      </c>
      <c r="K803" s="46">
        <f t="shared" si="202"/>
        <v>20132.349599999998</v>
      </c>
      <c r="L803" s="46">
        <f t="shared" si="203"/>
        <v>18016.165125</v>
      </c>
      <c r="M803" s="338">
        <f t="shared" si="204"/>
        <v>0</v>
      </c>
      <c r="N803" s="43" t="s">
        <v>666</v>
      </c>
      <c r="O803" s="339">
        <v>85389010</v>
      </c>
      <c r="P803" s="340">
        <f>IFERROR(VLOOKUP(O803,NCM!$A$3:$D$99,COLUMN(head_porNCM_IPI)-COLUMN(head_porNCM_NCM)+1,FALSE),"")</f>
        <v>9.7500000000000003E-2</v>
      </c>
      <c r="Q803" s="43" t="s">
        <v>804</v>
      </c>
      <c r="R803" s="78" t="s">
        <v>210</v>
      </c>
      <c r="S803" s="341"/>
      <c r="T803" s="28" t="s">
        <v>52</v>
      </c>
      <c r="U803" s="28" t="s">
        <v>2353</v>
      </c>
      <c r="V803" s="548">
        <v>44980</v>
      </c>
      <c r="W803" s="43"/>
      <c r="X803" s="342">
        <f t="shared" si="205"/>
        <v>2501.430888382688</v>
      </c>
      <c r="Y803" s="342">
        <f t="shared" si="206"/>
        <v>2032.4125968109329</v>
      </c>
      <c r="Z803" s="46">
        <f t="shared" si="207"/>
        <v>343.94674715261959</v>
      </c>
      <c r="AA803" s="46">
        <f t="shared" si="208"/>
        <v>1584.239562642369</v>
      </c>
      <c r="AB803" s="43"/>
      <c r="AC803" s="44">
        <v>22877.67</v>
      </c>
      <c r="AD803" s="31">
        <v>0.12</v>
      </c>
      <c r="AE803" s="31">
        <v>9.7500000000000003E-2</v>
      </c>
      <c r="AF803" s="31">
        <v>0</v>
      </c>
      <c r="AG803" s="28" t="s">
        <v>53</v>
      </c>
      <c r="AH803" s="46">
        <f t="shared" si="209"/>
        <v>25108.242824999998</v>
      </c>
      <c r="AI803" s="43"/>
      <c r="AJ803" s="28" t="s">
        <v>264</v>
      </c>
      <c r="AK803" s="337">
        <v>5.46</v>
      </c>
      <c r="AL803" s="43"/>
      <c r="AM803" s="44">
        <f t="shared" si="210"/>
        <v>0</v>
      </c>
      <c r="AN803" s="43"/>
      <c r="AO803" s="28">
        <f t="shared" si="211"/>
        <v>0</v>
      </c>
      <c r="AP803" s="43"/>
      <c r="AQ803" s="323">
        <f t="shared" si="212"/>
        <v>0</v>
      </c>
      <c r="AR803" s="43"/>
      <c r="AS803" s="44">
        <f t="shared" si="213"/>
        <v>25108.242824999998</v>
      </c>
    </row>
    <row r="804" spans="1:45" x14ac:dyDescent="0.25">
      <c r="A804" s="28"/>
      <c r="B804" s="43"/>
      <c r="C804" s="43"/>
      <c r="D804" s="43"/>
      <c r="E804" s="43" t="s">
        <v>1750</v>
      </c>
      <c r="F804" s="43" t="s">
        <v>1751</v>
      </c>
      <c r="G804" s="46">
        <f t="shared" si="200"/>
        <v>4116.2791999999999</v>
      </c>
      <c r="H804" s="46">
        <f t="shared" si="201"/>
        <v>3683.6021250000003</v>
      </c>
      <c r="I804" s="28" t="s">
        <v>262</v>
      </c>
      <c r="J804" s="337">
        <v>1</v>
      </c>
      <c r="K804" s="46">
        <f t="shared" si="202"/>
        <v>4116.2791999999999</v>
      </c>
      <c r="L804" s="46">
        <f t="shared" si="203"/>
        <v>3683.6021250000003</v>
      </c>
      <c r="M804" s="338">
        <f t="shared" si="204"/>
        <v>0</v>
      </c>
      <c r="N804" s="43" t="s">
        <v>666</v>
      </c>
      <c r="O804" s="339">
        <v>85044030</v>
      </c>
      <c r="P804" s="340">
        <f>IFERROR(VLOOKUP(O804,NCM!$A$3:$D$99,COLUMN(head_porNCM_IPI)-COLUMN(head_porNCM_NCM)+1,FALSE),"")</f>
        <v>0.15</v>
      </c>
      <c r="Q804" s="43" t="s">
        <v>804</v>
      </c>
      <c r="R804" s="78" t="s">
        <v>210</v>
      </c>
      <c r="S804" s="341"/>
      <c r="T804" s="28" t="s">
        <v>52</v>
      </c>
      <c r="U804" s="28" t="s">
        <v>2353</v>
      </c>
      <c r="V804" s="548">
        <v>44980</v>
      </c>
      <c r="W804" s="43"/>
      <c r="X804" s="342">
        <f t="shared" si="205"/>
        <v>488.09634782608703</v>
      </c>
      <c r="Y804" s="342">
        <f t="shared" si="206"/>
        <v>610.1204347826083</v>
      </c>
      <c r="Z804" s="46">
        <f t="shared" si="207"/>
        <v>67.113247826086962</v>
      </c>
      <c r="AA804" s="46">
        <f t="shared" si="208"/>
        <v>309.12768695652176</v>
      </c>
      <c r="AB804" s="43"/>
      <c r="AC804" s="44">
        <v>4677.59</v>
      </c>
      <c r="AD804" s="31">
        <v>0.12</v>
      </c>
      <c r="AE804" s="31">
        <v>0.15</v>
      </c>
      <c r="AF804" s="31">
        <v>0</v>
      </c>
      <c r="AG804" s="28" t="s">
        <v>53</v>
      </c>
      <c r="AH804" s="46">
        <f t="shared" si="209"/>
        <v>5379.2285000000002</v>
      </c>
      <c r="AI804" s="43"/>
      <c r="AJ804" s="28" t="s">
        <v>264</v>
      </c>
      <c r="AK804" s="337">
        <v>5.46</v>
      </c>
      <c r="AL804" s="43"/>
      <c r="AM804" s="44">
        <f t="shared" si="210"/>
        <v>0</v>
      </c>
      <c r="AN804" s="43"/>
      <c r="AO804" s="28">
        <f t="shared" si="211"/>
        <v>0</v>
      </c>
      <c r="AP804" s="43"/>
      <c r="AQ804" s="323">
        <f t="shared" si="212"/>
        <v>0</v>
      </c>
      <c r="AR804" s="43"/>
      <c r="AS804" s="44">
        <f t="shared" si="213"/>
        <v>5379.2285000000002</v>
      </c>
    </row>
    <row r="805" spans="1:45" x14ac:dyDescent="0.25">
      <c r="A805" s="28"/>
      <c r="B805" s="43"/>
      <c r="C805" s="43"/>
      <c r="D805" s="43"/>
      <c r="E805" s="43" t="s">
        <v>2337</v>
      </c>
      <c r="F805" s="43" t="s">
        <v>2338</v>
      </c>
      <c r="G805" s="46">
        <f t="shared" si="200"/>
        <v>5755.5255999999999</v>
      </c>
      <c r="H805" s="46">
        <f t="shared" si="201"/>
        <v>5150.5413750000007</v>
      </c>
      <c r="I805" s="28" t="s">
        <v>262</v>
      </c>
      <c r="J805" s="337">
        <v>1</v>
      </c>
      <c r="K805" s="46">
        <f t="shared" si="202"/>
        <v>5755.5255999999999</v>
      </c>
      <c r="L805" s="46">
        <f t="shared" si="203"/>
        <v>5150.5413750000007</v>
      </c>
      <c r="M805" s="338">
        <f t="shared" si="204"/>
        <v>0</v>
      </c>
      <c r="N805" s="43" t="s">
        <v>666</v>
      </c>
      <c r="O805" s="339">
        <v>85389010</v>
      </c>
      <c r="P805" s="340">
        <f>IFERROR(VLOOKUP(O805,NCM!$A$3:$D$99,COLUMN(head_porNCM_IPI)-COLUMN(head_porNCM_NCM)+1,FALSE),"")</f>
        <v>9.7500000000000003E-2</v>
      </c>
      <c r="Q805" s="43" t="s">
        <v>804</v>
      </c>
      <c r="R805" s="78" t="s">
        <v>210</v>
      </c>
      <c r="S805" s="341"/>
      <c r="T805" s="28" t="s">
        <v>52</v>
      </c>
      <c r="U805" s="28" t="s">
        <v>2353</v>
      </c>
      <c r="V805" s="548">
        <v>44980</v>
      </c>
      <c r="W805" s="43"/>
      <c r="X805" s="342">
        <f t="shared" si="205"/>
        <v>715.12018223234622</v>
      </c>
      <c r="Y805" s="342">
        <f t="shared" si="206"/>
        <v>581.03514806378098</v>
      </c>
      <c r="Z805" s="46">
        <f t="shared" si="207"/>
        <v>98.329025056947614</v>
      </c>
      <c r="AA805" s="46">
        <f t="shared" si="208"/>
        <v>452.90944874715262</v>
      </c>
      <c r="AB805" s="43"/>
      <c r="AC805" s="44">
        <v>6540.37</v>
      </c>
      <c r="AD805" s="31">
        <v>0.12</v>
      </c>
      <c r="AE805" s="31">
        <v>9.7500000000000003E-2</v>
      </c>
      <c r="AF805" s="31">
        <v>0</v>
      </c>
      <c r="AG805" s="28" t="s">
        <v>53</v>
      </c>
      <c r="AH805" s="46">
        <f t="shared" si="209"/>
        <v>7178.0560749999995</v>
      </c>
      <c r="AI805" s="43"/>
      <c r="AJ805" s="28" t="s">
        <v>264</v>
      </c>
      <c r="AK805" s="337">
        <v>5.46</v>
      </c>
      <c r="AL805" s="43"/>
      <c r="AM805" s="44">
        <f t="shared" si="210"/>
        <v>0</v>
      </c>
      <c r="AN805" s="43"/>
      <c r="AO805" s="28">
        <f t="shared" si="211"/>
        <v>0</v>
      </c>
      <c r="AP805" s="43"/>
      <c r="AQ805" s="323">
        <f t="shared" si="212"/>
        <v>0</v>
      </c>
      <c r="AR805" s="43"/>
      <c r="AS805" s="44">
        <f t="shared" si="213"/>
        <v>7178.0560749999995</v>
      </c>
    </row>
    <row r="806" spans="1:45" x14ac:dyDescent="0.25">
      <c r="A806" s="28"/>
      <c r="B806" s="43"/>
      <c r="C806" s="43"/>
      <c r="D806" s="43"/>
      <c r="E806" s="43" t="s">
        <v>1752</v>
      </c>
      <c r="F806" s="43" t="s">
        <v>1753</v>
      </c>
      <c r="G806" s="46">
        <f t="shared" si="200"/>
        <v>1830.2151999999999</v>
      </c>
      <c r="H806" s="46">
        <f t="shared" si="201"/>
        <v>1637.8346250000002</v>
      </c>
      <c r="I806" s="28" t="s">
        <v>262</v>
      </c>
      <c r="J806" s="337">
        <v>1</v>
      </c>
      <c r="K806" s="46">
        <f t="shared" si="202"/>
        <v>1830.2151999999999</v>
      </c>
      <c r="L806" s="46">
        <f t="shared" si="203"/>
        <v>1637.8346250000002</v>
      </c>
      <c r="M806" s="338">
        <f t="shared" si="204"/>
        <v>0</v>
      </c>
      <c r="N806" s="43" t="s">
        <v>666</v>
      </c>
      <c r="O806" s="339">
        <v>85389010</v>
      </c>
      <c r="P806" s="340">
        <f>IFERROR(VLOOKUP(O806,NCM!$A$3:$D$99,COLUMN(head_porNCM_IPI)-COLUMN(head_porNCM_NCM)+1,FALSE),"")</f>
        <v>9.7500000000000003E-2</v>
      </c>
      <c r="Q806" s="43" t="s">
        <v>804</v>
      </c>
      <c r="R806" s="78" t="s">
        <v>210</v>
      </c>
      <c r="S806" s="341"/>
      <c r="T806" s="28" t="s">
        <v>52</v>
      </c>
      <c r="U806" s="28" t="s">
        <v>2353</v>
      </c>
      <c r="V806" s="548">
        <v>44980</v>
      </c>
      <c r="W806" s="43"/>
      <c r="X806" s="342">
        <f t="shared" si="205"/>
        <v>227.40300683371299</v>
      </c>
      <c r="Y806" s="342">
        <f t="shared" si="206"/>
        <v>184.76494305239157</v>
      </c>
      <c r="Z806" s="46">
        <f t="shared" si="207"/>
        <v>31.267913439635539</v>
      </c>
      <c r="AA806" s="46">
        <f t="shared" si="208"/>
        <v>144.02190432801822</v>
      </c>
      <c r="AB806" s="43"/>
      <c r="AC806" s="44">
        <v>2079.79</v>
      </c>
      <c r="AD806" s="31">
        <v>0.12</v>
      </c>
      <c r="AE806" s="31">
        <v>9.7500000000000003E-2</v>
      </c>
      <c r="AF806" s="31">
        <v>0</v>
      </c>
      <c r="AG806" s="28" t="s">
        <v>53</v>
      </c>
      <c r="AH806" s="46">
        <f t="shared" si="209"/>
        <v>2282.5695249999999</v>
      </c>
      <c r="AI806" s="43"/>
      <c r="AJ806" s="28" t="s">
        <v>264</v>
      </c>
      <c r="AK806" s="337">
        <v>5.46</v>
      </c>
      <c r="AL806" s="43"/>
      <c r="AM806" s="44">
        <f t="shared" si="210"/>
        <v>0</v>
      </c>
      <c r="AN806" s="43"/>
      <c r="AO806" s="28">
        <f t="shared" si="211"/>
        <v>0</v>
      </c>
      <c r="AP806" s="43"/>
      <c r="AQ806" s="323">
        <f t="shared" si="212"/>
        <v>0</v>
      </c>
      <c r="AR806" s="43"/>
      <c r="AS806" s="44">
        <f t="shared" si="213"/>
        <v>2282.5695249999999</v>
      </c>
    </row>
    <row r="807" spans="1:45" x14ac:dyDescent="0.25">
      <c r="A807" s="28"/>
      <c r="B807" s="43"/>
      <c r="C807" s="43"/>
      <c r="D807" s="43"/>
      <c r="E807" s="43" t="s">
        <v>1754</v>
      </c>
      <c r="F807" s="43" t="s">
        <v>1755</v>
      </c>
      <c r="G807" s="46">
        <f t="shared" si="200"/>
        <v>1709.8048000000001</v>
      </c>
      <c r="H807" s="46">
        <f t="shared" si="201"/>
        <v>1530.0810000000001</v>
      </c>
      <c r="I807" s="28" t="s">
        <v>262</v>
      </c>
      <c r="J807" s="337">
        <v>1</v>
      </c>
      <c r="K807" s="46">
        <f t="shared" si="202"/>
        <v>1709.8048000000001</v>
      </c>
      <c r="L807" s="46">
        <f t="shared" si="203"/>
        <v>1530.0810000000001</v>
      </c>
      <c r="M807" s="338">
        <f t="shared" si="204"/>
        <v>0</v>
      </c>
      <c r="N807" s="43" t="s">
        <v>666</v>
      </c>
      <c r="O807" s="339">
        <v>85389010</v>
      </c>
      <c r="P807" s="340">
        <f>IFERROR(VLOOKUP(O807,NCM!$A$3:$D$99,COLUMN(head_porNCM_IPI)-COLUMN(head_porNCM_NCM)+1,FALSE),"")</f>
        <v>9.7500000000000003E-2</v>
      </c>
      <c r="Q807" s="43" t="s">
        <v>804</v>
      </c>
      <c r="R807" s="78" t="s">
        <v>210</v>
      </c>
      <c r="S807" s="341"/>
      <c r="T807" s="28" t="s">
        <v>52</v>
      </c>
      <c r="U807" s="28" t="s">
        <v>2353</v>
      </c>
      <c r="V807" s="548">
        <v>44980</v>
      </c>
      <c r="W807" s="43"/>
      <c r="X807" s="342">
        <f t="shared" si="205"/>
        <v>212.44209567198178</v>
      </c>
      <c r="Y807" s="342">
        <f t="shared" si="206"/>
        <v>172.60920273348506</v>
      </c>
      <c r="Z807" s="46">
        <f t="shared" si="207"/>
        <v>29.2107881548975</v>
      </c>
      <c r="AA807" s="46">
        <f t="shared" si="208"/>
        <v>134.54666059225514</v>
      </c>
      <c r="AB807" s="43"/>
      <c r="AC807" s="44">
        <v>1942.96</v>
      </c>
      <c r="AD807" s="31">
        <v>0.12</v>
      </c>
      <c r="AE807" s="31">
        <v>9.7500000000000003E-2</v>
      </c>
      <c r="AF807" s="31">
        <v>0</v>
      </c>
      <c r="AG807" s="28" t="s">
        <v>53</v>
      </c>
      <c r="AH807" s="46">
        <f t="shared" si="209"/>
        <v>2132.3986</v>
      </c>
      <c r="AI807" s="43"/>
      <c r="AJ807" s="28" t="s">
        <v>264</v>
      </c>
      <c r="AK807" s="337">
        <v>5.46</v>
      </c>
      <c r="AL807" s="43"/>
      <c r="AM807" s="44">
        <f t="shared" si="210"/>
        <v>0</v>
      </c>
      <c r="AN807" s="43"/>
      <c r="AO807" s="28">
        <f t="shared" si="211"/>
        <v>0</v>
      </c>
      <c r="AP807" s="43"/>
      <c r="AQ807" s="323">
        <f t="shared" si="212"/>
        <v>0</v>
      </c>
      <c r="AR807" s="43"/>
      <c r="AS807" s="44">
        <f t="shared" si="213"/>
        <v>2132.3986</v>
      </c>
    </row>
    <row r="808" spans="1:45" x14ac:dyDescent="0.25">
      <c r="A808" s="28"/>
      <c r="B808" s="43"/>
      <c r="C808" s="43"/>
      <c r="D808" s="43"/>
      <c r="E808" s="43" t="s">
        <v>2339</v>
      </c>
      <c r="F808" s="43" t="s">
        <v>2340</v>
      </c>
      <c r="G808" s="46">
        <f t="shared" si="200"/>
        <v>1519.0090000000002</v>
      </c>
      <c r="H808" s="46">
        <f t="shared" si="201"/>
        <v>1347.6573750000002</v>
      </c>
      <c r="I808" s="28" t="s">
        <v>262</v>
      </c>
      <c r="J808" s="337">
        <v>1</v>
      </c>
      <c r="K808" s="46">
        <f t="shared" si="202"/>
        <v>1519.0090000000002</v>
      </c>
      <c r="L808" s="46">
        <f t="shared" si="203"/>
        <v>1347.6573750000002</v>
      </c>
      <c r="M808" s="338">
        <f t="shared" si="204"/>
        <v>0</v>
      </c>
      <c r="N808" s="43" t="s">
        <v>666</v>
      </c>
      <c r="O808" s="339">
        <v>85389010</v>
      </c>
      <c r="P808" s="340">
        <f>IFERROR(VLOOKUP(O808,NCM!$A$3:$D$99,COLUMN(head_porNCM_IPI)-COLUMN(head_porNCM_NCM)+1,FALSE),"")</f>
        <v>9.7500000000000003E-2</v>
      </c>
      <c r="Q808" s="43" t="s">
        <v>804</v>
      </c>
      <c r="R808" s="78" t="s">
        <v>210</v>
      </c>
      <c r="S808" s="341"/>
      <c r="T808" s="28" t="s">
        <v>52</v>
      </c>
      <c r="U808" s="28" t="s">
        <v>2353</v>
      </c>
      <c r="V808" s="548">
        <v>44980</v>
      </c>
      <c r="W808" s="43"/>
      <c r="X808" s="342">
        <f t="shared" si="205"/>
        <v>303.81867881548976</v>
      </c>
      <c r="Y808" s="342">
        <f t="shared" si="206"/>
        <v>164.5684510250569</v>
      </c>
      <c r="Z808" s="46">
        <f t="shared" si="207"/>
        <v>27.850045558086563</v>
      </c>
      <c r="AA808" s="46">
        <f t="shared" si="208"/>
        <v>128.27899772209568</v>
      </c>
      <c r="AB808" s="43"/>
      <c r="AC808" s="44">
        <v>1852.45</v>
      </c>
      <c r="AD808" s="31">
        <v>0.18</v>
      </c>
      <c r="AE808" s="31">
        <v>9.7500000000000003E-2</v>
      </c>
      <c r="AF808" s="31">
        <v>0</v>
      </c>
      <c r="AG808" s="28" t="s">
        <v>53</v>
      </c>
      <c r="AH808" s="46">
        <f t="shared" si="209"/>
        <v>2033.0638749999998</v>
      </c>
      <c r="AI808" s="43"/>
      <c r="AJ808" s="28" t="s">
        <v>264</v>
      </c>
      <c r="AK808" s="337">
        <v>5.46</v>
      </c>
      <c r="AL808" s="43"/>
      <c r="AM808" s="44">
        <f t="shared" si="210"/>
        <v>0</v>
      </c>
      <c r="AN808" s="43"/>
      <c r="AO808" s="28">
        <f t="shared" si="211"/>
        <v>0</v>
      </c>
      <c r="AP808" s="43"/>
      <c r="AQ808" s="323">
        <f t="shared" si="212"/>
        <v>0</v>
      </c>
      <c r="AR808" s="43"/>
      <c r="AS808" s="44">
        <f t="shared" si="213"/>
        <v>2033.0638749999998</v>
      </c>
    </row>
    <row r="809" spans="1:45" x14ac:dyDescent="0.25">
      <c r="A809" s="28"/>
      <c r="B809" s="43"/>
      <c r="C809" s="43"/>
      <c r="D809" s="43"/>
      <c r="E809" s="43" t="s">
        <v>2341</v>
      </c>
      <c r="F809" s="43" t="s">
        <v>2342</v>
      </c>
      <c r="G809" s="46">
        <f t="shared" si="200"/>
        <v>2817.5664000000002</v>
      </c>
      <c r="H809" s="46">
        <f t="shared" si="201"/>
        <v>2521.4017500000004</v>
      </c>
      <c r="I809" s="28" t="s">
        <v>262</v>
      </c>
      <c r="J809" s="337">
        <v>1</v>
      </c>
      <c r="K809" s="46">
        <f t="shared" si="202"/>
        <v>2817.5664000000002</v>
      </c>
      <c r="L809" s="46">
        <f t="shared" si="203"/>
        <v>2521.4017500000004</v>
      </c>
      <c r="M809" s="338">
        <f t="shared" si="204"/>
        <v>0</v>
      </c>
      <c r="N809" s="43" t="s">
        <v>666</v>
      </c>
      <c r="O809" s="339">
        <v>85389010</v>
      </c>
      <c r="P809" s="340">
        <f>IFERROR(VLOOKUP(O809,NCM!$A$3:$D$99,COLUMN(head_porNCM_IPI)-COLUMN(head_porNCM_NCM)+1,FALSE),"")</f>
        <v>9.7500000000000003E-2</v>
      </c>
      <c r="Q809" s="43" t="s">
        <v>804</v>
      </c>
      <c r="R809" s="78" t="s">
        <v>210</v>
      </c>
      <c r="S809" s="341"/>
      <c r="T809" s="28" t="s">
        <v>52</v>
      </c>
      <c r="U809" s="28" t="s">
        <v>2353</v>
      </c>
      <c r="V809" s="548">
        <v>44980</v>
      </c>
      <c r="W809" s="43"/>
      <c r="X809" s="342">
        <f t="shared" si="205"/>
        <v>350.08072892938503</v>
      </c>
      <c r="Y809" s="342">
        <f t="shared" si="206"/>
        <v>284.44059225512501</v>
      </c>
      <c r="Z809" s="46">
        <f t="shared" si="207"/>
        <v>48.136100227790443</v>
      </c>
      <c r="AA809" s="46">
        <f t="shared" si="208"/>
        <v>221.71779498861051</v>
      </c>
      <c r="AB809" s="43"/>
      <c r="AC809" s="44">
        <v>3201.78</v>
      </c>
      <c r="AD809" s="31">
        <v>0.12</v>
      </c>
      <c r="AE809" s="31">
        <v>9.7500000000000003E-2</v>
      </c>
      <c r="AF809" s="31">
        <v>0</v>
      </c>
      <c r="AG809" s="28" t="s">
        <v>53</v>
      </c>
      <c r="AH809" s="46">
        <f t="shared" si="209"/>
        <v>3513.9535500000002</v>
      </c>
      <c r="AI809" s="43"/>
      <c r="AJ809" s="28" t="s">
        <v>264</v>
      </c>
      <c r="AK809" s="337">
        <v>5.46</v>
      </c>
      <c r="AL809" s="43"/>
      <c r="AM809" s="44">
        <f t="shared" si="210"/>
        <v>0</v>
      </c>
      <c r="AN809" s="43"/>
      <c r="AO809" s="28">
        <f t="shared" si="211"/>
        <v>0</v>
      </c>
      <c r="AP809" s="43"/>
      <c r="AQ809" s="323">
        <f t="shared" si="212"/>
        <v>0</v>
      </c>
      <c r="AR809" s="43"/>
      <c r="AS809" s="44">
        <f t="shared" si="213"/>
        <v>3513.9535500000002</v>
      </c>
    </row>
    <row r="810" spans="1:45" x14ac:dyDescent="0.25">
      <c r="A810" s="28"/>
      <c r="B810" s="43"/>
      <c r="C810" s="43"/>
      <c r="D810" s="43"/>
      <c r="E810" s="43" t="s">
        <v>1777</v>
      </c>
      <c r="F810" s="43" t="s">
        <v>2343</v>
      </c>
      <c r="G810" s="46">
        <f t="shared" si="200"/>
        <v>751.98919999999998</v>
      </c>
      <c r="H810" s="46">
        <f t="shared" si="201"/>
        <v>667.16115000000013</v>
      </c>
      <c r="I810" s="28" t="s">
        <v>262</v>
      </c>
      <c r="J810" s="337">
        <v>1</v>
      </c>
      <c r="K810" s="46">
        <f t="shared" si="202"/>
        <v>751.98919999999998</v>
      </c>
      <c r="L810" s="46">
        <f t="shared" si="203"/>
        <v>667.16115000000013</v>
      </c>
      <c r="M810" s="338">
        <f t="shared" si="204"/>
        <v>0</v>
      </c>
      <c r="N810" s="43" t="s">
        <v>666</v>
      </c>
      <c r="O810" s="339">
        <v>85235110</v>
      </c>
      <c r="P810" s="340">
        <f>IFERROR(VLOOKUP(O810,NCM!$A$3:$D$99,COLUMN(head_porNCM_IPI)-COLUMN(head_porNCM_NCM)+1,FALSE),"")</f>
        <v>9.2499999999999999E-2</v>
      </c>
      <c r="Q810" s="43" t="s">
        <v>804</v>
      </c>
      <c r="R810" s="78" t="s">
        <v>210</v>
      </c>
      <c r="S810" s="341"/>
      <c r="T810" s="28" t="s">
        <v>52</v>
      </c>
      <c r="U810" s="28" t="s">
        <v>2353</v>
      </c>
      <c r="V810" s="548">
        <v>44980</v>
      </c>
      <c r="W810" s="43"/>
      <c r="X810" s="342">
        <f t="shared" si="205"/>
        <v>150.4061958997722</v>
      </c>
      <c r="Y810" s="342">
        <f t="shared" si="206"/>
        <v>81.470022779043234</v>
      </c>
      <c r="Z810" s="46">
        <f t="shared" si="207"/>
        <v>13.787234624145787</v>
      </c>
      <c r="AA810" s="46">
        <f t="shared" si="208"/>
        <v>63.50483826879271</v>
      </c>
      <c r="AB810" s="43"/>
      <c r="AC810" s="44">
        <v>917.06</v>
      </c>
      <c r="AD810" s="31">
        <v>0.18</v>
      </c>
      <c r="AE810" s="31">
        <v>9.7500000000000003E-2</v>
      </c>
      <c r="AF810" s="31">
        <v>0</v>
      </c>
      <c r="AG810" s="28" t="s">
        <v>53</v>
      </c>
      <c r="AH810" s="46">
        <f t="shared" si="209"/>
        <v>1006.4733499999999</v>
      </c>
      <c r="AI810" s="43"/>
      <c r="AJ810" s="28" t="s">
        <v>264</v>
      </c>
      <c r="AK810" s="337">
        <v>5.46</v>
      </c>
      <c r="AL810" s="43"/>
      <c r="AM810" s="44">
        <f t="shared" si="210"/>
        <v>0</v>
      </c>
      <c r="AN810" s="43"/>
      <c r="AO810" s="28">
        <f t="shared" si="211"/>
        <v>0</v>
      </c>
      <c r="AP810" s="43"/>
      <c r="AQ810" s="323">
        <f t="shared" si="212"/>
        <v>0</v>
      </c>
      <c r="AR810" s="43"/>
      <c r="AS810" s="44">
        <f t="shared" si="213"/>
        <v>1006.4733499999999</v>
      </c>
    </row>
    <row r="811" spans="1:45" x14ac:dyDescent="0.25">
      <c r="A811" s="28"/>
      <c r="B811" s="43"/>
      <c r="C811" s="43"/>
      <c r="D811" s="43"/>
      <c r="E811" s="43" t="s">
        <v>2344</v>
      </c>
      <c r="F811" s="43" t="s">
        <v>2345</v>
      </c>
      <c r="G811" s="46">
        <f t="shared" si="200"/>
        <v>26589.72</v>
      </c>
      <c r="H811" s="46">
        <f t="shared" si="201"/>
        <v>24130.170900000005</v>
      </c>
      <c r="I811" s="28" t="s">
        <v>262</v>
      </c>
      <c r="J811" s="337">
        <v>1</v>
      </c>
      <c r="K811" s="46">
        <f t="shared" si="202"/>
        <v>26589.72</v>
      </c>
      <c r="L811" s="46">
        <f t="shared" si="203"/>
        <v>24130.170900000005</v>
      </c>
      <c r="M811" s="338">
        <f t="shared" si="204"/>
        <v>0</v>
      </c>
      <c r="N811" s="43" t="s">
        <v>666</v>
      </c>
      <c r="O811" s="339" t="s">
        <v>167</v>
      </c>
      <c r="P811" s="340" t="str">
        <f>IFERROR(VLOOKUP(O811,NCM!$A$3:$D$99,COLUMN(head_porNCM_IPI)-COLUMN(head_porNCM_NCM)+1,FALSE),"")</f>
        <v/>
      </c>
      <c r="Q811" s="43" t="s">
        <v>804</v>
      </c>
      <c r="R811" s="78" t="s">
        <v>210</v>
      </c>
      <c r="S811" s="341"/>
      <c r="T811" s="28" t="s">
        <v>52</v>
      </c>
      <c r="U811" s="28" t="s">
        <v>2353</v>
      </c>
      <c r="V811" s="548">
        <v>44980</v>
      </c>
      <c r="W811" s="43"/>
      <c r="X811" s="342">
        <f t="shared" si="205"/>
        <v>0</v>
      </c>
      <c r="Y811" s="342">
        <f t="shared" si="206"/>
        <v>2362.1846924829151</v>
      </c>
      <c r="Z811" s="46">
        <f t="shared" si="207"/>
        <v>399.75433257403193</v>
      </c>
      <c r="AA811" s="46">
        <f t="shared" si="208"/>
        <v>1841.2926833712984</v>
      </c>
      <c r="AB811" s="43"/>
      <c r="AC811" s="44">
        <v>26589.72</v>
      </c>
      <c r="AD811" s="31">
        <v>0</v>
      </c>
      <c r="AE811" s="31">
        <v>9.7500000000000003E-2</v>
      </c>
      <c r="AF811" s="31">
        <v>0.02</v>
      </c>
      <c r="AG811" s="28" t="s">
        <v>53</v>
      </c>
      <c r="AH811" s="46">
        <f t="shared" si="209"/>
        <v>29182.217699999997</v>
      </c>
      <c r="AI811" s="43"/>
      <c r="AJ811" s="28" t="s">
        <v>264</v>
      </c>
      <c r="AK811" s="337">
        <v>5.46</v>
      </c>
      <c r="AL811" s="43"/>
      <c r="AM811" s="44">
        <f t="shared" si="210"/>
        <v>0</v>
      </c>
      <c r="AN811" s="43"/>
      <c r="AO811" s="28">
        <f t="shared" si="211"/>
        <v>0</v>
      </c>
      <c r="AP811" s="43"/>
      <c r="AQ811" s="323">
        <f t="shared" si="212"/>
        <v>0</v>
      </c>
      <c r="AR811" s="43"/>
      <c r="AS811" s="44">
        <f t="shared" si="213"/>
        <v>29182.217699999997</v>
      </c>
    </row>
    <row r="812" spans="1:45" x14ac:dyDescent="0.25">
      <c r="A812" s="28"/>
      <c r="B812" s="43"/>
      <c r="C812" s="43"/>
      <c r="D812" s="43" t="s">
        <v>1756</v>
      </c>
      <c r="E812" s="43"/>
      <c r="F812" s="43"/>
      <c r="G812" s="46">
        <f t="shared" si="200"/>
        <v>0</v>
      </c>
      <c r="H812" s="46">
        <f t="shared" si="201"/>
        <v>0</v>
      </c>
      <c r="I812" s="28"/>
      <c r="J812" s="337"/>
      <c r="K812" s="46" t="str">
        <f t="shared" si="202"/>
        <v/>
      </c>
      <c r="L812" s="46" t="str">
        <f t="shared" si="203"/>
        <v/>
      </c>
      <c r="M812" s="338">
        <f t="shared" si="204"/>
        <v>0</v>
      </c>
      <c r="N812" s="43"/>
      <c r="O812" s="339"/>
      <c r="P812" s="340" t="str">
        <f>IFERROR(VLOOKUP(O812,NCM!$A$3:$D$99,COLUMN(head_porNCM_IPI)-COLUMN(head_porNCM_NCM)+1,FALSE),"")</f>
        <v/>
      </c>
      <c r="Q812" s="43"/>
      <c r="R812" s="78"/>
      <c r="S812" s="341"/>
      <c r="T812" s="28"/>
      <c r="U812" s="28"/>
      <c r="V812" s="28"/>
      <c r="W812" s="43"/>
      <c r="X812" s="342">
        <f t="shared" si="205"/>
        <v>0</v>
      </c>
      <c r="Y812" s="342">
        <f t="shared" si="206"/>
        <v>0</v>
      </c>
      <c r="Z812" s="46">
        <f t="shared" si="207"/>
        <v>0</v>
      </c>
      <c r="AA812" s="46">
        <f t="shared" si="208"/>
        <v>0</v>
      </c>
      <c r="AB812" s="43"/>
      <c r="AC812" s="44">
        <v>0</v>
      </c>
      <c r="AD812" s="31"/>
      <c r="AE812" s="31"/>
      <c r="AF812" s="31"/>
      <c r="AG812" s="28"/>
      <c r="AH812" s="46">
        <f t="shared" si="209"/>
        <v>0</v>
      </c>
      <c r="AI812" s="43"/>
      <c r="AJ812" s="28"/>
      <c r="AK812" s="337"/>
      <c r="AL812" s="43"/>
      <c r="AM812" s="44">
        <f t="shared" si="210"/>
        <v>0</v>
      </c>
      <c r="AN812" s="43"/>
      <c r="AO812" s="28">
        <f t="shared" si="211"/>
        <v>0</v>
      </c>
      <c r="AP812" s="43"/>
      <c r="AQ812" s="323">
        <f t="shared" si="212"/>
        <v>0</v>
      </c>
      <c r="AR812" s="43"/>
      <c r="AS812" s="44">
        <f t="shared" si="213"/>
        <v>0</v>
      </c>
    </row>
    <row r="813" spans="1:45" x14ac:dyDescent="0.25">
      <c r="A813" s="28"/>
      <c r="B813" s="43"/>
      <c r="C813" s="43"/>
      <c r="D813" s="43"/>
      <c r="E813" s="43" t="s">
        <v>1757</v>
      </c>
      <c r="F813" s="43" t="s">
        <v>1758</v>
      </c>
      <c r="G813" s="46">
        <f t="shared" si="200"/>
        <v>9588.2108000000007</v>
      </c>
      <c r="H813" s="46">
        <f t="shared" si="201"/>
        <v>8506.6138500000015</v>
      </c>
      <c r="I813" s="28" t="s">
        <v>262</v>
      </c>
      <c r="J813" s="337">
        <v>1</v>
      </c>
      <c r="K813" s="46">
        <f t="shared" si="202"/>
        <v>9588.2108000000007</v>
      </c>
      <c r="L813" s="46">
        <f t="shared" si="203"/>
        <v>8506.6138500000015</v>
      </c>
      <c r="M813" s="338">
        <f t="shared" si="204"/>
        <v>0</v>
      </c>
      <c r="N813" s="43" t="s">
        <v>666</v>
      </c>
      <c r="O813" s="339">
        <v>85389090</v>
      </c>
      <c r="P813" s="340">
        <f>IFERROR(VLOOKUP(O813,NCM!$A$3:$D$99,COLUMN(head_porNCM_IPI)-COLUMN(head_porNCM_NCM)+1,FALSE),"")</f>
        <v>0.15</v>
      </c>
      <c r="Q813" s="43" t="s">
        <v>804</v>
      </c>
      <c r="R813" s="78" t="s">
        <v>210</v>
      </c>
      <c r="S813" s="341"/>
      <c r="T813" s="28" t="s">
        <v>52</v>
      </c>
      <c r="U813" s="28" t="s">
        <v>2289</v>
      </c>
      <c r="V813" s="548">
        <v>44715</v>
      </c>
      <c r="W813" s="43"/>
      <c r="X813" s="342">
        <f t="shared" si="205"/>
        <v>1917.748701594533</v>
      </c>
      <c r="Y813" s="342">
        <f t="shared" si="206"/>
        <v>1038.7805466970385</v>
      </c>
      <c r="Z813" s="46">
        <f t="shared" si="207"/>
        <v>175.79363097949889</v>
      </c>
      <c r="AA813" s="46">
        <f t="shared" si="208"/>
        <v>809.71611845102507</v>
      </c>
      <c r="AB813" s="43"/>
      <c r="AC813" s="44">
        <v>11692.94</v>
      </c>
      <c r="AD813" s="31">
        <v>0.18</v>
      </c>
      <c r="AE813" s="31">
        <v>9.7500000000000003E-2</v>
      </c>
      <c r="AF813" s="31">
        <v>0</v>
      </c>
      <c r="AG813" s="28" t="s">
        <v>53</v>
      </c>
      <c r="AH813" s="46">
        <f t="shared" si="209"/>
        <v>12833.00165</v>
      </c>
      <c r="AI813" s="43"/>
      <c r="AJ813" s="28" t="s">
        <v>264</v>
      </c>
      <c r="AK813" s="337">
        <v>5.1100000000000003</v>
      </c>
      <c r="AL813" s="43"/>
      <c r="AM813" s="44">
        <f t="shared" si="210"/>
        <v>0</v>
      </c>
      <c r="AN813" s="43"/>
      <c r="AO813" s="28">
        <f t="shared" si="211"/>
        <v>0</v>
      </c>
      <c r="AP813" s="43"/>
      <c r="AQ813" s="323">
        <f t="shared" si="212"/>
        <v>0</v>
      </c>
      <c r="AR813" s="43"/>
      <c r="AS813" s="44">
        <f t="shared" si="213"/>
        <v>12833.00165</v>
      </c>
    </row>
    <row r="814" spans="1:45" x14ac:dyDescent="0.25">
      <c r="A814" s="28"/>
      <c r="B814" s="43"/>
      <c r="C814" s="43"/>
      <c r="D814" s="43"/>
      <c r="E814" s="43" t="s">
        <v>1759</v>
      </c>
      <c r="F814" s="43" t="s">
        <v>1760</v>
      </c>
      <c r="G814" s="46">
        <f t="shared" si="200"/>
        <v>8006.9802000000009</v>
      </c>
      <c r="H814" s="46">
        <f t="shared" si="201"/>
        <v>7103.753775000002</v>
      </c>
      <c r="I814" s="28" t="s">
        <v>262</v>
      </c>
      <c r="J814" s="337">
        <v>1</v>
      </c>
      <c r="K814" s="46">
        <f t="shared" si="202"/>
        <v>8006.9802000000009</v>
      </c>
      <c r="L814" s="46">
        <f t="shared" si="203"/>
        <v>7103.753775000002</v>
      </c>
      <c r="M814" s="338">
        <f t="shared" si="204"/>
        <v>0</v>
      </c>
      <c r="N814" s="43" t="s">
        <v>666</v>
      </c>
      <c r="O814" s="339">
        <v>85389090</v>
      </c>
      <c r="P814" s="340">
        <f>IFERROR(VLOOKUP(O814,NCM!$A$3:$D$99,COLUMN(head_porNCM_IPI)-COLUMN(head_porNCM_NCM)+1,FALSE),"")</f>
        <v>0.15</v>
      </c>
      <c r="Q814" s="43" t="s">
        <v>804</v>
      </c>
      <c r="R814" s="78" t="s">
        <v>210</v>
      </c>
      <c r="S814" s="341"/>
      <c r="T814" s="28" t="s">
        <v>52</v>
      </c>
      <c r="U814" s="28" t="s">
        <v>2290</v>
      </c>
      <c r="V814" s="548">
        <v>44715</v>
      </c>
      <c r="W814" s="43"/>
      <c r="X814" s="342">
        <f t="shared" si="205"/>
        <v>1601.4850113895218</v>
      </c>
      <c r="Y814" s="342">
        <f t="shared" si="206"/>
        <v>867.47104783599025</v>
      </c>
      <c r="Z814" s="46">
        <f t="shared" si="207"/>
        <v>146.80279271070617</v>
      </c>
      <c r="AA814" s="46">
        <f t="shared" si="208"/>
        <v>676.18256036446473</v>
      </c>
      <c r="AB814" s="43"/>
      <c r="AC814" s="44">
        <v>9764.61</v>
      </c>
      <c r="AD814" s="31">
        <v>0.18</v>
      </c>
      <c r="AE814" s="31">
        <v>9.7500000000000003E-2</v>
      </c>
      <c r="AF814" s="31">
        <v>0</v>
      </c>
      <c r="AG814" s="28" t="s">
        <v>53</v>
      </c>
      <c r="AH814" s="46">
        <f t="shared" si="209"/>
        <v>10716.659475</v>
      </c>
      <c r="AI814" s="43"/>
      <c r="AJ814" s="28" t="s">
        <v>264</v>
      </c>
      <c r="AK814" s="337">
        <v>5.1100000000000003</v>
      </c>
      <c r="AL814" s="43"/>
      <c r="AM814" s="44">
        <f t="shared" si="210"/>
        <v>0</v>
      </c>
      <c r="AN814" s="43"/>
      <c r="AO814" s="28">
        <f t="shared" si="211"/>
        <v>0</v>
      </c>
      <c r="AP814" s="43"/>
      <c r="AQ814" s="323">
        <f t="shared" si="212"/>
        <v>0</v>
      </c>
      <c r="AR814" s="43"/>
      <c r="AS814" s="44">
        <f t="shared" si="213"/>
        <v>10716.659475</v>
      </c>
    </row>
    <row r="815" spans="1:45" x14ac:dyDescent="0.25">
      <c r="A815" s="28"/>
      <c r="B815" s="43"/>
      <c r="C815" s="43"/>
      <c r="D815" s="43"/>
      <c r="E815" s="43" t="s">
        <v>1761</v>
      </c>
      <c r="F815" s="43" t="s">
        <v>1762</v>
      </c>
      <c r="G815" s="46">
        <f t="shared" si="200"/>
        <v>6693.5868</v>
      </c>
      <c r="H815" s="46">
        <f t="shared" si="201"/>
        <v>5979.4498000000003</v>
      </c>
      <c r="I815" s="28" t="s">
        <v>262</v>
      </c>
      <c r="J815" s="337">
        <v>1</v>
      </c>
      <c r="K815" s="46">
        <f t="shared" si="202"/>
        <v>6693.5868</v>
      </c>
      <c r="L815" s="46">
        <f t="shared" si="203"/>
        <v>5979.4498000000003</v>
      </c>
      <c r="M815" s="338">
        <f t="shared" si="204"/>
        <v>0</v>
      </c>
      <c r="N815" s="43" t="s">
        <v>666</v>
      </c>
      <c r="O815" s="339">
        <v>85389010</v>
      </c>
      <c r="P815" s="340">
        <f>IFERROR(VLOOKUP(O815,NCM!$A$3:$D$99,COLUMN(head_porNCM_IPI)-COLUMN(head_porNCM_NCM)+1,FALSE),"")</f>
        <v>9.7500000000000003E-2</v>
      </c>
      <c r="Q815" s="43" t="s">
        <v>804</v>
      </c>
      <c r="R815" s="78" t="s">
        <v>210</v>
      </c>
      <c r="S815" s="341"/>
      <c r="T815" s="28" t="s">
        <v>52</v>
      </c>
      <c r="U815" s="28" t="s">
        <v>2289</v>
      </c>
      <c r="V815" s="548">
        <v>44715</v>
      </c>
      <c r="W815" s="43"/>
      <c r="X815" s="342">
        <f t="shared" si="205"/>
        <v>935.59289293849668</v>
      </c>
      <c r="Y815" s="342">
        <f t="shared" si="206"/>
        <v>685.86697038724287</v>
      </c>
      <c r="Z815" s="46">
        <f t="shared" si="207"/>
        <v>116.0697949886105</v>
      </c>
      <c r="AA815" s="46">
        <f t="shared" si="208"/>
        <v>534.62451025056953</v>
      </c>
      <c r="AB815" s="43"/>
      <c r="AC815" s="44">
        <v>7720.4</v>
      </c>
      <c r="AD815" s="31">
        <v>0.13300000000000001</v>
      </c>
      <c r="AE815" s="31">
        <v>9.7500000000000003E-2</v>
      </c>
      <c r="AF815" s="31">
        <v>0</v>
      </c>
      <c r="AG815" s="28" t="s">
        <v>53</v>
      </c>
      <c r="AH815" s="46">
        <f t="shared" si="209"/>
        <v>8473.1389999999992</v>
      </c>
      <c r="AI815" s="43"/>
      <c r="AJ815" s="28" t="s">
        <v>264</v>
      </c>
      <c r="AK815" s="337">
        <v>5.1100000000000003</v>
      </c>
      <c r="AL815" s="43"/>
      <c r="AM815" s="44">
        <f t="shared" si="210"/>
        <v>0</v>
      </c>
      <c r="AN815" s="43"/>
      <c r="AO815" s="28">
        <f t="shared" si="211"/>
        <v>0</v>
      </c>
      <c r="AP815" s="43"/>
      <c r="AQ815" s="323">
        <f t="shared" si="212"/>
        <v>0</v>
      </c>
      <c r="AR815" s="43"/>
      <c r="AS815" s="44">
        <f t="shared" si="213"/>
        <v>8473.1389999999992</v>
      </c>
    </row>
    <row r="816" spans="1:45" x14ac:dyDescent="0.25">
      <c r="A816" s="28"/>
      <c r="B816" s="43"/>
      <c r="C816" s="43"/>
      <c r="D816" s="43"/>
      <c r="E816" s="43" t="s">
        <v>1763</v>
      </c>
      <c r="F816" s="43" t="s">
        <v>1764</v>
      </c>
      <c r="G816" s="46">
        <f t="shared" si="200"/>
        <v>6154.8763500000005</v>
      </c>
      <c r="H816" s="46">
        <f t="shared" si="201"/>
        <v>5498.2142250000006</v>
      </c>
      <c r="I816" s="28" t="s">
        <v>262</v>
      </c>
      <c r="J816" s="337">
        <v>1</v>
      </c>
      <c r="K816" s="46">
        <f t="shared" si="202"/>
        <v>6154.8763500000005</v>
      </c>
      <c r="L816" s="46">
        <f t="shared" si="203"/>
        <v>5498.2142250000006</v>
      </c>
      <c r="M816" s="338">
        <f t="shared" si="204"/>
        <v>0</v>
      </c>
      <c r="N816" s="43" t="s">
        <v>666</v>
      </c>
      <c r="O816" s="339">
        <v>85389010</v>
      </c>
      <c r="P816" s="340">
        <f>IFERROR(VLOOKUP(O816,NCM!$A$3:$D$99,COLUMN(head_porNCM_IPI)-COLUMN(head_porNCM_NCM)+1,FALSE),"")</f>
        <v>9.7500000000000003E-2</v>
      </c>
      <c r="Q816" s="43" t="s">
        <v>804</v>
      </c>
      <c r="R816" s="78" t="s">
        <v>210</v>
      </c>
      <c r="S816" s="341"/>
      <c r="T816" s="28" t="s">
        <v>52</v>
      </c>
      <c r="U816" s="28" t="s">
        <v>2289</v>
      </c>
      <c r="V816" s="548">
        <v>44715</v>
      </c>
      <c r="W816" s="43"/>
      <c r="X816" s="342">
        <f t="shared" si="205"/>
        <v>860.29489749430536</v>
      </c>
      <c r="Y816" s="342">
        <f t="shared" si="206"/>
        <v>630.66731207289286</v>
      </c>
      <c r="Z816" s="46">
        <f t="shared" si="207"/>
        <v>106.72831435079728</v>
      </c>
      <c r="AA816" s="46">
        <f t="shared" si="208"/>
        <v>491.59708428246012</v>
      </c>
      <c r="AB816" s="43"/>
      <c r="AC816" s="44">
        <v>7099.05</v>
      </c>
      <c r="AD816" s="31">
        <v>0.13300000000000001</v>
      </c>
      <c r="AE816" s="31">
        <v>9.7500000000000003E-2</v>
      </c>
      <c r="AF816" s="31">
        <v>0</v>
      </c>
      <c r="AG816" s="28" t="s">
        <v>53</v>
      </c>
      <c r="AH816" s="46">
        <f t="shared" si="209"/>
        <v>7791.207375</v>
      </c>
      <c r="AI816" s="43"/>
      <c r="AJ816" s="28" t="s">
        <v>264</v>
      </c>
      <c r="AK816" s="337">
        <v>5.1100000000000003</v>
      </c>
      <c r="AL816" s="43"/>
      <c r="AM816" s="44">
        <f t="shared" si="210"/>
        <v>0</v>
      </c>
      <c r="AN816" s="43"/>
      <c r="AO816" s="28">
        <f t="shared" si="211"/>
        <v>0</v>
      </c>
      <c r="AP816" s="43"/>
      <c r="AQ816" s="323">
        <f t="shared" si="212"/>
        <v>0</v>
      </c>
      <c r="AR816" s="43"/>
      <c r="AS816" s="44">
        <f t="shared" si="213"/>
        <v>7791.207375</v>
      </c>
    </row>
    <row r="817" spans="1:45" x14ac:dyDescent="0.25">
      <c r="A817" s="28"/>
      <c r="B817" s="43"/>
      <c r="C817" s="43"/>
      <c r="D817" s="43"/>
      <c r="E817" s="43" t="s">
        <v>1765</v>
      </c>
      <c r="F817" s="43" t="s">
        <v>1766</v>
      </c>
      <c r="G817" s="46">
        <f t="shared" si="200"/>
        <v>5051.0688000000009</v>
      </c>
      <c r="H817" s="46">
        <f t="shared" si="201"/>
        <v>4481.2836000000007</v>
      </c>
      <c r="I817" s="28" t="s">
        <v>262</v>
      </c>
      <c r="J817" s="337">
        <v>1</v>
      </c>
      <c r="K817" s="46">
        <f t="shared" si="202"/>
        <v>5051.0688000000009</v>
      </c>
      <c r="L817" s="46">
        <f t="shared" si="203"/>
        <v>4481.2836000000007</v>
      </c>
      <c r="M817" s="338">
        <f t="shared" si="204"/>
        <v>0</v>
      </c>
      <c r="N817" s="43" t="s">
        <v>666</v>
      </c>
      <c r="O817" s="339">
        <v>85044090</v>
      </c>
      <c r="P817" s="340">
        <f>IFERROR(VLOOKUP(O817,NCM!$A$3:$D$99,COLUMN(head_porNCM_IPI)-COLUMN(head_porNCM_NCM)+1,FALSE),"")</f>
        <v>9.7500000000000003E-2</v>
      </c>
      <c r="Q817" s="43" t="s">
        <v>804</v>
      </c>
      <c r="R817" s="78" t="s">
        <v>210</v>
      </c>
      <c r="S817" s="341"/>
      <c r="T817" s="28" t="s">
        <v>52</v>
      </c>
      <c r="U817" s="28" t="s">
        <v>2289</v>
      </c>
      <c r="V817" s="548">
        <v>44715</v>
      </c>
      <c r="W817" s="43"/>
      <c r="X817" s="342">
        <f t="shared" si="205"/>
        <v>1010.2698861047836</v>
      </c>
      <c r="Y817" s="342">
        <f t="shared" si="206"/>
        <v>547.22952164009075</v>
      </c>
      <c r="Z817" s="46">
        <f t="shared" si="207"/>
        <v>92.608072892938509</v>
      </c>
      <c r="AA817" s="46">
        <f t="shared" si="208"/>
        <v>426.55839635535312</v>
      </c>
      <c r="AB817" s="43"/>
      <c r="AC817" s="44">
        <v>6159.84</v>
      </c>
      <c r="AD817" s="31">
        <v>0.18</v>
      </c>
      <c r="AE817" s="31">
        <v>9.7500000000000003E-2</v>
      </c>
      <c r="AF817" s="31">
        <v>0</v>
      </c>
      <c r="AG817" s="28" t="s">
        <v>53</v>
      </c>
      <c r="AH817" s="46">
        <f t="shared" si="209"/>
        <v>6760.4243999999999</v>
      </c>
      <c r="AI817" s="43"/>
      <c r="AJ817" s="28" t="s">
        <v>264</v>
      </c>
      <c r="AK817" s="337">
        <v>5.1100000000000003</v>
      </c>
      <c r="AL817" s="43"/>
      <c r="AM817" s="44">
        <f t="shared" si="210"/>
        <v>0</v>
      </c>
      <c r="AN817" s="43"/>
      <c r="AO817" s="28">
        <f t="shared" si="211"/>
        <v>0</v>
      </c>
      <c r="AP817" s="43"/>
      <c r="AQ817" s="323">
        <f t="shared" si="212"/>
        <v>0</v>
      </c>
      <c r="AR817" s="43"/>
      <c r="AS817" s="44">
        <f t="shared" si="213"/>
        <v>6760.4243999999999</v>
      </c>
    </row>
    <row r="818" spans="1:45" x14ac:dyDescent="0.25">
      <c r="A818" s="28"/>
      <c r="B818" s="43"/>
      <c r="C818" s="43"/>
      <c r="D818" s="43"/>
      <c r="E818" s="43" t="s">
        <v>1767</v>
      </c>
      <c r="F818" s="43" t="s">
        <v>1768</v>
      </c>
      <c r="G818" s="46">
        <f t="shared" si="200"/>
        <v>15169.7256</v>
      </c>
      <c r="H818" s="46">
        <f t="shared" si="201"/>
        <v>13551.2716</v>
      </c>
      <c r="I818" s="28" t="s">
        <v>262</v>
      </c>
      <c r="J818" s="337">
        <v>1</v>
      </c>
      <c r="K818" s="46">
        <f t="shared" si="202"/>
        <v>15169.7256</v>
      </c>
      <c r="L818" s="46">
        <f t="shared" si="203"/>
        <v>13551.2716</v>
      </c>
      <c r="M818" s="338">
        <f t="shared" si="204"/>
        <v>0</v>
      </c>
      <c r="N818" s="43" t="s">
        <v>666</v>
      </c>
      <c r="O818" s="339">
        <v>85389010</v>
      </c>
      <c r="P818" s="340">
        <f>IFERROR(VLOOKUP(O818,NCM!$A$3:$D$99,COLUMN(head_porNCM_IPI)-COLUMN(head_porNCM_NCM)+1,FALSE),"")</f>
        <v>9.7500000000000003E-2</v>
      </c>
      <c r="Q818" s="43" t="s">
        <v>804</v>
      </c>
      <c r="R818" s="78" t="s">
        <v>210</v>
      </c>
      <c r="S818" s="341"/>
      <c r="T818" s="28" t="s">
        <v>52</v>
      </c>
      <c r="U818" s="28" t="s">
        <v>2289</v>
      </c>
      <c r="V818" s="548">
        <v>44715</v>
      </c>
      <c r="W818" s="43"/>
      <c r="X818" s="342">
        <f t="shared" si="205"/>
        <v>2120.3411389521639</v>
      </c>
      <c r="Y818" s="342">
        <f t="shared" si="206"/>
        <v>1554.3854214123003</v>
      </c>
      <c r="Z818" s="46">
        <f t="shared" si="207"/>
        <v>263.04984054669706</v>
      </c>
      <c r="AA818" s="46">
        <f t="shared" si="208"/>
        <v>1211.623507972665</v>
      </c>
      <c r="AB818" s="43"/>
      <c r="AC818" s="44">
        <v>17496.8</v>
      </c>
      <c r="AD818" s="31">
        <v>0.13300000000000001</v>
      </c>
      <c r="AE818" s="31">
        <v>9.7500000000000003E-2</v>
      </c>
      <c r="AF818" s="31">
        <v>0</v>
      </c>
      <c r="AG818" s="28" t="s">
        <v>53</v>
      </c>
      <c r="AH818" s="46">
        <f t="shared" si="209"/>
        <v>19202.737999999998</v>
      </c>
      <c r="AI818" s="43"/>
      <c r="AJ818" s="28" t="s">
        <v>264</v>
      </c>
      <c r="AK818" s="337">
        <v>5.1100000000000003</v>
      </c>
      <c r="AL818" s="43"/>
      <c r="AM818" s="44">
        <f t="shared" si="210"/>
        <v>0</v>
      </c>
      <c r="AN818" s="43"/>
      <c r="AO818" s="28">
        <f t="shared" si="211"/>
        <v>0</v>
      </c>
      <c r="AP818" s="43"/>
      <c r="AQ818" s="323">
        <f t="shared" si="212"/>
        <v>0</v>
      </c>
      <c r="AR818" s="43"/>
      <c r="AS818" s="44">
        <f t="shared" si="213"/>
        <v>19202.737999999998</v>
      </c>
    </row>
    <row r="819" spans="1:45" x14ac:dyDescent="0.25">
      <c r="A819" s="28"/>
      <c r="B819" s="43"/>
      <c r="C819" s="43"/>
      <c r="D819" s="43"/>
      <c r="E819" s="43" t="s">
        <v>1769</v>
      </c>
      <c r="F819" s="43" t="s">
        <v>1770</v>
      </c>
      <c r="G819" s="46">
        <f t="shared" si="200"/>
        <v>13811.249309999999</v>
      </c>
      <c r="H819" s="46">
        <f t="shared" si="201"/>
        <v>12337.730785000002</v>
      </c>
      <c r="I819" s="28" t="s">
        <v>262</v>
      </c>
      <c r="J819" s="337">
        <v>1</v>
      </c>
      <c r="K819" s="46">
        <f t="shared" si="202"/>
        <v>13811.249309999999</v>
      </c>
      <c r="L819" s="46">
        <f t="shared" si="203"/>
        <v>12337.730785000002</v>
      </c>
      <c r="M819" s="338">
        <f t="shared" si="204"/>
        <v>0</v>
      </c>
      <c r="N819" s="43" t="s">
        <v>666</v>
      </c>
      <c r="O819" s="339">
        <v>85389010</v>
      </c>
      <c r="P819" s="340">
        <f>IFERROR(VLOOKUP(O819,NCM!$A$3:$D$99,COLUMN(head_porNCM_IPI)-COLUMN(head_porNCM_NCM)+1,FALSE),"")</f>
        <v>9.7500000000000003E-2</v>
      </c>
      <c r="Q819" s="43" t="s">
        <v>804</v>
      </c>
      <c r="R819" s="78" t="s">
        <v>210</v>
      </c>
      <c r="S819" s="341"/>
      <c r="T819" s="28" t="s">
        <v>52</v>
      </c>
      <c r="U819" s="28" t="s">
        <v>2289</v>
      </c>
      <c r="V819" s="548">
        <v>44715</v>
      </c>
      <c r="W819" s="43"/>
      <c r="X819" s="342">
        <f t="shared" si="205"/>
        <v>1930.4607653758544</v>
      </c>
      <c r="Y819" s="342">
        <f t="shared" si="206"/>
        <v>1415.1874031890657</v>
      </c>
      <c r="Z819" s="46">
        <f t="shared" si="207"/>
        <v>239.49325284738043</v>
      </c>
      <c r="AA819" s="46">
        <f t="shared" si="208"/>
        <v>1103.1204373576311</v>
      </c>
      <c r="AB819" s="43"/>
      <c r="AC819" s="44">
        <v>15929.93</v>
      </c>
      <c r="AD819" s="31">
        <v>0.13300000000000001</v>
      </c>
      <c r="AE819" s="31">
        <v>9.7500000000000003E-2</v>
      </c>
      <c r="AF819" s="31">
        <v>0</v>
      </c>
      <c r="AG819" s="28" t="s">
        <v>53</v>
      </c>
      <c r="AH819" s="46">
        <f t="shared" si="209"/>
        <v>17483.098174999999</v>
      </c>
      <c r="AI819" s="43"/>
      <c r="AJ819" s="28" t="s">
        <v>264</v>
      </c>
      <c r="AK819" s="337">
        <v>5.1100000000000003</v>
      </c>
      <c r="AL819" s="43"/>
      <c r="AM819" s="44">
        <f t="shared" si="210"/>
        <v>0</v>
      </c>
      <c r="AN819" s="43"/>
      <c r="AO819" s="28">
        <f t="shared" si="211"/>
        <v>0</v>
      </c>
      <c r="AP819" s="43"/>
      <c r="AQ819" s="323">
        <f t="shared" si="212"/>
        <v>0</v>
      </c>
      <c r="AR819" s="43"/>
      <c r="AS819" s="44">
        <f t="shared" si="213"/>
        <v>17483.098174999999</v>
      </c>
    </row>
    <row r="820" spans="1:45" x14ac:dyDescent="0.25">
      <c r="A820" s="28"/>
      <c r="B820" s="43"/>
      <c r="C820" s="43"/>
      <c r="D820" s="43"/>
      <c r="E820" s="43" t="s">
        <v>1771</v>
      </c>
      <c r="F820" s="43" t="s">
        <v>1772</v>
      </c>
      <c r="G820" s="46">
        <f t="shared" si="200"/>
        <v>5223.0507600000001</v>
      </c>
      <c r="H820" s="46">
        <f t="shared" si="201"/>
        <v>4665.8048600000002</v>
      </c>
      <c r="I820" s="28" t="s">
        <v>262</v>
      </c>
      <c r="J820" s="337">
        <v>1</v>
      </c>
      <c r="K820" s="46">
        <f t="shared" si="202"/>
        <v>5223.0507600000001</v>
      </c>
      <c r="L820" s="46">
        <f t="shared" si="203"/>
        <v>4665.8048600000002</v>
      </c>
      <c r="M820" s="338">
        <f t="shared" si="204"/>
        <v>0</v>
      </c>
      <c r="N820" s="43" t="s">
        <v>666</v>
      </c>
      <c r="O820" s="339">
        <v>85389010</v>
      </c>
      <c r="P820" s="340">
        <f>IFERROR(VLOOKUP(O820,NCM!$A$3:$D$99,COLUMN(head_porNCM_IPI)-COLUMN(head_porNCM_NCM)+1,FALSE),"")</f>
        <v>9.7500000000000003E-2</v>
      </c>
      <c r="Q820" s="43" t="s">
        <v>804</v>
      </c>
      <c r="R820" s="78" t="s">
        <v>210</v>
      </c>
      <c r="S820" s="341"/>
      <c r="T820" s="28" t="s">
        <v>52</v>
      </c>
      <c r="U820" s="28" t="s">
        <v>2290</v>
      </c>
      <c r="V820" s="548">
        <v>44715</v>
      </c>
      <c r="W820" s="43"/>
      <c r="X820" s="342">
        <f t="shared" si="205"/>
        <v>730.04942141230072</v>
      </c>
      <c r="Y820" s="342">
        <f t="shared" si="206"/>
        <v>535.18660592255128</v>
      </c>
      <c r="Z820" s="46">
        <f t="shared" si="207"/>
        <v>90.570041002277904</v>
      </c>
      <c r="AA820" s="46">
        <f t="shared" si="208"/>
        <v>417.17109794988608</v>
      </c>
      <c r="AB820" s="43"/>
      <c r="AC820" s="44">
        <v>6024.28</v>
      </c>
      <c r="AD820" s="31">
        <v>0.13300000000000001</v>
      </c>
      <c r="AE820" s="31">
        <v>9.7500000000000003E-2</v>
      </c>
      <c r="AF820" s="31">
        <v>0</v>
      </c>
      <c r="AG820" s="28" t="s">
        <v>53</v>
      </c>
      <c r="AH820" s="46">
        <f t="shared" si="209"/>
        <v>6611.6472999999996</v>
      </c>
      <c r="AI820" s="43"/>
      <c r="AJ820" s="28" t="s">
        <v>264</v>
      </c>
      <c r="AK820" s="337">
        <v>5.1100000000000003</v>
      </c>
      <c r="AL820" s="43"/>
      <c r="AM820" s="44">
        <f t="shared" si="210"/>
        <v>0</v>
      </c>
      <c r="AN820" s="43"/>
      <c r="AO820" s="28">
        <f t="shared" si="211"/>
        <v>0</v>
      </c>
      <c r="AP820" s="43"/>
      <c r="AQ820" s="323">
        <f t="shared" si="212"/>
        <v>0</v>
      </c>
      <c r="AR820" s="43"/>
      <c r="AS820" s="44">
        <f t="shared" si="213"/>
        <v>6611.6472999999996</v>
      </c>
    </row>
    <row r="821" spans="1:45" x14ac:dyDescent="0.25">
      <c r="A821" s="28"/>
      <c r="B821" s="43"/>
      <c r="C821" s="43"/>
      <c r="D821" s="43"/>
      <c r="E821" s="43" t="s">
        <v>1773</v>
      </c>
      <c r="F821" s="43" t="s">
        <v>1774</v>
      </c>
      <c r="G821" s="46">
        <f t="shared" si="200"/>
        <v>5036.5157099999997</v>
      </c>
      <c r="H821" s="46">
        <f t="shared" si="201"/>
        <v>4499.1711850000002</v>
      </c>
      <c r="I821" s="28" t="s">
        <v>262</v>
      </c>
      <c r="J821" s="337">
        <v>1</v>
      </c>
      <c r="K821" s="46">
        <f t="shared" si="202"/>
        <v>5036.5157099999997</v>
      </c>
      <c r="L821" s="46">
        <f t="shared" si="203"/>
        <v>4499.1711850000002</v>
      </c>
      <c r="M821" s="338">
        <f t="shared" si="204"/>
        <v>0</v>
      </c>
      <c r="N821" s="43" t="s">
        <v>666</v>
      </c>
      <c r="O821" s="339">
        <v>85389010</v>
      </c>
      <c r="P821" s="340">
        <f>IFERROR(VLOOKUP(O821,NCM!$A$3:$D$99,COLUMN(head_porNCM_IPI)-COLUMN(head_porNCM_NCM)+1,FALSE),"")</f>
        <v>9.7500000000000003E-2</v>
      </c>
      <c r="Q821" s="43" t="s">
        <v>804</v>
      </c>
      <c r="R821" s="78" t="s">
        <v>210</v>
      </c>
      <c r="S821" s="341"/>
      <c r="T821" s="28" t="s">
        <v>52</v>
      </c>
      <c r="U821" s="28" t="s">
        <v>2289</v>
      </c>
      <c r="V821" s="548">
        <v>44715</v>
      </c>
      <c r="W821" s="43"/>
      <c r="X821" s="342">
        <f t="shared" si="205"/>
        <v>703.97657403189078</v>
      </c>
      <c r="Y821" s="342">
        <f t="shared" si="206"/>
        <v>516.07305239179914</v>
      </c>
      <c r="Z821" s="46">
        <f t="shared" si="207"/>
        <v>87.335439635535323</v>
      </c>
      <c r="AA821" s="46">
        <f t="shared" si="208"/>
        <v>402.27232801822328</v>
      </c>
      <c r="AB821" s="43"/>
      <c r="AC821" s="44">
        <v>5809.13</v>
      </c>
      <c r="AD821" s="31">
        <v>0.13300000000000001</v>
      </c>
      <c r="AE821" s="31">
        <v>9.7500000000000003E-2</v>
      </c>
      <c r="AF821" s="31">
        <v>0</v>
      </c>
      <c r="AG821" s="28" t="s">
        <v>53</v>
      </c>
      <c r="AH821" s="46">
        <f t="shared" si="209"/>
        <v>6375.5201749999997</v>
      </c>
      <c r="AI821" s="43"/>
      <c r="AJ821" s="28" t="s">
        <v>264</v>
      </c>
      <c r="AK821" s="337">
        <v>5.1100000000000003</v>
      </c>
      <c r="AL821" s="43"/>
      <c r="AM821" s="44">
        <f t="shared" si="210"/>
        <v>0</v>
      </c>
      <c r="AN821" s="43"/>
      <c r="AO821" s="28">
        <f t="shared" si="211"/>
        <v>0</v>
      </c>
      <c r="AP821" s="43"/>
      <c r="AQ821" s="323">
        <f t="shared" si="212"/>
        <v>0</v>
      </c>
      <c r="AR821" s="43"/>
      <c r="AS821" s="44">
        <f t="shared" si="213"/>
        <v>6375.5201749999997</v>
      </c>
    </row>
    <row r="822" spans="1:45" x14ac:dyDescent="0.25">
      <c r="A822" s="28"/>
      <c r="B822" s="43"/>
      <c r="C822" s="43"/>
      <c r="D822" s="43"/>
      <c r="E822" s="43" t="s">
        <v>1775</v>
      </c>
      <c r="F822" s="43" t="s">
        <v>1776</v>
      </c>
      <c r="G822" s="46">
        <f t="shared" si="200"/>
        <v>2172.2511599999998</v>
      </c>
      <c r="H822" s="46">
        <f t="shared" si="201"/>
        <v>1940.4942600000002</v>
      </c>
      <c r="I822" s="28" t="s">
        <v>262</v>
      </c>
      <c r="J822" s="337">
        <v>1</v>
      </c>
      <c r="K822" s="46">
        <f t="shared" si="202"/>
        <v>2172.2511599999998</v>
      </c>
      <c r="L822" s="46">
        <f t="shared" si="203"/>
        <v>1940.4942600000002</v>
      </c>
      <c r="M822" s="338">
        <f t="shared" si="204"/>
        <v>0</v>
      </c>
      <c r="N822" s="43" t="s">
        <v>666</v>
      </c>
      <c r="O822" s="339">
        <v>85389010</v>
      </c>
      <c r="P822" s="340">
        <f>IFERROR(VLOOKUP(O822,NCM!$A$3:$D$99,COLUMN(head_porNCM_IPI)-COLUMN(head_porNCM_NCM)+1,FALSE),"")</f>
        <v>9.7500000000000003E-2</v>
      </c>
      <c r="Q822" s="43" t="s">
        <v>804</v>
      </c>
      <c r="R822" s="78" t="s">
        <v>210</v>
      </c>
      <c r="S822" s="341"/>
      <c r="T822" s="28" t="s">
        <v>52</v>
      </c>
      <c r="U822" s="28" t="s">
        <v>2290</v>
      </c>
      <c r="V822" s="548">
        <v>44715</v>
      </c>
      <c r="W822" s="43"/>
      <c r="X822" s="342">
        <f t="shared" si="205"/>
        <v>303.62536674259684</v>
      </c>
      <c r="Y822" s="342">
        <f t="shared" si="206"/>
        <v>222.58250569476058</v>
      </c>
      <c r="Z822" s="46">
        <f t="shared" si="207"/>
        <v>37.667808656036449</v>
      </c>
      <c r="AA822" s="46">
        <f t="shared" si="208"/>
        <v>173.5002095671982</v>
      </c>
      <c r="AB822" s="43"/>
      <c r="AC822" s="44">
        <v>2505.48</v>
      </c>
      <c r="AD822" s="31">
        <v>0.13300000000000001</v>
      </c>
      <c r="AE822" s="31">
        <v>9.7500000000000003E-2</v>
      </c>
      <c r="AF822" s="31">
        <v>0</v>
      </c>
      <c r="AG822" s="28" t="s">
        <v>53</v>
      </c>
      <c r="AH822" s="46">
        <f t="shared" si="209"/>
        <v>2749.7642999999998</v>
      </c>
      <c r="AI822" s="43"/>
      <c r="AJ822" s="28" t="s">
        <v>264</v>
      </c>
      <c r="AK822" s="337">
        <v>5.1100000000000003</v>
      </c>
      <c r="AL822" s="43"/>
      <c r="AM822" s="44">
        <f t="shared" si="210"/>
        <v>0</v>
      </c>
      <c r="AN822" s="43"/>
      <c r="AO822" s="28">
        <f t="shared" si="211"/>
        <v>0</v>
      </c>
      <c r="AP822" s="43"/>
      <c r="AQ822" s="323">
        <f t="shared" si="212"/>
        <v>0</v>
      </c>
      <c r="AR822" s="43"/>
      <c r="AS822" s="44">
        <f t="shared" si="213"/>
        <v>2749.7642999999998</v>
      </c>
    </row>
    <row r="823" spans="1:45" x14ac:dyDescent="0.25">
      <c r="A823" s="28"/>
      <c r="B823" s="43"/>
      <c r="C823" s="43"/>
      <c r="D823" s="43"/>
      <c r="E823" s="43" t="s">
        <v>1777</v>
      </c>
      <c r="F823" s="43" t="s">
        <v>1778</v>
      </c>
      <c r="G823" s="46">
        <f t="shared" si="200"/>
        <v>639.928</v>
      </c>
      <c r="H823" s="46">
        <f t="shared" si="201"/>
        <v>567.7410000000001</v>
      </c>
      <c r="I823" s="28" t="s">
        <v>262</v>
      </c>
      <c r="J823" s="337">
        <v>1</v>
      </c>
      <c r="K823" s="46">
        <f t="shared" si="202"/>
        <v>639.928</v>
      </c>
      <c r="L823" s="46">
        <f t="shared" si="203"/>
        <v>567.7410000000001</v>
      </c>
      <c r="M823" s="338">
        <f t="shared" si="204"/>
        <v>0</v>
      </c>
      <c r="N823" s="43" t="s">
        <v>666</v>
      </c>
      <c r="O823" s="339">
        <v>85235110</v>
      </c>
      <c r="P823" s="340">
        <f>IFERROR(VLOOKUP(O823,NCM!$A$3:$D$99,COLUMN(head_porNCM_IPI)-COLUMN(head_porNCM_NCM)+1,FALSE),"")</f>
        <v>9.2499999999999999E-2</v>
      </c>
      <c r="Q823" s="43" t="s">
        <v>804</v>
      </c>
      <c r="R823" s="78" t="s">
        <v>210</v>
      </c>
      <c r="S823" s="341"/>
      <c r="T823" s="28" t="s">
        <v>52</v>
      </c>
      <c r="U823" s="28" t="s">
        <v>2290</v>
      </c>
      <c r="V823" s="548">
        <v>44715</v>
      </c>
      <c r="W823" s="43"/>
      <c r="X823" s="342">
        <f t="shared" si="205"/>
        <v>127.99271070615033</v>
      </c>
      <c r="Y823" s="342">
        <f t="shared" si="206"/>
        <v>69.329384965831423</v>
      </c>
      <c r="Z823" s="46">
        <f t="shared" si="207"/>
        <v>11.732665148063782</v>
      </c>
      <c r="AA823" s="46">
        <f t="shared" si="208"/>
        <v>54.041366742596807</v>
      </c>
      <c r="AB823" s="43"/>
      <c r="AC823" s="44">
        <v>780.4</v>
      </c>
      <c r="AD823" s="31">
        <v>0.18</v>
      </c>
      <c r="AE823" s="31">
        <v>9.7500000000000003E-2</v>
      </c>
      <c r="AF823" s="31">
        <v>0</v>
      </c>
      <c r="AG823" s="28" t="s">
        <v>53</v>
      </c>
      <c r="AH823" s="46">
        <f t="shared" si="209"/>
        <v>856.48899999999992</v>
      </c>
      <c r="AI823" s="43"/>
      <c r="AJ823" s="28" t="s">
        <v>264</v>
      </c>
      <c r="AK823" s="337">
        <v>5.1100000000000003</v>
      </c>
      <c r="AL823" s="43"/>
      <c r="AM823" s="44">
        <f t="shared" si="210"/>
        <v>0</v>
      </c>
      <c r="AN823" s="43"/>
      <c r="AO823" s="28">
        <f t="shared" si="211"/>
        <v>0</v>
      </c>
      <c r="AP823" s="43"/>
      <c r="AQ823" s="323">
        <f t="shared" si="212"/>
        <v>0</v>
      </c>
      <c r="AR823" s="43"/>
      <c r="AS823" s="44">
        <f t="shared" si="213"/>
        <v>856.48899999999992</v>
      </c>
    </row>
    <row r="824" spans="1:45" x14ac:dyDescent="0.25">
      <c r="A824" s="28"/>
      <c r="B824" s="43"/>
      <c r="C824" s="43"/>
      <c r="D824" s="43"/>
      <c r="E824" s="43" t="s">
        <v>1779</v>
      </c>
      <c r="F824" s="43" t="s">
        <v>1780</v>
      </c>
      <c r="G824" s="46">
        <f t="shared" ref="G824:G887" si="214">AC824*(1-AD824)</f>
        <v>3562.1215200000001</v>
      </c>
      <c r="H824" s="46">
        <f t="shared" ref="H824:H887" si="215">AC824*(1-AD824-pis_naocum-cofins_naocum)</f>
        <v>3182.0797200000006</v>
      </c>
      <c r="I824" s="28" t="s">
        <v>262</v>
      </c>
      <c r="J824" s="337">
        <v>1</v>
      </c>
      <c r="K824" s="46">
        <f t="shared" ref="K824:K887" si="216">IFERROR(G824*J824*VLOOKUP(I824,tbl_cambio,2,FALSE),"")</f>
        <v>3562.1215200000001</v>
      </c>
      <c r="L824" s="46">
        <f t="shared" ref="L824:L887" si="217">IFERROR(H824*J824*VLOOKUP(I824,tbl_cambio,2,FALSE),"")</f>
        <v>3182.0797200000006</v>
      </c>
      <c r="M824" s="338">
        <f t="shared" ref="M824:M887" si="218">SUMIF(col_item,"="&amp;E824,col_qtd)</f>
        <v>0</v>
      </c>
      <c r="N824" s="43" t="s">
        <v>666</v>
      </c>
      <c r="O824" s="339">
        <v>85044090</v>
      </c>
      <c r="P824" s="340">
        <f>IFERROR(VLOOKUP(O824,NCM!$A$3:$D$99,COLUMN(head_porNCM_IPI)-COLUMN(head_porNCM_NCM)+1,FALSE),"")</f>
        <v>9.7500000000000003E-2</v>
      </c>
      <c r="Q824" s="43" t="s">
        <v>804</v>
      </c>
      <c r="R824" s="78" t="s">
        <v>210</v>
      </c>
      <c r="S824" s="341"/>
      <c r="T824" s="28" t="s">
        <v>52</v>
      </c>
      <c r="U824" s="28" t="s">
        <v>2290</v>
      </c>
      <c r="V824" s="548">
        <v>44715</v>
      </c>
      <c r="W824" s="43"/>
      <c r="X824" s="342">
        <f t="shared" ref="X824:X887" si="219">(AC824-Y824)*AD824</f>
        <v>497.89383143507979</v>
      </c>
      <c r="Y824" s="342">
        <f t="shared" ref="Y824:Y887" si="220">AC824-AC824/(1+AE824)</f>
        <v>364.99735763097942</v>
      </c>
      <c r="Z824" s="46">
        <f t="shared" ref="Z824:Z887" si="221">(AC824-Y824)*pis_naocum</f>
        <v>61.768783599088849</v>
      </c>
      <c r="AA824" s="46">
        <f t="shared" ref="AA824:AA887" si="222">(AC824-Y824)*cofins_naocum</f>
        <v>284.51076082004556</v>
      </c>
      <c r="AB824" s="43"/>
      <c r="AC824" s="44">
        <v>4108.5600000000004</v>
      </c>
      <c r="AD824" s="31">
        <v>0.13300000000000001</v>
      </c>
      <c r="AE824" s="31">
        <v>9.7500000000000003E-2</v>
      </c>
      <c r="AF824" s="31">
        <v>0</v>
      </c>
      <c r="AG824" s="28" t="s">
        <v>53</v>
      </c>
      <c r="AH824" s="46">
        <f t="shared" ref="AH824:AH887" si="223">AC824*(1+AE824)</f>
        <v>4509.1446000000005</v>
      </c>
      <c r="AI824" s="43"/>
      <c r="AJ824" s="28" t="s">
        <v>264</v>
      </c>
      <c r="AK824" s="337">
        <v>5.1100000000000003</v>
      </c>
      <c r="AL824" s="43"/>
      <c r="AM824" s="44">
        <f t="shared" ref="AM824:AM887" si="224">IF(AND(AJ824&lt;&gt;"",AK824&gt;0),AQ824*(VLOOKUP(AJ824,tbl_cambio,2,FALSE)/AK824-1),0)</f>
        <v>0</v>
      </c>
      <c r="AN824" s="43"/>
      <c r="AO824" s="28">
        <f t="shared" ref="AO824:AO887" si="225">IF(T824="Sim",ROUNDUP(M824*sobress_pc,0),0)</f>
        <v>0</v>
      </c>
      <c r="AP824" s="43"/>
      <c r="AQ824" s="323">
        <f t="shared" ref="AQ824:AQ887" si="226">SUMIFS(col_custoTotal,col_fatdir,"Não",col_item,E824)</f>
        <v>0</v>
      </c>
      <c r="AR824" s="43"/>
      <c r="AS824" s="44">
        <f t="shared" ref="AS824:AS887" si="227">IFERROR(AH824*VLOOKUP(I824,tbl_cambio,2,FALSE),0)</f>
        <v>4509.1446000000005</v>
      </c>
    </row>
    <row r="825" spans="1:45" x14ac:dyDescent="0.25">
      <c r="A825" s="28"/>
      <c r="B825" s="43"/>
      <c r="C825" s="43"/>
      <c r="D825" s="43"/>
      <c r="E825" s="43" t="s">
        <v>1781</v>
      </c>
      <c r="F825" s="43" t="s">
        <v>1782</v>
      </c>
      <c r="G825" s="46">
        <f t="shared" si="214"/>
        <v>1823.2576499999998</v>
      </c>
      <c r="H825" s="46">
        <f t="shared" si="215"/>
        <v>1628.7347750000001</v>
      </c>
      <c r="I825" s="28" t="s">
        <v>262</v>
      </c>
      <c r="J825" s="337">
        <v>1</v>
      </c>
      <c r="K825" s="46">
        <f t="shared" si="216"/>
        <v>1823.2576499999998</v>
      </c>
      <c r="L825" s="46">
        <f t="shared" si="217"/>
        <v>1628.7347750000001</v>
      </c>
      <c r="M825" s="338">
        <f t="shared" si="218"/>
        <v>0</v>
      </c>
      <c r="N825" s="43" t="s">
        <v>666</v>
      </c>
      <c r="O825" s="339">
        <v>85389010</v>
      </c>
      <c r="P825" s="340">
        <f>IFERROR(VLOOKUP(O825,NCM!$A$3:$D$99,COLUMN(head_porNCM_IPI)-COLUMN(head_porNCM_NCM)+1,FALSE),"")</f>
        <v>9.7500000000000003E-2</v>
      </c>
      <c r="Q825" s="43" t="s">
        <v>804</v>
      </c>
      <c r="R825" s="78" t="s">
        <v>210</v>
      </c>
      <c r="S825" s="341"/>
      <c r="T825" s="28" t="s">
        <v>52</v>
      </c>
      <c r="U825" s="28" t="s">
        <v>2290</v>
      </c>
      <c r="V825" s="548">
        <v>44715</v>
      </c>
      <c r="W825" s="43"/>
      <c r="X825" s="342">
        <f t="shared" si="219"/>
        <v>254.84496583143508</v>
      </c>
      <c r="Y825" s="342">
        <f t="shared" si="220"/>
        <v>186.82243735763086</v>
      </c>
      <c r="Z825" s="46">
        <f t="shared" si="221"/>
        <v>31.616104783599088</v>
      </c>
      <c r="AA825" s="46">
        <f t="shared" si="222"/>
        <v>145.62569476082004</v>
      </c>
      <c r="AB825" s="43"/>
      <c r="AC825" s="44">
        <v>2102.9499999999998</v>
      </c>
      <c r="AD825" s="31">
        <v>0.13300000000000001</v>
      </c>
      <c r="AE825" s="31">
        <v>9.7500000000000003E-2</v>
      </c>
      <c r="AF825" s="31">
        <v>0</v>
      </c>
      <c r="AG825" s="28" t="s">
        <v>53</v>
      </c>
      <c r="AH825" s="46">
        <f t="shared" si="223"/>
        <v>2307.9876249999998</v>
      </c>
      <c r="AI825" s="43"/>
      <c r="AJ825" s="28" t="s">
        <v>264</v>
      </c>
      <c r="AK825" s="337">
        <v>5.1100000000000003</v>
      </c>
      <c r="AL825" s="43"/>
      <c r="AM825" s="44">
        <f t="shared" si="224"/>
        <v>0</v>
      </c>
      <c r="AN825" s="43"/>
      <c r="AO825" s="28">
        <f t="shared" si="225"/>
        <v>0</v>
      </c>
      <c r="AP825" s="43"/>
      <c r="AQ825" s="323">
        <f t="shared" si="226"/>
        <v>0</v>
      </c>
      <c r="AR825" s="43"/>
      <c r="AS825" s="44">
        <f t="shared" si="227"/>
        <v>2307.9876249999998</v>
      </c>
    </row>
    <row r="826" spans="1:45" x14ac:dyDescent="0.25">
      <c r="A826" s="28"/>
      <c r="B826" s="43"/>
      <c r="C826" s="43"/>
      <c r="D826" s="43"/>
      <c r="E826" s="43" t="s">
        <v>1783</v>
      </c>
      <c r="F826" s="43" t="s">
        <v>1784</v>
      </c>
      <c r="G826" s="46">
        <f t="shared" si="214"/>
        <v>2205.4225799999999</v>
      </c>
      <c r="H826" s="46">
        <f t="shared" si="215"/>
        <v>1970.12663</v>
      </c>
      <c r="I826" s="28" t="s">
        <v>262</v>
      </c>
      <c r="J826" s="337">
        <v>1</v>
      </c>
      <c r="K826" s="46">
        <f t="shared" si="216"/>
        <v>2205.4225799999999</v>
      </c>
      <c r="L826" s="46">
        <f t="shared" si="217"/>
        <v>1970.12663</v>
      </c>
      <c r="M826" s="338">
        <f t="shared" si="218"/>
        <v>0</v>
      </c>
      <c r="N826" s="43" t="s">
        <v>666</v>
      </c>
      <c r="O826" s="339">
        <v>85389010</v>
      </c>
      <c r="P826" s="340">
        <f>IFERROR(VLOOKUP(O826,NCM!$A$3:$D$99,COLUMN(head_porNCM_IPI)-COLUMN(head_porNCM_NCM)+1,FALSE),"")</f>
        <v>9.7500000000000003E-2</v>
      </c>
      <c r="Q826" s="43" t="s">
        <v>804</v>
      </c>
      <c r="R826" s="78" t="s">
        <v>210</v>
      </c>
      <c r="S826" s="341"/>
      <c r="T826" s="28" t="s">
        <v>52</v>
      </c>
      <c r="U826" s="28" t="s">
        <v>2290</v>
      </c>
      <c r="V826" s="548">
        <v>44715</v>
      </c>
      <c r="W826" s="43"/>
      <c r="X826" s="342">
        <f t="shared" si="219"/>
        <v>308.26188610478363</v>
      </c>
      <c r="Y826" s="342">
        <f t="shared" si="220"/>
        <v>225.98145785876977</v>
      </c>
      <c r="Z826" s="46">
        <f t="shared" si="221"/>
        <v>38.243015945330299</v>
      </c>
      <c r="AA826" s="46">
        <f t="shared" si="222"/>
        <v>176.14964920273349</v>
      </c>
      <c r="AB826" s="43"/>
      <c r="AC826" s="44">
        <v>2543.7399999999998</v>
      </c>
      <c r="AD826" s="31">
        <v>0.13300000000000001</v>
      </c>
      <c r="AE826" s="31">
        <v>9.7500000000000003E-2</v>
      </c>
      <c r="AF826" s="31">
        <v>0</v>
      </c>
      <c r="AG826" s="28" t="s">
        <v>53</v>
      </c>
      <c r="AH826" s="46">
        <f t="shared" si="223"/>
        <v>2791.7546499999994</v>
      </c>
      <c r="AI826" s="43"/>
      <c r="AJ826" s="28" t="s">
        <v>264</v>
      </c>
      <c r="AK826" s="337">
        <v>5.1100000000000003</v>
      </c>
      <c r="AL826" s="43"/>
      <c r="AM826" s="44">
        <f t="shared" si="224"/>
        <v>0</v>
      </c>
      <c r="AN826" s="43"/>
      <c r="AO826" s="28">
        <f t="shared" si="225"/>
        <v>0</v>
      </c>
      <c r="AP826" s="43"/>
      <c r="AQ826" s="323">
        <f t="shared" si="226"/>
        <v>0</v>
      </c>
      <c r="AR826" s="43"/>
      <c r="AS826" s="44">
        <f t="shared" si="227"/>
        <v>2791.7546499999994</v>
      </c>
    </row>
    <row r="827" spans="1:45" x14ac:dyDescent="0.25">
      <c r="A827" s="28"/>
      <c r="B827" s="43"/>
      <c r="C827" s="43"/>
      <c r="D827" s="43"/>
      <c r="E827" s="43" t="s">
        <v>1785</v>
      </c>
      <c r="F827" s="43" t="s">
        <v>1786</v>
      </c>
      <c r="G827" s="46">
        <f t="shared" si="214"/>
        <v>1793.1640799999998</v>
      </c>
      <c r="H827" s="46">
        <f t="shared" si="215"/>
        <v>1601.8518799999999</v>
      </c>
      <c r="I827" s="28" t="s">
        <v>262</v>
      </c>
      <c r="J827" s="337">
        <v>1</v>
      </c>
      <c r="K827" s="46">
        <f t="shared" si="216"/>
        <v>1793.1640799999998</v>
      </c>
      <c r="L827" s="46">
        <f t="shared" si="217"/>
        <v>1601.8518799999999</v>
      </c>
      <c r="M827" s="338">
        <f t="shared" si="218"/>
        <v>0</v>
      </c>
      <c r="N827" s="43" t="s">
        <v>666</v>
      </c>
      <c r="O827" s="339">
        <v>85389010</v>
      </c>
      <c r="P827" s="340">
        <f>IFERROR(VLOOKUP(O827,NCM!$A$3:$D$99,COLUMN(head_porNCM_IPI)-COLUMN(head_porNCM_NCM)+1,FALSE),"")</f>
        <v>9.7500000000000003E-2</v>
      </c>
      <c r="Q827" s="43" t="s">
        <v>804</v>
      </c>
      <c r="R827" s="78" t="s">
        <v>210</v>
      </c>
      <c r="S827" s="341"/>
      <c r="T827" s="28" t="s">
        <v>52</v>
      </c>
      <c r="U827" s="28" t="s">
        <v>2290</v>
      </c>
      <c r="V827" s="548">
        <v>44715</v>
      </c>
      <c r="W827" s="43"/>
      <c r="X827" s="342">
        <f t="shared" si="219"/>
        <v>250.63865148063783</v>
      </c>
      <c r="Y827" s="342">
        <f t="shared" si="220"/>
        <v>183.73886104783583</v>
      </c>
      <c r="Z827" s="46">
        <f t="shared" si="221"/>
        <v>31.094268792710707</v>
      </c>
      <c r="AA827" s="46">
        <f t="shared" si="222"/>
        <v>143.22208656036446</v>
      </c>
      <c r="AB827" s="43"/>
      <c r="AC827" s="44">
        <v>2068.2399999999998</v>
      </c>
      <c r="AD827" s="31">
        <v>0.13300000000000001</v>
      </c>
      <c r="AE827" s="31">
        <v>9.7500000000000003E-2</v>
      </c>
      <c r="AF827" s="31">
        <v>0</v>
      </c>
      <c r="AG827" s="28" t="s">
        <v>53</v>
      </c>
      <c r="AH827" s="46">
        <f t="shared" si="223"/>
        <v>2269.8933999999995</v>
      </c>
      <c r="AI827" s="43"/>
      <c r="AJ827" s="28" t="s">
        <v>264</v>
      </c>
      <c r="AK827" s="337">
        <v>5.1100000000000003</v>
      </c>
      <c r="AL827" s="43"/>
      <c r="AM827" s="44">
        <f t="shared" si="224"/>
        <v>0</v>
      </c>
      <c r="AN827" s="43"/>
      <c r="AO827" s="28">
        <f t="shared" si="225"/>
        <v>0</v>
      </c>
      <c r="AP827" s="43"/>
      <c r="AQ827" s="323">
        <f t="shared" si="226"/>
        <v>0</v>
      </c>
      <c r="AR827" s="43"/>
      <c r="AS827" s="44">
        <f t="shared" si="227"/>
        <v>2269.8933999999995</v>
      </c>
    </row>
    <row r="828" spans="1:45" x14ac:dyDescent="0.25">
      <c r="A828" s="28"/>
      <c r="B828" s="43"/>
      <c r="C828" s="43"/>
      <c r="D828" s="43"/>
      <c r="E828" s="43" t="s">
        <v>1787</v>
      </c>
      <c r="F828" s="43" t="s">
        <v>1788</v>
      </c>
      <c r="G828" s="46">
        <f t="shared" si="214"/>
        <v>1682.9163599999999</v>
      </c>
      <c r="H828" s="46">
        <f t="shared" si="215"/>
        <v>1503.3664600000002</v>
      </c>
      <c r="I828" s="28" t="s">
        <v>262</v>
      </c>
      <c r="J828" s="337">
        <v>1</v>
      </c>
      <c r="K828" s="46">
        <f t="shared" si="216"/>
        <v>1682.9163599999999</v>
      </c>
      <c r="L828" s="46">
        <f t="shared" si="217"/>
        <v>1503.3664600000002</v>
      </c>
      <c r="M828" s="338">
        <f t="shared" si="218"/>
        <v>0</v>
      </c>
      <c r="N828" s="43" t="s">
        <v>666</v>
      </c>
      <c r="O828" s="339">
        <v>85389010</v>
      </c>
      <c r="P828" s="340">
        <f>IFERROR(VLOOKUP(O828,NCM!$A$3:$D$99,COLUMN(head_porNCM_IPI)-COLUMN(head_porNCM_NCM)+1,FALSE),"")</f>
        <v>9.7500000000000003E-2</v>
      </c>
      <c r="Q828" s="43" t="s">
        <v>804</v>
      </c>
      <c r="R828" s="78" t="s">
        <v>210</v>
      </c>
      <c r="S828" s="341"/>
      <c r="T828" s="28" t="s">
        <v>52</v>
      </c>
      <c r="U828" s="28" t="s">
        <v>2290</v>
      </c>
      <c r="V828" s="548">
        <v>44715</v>
      </c>
      <c r="W828" s="43"/>
      <c r="X828" s="342">
        <f t="shared" si="219"/>
        <v>235.22882915717543</v>
      </c>
      <c r="Y828" s="342">
        <f t="shared" si="220"/>
        <v>172.44218678815469</v>
      </c>
      <c r="Z828" s="46">
        <f t="shared" si="221"/>
        <v>29.182523917995447</v>
      </c>
      <c r="AA828" s="46">
        <f t="shared" si="222"/>
        <v>134.41647380410024</v>
      </c>
      <c r="AB828" s="43"/>
      <c r="AC828" s="44">
        <v>1941.08</v>
      </c>
      <c r="AD828" s="31">
        <v>0.13300000000000001</v>
      </c>
      <c r="AE828" s="31">
        <v>9.7500000000000003E-2</v>
      </c>
      <c r="AF828" s="31">
        <v>0</v>
      </c>
      <c r="AG828" s="28" t="s">
        <v>53</v>
      </c>
      <c r="AH828" s="46">
        <f t="shared" si="223"/>
        <v>2130.3352999999997</v>
      </c>
      <c r="AI828" s="43"/>
      <c r="AJ828" s="28" t="s">
        <v>264</v>
      </c>
      <c r="AK828" s="337">
        <v>5.1100000000000003</v>
      </c>
      <c r="AL828" s="43"/>
      <c r="AM828" s="44">
        <f t="shared" si="224"/>
        <v>0</v>
      </c>
      <c r="AN828" s="43"/>
      <c r="AO828" s="28">
        <f t="shared" si="225"/>
        <v>0</v>
      </c>
      <c r="AP828" s="43"/>
      <c r="AQ828" s="323">
        <f t="shared" si="226"/>
        <v>0</v>
      </c>
      <c r="AR828" s="43"/>
      <c r="AS828" s="44">
        <f t="shared" si="227"/>
        <v>2130.3352999999997</v>
      </c>
    </row>
    <row r="829" spans="1:45" x14ac:dyDescent="0.25">
      <c r="A829" s="28"/>
      <c r="B829" s="43"/>
      <c r="C829" s="43"/>
      <c r="D829" s="43"/>
      <c r="E829" s="43" t="s">
        <v>1789</v>
      </c>
      <c r="F829" s="43" t="s">
        <v>1790</v>
      </c>
      <c r="G829" s="46">
        <f t="shared" si="214"/>
        <v>2304.6507299999998</v>
      </c>
      <c r="H829" s="46">
        <f t="shared" si="215"/>
        <v>2058.7681550000002</v>
      </c>
      <c r="I829" s="28" t="s">
        <v>262</v>
      </c>
      <c r="J829" s="337">
        <v>1</v>
      </c>
      <c r="K829" s="46">
        <f t="shared" si="216"/>
        <v>2304.6507299999998</v>
      </c>
      <c r="L829" s="46">
        <f t="shared" si="217"/>
        <v>2058.7681550000002</v>
      </c>
      <c r="M829" s="338">
        <f t="shared" si="218"/>
        <v>0</v>
      </c>
      <c r="N829" s="43" t="s">
        <v>666</v>
      </c>
      <c r="O829" s="339">
        <v>85389010</v>
      </c>
      <c r="P829" s="340">
        <f>IFERROR(VLOOKUP(O829,NCM!$A$3:$D$99,COLUMN(head_porNCM_IPI)-COLUMN(head_porNCM_NCM)+1,FALSE),"")</f>
        <v>9.7500000000000003E-2</v>
      </c>
      <c r="Q829" s="43" t="s">
        <v>804</v>
      </c>
      <c r="R829" s="78" t="s">
        <v>210</v>
      </c>
      <c r="S829" s="341"/>
      <c r="T829" s="28" t="s">
        <v>52</v>
      </c>
      <c r="U829" s="28" t="s">
        <v>2290</v>
      </c>
      <c r="V829" s="548">
        <v>44715</v>
      </c>
      <c r="W829" s="43"/>
      <c r="X829" s="342">
        <f t="shared" si="219"/>
        <v>322.13145330296135</v>
      </c>
      <c r="Y829" s="342">
        <f t="shared" si="220"/>
        <v>236.14899772209537</v>
      </c>
      <c r="Z829" s="46">
        <f t="shared" si="221"/>
        <v>39.963676537585428</v>
      </c>
      <c r="AA829" s="46">
        <f t="shared" si="222"/>
        <v>184.07511617312076</v>
      </c>
      <c r="AB829" s="43"/>
      <c r="AC829" s="44">
        <v>2658.19</v>
      </c>
      <c r="AD829" s="31">
        <v>0.13300000000000001</v>
      </c>
      <c r="AE829" s="31">
        <v>9.7500000000000003E-2</v>
      </c>
      <c r="AF829" s="31">
        <v>0</v>
      </c>
      <c r="AG829" s="28" t="s">
        <v>53</v>
      </c>
      <c r="AH829" s="46">
        <f t="shared" si="223"/>
        <v>2917.3635249999998</v>
      </c>
      <c r="AI829" s="43"/>
      <c r="AJ829" s="28" t="s">
        <v>264</v>
      </c>
      <c r="AK829" s="337">
        <v>5.1100000000000003</v>
      </c>
      <c r="AL829" s="43"/>
      <c r="AM829" s="44">
        <f t="shared" si="224"/>
        <v>0</v>
      </c>
      <c r="AN829" s="43"/>
      <c r="AO829" s="28">
        <f t="shared" si="225"/>
        <v>0</v>
      </c>
      <c r="AP829" s="43"/>
      <c r="AQ829" s="323">
        <f t="shared" si="226"/>
        <v>0</v>
      </c>
      <c r="AR829" s="43"/>
      <c r="AS829" s="44">
        <f t="shared" si="227"/>
        <v>2917.3635249999998</v>
      </c>
    </row>
    <row r="830" spans="1:45" x14ac:dyDescent="0.25">
      <c r="A830" s="28"/>
      <c r="B830" s="43"/>
      <c r="C830" s="43"/>
      <c r="D830" s="43"/>
      <c r="E830" s="43" t="s">
        <v>2197</v>
      </c>
      <c r="F830" s="43" t="s">
        <v>2198</v>
      </c>
      <c r="G830" s="46">
        <f t="shared" si="214"/>
        <v>289.18120000000005</v>
      </c>
      <c r="H830" s="46">
        <f t="shared" si="215"/>
        <v>256.56015000000008</v>
      </c>
      <c r="I830" s="28" t="s">
        <v>262</v>
      </c>
      <c r="J830" s="337">
        <v>1</v>
      </c>
      <c r="K830" s="46">
        <f t="shared" si="216"/>
        <v>289.18120000000005</v>
      </c>
      <c r="L830" s="46">
        <f t="shared" si="217"/>
        <v>256.56015000000008</v>
      </c>
      <c r="M830" s="338">
        <f t="shared" si="218"/>
        <v>0</v>
      </c>
      <c r="N830" s="43" t="s">
        <v>666</v>
      </c>
      <c r="O830" s="339">
        <v>85389090</v>
      </c>
      <c r="P830" s="340">
        <f>IFERROR(VLOOKUP(O830,NCM!$A$3:$D$99,COLUMN(head_porNCM_IPI)-COLUMN(head_porNCM_NCM)+1,FALSE),"")</f>
        <v>0.15</v>
      </c>
      <c r="Q830" s="43" t="s">
        <v>804</v>
      </c>
      <c r="R830" s="78" t="s">
        <v>210</v>
      </c>
      <c r="S830" s="341"/>
      <c r="T830" s="28" t="s">
        <v>52</v>
      </c>
      <c r="U830" s="28" t="s">
        <v>2290</v>
      </c>
      <c r="V830" s="548">
        <v>44715</v>
      </c>
      <c r="W830" s="43"/>
      <c r="X830" s="342">
        <f t="shared" si="219"/>
        <v>57.839453302961282</v>
      </c>
      <c r="Y830" s="342">
        <f t="shared" si="220"/>
        <v>31.329703872437335</v>
      </c>
      <c r="Z830" s="46">
        <f t="shared" si="221"/>
        <v>5.3019498861047847</v>
      </c>
      <c r="AA830" s="46">
        <f t="shared" si="222"/>
        <v>24.421102505694765</v>
      </c>
      <c r="AB830" s="43"/>
      <c r="AC830" s="44">
        <v>352.66</v>
      </c>
      <c r="AD830" s="31">
        <v>0.18</v>
      </c>
      <c r="AE830" s="31">
        <v>9.7500000000000003E-2</v>
      </c>
      <c r="AF830" s="31">
        <v>0</v>
      </c>
      <c r="AG830" s="28" t="s">
        <v>53</v>
      </c>
      <c r="AH830" s="46">
        <f t="shared" si="223"/>
        <v>387.04435000000001</v>
      </c>
      <c r="AI830" s="43"/>
      <c r="AJ830" s="28" t="s">
        <v>264</v>
      </c>
      <c r="AK830" s="337">
        <v>5.1100000000000003</v>
      </c>
      <c r="AL830" s="43"/>
      <c r="AM830" s="44">
        <f t="shared" si="224"/>
        <v>0</v>
      </c>
      <c r="AN830" s="43"/>
      <c r="AO830" s="28">
        <f t="shared" si="225"/>
        <v>0</v>
      </c>
      <c r="AP830" s="43"/>
      <c r="AQ830" s="323">
        <f t="shared" si="226"/>
        <v>0</v>
      </c>
      <c r="AR830" s="43"/>
      <c r="AS830" s="44">
        <f t="shared" si="227"/>
        <v>387.04435000000001</v>
      </c>
    </row>
    <row r="831" spans="1:45" x14ac:dyDescent="0.25">
      <c r="A831" s="28"/>
      <c r="B831" s="43"/>
      <c r="C831" s="43"/>
      <c r="D831" s="43"/>
      <c r="E831" s="43" t="s">
        <v>2199</v>
      </c>
      <c r="F831" s="43" t="s">
        <v>2200</v>
      </c>
      <c r="G831" s="46">
        <f t="shared" si="214"/>
        <v>184.06540000000001</v>
      </c>
      <c r="H831" s="46">
        <f t="shared" si="215"/>
        <v>163.30192500000004</v>
      </c>
      <c r="I831" s="28" t="s">
        <v>262</v>
      </c>
      <c r="J831" s="337">
        <v>1</v>
      </c>
      <c r="K831" s="46">
        <f t="shared" si="216"/>
        <v>184.06540000000001</v>
      </c>
      <c r="L831" s="46">
        <f t="shared" si="217"/>
        <v>163.30192500000004</v>
      </c>
      <c r="M831" s="338">
        <f t="shared" si="218"/>
        <v>0</v>
      </c>
      <c r="N831" s="43" t="s">
        <v>666</v>
      </c>
      <c r="O831" s="339">
        <v>76169900</v>
      </c>
      <c r="P831" s="340">
        <f>IFERROR(VLOOKUP(O831,NCM!$A$3:$D$99,COLUMN(head_porNCM_IPI)-COLUMN(head_porNCM_NCM)+1,FALSE),"")</f>
        <v>0.05</v>
      </c>
      <c r="Q831" s="43" t="s">
        <v>804</v>
      </c>
      <c r="R831" s="78" t="s">
        <v>210</v>
      </c>
      <c r="S831" s="341"/>
      <c r="T831" s="28" t="s">
        <v>52</v>
      </c>
      <c r="U831" s="28" t="s">
        <v>2290</v>
      </c>
      <c r="V831" s="548">
        <v>44715</v>
      </c>
      <c r="W831" s="43"/>
      <c r="X831" s="342">
        <f t="shared" si="219"/>
        <v>36.815125284738038</v>
      </c>
      <c r="Y831" s="342">
        <f t="shared" si="220"/>
        <v>19.941526195899769</v>
      </c>
      <c r="Z831" s="46">
        <f t="shared" si="221"/>
        <v>3.3747198177676538</v>
      </c>
      <c r="AA831" s="46">
        <f t="shared" si="222"/>
        <v>15.544164009111617</v>
      </c>
      <c r="AB831" s="43"/>
      <c r="AC831" s="44">
        <v>224.47</v>
      </c>
      <c r="AD831" s="31">
        <v>0.18</v>
      </c>
      <c r="AE831" s="31">
        <v>9.7500000000000003E-2</v>
      </c>
      <c r="AF831" s="31">
        <v>0</v>
      </c>
      <c r="AG831" s="28" t="s">
        <v>53</v>
      </c>
      <c r="AH831" s="46">
        <f t="shared" si="223"/>
        <v>246.35582499999998</v>
      </c>
      <c r="AI831" s="43"/>
      <c r="AJ831" s="28" t="s">
        <v>264</v>
      </c>
      <c r="AK831" s="337">
        <v>5.1100000000000003</v>
      </c>
      <c r="AL831" s="43"/>
      <c r="AM831" s="44">
        <f t="shared" si="224"/>
        <v>0</v>
      </c>
      <c r="AN831" s="43"/>
      <c r="AO831" s="28">
        <f t="shared" si="225"/>
        <v>0</v>
      </c>
      <c r="AP831" s="43"/>
      <c r="AQ831" s="323">
        <f t="shared" si="226"/>
        <v>0</v>
      </c>
      <c r="AR831" s="43"/>
      <c r="AS831" s="44">
        <f t="shared" si="227"/>
        <v>246.35582499999998</v>
      </c>
    </row>
    <row r="832" spans="1:45" x14ac:dyDescent="0.25">
      <c r="A832" s="28"/>
      <c r="B832" s="43"/>
      <c r="C832" s="43"/>
      <c r="D832" s="43"/>
      <c r="E832" s="43" t="s">
        <v>1791</v>
      </c>
      <c r="F832" s="43" t="s">
        <v>1792</v>
      </c>
      <c r="G832" s="46">
        <f t="shared" si="214"/>
        <v>108.3548</v>
      </c>
      <c r="H832" s="46">
        <f t="shared" si="215"/>
        <v>96.131850000000014</v>
      </c>
      <c r="I832" s="28" t="s">
        <v>262</v>
      </c>
      <c r="J832" s="337">
        <v>1</v>
      </c>
      <c r="K832" s="46">
        <f t="shared" si="216"/>
        <v>108.3548</v>
      </c>
      <c r="L832" s="46">
        <f t="shared" si="217"/>
        <v>96.131850000000014</v>
      </c>
      <c r="M832" s="338">
        <f t="shared" si="218"/>
        <v>0</v>
      </c>
      <c r="N832" s="43" t="s">
        <v>666</v>
      </c>
      <c r="O832" s="339">
        <v>76169900</v>
      </c>
      <c r="P832" s="340">
        <f>IFERROR(VLOOKUP(O832,NCM!$A$3:$D$99,COLUMN(head_porNCM_IPI)-COLUMN(head_porNCM_NCM)+1,FALSE),"")</f>
        <v>0.05</v>
      </c>
      <c r="Q832" s="43" t="s">
        <v>804</v>
      </c>
      <c r="R832" s="78" t="s">
        <v>210</v>
      </c>
      <c r="S832" s="341"/>
      <c r="T832" s="28" t="s">
        <v>52</v>
      </c>
      <c r="U832" s="28" t="s">
        <v>2289</v>
      </c>
      <c r="V832" s="548">
        <v>44715</v>
      </c>
      <c r="W832" s="43"/>
      <c r="X832" s="342">
        <f t="shared" si="219"/>
        <v>21.672164009111615</v>
      </c>
      <c r="Y832" s="342">
        <f t="shared" si="220"/>
        <v>11.739088838268785</v>
      </c>
      <c r="Z832" s="46">
        <f t="shared" si="221"/>
        <v>1.9866150341685649</v>
      </c>
      <c r="AA832" s="46">
        <f t="shared" si="222"/>
        <v>9.1504692482915715</v>
      </c>
      <c r="AB832" s="43"/>
      <c r="AC832" s="44">
        <v>132.13999999999999</v>
      </c>
      <c r="AD832" s="31">
        <v>0.18</v>
      </c>
      <c r="AE832" s="31">
        <v>9.7500000000000003E-2</v>
      </c>
      <c r="AF832" s="31">
        <v>0</v>
      </c>
      <c r="AG832" s="28" t="s">
        <v>53</v>
      </c>
      <c r="AH832" s="46">
        <f t="shared" si="223"/>
        <v>145.02364999999998</v>
      </c>
      <c r="AI832" s="43"/>
      <c r="AJ832" s="28" t="s">
        <v>264</v>
      </c>
      <c r="AK832" s="337">
        <v>5.1100000000000003</v>
      </c>
      <c r="AL832" s="43"/>
      <c r="AM832" s="44">
        <f t="shared" si="224"/>
        <v>0</v>
      </c>
      <c r="AN832" s="43"/>
      <c r="AO832" s="28">
        <f t="shared" si="225"/>
        <v>0</v>
      </c>
      <c r="AP832" s="43"/>
      <c r="AQ832" s="323">
        <f t="shared" si="226"/>
        <v>0</v>
      </c>
      <c r="AR832" s="43"/>
      <c r="AS832" s="44">
        <f t="shared" si="227"/>
        <v>145.02364999999998</v>
      </c>
    </row>
    <row r="833" spans="1:45" x14ac:dyDescent="0.25">
      <c r="A833" s="28"/>
      <c r="B833" s="43"/>
      <c r="C833" s="43"/>
      <c r="D833" s="43"/>
      <c r="E833" s="43" t="s">
        <v>1793</v>
      </c>
      <c r="F833" s="43" t="s">
        <v>1794</v>
      </c>
      <c r="G833" s="46">
        <f t="shared" si="214"/>
        <v>181.4332</v>
      </c>
      <c r="H833" s="46">
        <f t="shared" si="215"/>
        <v>160.96665000000002</v>
      </c>
      <c r="I833" s="28" t="s">
        <v>262</v>
      </c>
      <c r="J833" s="337">
        <v>1</v>
      </c>
      <c r="K833" s="46">
        <f t="shared" si="216"/>
        <v>181.4332</v>
      </c>
      <c r="L833" s="46">
        <f t="shared" si="217"/>
        <v>160.96665000000002</v>
      </c>
      <c r="M833" s="338">
        <f t="shared" si="218"/>
        <v>0</v>
      </c>
      <c r="N833" s="43" t="s">
        <v>666</v>
      </c>
      <c r="O833" s="339">
        <v>76169900</v>
      </c>
      <c r="P833" s="340">
        <f>IFERROR(VLOOKUP(O833,NCM!$A$3:$D$99,COLUMN(head_porNCM_IPI)-COLUMN(head_porNCM_NCM)+1,FALSE),"")</f>
        <v>0.05</v>
      </c>
      <c r="Q833" s="43" t="s">
        <v>804</v>
      </c>
      <c r="R833" s="78" t="s">
        <v>210</v>
      </c>
      <c r="S833" s="341"/>
      <c r="T833" s="28" t="s">
        <v>52</v>
      </c>
      <c r="U833" s="28" t="s">
        <v>2289</v>
      </c>
      <c r="V833" s="548">
        <v>44715</v>
      </c>
      <c r="W833" s="43"/>
      <c r="X833" s="342">
        <f t="shared" si="219"/>
        <v>36.288656036446469</v>
      </c>
      <c r="Y833" s="342">
        <f t="shared" si="220"/>
        <v>19.656355353075156</v>
      </c>
      <c r="Z833" s="46">
        <f t="shared" si="221"/>
        <v>3.3264601366742599</v>
      </c>
      <c r="AA833" s="46">
        <f t="shared" si="222"/>
        <v>15.321876993166287</v>
      </c>
      <c r="AB833" s="43"/>
      <c r="AC833" s="44">
        <v>221.26</v>
      </c>
      <c r="AD833" s="31">
        <v>0.18</v>
      </c>
      <c r="AE833" s="31">
        <v>9.7500000000000003E-2</v>
      </c>
      <c r="AF833" s="31">
        <v>0</v>
      </c>
      <c r="AG833" s="28" t="s">
        <v>53</v>
      </c>
      <c r="AH833" s="46">
        <f t="shared" si="223"/>
        <v>242.83284999999998</v>
      </c>
      <c r="AI833" s="43"/>
      <c r="AJ833" s="28" t="s">
        <v>264</v>
      </c>
      <c r="AK833" s="337">
        <v>5.1100000000000003</v>
      </c>
      <c r="AL833" s="43"/>
      <c r="AM833" s="44">
        <f t="shared" si="224"/>
        <v>0</v>
      </c>
      <c r="AN833" s="43"/>
      <c r="AO833" s="28">
        <f t="shared" si="225"/>
        <v>0</v>
      </c>
      <c r="AP833" s="43"/>
      <c r="AQ833" s="323">
        <f t="shared" si="226"/>
        <v>0</v>
      </c>
      <c r="AR833" s="43"/>
      <c r="AS833" s="44">
        <f t="shared" si="227"/>
        <v>242.83284999999998</v>
      </c>
    </row>
    <row r="834" spans="1:45" x14ac:dyDescent="0.25">
      <c r="A834" s="28"/>
      <c r="B834" s="43"/>
      <c r="C834" s="43"/>
      <c r="D834" s="43"/>
      <c r="E834" s="43" t="s">
        <v>1795</v>
      </c>
      <c r="F834" s="43" t="s">
        <v>1796</v>
      </c>
      <c r="G834" s="46">
        <f t="shared" si="214"/>
        <v>181.42841999999999</v>
      </c>
      <c r="H834" s="46">
        <f t="shared" si="215"/>
        <v>162.07187000000002</v>
      </c>
      <c r="I834" s="28" t="s">
        <v>262</v>
      </c>
      <c r="J834" s="337">
        <v>1</v>
      </c>
      <c r="K834" s="46">
        <f t="shared" si="216"/>
        <v>181.42841999999999</v>
      </c>
      <c r="L834" s="46">
        <f t="shared" si="217"/>
        <v>162.07187000000002</v>
      </c>
      <c r="M834" s="338">
        <f t="shared" si="218"/>
        <v>0</v>
      </c>
      <c r="N834" s="43" t="s">
        <v>666</v>
      </c>
      <c r="O834" s="339">
        <v>76169900</v>
      </c>
      <c r="P834" s="340">
        <f>IFERROR(VLOOKUP(O834,NCM!$A$3:$D$99,COLUMN(head_porNCM_IPI)-COLUMN(head_porNCM_NCM)+1,FALSE),"")</f>
        <v>0.05</v>
      </c>
      <c r="Q834" s="43" t="s">
        <v>804</v>
      </c>
      <c r="R834" s="78" t="s">
        <v>210</v>
      </c>
      <c r="S834" s="341"/>
      <c r="T834" s="28" t="s">
        <v>52</v>
      </c>
      <c r="U834" s="28" t="s">
        <v>2289</v>
      </c>
      <c r="V834" s="548">
        <v>44715</v>
      </c>
      <c r="W834" s="43"/>
      <c r="X834" s="342">
        <f t="shared" si="219"/>
        <v>25.35907061503417</v>
      </c>
      <c r="Y834" s="342">
        <f t="shared" si="220"/>
        <v>18.590296127562624</v>
      </c>
      <c r="Z834" s="46">
        <f t="shared" si="221"/>
        <v>3.1460501138952166</v>
      </c>
      <c r="AA834" s="46">
        <f t="shared" si="222"/>
        <v>14.490897494305239</v>
      </c>
      <c r="AB834" s="43"/>
      <c r="AC834" s="44">
        <v>209.26</v>
      </c>
      <c r="AD834" s="31">
        <v>0.13300000000000001</v>
      </c>
      <c r="AE834" s="31">
        <v>9.7500000000000003E-2</v>
      </c>
      <c r="AF834" s="31">
        <v>0</v>
      </c>
      <c r="AG834" s="28" t="s">
        <v>53</v>
      </c>
      <c r="AH834" s="46">
        <f t="shared" si="223"/>
        <v>229.66284999999996</v>
      </c>
      <c r="AI834" s="43"/>
      <c r="AJ834" s="28" t="s">
        <v>264</v>
      </c>
      <c r="AK834" s="337">
        <v>5.1100000000000003</v>
      </c>
      <c r="AL834" s="43"/>
      <c r="AM834" s="44">
        <f t="shared" si="224"/>
        <v>0</v>
      </c>
      <c r="AN834" s="43"/>
      <c r="AO834" s="28">
        <f t="shared" si="225"/>
        <v>0</v>
      </c>
      <c r="AP834" s="43"/>
      <c r="AQ834" s="323">
        <f t="shared" si="226"/>
        <v>0</v>
      </c>
      <c r="AR834" s="43"/>
      <c r="AS834" s="44">
        <f t="shared" si="227"/>
        <v>229.66284999999996</v>
      </c>
    </row>
    <row r="835" spans="1:45" x14ac:dyDescent="0.25">
      <c r="A835" s="28"/>
      <c r="B835" s="43"/>
      <c r="C835" s="43"/>
      <c r="D835" s="43"/>
      <c r="E835" s="43" t="s">
        <v>1797</v>
      </c>
      <c r="F835" s="43" t="s">
        <v>1798</v>
      </c>
      <c r="G835" s="46">
        <f t="shared" si="214"/>
        <v>103.71920999999999</v>
      </c>
      <c r="H835" s="46">
        <f t="shared" si="215"/>
        <v>92.653435000000002</v>
      </c>
      <c r="I835" s="28" t="s">
        <v>262</v>
      </c>
      <c r="J835" s="337">
        <v>1</v>
      </c>
      <c r="K835" s="46">
        <f t="shared" si="216"/>
        <v>103.71920999999999</v>
      </c>
      <c r="L835" s="46">
        <f t="shared" si="217"/>
        <v>92.653435000000002</v>
      </c>
      <c r="M835" s="338">
        <f t="shared" si="218"/>
        <v>0</v>
      </c>
      <c r="N835" s="43" t="s">
        <v>666</v>
      </c>
      <c r="O835" s="339">
        <v>76169900</v>
      </c>
      <c r="P835" s="340">
        <f>IFERROR(VLOOKUP(O835,NCM!$A$3:$D$99,COLUMN(head_porNCM_IPI)-COLUMN(head_porNCM_NCM)+1,FALSE),"")</f>
        <v>0.05</v>
      </c>
      <c r="Q835" s="43" t="s">
        <v>804</v>
      </c>
      <c r="R835" s="78" t="s">
        <v>210</v>
      </c>
      <c r="S835" s="341"/>
      <c r="T835" s="28" t="s">
        <v>52</v>
      </c>
      <c r="U835" s="28" t="s">
        <v>2289</v>
      </c>
      <c r="V835" s="548">
        <v>44715</v>
      </c>
      <c r="W835" s="43"/>
      <c r="X835" s="342">
        <f t="shared" si="219"/>
        <v>14.497302961275627</v>
      </c>
      <c r="Y835" s="342">
        <f t="shared" si="220"/>
        <v>10.62772209567197</v>
      </c>
      <c r="Z835" s="46">
        <f t="shared" si="221"/>
        <v>1.7985375854214125</v>
      </c>
      <c r="AA835" s="46">
        <f t="shared" si="222"/>
        <v>8.28417312072893</v>
      </c>
      <c r="AB835" s="43"/>
      <c r="AC835" s="44">
        <v>119.63</v>
      </c>
      <c r="AD835" s="31">
        <v>0.13300000000000001</v>
      </c>
      <c r="AE835" s="31">
        <v>9.7500000000000003E-2</v>
      </c>
      <c r="AF835" s="31">
        <v>0</v>
      </c>
      <c r="AG835" s="28" t="s">
        <v>53</v>
      </c>
      <c r="AH835" s="46">
        <f t="shared" si="223"/>
        <v>131.29392499999997</v>
      </c>
      <c r="AI835" s="43"/>
      <c r="AJ835" s="28" t="s">
        <v>264</v>
      </c>
      <c r="AK835" s="337">
        <v>5.1100000000000003</v>
      </c>
      <c r="AL835" s="43"/>
      <c r="AM835" s="44">
        <f t="shared" si="224"/>
        <v>0</v>
      </c>
      <c r="AN835" s="43"/>
      <c r="AO835" s="28">
        <f t="shared" si="225"/>
        <v>0</v>
      </c>
      <c r="AP835" s="43"/>
      <c r="AQ835" s="323">
        <f t="shared" si="226"/>
        <v>0</v>
      </c>
      <c r="AR835" s="43"/>
      <c r="AS835" s="44">
        <f t="shared" si="227"/>
        <v>131.29392499999997</v>
      </c>
    </row>
    <row r="836" spans="1:45" x14ac:dyDescent="0.25">
      <c r="A836" s="28"/>
      <c r="B836" s="43"/>
      <c r="C836" s="43"/>
      <c r="D836" s="43"/>
      <c r="E836" s="43" t="s">
        <v>1799</v>
      </c>
      <c r="F836" s="43" t="s">
        <v>1800</v>
      </c>
      <c r="G836" s="46">
        <f t="shared" si="214"/>
        <v>103.71920999999999</v>
      </c>
      <c r="H836" s="46">
        <f t="shared" si="215"/>
        <v>92.653435000000002</v>
      </c>
      <c r="I836" s="28" t="s">
        <v>262</v>
      </c>
      <c r="J836" s="337">
        <v>1</v>
      </c>
      <c r="K836" s="46">
        <f t="shared" si="216"/>
        <v>103.71920999999999</v>
      </c>
      <c r="L836" s="46">
        <f t="shared" si="217"/>
        <v>92.653435000000002</v>
      </c>
      <c r="M836" s="338">
        <f t="shared" si="218"/>
        <v>0</v>
      </c>
      <c r="N836" s="43" t="s">
        <v>666</v>
      </c>
      <c r="O836" s="339">
        <v>76169900</v>
      </c>
      <c r="P836" s="340">
        <f>IFERROR(VLOOKUP(O836,NCM!$A$3:$D$99,COLUMN(head_porNCM_IPI)-COLUMN(head_porNCM_NCM)+1,FALSE),"")</f>
        <v>0.05</v>
      </c>
      <c r="Q836" s="43" t="s">
        <v>804</v>
      </c>
      <c r="R836" s="78" t="s">
        <v>210</v>
      </c>
      <c r="S836" s="341"/>
      <c r="T836" s="28" t="s">
        <v>52</v>
      </c>
      <c r="U836" s="28" t="s">
        <v>2289</v>
      </c>
      <c r="V836" s="548">
        <v>44715</v>
      </c>
      <c r="W836" s="43"/>
      <c r="X836" s="342">
        <f t="shared" si="219"/>
        <v>14.497302961275627</v>
      </c>
      <c r="Y836" s="342">
        <f t="shared" si="220"/>
        <v>10.62772209567197</v>
      </c>
      <c r="Z836" s="46">
        <f t="shared" si="221"/>
        <v>1.7985375854214125</v>
      </c>
      <c r="AA836" s="46">
        <f t="shared" si="222"/>
        <v>8.28417312072893</v>
      </c>
      <c r="AB836" s="43"/>
      <c r="AC836" s="44">
        <v>119.63</v>
      </c>
      <c r="AD836" s="31">
        <v>0.13300000000000001</v>
      </c>
      <c r="AE836" s="31">
        <v>9.7500000000000003E-2</v>
      </c>
      <c r="AF836" s="31">
        <v>0</v>
      </c>
      <c r="AG836" s="28" t="s">
        <v>53</v>
      </c>
      <c r="AH836" s="46">
        <f t="shared" si="223"/>
        <v>131.29392499999997</v>
      </c>
      <c r="AI836" s="43"/>
      <c r="AJ836" s="28" t="s">
        <v>264</v>
      </c>
      <c r="AK836" s="337">
        <v>5.1100000000000003</v>
      </c>
      <c r="AL836" s="43"/>
      <c r="AM836" s="44">
        <f t="shared" si="224"/>
        <v>0</v>
      </c>
      <c r="AN836" s="43"/>
      <c r="AO836" s="28">
        <f t="shared" si="225"/>
        <v>0</v>
      </c>
      <c r="AP836" s="43"/>
      <c r="AQ836" s="323">
        <f t="shared" si="226"/>
        <v>0</v>
      </c>
      <c r="AR836" s="43"/>
      <c r="AS836" s="44">
        <f t="shared" si="227"/>
        <v>131.29392499999997</v>
      </c>
    </row>
    <row r="837" spans="1:45" x14ac:dyDescent="0.25">
      <c r="A837" s="28"/>
      <c r="B837" s="43"/>
      <c r="C837" s="43"/>
      <c r="D837" s="43" t="s">
        <v>1801</v>
      </c>
      <c r="E837" s="43"/>
      <c r="F837" s="43"/>
      <c r="G837" s="46">
        <f t="shared" si="214"/>
        <v>0</v>
      </c>
      <c r="H837" s="46">
        <f t="shared" si="215"/>
        <v>0</v>
      </c>
      <c r="I837" s="28"/>
      <c r="J837" s="337"/>
      <c r="K837" s="46" t="str">
        <f t="shared" si="216"/>
        <v/>
      </c>
      <c r="L837" s="46" t="str">
        <f t="shared" si="217"/>
        <v/>
      </c>
      <c r="M837" s="338">
        <f t="shared" si="218"/>
        <v>0</v>
      </c>
      <c r="N837" s="43"/>
      <c r="O837" s="339"/>
      <c r="P837" s="340" t="str">
        <f>IFERROR(VLOOKUP(O837,NCM!$A$3:$D$99,COLUMN(head_porNCM_IPI)-COLUMN(head_porNCM_NCM)+1,FALSE),"")</f>
        <v/>
      </c>
      <c r="Q837" s="43"/>
      <c r="R837" s="78"/>
      <c r="S837" s="341"/>
      <c r="T837" s="28"/>
      <c r="U837" s="28"/>
      <c r="V837" s="28"/>
      <c r="W837" s="43"/>
      <c r="X837" s="342">
        <f t="shared" si="219"/>
        <v>0</v>
      </c>
      <c r="Y837" s="342">
        <f t="shared" si="220"/>
        <v>0</v>
      </c>
      <c r="Z837" s="46">
        <f t="shared" si="221"/>
        <v>0</v>
      </c>
      <c r="AA837" s="46">
        <f t="shared" si="222"/>
        <v>0</v>
      </c>
      <c r="AB837" s="43"/>
      <c r="AC837" s="44">
        <v>0</v>
      </c>
      <c r="AD837" s="31"/>
      <c r="AE837" s="31"/>
      <c r="AF837" s="31"/>
      <c r="AG837" s="28"/>
      <c r="AH837" s="46">
        <f t="shared" si="223"/>
        <v>0</v>
      </c>
      <c r="AI837" s="43"/>
      <c r="AJ837" s="28"/>
      <c r="AK837" s="337"/>
      <c r="AL837" s="43"/>
      <c r="AM837" s="44">
        <f t="shared" si="224"/>
        <v>0</v>
      </c>
      <c r="AN837" s="43"/>
      <c r="AO837" s="28">
        <f t="shared" si="225"/>
        <v>0</v>
      </c>
      <c r="AP837" s="43"/>
      <c r="AQ837" s="323">
        <f t="shared" si="226"/>
        <v>0</v>
      </c>
      <c r="AR837" s="43"/>
      <c r="AS837" s="44">
        <f t="shared" si="227"/>
        <v>0</v>
      </c>
    </row>
    <row r="838" spans="1:45" x14ac:dyDescent="0.25">
      <c r="A838" s="28"/>
      <c r="B838" s="43"/>
      <c r="C838" s="43"/>
      <c r="D838" s="43" t="s">
        <v>2201</v>
      </c>
      <c r="E838" s="43"/>
      <c r="F838" s="43"/>
      <c r="G838" s="46">
        <f t="shared" si="214"/>
        <v>0</v>
      </c>
      <c r="H838" s="46">
        <f t="shared" si="215"/>
        <v>0</v>
      </c>
      <c r="I838" s="28"/>
      <c r="J838" s="337"/>
      <c r="K838" s="46" t="str">
        <f t="shared" si="216"/>
        <v/>
      </c>
      <c r="L838" s="46" t="str">
        <f t="shared" si="217"/>
        <v/>
      </c>
      <c r="M838" s="338">
        <f t="shared" si="218"/>
        <v>0</v>
      </c>
      <c r="N838" s="43"/>
      <c r="O838" s="339"/>
      <c r="P838" s="340" t="str">
        <f>IFERROR(VLOOKUP(O838,NCM!$A$3:$D$99,COLUMN(head_porNCM_IPI)-COLUMN(head_porNCM_NCM)+1,FALSE),"")</f>
        <v/>
      </c>
      <c r="Q838" s="43"/>
      <c r="R838" s="78"/>
      <c r="S838" s="341"/>
      <c r="T838" s="28"/>
      <c r="U838" s="28"/>
      <c r="V838" s="28"/>
      <c r="W838" s="43"/>
      <c r="X838" s="342">
        <f t="shared" si="219"/>
        <v>0</v>
      </c>
      <c r="Y838" s="342">
        <f t="shared" si="220"/>
        <v>0</v>
      </c>
      <c r="Z838" s="46">
        <f t="shared" si="221"/>
        <v>0</v>
      </c>
      <c r="AA838" s="46">
        <f t="shared" si="222"/>
        <v>0</v>
      </c>
      <c r="AB838" s="43"/>
      <c r="AC838" s="44">
        <v>0</v>
      </c>
      <c r="AD838" s="31"/>
      <c r="AE838" s="31"/>
      <c r="AF838" s="31"/>
      <c r="AG838" s="28"/>
      <c r="AH838" s="46">
        <f t="shared" si="223"/>
        <v>0</v>
      </c>
      <c r="AI838" s="43"/>
      <c r="AJ838" s="28"/>
      <c r="AK838" s="337"/>
      <c r="AL838" s="43"/>
      <c r="AM838" s="44">
        <f t="shared" si="224"/>
        <v>0</v>
      </c>
      <c r="AN838" s="43"/>
      <c r="AO838" s="28">
        <f t="shared" si="225"/>
        <v>0</v>
      </c>
      <c r="AP838" s="43"/>
      <c r="AQ838" s="323">
        <f t="shared" si="226"/>
        <v>0</v>
      </c>
      <c r="AR838" s="43"/>
      <c r="AS838" s="44">
        <f t="shared" si="227"/>
        <v>0</v>
      </c>
    </row>
    <row r="839" spans="1:45" x14ac:dyDescent="0.25">
      <c r="A839" s="28"/>
      <c r="B839" s="43"/>
      <c r="C839" s="43"/>
      <c r="D839" s="43" t="s">
        <v>2202</v>
      </c>
      <c r="E839" s="43"/>
      <c r="F839" s="43"/>
      <c r="G839" s="46">
        <f t="shared" si="214"/>
        <v>0</v>
      </c>
      <c r="H839" s="46">
        <f t="shared" si="215"/>
        <v>0</v>
      </c>
      <c r="I839" s="28"/>
      <c r="J839" s="337"/>
      <c r="K839" s="46" t="str">
        <f t="shared" si="216"/>
        <v/>
      </c>
      <c r="L839" s="46" t="str">
        <f t="shared" si="217"/>
        <v/>
      </c>
      <c r="M839" s="338">
        <f t="shared" si="218"/>
        <v>0</v>
      </c>
      <c r="N839" s="43"/>
      <c r="O839" s="339"/>
      <c r="P839" s="340" t="str">
        <f>IFERROR(VLOOKUP(O839,NCM!$A$3:$D$99,COLUMN(head_porNCM_IPI)-COLUMN(head_porNCM_NCM)+1,FALSE),"")</f>
        <v/>
      </c>
      <c r="Q839" s="43"/>
      <c r="R839" s="78"/>
      <c r="S839" s="341"/>
      <c r="T839" s="28"/>
      <c r="U839" s="28"/>
      <c r="V839" s="28"/>
      <c r="W839" s="43"/>
      <c r="X839" s="342">
        <f t="shared" si="219"/>
        <v>0</v>
      </c>
      <c r="Y839" s="342">
        <f t="shared" si="220"/>
        <v>0</v>
      </c>
      <c r="Z839" s="46">
        <f t="shared" si="221"/>
        <v>0</v>
      </c>
      <c r="AA839" s="46">
        <f t="shared" si="222"/>
        <v>0</v>
      </c>
      <c r="AB839" s="43"/>
      <c r="AC839" s="44">
        <v>0</v>
      </c>
      <c r="AD839" s="31"/>
      <c r="AE839" s="31"/>
      <c r="AF839" s="31"/>
      <c r="AG839" s="28"/>
      <c r="AH839" s="46">
        <f t="shared" si="223"/>
        <v>0</v>
      </c>
      <c r="AI839" s="43"/>
      <c r="AJ839" s="28"/>
      <c r="AK839" s="337"/>
      <c r="AL839" s="43"/>
      <c r="AM839" s="44">
        <f t="shared" si="224"/>
        <v>0</v>
      </c>
      <c r="AN839" s="43"/>
      <c r="AO839" s="28">
        <f t="shared" si="225"/>
        <v>0</v>
      </c>
      <c r="AP839" s="43"/>
      <c r="AQ839" s="323">
        <f t="shared" si="226"/>
        <v>0</v>
      </c>
      <c r="AR839" s="43"/>
      <c r="AS839" s="44">
        <f t="shared" si="227"/>
        <v>0</v>
      </c>
    </row>
    <row r="840" spans="1:45" x14ac:dyDescent="0.25">
      <c r="A840" s="28"/>
      <c r="B840" s="43"/>
      <c r="C840" s="43"/>
      <c r="D840" s="43"/>
      <c r="E840" s="43" t="s">
        <v>812</v>
      </c>
      <c r="F840" s="43" t="s">
        <v>2203</v>
      </c>
      <c r="G840" s="46">
        <f t="shared" si="214"/>
        <v>14674.592900000001</v>
      </c>
      <c r="H840" s="46">
        <f t="shared" si="215"/>
        <v>13132.093078125003</v>
      </c>
      <c r="I840" s="28" t="s">
        <v>262</v>
      </c>
      <c r="J840" s="337">
        <v>1</v>
      </c>
      <c r="K840" s="46">
        <f t="shared" si="216"/>
        <v>14674.592900000001</v>
      </c>
      <c r="L840" s="46">
        <f t="shared" si="217"/>
        <v>13132.093078125003</v>
      </c>
      <c r="M840" s="338">
        <f t="shared" si="218"/>
        <v>0</v>
      </c>
      <c r="N840" s="43" t="s">
        <v>35</v>
      </c>
      <c r="O840" s="339">
        <v>85364900</v>
      </c>
      <c r="P840" s="340">
        <f>IFERROR(VLOOKUP(O840,NCM!$A$3:$D$99,COLUMN(head_porNCM_IPI)-COLUMN(head_porNCM_NCM)+1,FALSE),"")</f>
        <v>3.2500000000000001E-2</v>
      </c>
      <c r="Q840" s="43" t="s">
        <v>1903</v>
      </c>
      <c r="R840" s="78" t="s">
        <v>210</v>
      </c>
      <c r="S840" s="341"/>
      <c r="T840" s="28" t="s">
        <v>52</v>
      </c>
      <c r="U840" s="28"/>
      <c r="V840" s="28"/>
      <c r="W840" s="43"/>
      <c r="X840" s="342">
        <f t="shared" si="219"/>
        <v>2001.0808500000001</v>
      </c>
      <c r="Y840" s="342">
        <f t="shared" si="220"/>
        <v>0</v>
      </c>
      <c r="Z840" s="46">
        <f t="shared" si="221"/>
        <v>275.14861687500002</v>
      </c>
      <c r="AA840" s="46">
        <f t="shared" si="222"/>
        <v>1267.3512050000002</v>
      </c>
      <c r="AB840" s="43"/>
      <c r="AC840" s="44">
        <v>16675.673750000002</v>
      </c>
      <c r="AD840" s="31">
        <v>0.12</v>
      </c>
      <c r="AE840" s="31">
        <v>0</v>
      </c>
      <c r="AF840" s="31">
        <v>0</v>
      </c>
      <c r="AG840" s="28" t="s">
        <v>53</v>
      </c>
      <c r="AH840" s="46">
        <f t="shared" si="223"/>
        <v>16675.673750000002</v>
      </c>
      <c r="AI840" s="43"/>
      <c r="AJ840" s="28"/>
      <c r="AK840" s="337"/>
      <c r="AL840" s="43"/>
      <c r="AM840" s="44">
        <f t="shared" si="224"/>
        <v>0</v>
      </c>
      <c r="AN840" s="43"/>
      <c r="AO840" s="28">
        <f t="shared" si="225"/>
        <v>0</v>
      </c>
      <c r="AP840" s="43"/>
      <c r="AQ840" s="323">
        <f t="shared" si="226"/>
        <v>0</v>
      </c>
      <c r="AR840" s="43"/>
      <c r="AS840" s="44">
        <f t="shared" si="227"/>
        <v>16675.673750000002</v>
      </c>
    </row>
    <row r="841" spans="1:45" x14ac:dyDescent="0.25">
      <c r="A841" s="28"/>
      <c r="B841" s="43"/>
      <c r="C841" s="43"/>
      <c r="D841" s="43"/>
      <c r="E841" s="43" t="s">
        <v>813</v>
      </c>
      <c r="F841" s="43" t="s">
        <v>2204</v>
      </c>
      <c r="G841" s="46">
        <f t="shared" si="214"/>
        <v>22144.5818</v>
      </c>
      <c r="H841" s="46">
        <f t="shared" si="215"/>
        <v>19816.884281250004</v>
      </c>
      <c r="I841" s="28" t="s">
        <v>262</v>
      </c>
      <c r="J841" s="337">
        <v>1</v>
      </c>
      <c r="K841" s="46">
        <f t="shared" si="216"/>
        <v>22144.5818</v>
      </c>
      <c r="L841" s="46">
        <f t="shared" si="217"/>
        <v>19816.884281250004</v>
      </c>
      <c r="M841" s="338">
        <f t="shared" si="218"/>
        <v>0</v>
      </c>
      <c r="N841" s="43" t="s">
        <v>35</v>
      </c>
      <c r="O841" s="339">
        <v>85364900</v>
      </c>
      <c r="P841" s="340">
        <f>IFERROR(VLOOKUP(O841,NCM!$A$3:$D$99,COLUMN(head_porNCM_IPI)-COLUMN(head_porNCM_NCM)+1,FALSE),"")</f>
        <v>3.2500000000000001E-2</v>
      </c>
      <c r="Q841" s="43" t="s">
        <v>1903</v>
      </c>
      <c r="R841" s="78" t="s">
        <v>210</v>
      </c>
      <c r="S841" s="341"/>
      <c r="T841" s="28" t="s">
        <v>52</v>
      </c>
      <c r="U841" s="28"/>
      <c r="V841" s="28"/>
      <c r="W841" s="43"/>
      <c r="X841" s="342">
        <f t="shared" si="219"/>
        <v>3019.7156999999997</v>
      </c>
      <c r="Y841" s="342">
        <f t="shared" si="220"/>
        <v>0</v>
      </c>
      <c r="Z841" s="46">
        <f t="shared" si="221"/>
        <v>415.21090875000004</v>
      </c>
      <c r="AA841" s="46">
        <f t="shared" si="222"/>
        <v>1912.4866099999999</v>
      </c>
      <c r="AB841" s="43"/>
      <c r="AC841" s="44">
        <v>25164.297500000001</v>
      </c>
      <c r="AD841" s="31">
        <v>0.12</v>
      </c>
      <c r="AE841" s="31">
        <v>0</v>
      </c>
      <c r="AF841" s="31">
        <v>0</v>
      </c>
      <c r="AG841" s="28" t="s">
        <v>53</v>
      </c>
      <c r="AH841" s="46">
        <f t="shared" si="223"/>
        <v>25164.297500000001</v>
      </c>
      <c r="AI841" s="43"/>
      <c r="AJ841" s="28"/>
      <c r="AK841" s="337"/>
      <c r="AL841" s="43"/>
      <c r="AM841" s="44">
        <f t="shared" si="224"/>
        <v>0</v>
      </c>
      <c r="AN841" s="43"/>
      <c r="AO841" s="28">
        <f t="shared" si="225"/>
        <v>0</v>
      </c>
      <c r="AP841" s="43"/>
      <c r="AQ841" s="323">
        <f t="shared" si="226"/>
        <v>0</v>
      </c>
      <c r="AR841" s="43"/>
      <c r="AS841" s="44">
        <f t="shared" si="227"/>
        <v>25164.297500000001</v>
      </c>
    </row>
    <row r="842" spans="1:45" x14ac:dyDescent="0.25">
      <c r="A842" s="28"/>
      <c r="B842" s="43"/>
      <c r="C842" s="43"/>
      <c r="D842" s="43"/>
      <c r="E842" s="43" t="s">
        <v>814</v>
      </c>
      <c r="F842" s="43" t="s">
        <v>2205</v>
      </c>
      <c r="G842" s="46">
        <f t="shared" si="214"/>
        <v>36819.174699999996</v>
      </c>
      <c r="H842" s="46">
        <f t="shared" si="215"/>
        <v>32948.977359375</v>
      </c>
      <c r="I842" s="28" t="s">
        <v>262</v>
      </c>
      <c r="J842" s="337">
        <v>1</v>
      </c>
      <c r="K842" s="46">
        <f t="shared" si="216"/>
        <v>36819.174699999996</v>
      </c>
      <c r="L842" s="46">
        <f t="shared" si="217"/>
        <v>32948.977359375</v>
      </c>
      <c r="M842" s="338">
        <f t="shared" si="218"/>
        <v>0</v>
      </c>
      <c r="N842" s="43" t="s">
        <v>35</v>
      </c>
      <c r="O842" s="339">
        <v>85364900</v>
      </c>
      <c r="P842" s="340">
        <f>IFERROR(VLOOKUP(O842,NCM!$A$3:$D$99,COLUMN(head_porNCM_IPI)-COLUMN(head_porNCM_NCM)+1,FALSE),"")</f>
        <v>3.2500000000000001E-2</v>
      </c>
      <c r="Q842" s="43" t="s">
        <v>1903</v>
      </c>
      <c r="R842" s="78" t="s">
        <v>210</v>
      </c>
      <c r="S842" s="341"/>
      <c r="T842" s="28" t="s">
        <v>52</v>
      </c>
      <c r="U842" s="28"/>
      <c r="V842" s="28"/>
      <c r="W842" s="43"/>
      <c r="X842" s="342">
        <f t="shared" si="219"/>
        <v>5020.7965499999991</v>
      </c>
      <c r="Y842" s="342">
        <f t="shared" si="220"/>
        <v>0</v>
      </c>
      <c r="Z842" s="46">
        <f t="shared" si="221"/>
        <v>690.35952562499995</v>
      </c>
      <c r="AA842" s="46">
        <f t="shared" si="222"/>
        <v>3179.8378149999994</v>
      </c>
      <c r="AB842" s="43"/>
      <c r="AC842" s="44">
        <v>41839.971249999995</v>
      </c>
      <c r="AD842" s="31">
        <v>0.12</v>
      </c>
      <c r="AE842" s="31">
        <v>0</v>
      </c>
      <c r="AF842" s="31">
        <v>0</v>
      </c>
      <c r="AG842" s="28" t="s">
        <v>53</v>
      </c>
      <c r="AH842" s="46">
        <f t="shared" si="223"/>
        <v>41839.971249999995</v>
      </c>
      <c r="AI842" s="43"/>
      <c r="AJ842" s="28"/>
      <c r="AK842" s="337"/>
      <c r="AL842" s="43"/>
      <c r="AM842" s="44">
        <f t="shared" si="224"/>
        <v>0</v>
      </c>
      <c r="AN842" s="43"/>
      <c r="AO842" s="28">
        <f t="shared" si="225"/>
        <v>0</v>
      </c>
      <c r="AP842" s="43"/>
      <c r="AQ842" s="323">
        <f t="shared" si="226"/>
        <v>0</v>
      </c>
      <c r="AR842" s="43"/>
      <c r="AS842" s="44">
        <f t="shared" si="227"/>
        <v>41839.971249999995</v>
      </c>
    </row>
    <row r="843" spans="1:45" x14ac:dyDescent="0.25">
      <c r="A843" s="28"/>
      <c r="B843" s="43"/>
      <c r="C843" s="43"/>
      <c r="D843" s="43"/>
      <c r="E843" s="43" t="s">
        <v>815</v>
      </c>
      <c r="F843" s="43" t="s">
        <v>2206</v>
      </c>
      <c r="G843" s="46">
        <f t="shared" si="214"/>
        <v>39004.2664</v>
      </c>
      <c r="H843" s="46">
        <f t="shared" si="215"/>
        <v>34904.386125000005</v>
      </c>
      <c r="I843" s="28" t="s">
        <v>262</v>
      </c>
      <c r="J843" s="337">
        <v>1</v>
      </c>
      <c r="K843" s="46">
        <f t="shared" si="216"/>
        <v>39004.2664</v>
      </c>
      <c r="L843" s="46">
        <f t="shared" si="217"/>
        <v>34904.386125000005</v>
      </c>
      <c r="M843" s="338">
        <f t="shared" si="218"/>
        <v>0</v>
      </c>
      <c r="N843" s="43" t="s">
        <v>35</v>
      </c>
      <c r="O843" s="339">
        <v>85364900</v>
      </c>
      <c r="P843" s="340">
        <f>IFERROR(VLOOKUP(O843,NCM!$A$3:$D$99,COLUMN(head_porNCM_IPI)-COLUMN(head_porNCM_NCM)+1,FALSE),"")</f>
        <v>3.2500000000000001E-2</v>
      </c>
      <c r="Q843" s="43" t="s">
        <v>1903</v>
      </c>
      <c r="R843" s="78" t="s">
        <v>210</v>
      </c>
      <c r="S843" s="341"/>
      <c r="T843" s="28" t="s">
        <v>52</v>
      </c>
      <c r="U843" s="28"/>
      <c r="V843" s="548">
        <v>45399</v>
      </c>
      <c r="W843" s="43"/>
      <c r="X843" s="342">
        <f t="shared" si="219"/>
        <v>5151.3448910411616</v>
      </c>
      <c r="Y843" s="342">
        <f t="shared" si="220"/>
        <v>1395.1559079903163</v>
      </c>
      <c r="Z843" s="46">
        <f t="shared" si="221"/>
        <v>708.30992251815985</v>
      </c>
      <c r="AA843" s="46">
        <f t="shared" si="222"/>
        <v>3262.5184309927358</v>
      </c>
      <c r="AB843" s="43"/>
      <c r="AC843" s="44">
        <v>44323.03</v>
      </c>
      <c r="AD843" s="31">
        <v>0.12</v>
      </c>
      <c r="AE843" s="31">
        <v>3.2500000000000001E-2</v>
      </c>
      <c r="AF843" s="31">
        <v>0</v>
      </c>
      <c r="AG843" s="28" t="s">
        <v>53</v>
      </c>
      <c r="AH843" s="46">
        <f t="shared" si="223"/>
        <v>45763.528474999999</v>
      </c>
      <c r="AI843" s="43"/>
      <c r="AJ843" s="28"/>
      <c r="AK843" s="337"/>
      <c r="AL843" s="43"/>
      <c r="AM843" s="44">
        <f t="shared" si="224"/>
        <v>0</v>
      </c>
      <c r="AN843" s="43"/>
      <c r="AO843" s="28">
        <f t="shared" si="225"/>
        <v>0</v>
      </c>
      <c r="AP843" s="43"/>
      <c r="AQ843" s="323">
        <f t="shared" si="226"/>
        <v>0</v>
      </c>
      <c r="AR843" s="43"/>
      <c r="AS843" s="44">
        <f t="shared" si="227"/>
        <v>45763.528474999999</v>
      </c>
    </row>
    <row r="844" spans="1:45" x14ac:dyDescent="0.25">
      <c r="A844" s="28"/>
      <c r="B844" s="43"/>
      <c r="C844" s="43"/>
      <c r="D844" s="43"/>
      <c r="E844" s="43" t="s">
        <v>816</v>
      </c>
      <c r="F844" s="43" t="s">
        <v>2207</v>
      </c>
      <c r="G844" s="46">
        <f t="shared" si="214"/>
        <v>49480.560800000007</v>
      </c>
      <c r="H844" s="46">
        <f t="shared" si="215"/>
        <v>44279.479125000005</v>
      </c>
      <c r="I844" s="28" t="s">
        <v>262</v>
      </c>
      <c r="J844" s="337">
        <v>1</v>
      </c>
      <c r="K844" s="46">
        <f t="shared" si="216"/>
        <v>49480.560800000007</v>
      </c>
      <c r="L844" s="46">
        <f t="shared" si="217"/>
        <v>44279.479125000005</v>
      </c>
      <c r="M844" s="338">
        <f t="shared" si="218"/>
        <v>0</v>
      </c>
      <c r="N844" s="43" t="s">
        <v>35</v>
      </c>
      <c r="O844" s="339">
        <v>85364900</v>
      </c>
      <c r="P844" s="340">
        <f>IFERROR(VLOOKUP(O844,NCM!$A$3:$D$99,COLUMN(head_porNCM_IPI)-COLUMN(head_porNCM_NCM)+1,FALSE),"")</f>
        <v>3.2500000000000001E-2</v>
      </c>
      <c r="Q844" s="43" t="s">
        <v>1903</v>
      </c>
      <c r="R844" s="78" t="s">
        <v>210</v>
      </c>
      <c r="S844" s="341"/>
      <c r="T844" s="28" t="s">
        <v>52</v>
      </c>
      <c r="U844" s="28"/>
      <c r="V844" s="548">
        <v>45399</v>
      </c>
      <c r="W844" s="43"/>
      <c r="X844" s="342">
        <f t="shared" si="219"/>
        <v>6534.9629055690075</v>
      </c>
      <c r="Y844" s="342">
        <f t="shared" si="220"/>
        <v>1769.8857869249405</v>
      </c>
      <c r="Z844" s="46">
        <f t="shared" si="221"/>
        <v>898.55739951573855</v>
      </c>
      <c r="AA844" s="46">
        <f t="shared" si="222"/>
        <v>4138.809840193705</v>
      </c>
      <c r="AB844" s="43"/>
      <c r="AC844" s="44">
        <v>56227.91</v>
      </c>
      <c r="AD844" s="31">
        <v>0.12</v>
      </c>
      <c r="AE844" s="31">
        <v>3.2500000000000001E-2</v>
      </c>
      <c r="AF844" s="31">
        <v>0</v>
      </c>
      <c r="AG844" s="28" t="s">
        <v>53</v>
      </c>
      <c r="AH844" s="46">
        <f t="shared" si="223"/>
        <v>58055.317074999999</v>
      </c>
      <c r="AI844" s="43"/>
      <c r="AJ844" s="28"/>
      <c r="AK844" s="337"/>
      <c r="AL844" s="43"/>
      <c r="AM844" s="44">
        <f t="shared" si="224"/>
        <v>0</v>
      </c>
      <c r="AN844" s="43"/>
      <c r="AO844" s="28">
        <f t="shared" si="225"/>
        <v>0</v>
      </c>
      <c r="AP844" s="43"/>
      <c r="AQ844" s="323">
        <f t="shared" si="226"/>
        <v>0</v>
      </c>
      <c r="AR844" s="43"/>
      <c r="AS844" s="44">
        <f t="shared" si="227"/>
        <v>58055.317074999999</v>
      </c>
    </row>
    <row r="845" spans="1:45" x14ac:dyDescent="0.25">
      <c r="A845" s="28"/>
      <c r="B845" s="43"/>
      <c r="C845" s="43"/>
      <c r="D845" s="43"/>
      <c r="E845" s="43" t="s">
        <v>817</v>
      </c>
      <c r="F845" s="43" t="s">
        <v>2208</v>
      </c>
      <c r="G845" s="46">
        <f t="shared" si="214"/>
        <v>42823.457599999994</v>
      </c>
      <c r="H845" s="46">
        <f t="shared" si="215"/>
        <v>38322.128250000002</v>
      </c>
      <c r="I845" s="28" t="s">
        <v>262</v>
      </c>
      <c r="J845" s="337">
        <v>1</v>
      </c>
      <c r="K845" s="46">
        <f t="shared" si="216"/>
        <v>42823.457599999994</v>
      </c>
      <c r="L845" s="46">
        <f t="shared" si="217"/>
        <v>38322.128250000002</v>
      </c>
      <c r="M845" s="338">
        <f t="shared" si="218"/>
        <v>0</v>
      </c>
      <c r="N845" s="43" t="s">
        <v>35</v>
      </c>
      <c r="O845" s="339">
        <v>85364900</v>
      </c>
      <c r="P845" s="340">
        <f>IFERROR(VLOOKUP(O845,NCM!$A$3:$D$99,COLUMN(head_porNCM_IPI)-COLUMN(head_porNCM_NCM)+1,FALSE),"")</f>
        <v>3.2500000000000001E-2</v>
      </c>
      <c r="Q845" s="43" t="s">
        <v>1903</v>
      </c>
      <c r="R845" s="78" t="s">
        <v>210</v>
      </c>
      <c r="S845" s="341"/>
      <c r="T845" s="28" t="s">
        <v>52</v>
      </c>
      <c r="U845" s="28"/>
      <c r="V845" s="548">
        <v>45399</v>
      </c>
      <c r="W845" s="43"/>
      <c r="X845" s="342">
        <f t="shared" si="219"/>
        <v>5655.7505084745762</v>
      </c>
      <c r="Y845" s="342">
        <f t="shared" si="220"/>
        <v>1531.7657627118606</v>
      </c>
      <c r="Z845" s="46">
        <f t="shared" si="221"/>
        <v>777.66569491525433</v>
      </c>
      <c r="AA845" s="46">
        <f t="shared" si="222"/>
        <v>3581.9753220338985</v>
      </c>
      <c r="AB845" s="43"/>
      <c r="AC845" s="44">
        <v>48663.02</v>
      </c>
      <c r="AD845" s="31">
        <v>0.12</v>
      </c>
      <c r="AE845" s="31">
        <v>3.2500000000000001E-2</v>
      </c>
      <c r="AF845" s="31">
        <v>0</v>
      </c>
      <c r="AG845" s="28" t="s">
        <v>53</v>
      </c>
      <c r="AH845" s="46">
        <f t="shared" si="223"/>
        <v>50244.568149999992</v>
      </c>
      <c r="AI845" s="43"/>
      <c r="AJ845" s="28"/>
      <c r="AK845" s="337"/>
      <c r="AL845" s="43"/>
      <c r="AM845" s="44">
        <f t="shared" si="224"/>
        <v>0</v>
      </c>
      <c r="AN845" s="43"/>
      <c r="AO845" s="28">
        <f t="shared" si="225"/>
        <v>0</v>
      </c>
      <c r="AP845" s="43"/>
      <c r="AQ845" s="323">
        <f t="shared" si="226"/>
        <v>0</v>
      </c>
      <c r="AR845" s="43"/>
      <c r="AS845" s="44">
        <f t="shared" si="227"/>
        <v>50244.568149999992</v>
      </c>
    </row>
    <row r="846" spans="1:45" x14ac:dyDescent="0.25">
      <c r="A846" s="28"/>
      <c r="B846" s="43"/>
      <c r="C846" s="43"/>
      <c r="D846" s="43"/>
      <c r="E846" s="43" t="s">
        <v>819</v>
      </c>
      <c r="F846" s="43" t="s">
        <v>2209</v>
      </c>
      <c r="G846" s="46">
        <f t="shared" si="214"/>
        <v>23653.344000000001</v>
      </c>
      <c r="H846" s="46">
        <f t="shared" si="215"/>
        <v>21167.055</v>
      </c>
      <c r="I846" s="28" t="s">
        <v>262</v>
      </c>
      <c r="J846" s="337">
        <v>1</v>
      </c>
      <c r="K846" s="46">
        <f t="shared" si="216"/>
        <v>23653.344000000001</v>
      </c>
      <c r="L846" s="46">
        <f t="shared" si="217"/>
        <v>21167.055</v>
      </c>
      <c r="M846" s="338">
        <f t="shared" si="218"/>
        <v>0</v>
      </c>
      <c r="N846" s="43" t="s">
        <v>35</v>
      </c>
      <c r="O846" s="339">
        <v>85364900</v>
      </c>
      <c r="P846" s="340">
        <f>IFERROR(VLOOKUP(O846,NCM!$A$3:$D$99,COLUMN(head_porNCM_IPI)-COLUMN(head_porNCM_NCM)+1,FALSE),"")</f>
        <v>3.2500000000000001E-2</v>
      </c>
      <c r="Q846" s="43" t="s">
        <v>1903</v>
      </c>
      <c r="R846" s="78" t="s">
        <v>210</v>
      </c>
      <c r="S846" s="341"/>
      <c r="T846" s="28" t="s">
        <v>52</v>
      </c>
      <c r="U846" s="28"/>
      <c r="V846" s="548">
        <v>45399</v>
      </c>
      <c r="W846" s="43"/>
      <c r="X846" s="342">
        <f t="shared" si="219"/>
        <v>3123.9283292978207</v>
      </c>
      <c r="Y846" s="342">
        <f t="shared" si="220"/>
        <v>846.06392251815851</v>
      </c>
      <c r="Z846" s="46">
        <f t="shared" si="221"/>
        <v>429.54014527845038</v>
      </c>
      <c r="AA846" s="46">
        <f t="shared" si="222"/>
        <v>1978.4879418886198</v>
      </c>
      <c r="AB846" s="43"/>
      <c r="AC846" s="44">
        <v>26878.799999999999</v>
      </c>
      <c r="AD846" s="31">
        <v>0.12</v>
      </c>
      <c r="AE846" s="31">
        <v>3.2500000000000001E-2</v>
      </c>
      <c r="AF846" s="31">
        <v>0</v>
      </c>
      <c r="AG846" s="28" t="s">
        <v>53</v>
      </c>
      <c r="AH846" s="46">
        <f t="shared" si="223"/>
        <v>27752.360999999997</v>
      </c>
      <c r="AI846" s="43"/>
      <c r="AJ846" s="28"/>
      <c r="AK846" s="337"/>
      <c r="AL846" s="43"/>
      <c r="AM846" s="44">
        <f t="shared" si="224"/>
        <v>0</v>
      </c>
      <c r="AN846" s="43"/>
      <c r="AO846" s="28">
        <f t="shared" si="225"/>
        <v>0</v>
      </c>
      <c r="AP846" s="43"/>
      <c r="AQ846" s="323">
        <f t="shared" si="226"/>
        <v>0</v>
      </c>
      <c r="AR846" s="43"/>
      <c r="AS846" s="44">
        <f t="shared" si="227"/>
        <v>27752.360999999997</v>
      </c>
    </row>
    <row r="847" spans="1:45" x14ac:dyDescent="0.25">
      <c r="A847" s="28"/>
      <c r="B847" s="43"/>
      <c r="C847" s="43"/>
      <c r="D847" s="43"/>
      <c r="E847" s="43" t="s">
        <v>818</v>
      </c>
      <c r="F847" s="43" t="s">
        <v>2210</v>
      </c>
      <c r="G847" s="46">
        <f t="shared" si="214"/>
        <v>17108.986399999998</v>
      </c>
      <c r="H847" s="46">
        <f t="shared" si="215"/>
        <v>15310.598625000001</v>
      </c>
      <c r="I847" s="28" t="s">
        <v>262</v>
      </c>
      <c r="J847" s="337">
        <v>1</v>
      </c>
      <c r="K847" s="46">
        <f t="shared" si="216"/>
        <v>17108.986399999998</v>
      </c>
      <c r="L847" s="46">
        <f t="shared" si="217"/>
        <v>15310.598625000001</v>
      </c>
      <c r="M847" s="338">
        <f t="shared" si="218"/>
        <v>0</v>
      </c>
      <c r="N847" s="43" t="s">
        <v>35</v>
      </c>
      <c r="O847" s="339">
        <v>85364900</v>
      </c>
      <c r="P847" s="340">
        <f>IFERROR(VLOOKUP(O847,NCM!$A$3:$D$99,COLUMN(head_porNCM_IPI)-COLUMN(head_porNCM_NCM)+1,FALSE),"")</f>
        <v>3.2500000000000001E-2</v>
      </c>
      <c r="Q847" s="43" t="s">
        <v>1903</v>
      </c>
      <c r="R847" s="78" t="s">
        <v>210</v>
      </c>
      <c r="S847" s="341"/>
      <c r="T847" s="28" t="s">
        <v>52</v>
      </c>
      <c r="U847" s="28"/>
      <c r="V847" s="548">
        <v>45399</v>
      </c>
      <c r="W847" s="43"/>
      <c r="X847" s="342">
        <f t="shared" si="219"/>
        <v>2259.6063922518156</v>
      </c>
      <c r="Y847" s="342">
        <f t="shared" si="220"/>
        <v>611.97673123486675</v>
      </c>
      <c r="Z847" s="46">
        <f t="shared" si="221"/>
        <v>310.69587893462472</v>
      </c>
      <c r="AA847" s="46">
        <f t="shared" si="222"/>
        <v>1431.08404842615</v>
      </c>
      <c r="AB847" s="43"/>
      <c r="AC847" s="44">
        <v>19442.03</v>
      </c>
      <c r="AD847" s="31">
        <v>0.12</v>
      </c>
      <c r="AE847" s="31">
        <v>3.2500000000000001E-2</v>
      </c>
      <c r="AF847" s="31">
        <v>0</v>
      </c>
      <c r="AG847" s="28" t="s">
        <v>53</v>
      </c>
      <c r="AH847" s="46">
        <f t="shared" si="223"/>
        <v>20073.895974999999</v>
      </c>
      <c r="AI847" s="43"/>
      <c r="AJ847" s="28"/>
      <c r="AK847" s="337"/>
      <c r="AL847" s="43"/>
      <c r="AM847" s="44">
        <f t="shared" si="224"/>
        <v>0</v>
      </c>
      <c r="AN847" s="43"/>
      <c r="AO847" s="28">
        <f t="shared" si="225"/>
        <v>0</v>
      </c>
      <c r="AP847" s="43"/>
      <c r="AQ847" s="323">
        <f t="shared" si="226"/>
        <v>0</v>
      </c>
      <c r="AR847" s="43"/>
      <c r="AS847" s="44">
        <f t="shared" si="227"/>
        <v>20073.895974999999</v>
      </c>
    </row>
    <row r="848" spans="1:45" x14ac:dyDescent="0.25">
      <c r="A848" s="28"/>
      <c r="B848" s="43"/>
      <c r="C848" s="43"/>
      <c r="D848" s="43"/>
      <c r="E848" s="43" t="s">
        <v>1107</v>
      </c>
      <c r="F848" s="43" t="s">
        <v>2211</v>
      </c>
      <c r="G848" s="46">
        <f t="shared" si="214"/>
        <v>21494.466399999998</v>
      </c>
      <c r="H848" s="46">
        <f t="shared" si="215"/>
        <v>19235.104875000001</v>
      </c>
      <c r="I848" s="28" t="s">
        <v>262</v>
      </c>
      <c r="J848" s="337">
        <v>1</v>
      </c>
      <c r="K848" s="46">
        <f t="shared" si="216"/>
        <v>21494.466399999998</v>
      </c>
      <c r="L848" s="46">
        <f t="shared" si="217"/>
        <v>19235.104875000001</v>
      </c>
      <c r="M848" s="338">
        <f t="shared" si="218"/>
        <v>0</v>
      </c>
      <c r="N848" s="43" t="s">
        <v>35</v>
      </c>
      <c r="O848" s="339">
        <v>85364900</v>
      </c>
      <c r="P848" s="340">
        <f>IFERROR(VLOOKUP(O848,NCM!$A$3:$D$99,COLUMN(head_porNCM_IPI)-COLUMN(head_porNCM_NCM)+1,FALSE),"")</f>
        <v>3.2500000000000001E-2</v>
      </c>
      <c r="Q848" s="43" t="s">
        <v>1903</v>
      </c>
      <c r="R848" s="78" t="s">
        <v>210</v>
      </c>
      <c r="S848" s="341"/>
      <c r="T848" s="28" t="s">
        <v>52</v>
      </c>
      <c r="U848" s="28"/>
      <c r="V848" s="548">
        <v>45399</v>
      </c>
      <c r="W848" s="43"/>
      <c r="X848" s="342">
        <f t="shared" si="219"/>
        <v>2838.8025181598059</v>
      </c>
      <c r="Y848" s="342">
        <f t="shared" si="220"/>
        <v>768.84234866828047</v>
      </c>
      <c r="Z848" s="46">
        <f t="shared" si="221"/>
        <v>390.33534624697336</v>
      </c>
      <c r="AA848" s="46">
        <f t="shared" si="222"/>
        <v>1797.9082615012105</v>
      </c>
      <c r="AB848" s="43"/>
      <c r="AC848" s="44">
        <v>24425.53</v>
      </c>
      <c r="AD848" s="31">
        <v>0.12</v>
      </c>
      <c r="AE848" s="31">
        <v>3.2500000000000001E-2</v>
      </c>
      <c r="AF848" s="31">
        <v>0</v>
      </c>
      <c r="AG848" s="28" t="s">
        <v>53</v>
      </c>
      <c r="AH848" s="46">
        <f t="shared" si="223"/>
        <v>25219.359724999998</v>
      </c>
      <c r="AI848" s="43"/>
      <c r="AJ848" s="28"/>
      <c r="AK848" s="337"/>
      <c r="AL848" s="43"/>
      <c r="AM848" s="44">
        <f t="shared" si="224"/>
        <v>0</v>
      </c>
      <c r="AN848" s="43"/>
      <c r="AO848" s="28">
        <f t="shared" si="225"/>
        <v>0</v>
      </c>
      <c r="AP848" s="43"/>
      <c r="AQ848" s="323">
        <f t="shared" si="226"/>
        <v>0</v>
      </c>
      <c r="AR848" s="43"/>
      <c r="AS848" s="44">
        <f t="shared" si="227"/>
        <v>25219.359724999998</v>
      </c>
    </row>
    <row r="849" spans="1:45" x14ac:dyDescent="0.25">
      <c r="A849" s="28"/>
      <c r="B849" s="43"/>
      <c r="C849" s="43"/>
      <c r="D849" s="43"/>
      <c r="E849" s="43" t="s">
        <v>820</v>
      </c>
      <c r="F849" s="43" t="s">
        <v>2212</v>
      </c>
      <c r="G849" s="46">
        <f t="shared" si="214"/>
        <v>25520.915199999999</v>
      </c>
      <c r="H849" s="46">
        <f t="shared" si="215"/>
        <v>22838.319000000003</v>
      </c>
      <c r="I849" s="28" t="s">
        <v>262</v>
      </c>
      <c r="J849" s="337">
        <v>1</v>
      </c>
      <c r="K849" s="46">
        <f t="shared" si="216"/>
        <v>25520.915199999999</v>
      </c>
      <c r="L849" s="46">
        <f t="shared" si="217"/>
        <v>22838.319000000003</v>
      </c>
      <c r="M849" s="338">
        <f t="shared" si="218"/>
        <v>0</v>
      </c>
      <c r="N849" s="43" t="s">
        <v>35</v>
      </c>
      <c r="O849" s="339">
        <v>85364900</v>
      </c>
      <c r="P849" s="340">
        <f>IFERROR(VLOOKUP(O849,NCM!$A$3:$D$99,COLUMN(head_porNCM_IPI)-COLUMN(head_porNCM_NCM)+1,FALSE),"")</f>
        <v>3.2500000000000001E-2</v>
      </c>
      <c r="Q849" s="43" t="s">
        <v>1903</v>
      </c>
      <c r="R849" s="78" t="s">
        <v>210</v>
      </c>
      <c r="S849" s="341"/>
      <c r="T849" s="28" t="s">
        <v>52</v>
      </c>
      <c r="U849" s="28"/>
      <c r="V849" s="548">
        <v>45399</v>
      </c>
      <c r="W849" s="43"/>
      <c r="X849" s="342">
        <f t="shared" si="219"/>
        <v>3370.5809200968524</v>
      </c>
      <c r="Y849" s="342">
        <f t="shared" si="220"/>
        <v>912.86566585956461</v>
      </c>
      <c r="Z849" s="46">
        <f t="shared" si="221"/>
        <v>463.45487651331723</v>
      </c>
      <c r="AA849" s="46">
        <f t="shared" si="222"/>
        <v>2134.7012493946731</v>
      </c>
      <c r="AB849" s="43"/>
      <c r="AC849" s="44">
        <v>29001.040000000001</v>
      </c>
      <c r="AD849" s="31">
        <v>0.12</v>
      </c>
      <c r="AE849" s="31">
        <v>3.2500000000000001E-2</v>
      </c>
      <c r="AF849" s="31">
        <v>0</v>
      </c>
      <c r="AG849" s="28" t="s">
        <v>53</v>
      </c>
      <c r="AH849" s="46">
        <f t="shared" si="223"/>
        <v>29943.573800000002</v>
      </c>
      <c r="AI849" s="43"/>
      <c r="AJ849" s="28"/>
      <c r="AK849" s="337"/>
      <c r="AL849" s="43"/>
      <c r="AM849" s="44">
        <f t="shared" si="224"/>
        <v>0</v>
      </c>
      <c r="AN849" s="43"/>
      <c r="AO849" s="28">
        <f t="shared" si="225"/>
        <v>0</v>
      </c>
      <c r="AP849" s="43"/>
      <c r="AQ849" s="323">
        <f t="shared" si="226"/>
        <v>0</v>
      </c>
      <c r="AR849" s="43"/>
      <c r="AS849" s="44">
        <f t="shared" si="227"/>
        <v>29943.573800000002</v>
      </c>
    </row>
    <row r="850" spans="1:45" x14ac:dyDescent="0.25">
      <c r="A850" s="28"/>
      <c r="B850" s="43"/>
      <c r="C850" s="43"/>
      <c r="D850" s="43"/>
      <c r="E850" s="43" t="s">
        <v>821</v>
      </c>
      <c r="F850" s="43" t="s">
        <v>2213</v>
      </c>
      <c r="G850" s="46">
        <f t="shared" si="214"/>
        <v>225064.59359999999</v>
      </c>
      <c r="H850" s="46">
        <f t="shared" si="215"/>
        <v>201407.23575000002</v>
      </c>
      <c r="I850" s="28" t="s">
        <v>262</v>
      </c>
      <c r="J850" s="337">
        <v>1</v>
      </c>
      <c r="K850" s="46">
        <f t="shared" si="216"/>
        <v>225064.59359999999</v>
      </c>
      <c r="L850" s="46">
        <f t="shared" si="217"/>
        <v>201407.23575000002</v>
      </c>
      <c r="M850" s="338">
        <f t="shared" si="218"/>
        <v>0</v>
      </c>
      <c r="N850" s="43" t="s">
        <v>35</v>
      </c>
      <c r="O850" s="339">
        <v>85364900</v>
      </c>
      <c r="P850" s="340">
        <f>IFERROR(VLOOKUP(O850,NCM!$A$3:$D$99,COLUMN(head_porNCM_IPI)-COLUMN(head_porNCM_NCM)+1,FALSE),"")</f>
        <v>3.2500000000000001E-2</v>
      </c>
      <c r="Q850" s="43" t="s">
        <v>1903</v>
      </c>
      <c r="R850" s="78" t="s">
        <v>210</v>
      </c>
      <c r="S850" s="341"/>
      <c r="T850" s="28" t="s">
        <v>52</v>
      </c>
      <c r="U850" s="28"/>
      <c r="V850" s="548">
        <v>45029</v>
      </c>
      <c r="W850" s="43"/>
      <c r="X850" s="342">
        <f t="shared" si="219"/>
        <v>29724.577627118644</v>
      </c>
      <c r="Y850" s="342">
        <f t="shared" si="220"/>
        <v>8050.4064406779653</v>
      </c>
      <c r="Z850" s="46">
        <f t="shared" si="221"/>
        <v>4087.1294237288139</v>
      </c>
      <c r="AA850" s="46">
        <f t="shared" si="222"/>
        <v>18825.565830508473</v>
      </c>
      <c r="AB850" s="43"/>
      <c r="AC850" s="44">
        <v>255755.22</v>
      </c>
      <c r="AD850" s="31">
        <v>0.12</v>
      </c>
      <c r="AE850" s="31">
        <v>3.2500000000000001E-2</v>
      </c>
      <c r="AF850" s="31">
        <v>0</v>
      </c>
      <c r="AG850" s="28" t="s">
        <v>53</v>
      </c>
      <c r="AH850" s="46">
        <f t="shared" si="223"/>
        <v>264067.26464999997</v>
      </c>
      <c r="AI850" s="43"/>
      <c r="AJ850" s="28"/>
      <c r="AK850" s="337"/>
      <c r="AL850" s="43"/>
      <c r="AM850" s="44">
        <f t="shared" si="224"/>
        <v>0</v>
      </c>
      <c r="AN850" s="43"/>
      <c r="AO850" s="28">
        <f t="shared" si="225"/>
        <v>0</v>
      </c>
      <c r="AP850" s="43"/>
      <c r="AQ850" s="323">
        <f t="shared" si="226"/>
        <v>0</v>
      </c>
      <c r="AR850" s="43"/>
      <c r="AS850" s="44">
        <f t="shared" si="227"/>
        <v>264067.26464999997</v>
      </c>
    </row>
    <row r="851" spans="1:45" x14ac:dyDescent="0.25">
      <c r="A851" s="28"/>
      <c r="B851" s="43"/>
      <c r="C851" s="43"/>
      <c r="D851" s="43"/>
      <c r="E851" s="43" t="s">
        <v>822</v>
      </c>
      <c r="F851" s="43" t="s">
        <v>2214</v>
      </c>
      <c r="G851" s="46">
        <f t="shared" si="214"/>
        <v>39243.292000000001</v>
      </c>
      <c r="H851" s="46">
        <f t="shared" si="215"/>
        <v>35118.286875000005</v>
      </c>
      <c r="I851" s="28" t="s">
        <v>262</v>
      </c>
      <c r="J851" s="337">
        <v>1</v>
      </c>
      <c r="K851" s="46">
        <f t="shared" si="216"/>
        <v>39243.292000000001</v>
      </c>
      <c r="L851" s="46">
        <f t="shared" si="217"/>
        <v>35118.286875000005</v>
      </c>
      <c r="M851" s="338">
        <f t="shared" si="218"/>
        <v>0</v>
      </c>
      <c r="N851" s="43" t="s">
        <v>35</v>
      </c>
      <c r="O851" s="339">
        <v>85364900</v>
      </c>
      <c r="P851" s="340">
        <f>IFERROR(VLOOKUP(O851,NCM!$A$3:$D$99,COLUMN(head_porNCM_IPI)-COLUMN(head_porNCM_NCM)+1,FALSE),"")</f>
        <v>3.2500000000000001E-2</v>
      </c>
      <c r="Q851" s="43" t="s">
        <v>1903</v>
      </c>
      <c r="R851" s="78" t="s">
        <v>210</v>
      </c>
      <c r="S851" s="341"/>
      <c r="T851" s="28" t="s">
        <v>52</v>
      </c>
      <c r="U851" s="28"/>
      <c r="V851" s="548">
        <v>45029</v>
      </c>
      <c r="W851" s="43"/>
      <c r="X851" s="342">
        <f t="shared" si="219"/>
        <v>5182.9133171912836</v>
      </c>
      <c r="Y851" s="342">
        <f t="shared" si="220"/>
        <v>1403.7056900726384</v>
      </c>
      <c r="Z851" s="46">
        <f t="shared" si="221"/>
        <v>712.65058111380154</v>
      </c>
      <c r="AA851" s="46">
        <f t="shared" si="222"/>
        <v>3282.5117675544793</v>
      </c>
      <c r="AB851" s="43"/>
      <c r="AC851" s="44">
        <v>44594.65</v>
      </c>
      <c r="AD851" s="31">
        <v>0.12</v>
      </c>
      <c r="AE851" s="31">
        <v>3.2500000000000001E-2</v>
      </c>
      <c r="AF851" s="31">
        <v>0</v>
      </c>
      <c r="AG851" s="28" t="s">
        <v>53</v>
      </c>
      <c r="AH851" s="46">
        <f t="shared" si="223"/>
        <v>46043.976125000001</v>
      </c>
      <c r="AI851" s="43"/>
      <c r="AJ851" s="28"/>
      <c r="AK851" s="337"/>
      <c r="AL851" s="43"/>
      <c r="AM851" s="44">
        <f t="shared" si="224"/>
        <v>0</v>
      </c>
      <c r="AN851" s="43"/>
      <c r="AO851" s="28">
        <f t="shared" si="225"/>
        <v>0</v>
      </c>
      <c r="AP851" s="43"/>
      <c r="AQ851" s="323">
        <f t="shared" si="226"/>
        <v>0</v>
      </c>
      <c r="AR851" s="43"/>
      <c r="AS851" s="44">
        <f t="shared" si="227"/>
        <v>46043.976125000001</v>
      </c>
    </row>
    <row r="852" spans="1:45" x14ac:dyDescent="0.25">
      <c r="A852" s="28"/>
      <c r="B852" s="43"/>
      <c r="C852" s="43"/>
      <c r="D852" s="43"/>
      <c r="E852" s="43" t="s">
        <v>823</v>
      </c>
      <c r="F852" s="43" t="s">
        <v>2215</v>
      </c>
      <c r="G852" s="46">
        <f t="shared" si="214"/>
        <v>76177.560800000007</v>
      </c>
      <c r="H852" s="46">
        <f t="shared" si="215"/>
        <v>68170.260375000013</v>
      </c>
      <c r="I852" s="28" t="s">
        <v>262</v>
      </c>
      <c r="J852" s="337">
        <v>1</v>
      </c>
      <c r="K852" s="46">
        <f t="shared" si="216"/>
        <v>76177.560800000007</v>
      </c>
      <c r="L852" s="46">
        <f t="shared" si="217"/>
        <v>68170.260375000013</v>
      </c>
      <c r="M852" s="338">
        <f t="shared" si="218"/>
        <v>0</v>
      </c>
      <c r="N852" s="43" t="s">
        <v>35</v>
      </c>
      <c r="O852" s="339">
        <v>85364900</v>
      </c>
      <c r="P852" s="340">
        <f>IFERROR(VLOOKUP(O852,NCM!$A$3:$D$99,COLUMN(head_porNCM_IPI)-COLUMN(head_porNCM_NCM)+1,FALSE),"")</f>
        <v>3.2500000000000001E-2</v>
      </c>
      <c r="Q852" s="43" t="s">
        <v>1903</v>
      </c>
      <c r="R852" s="78" t="s">
        <v>210</v>
      </c>
      <c r="S852" s="341"/>
      <c r="T852" s="28" t="s">
        <v>52</v>
      </c>
      <c r="U852" s="28"/>
      <c r="V852" s="548">
        <v>45399</v>
      </c>
      <c r="W852" s="43"/>
      <c r="X852" s="342">
        <f t="shared" si="219"/>
        <v>10060.870895883778</v>
      </c>
      <c r="Y852" s="342">
        <f t="shared" si="220"/>
        <v>2724.8192009685154</v>
      </c>
      <c r="Z852" s="46">
        <f t="shared" si="221"/>
        <v>1383.3697481840197</v>
      </c>
      <c r="AA852" s="46">
        <f t="shared" si="222"/>
        <v>6371.8849007263925</v>
      </c>
      <c r="AB852" s="43"/>
      <c r="AC852" s="44">
        <v>86565.41</v>
      </c>
      <c r="AD852" s="31">
        <v>0.12</v>
      </c>
      <c r="AE852" s="31">
        <v>3.2500000000000001E-2</v>
      </c>
      <c r="AF852" s="31">
        <v>0</v>
      </c>
      <c r="AG852" s="28" t="s">
        <v>53</v>
      </c>
      <c r="AH852" s="46">
        <f t="shared" si="223"/>
        <v>89378.785824999999</v>
      </c>
      <c r="AI852" s="43"/>
      <c r="AJ852" s="28"/>
      <c r="AK852" s="337"/>
      <c r="AL852" s="43"/>
      <c r="AM852" s="44">
        <f t="shared" si="224"/>
        <v>0</v>
      </c>
      <c r="AN852" s="43"/>
      <c r="AO852" s="28">
        <f t="shared" si="225"/>
        <v>0</v>
      </c>
      <c r="AP852" s="43"/>
      <c r="AQ852" s="323">
        <f t="shared" si="226"/>
        <v>0</v>
      </c>
      <c r="AR852" s="43"/>
      <c r="AS852" s="44">
        <f t="shared" si="227"/>
        <v>89378.785824999999</v>
      </c>
    </row>
    <row r="853" spans="1:45" x14ac:dyDescent="0.25">
      <c r="A853" s="28"/>
      <c r="B853" s="43"/>
      <c r="C853" s="43"/>
      <c r="D853" s="43"/>
      <c r="E853" s="43" t="s">
        <v>824</v>
      </c>
      <c r="F853" s="43" t="s">
        <v>2216</v>
      </c>
      <c r="G853" s="46">
        <f t="shared" si="214"/>
        <v>83413.501600000003</v>
      </c>
      <c r="H853" s="46">
        <f t="shared" si="215"/>
        <v>74645.605125000016</v>
      </c>
      <c r="I853" s="28" t="s">
        <v>262</v>
      </c>
      <c r="J853" s="337">
        <v>1</v>
      </c>
      <c r="K853" s="46">
        <f t="shared" si="216"/>
        <v>83413.501600000003</v>
      </c>
      <c r="L853" s="46">
        <f t="shared" si="217"/>
        <v>74645.605125000016</v>
      </c>
      <c r="M853" s="338">
        <f t="shared" si="218"/>
        <v>0</v>
      </c>
      <c r="N853" s="43" t="s">
        <v>35</v>
      </c>
      <c r="O853" s="339">
        <v>85364900</v>
      </c>
      <c r="P853" s="340">
        <f>IFERROR(VLOOKUP(O853,NCM!$A$3:$D$99,COLUMN(head_porNCM_IPI)-COLUMN(head_porNCM_NCM)+1,FALSE),"")</f>
        <v>3.2500000000000001E-2</v>
      </c>
      <c r="Q853" s="43" t="s">
        <v>1903</v>
      </c>
      <c r="R853" s="78" t="s">
        <v>210</v>
      </c>
      <c r="S853" s="341"/>
      <c r="T853" s="28" t="s">
        <v>52</v>
      </c>
      <c r="U853" s="28"/>
      <c r="V853" s="548">
        <v>45399</v>
      </c>
      <c r="W853" s="43"/>
      <c r="X853" s="342">
        <f t="shared" si="219"/>
        <v>11016.531138014529</v>
      </c>
      <c r="Y853" s="342">
        <f t="shared" si="220"/>
        <v>2983.6438498789357</v>
      </c>
      <c r="Z853" s="46">
        <f t="shared" si="221"/>
        <v>1514.7730314769979</v>
      </c>
      <c r="AA853" s="46">
        <f t="shared" si="222"/>
        <v>6977.1363874092012</v>
      </c>
      <c r="AB853" s="43"/>
      <c r="AC853" s="44">
        <v>94788.07</v>
      </c>
      <c r="AD853" s="31">
        <v>0.12</v>
      </c>
      <c r="AE853" s="31">
        <v>3.2500000000000001E-2</v>
      </c>
      <c r="AF853" s="31">
        <v>0</v>
      </c>
      <c r="AG853" s="28" t="s">
        <v>53</v>
      </c>
      <c r="AH853" s="46">
        <f t="shared" si="223"/>
        <v>97868.682274999999</v>
      </c>
      <c r="AI853" s="43"/>
      <c r="AJ853" s="28"/>
      <c r="AK853" s="337"/>
      <c r="AL853" s="43"/>
      <c r="AM853" s="44">
        <f t="shared" si="224"/>
        <v>0</v>
      </c>
      <c r="AN853" s="43"/>
      <c r="AO853" s="28">
        <f t="shared" si="225"/>
        <v>0</v>
      </c>
      <c r="AP853" s="43"/>
      <c r="AQ853" s="323">
        <f t="shared" si="226"/>
        <v>0</v>
      </c>
      <c r="AR853" s="43"/>
      <c r="AS853" s="44">
        <f t="shared" si="227"/>
        <v>97868.682274999999</v>
      </c>
    </row>
    <row r="854" spans="1:45" x14ac:dyDescent="0.25">
      <c r="A854" s="28"/>
      <c r="B854" s="43"/>
      <c r="C854" s="43"/>
      <c r="D854" s="43"/>
      <c r="E854" s="43" t="s">
        <v>825</v>
      </c>
      <c r="F854" s="43" t="s">
        <v>2217</v>
      </c>
      <c r="G854" s="46">
        <f t="shared" si="214"/>
        <v>85928.013600000006</v>
      </c>
      <c r="H854" s="46">
        <f t="shared" si="215"/>
        <v>76895.807625000016</v>
      </c>
      <c r="I854" s="28" t="s">
        <v>262</v>
      </c>
      <c r="J854" s="337">
        <v>1</v>
      </c>
      <c r="K854" s="46">
        <f t="shared" si="216"/>
        <v>85928.013600000006</v>
      </c>
      <c r="L854" s="46">
        <f t="shared" si="217"/>
        <v>76895.807625000016</v>
      </c>
      <c r="M854" s="338">
        <f t="shared" si="218"/>
        <v>0</v>
      </c>
      <c r="N854" s="43" t="s">
        <v>35</v>
      </c>
      <c r="O854" s="339">
        <v>85364900</v>
      </c>
      <c r="P854" s="340">
        <f>IFERROR(VLOOKUP(O854,NCM!$A$3:$D$99,COLUMN(head_porNCM_IPI)-COLUMN(head_porNCM_NCM)+1,FALSE),"")</f>
        <v>3.2500000000000001E-2</v>
      </c>
      <c r="Q854" s="43" t="s">
        <v>1903</v>
      </c>
      <c r="R854" s="78" t="s">
        <v>210</v>
      </c>
      <c r="S854" s="341"/>
      <c r="T854" s="28" t="s">
        <v>52</v>
      </c>
      <c r="U854" s="28"/>
      <c r="V854" s="548">
        <v>45399</v>
      </c>
      <c r="W854" s="43"/>
      <c r="X854" s="342">
        <f t="shared" si="219"/>
        <v>11348.626053268765</v>
      </c>
      <c r="Y854" s="342">
        <f t="shared" si="220"/>
        <v>3073.586222760292</v>
      </c>
      <c r="Z854" s="46">
        <f t="shared" si="221"/>
        <v>1560.4360823244554</v>
      </c>
      <c r="AA854" s="46">
        <f t="shared" si="222"/>
        <v>7187.4631670702174</v>
      </c>
      <c r="AB854" s="43"/>
      <c r="AC854" s="44">
        <v>97645.47</v>
      </c>
      <c r="AD854" s="31">
        <v>0.12</v>
      </c>
      <c r="AE854" s="31">
        <v>3.2500000000000001E-2</v>
      </c>
      <c r="AF854" s="31">
        <v>0</v>
      </c>
      <c r="AG854" s="28" t="s">
        <v>53</v>
      </c>
      <c r="AH854" s="46">
        <f t="shared" si="223"/>
        <v>100818.94777499999</v>
      </c>
      <c r="AI854" s="43"/>
      <c r="AJ854" s="28"/>
      <c r="AK854" s="337"/>
      <c r="AL854" s="43"/>
      <c r="AM854" s="44">
        <f t="shared" si="224"/>
        <v>0</v>
      </c>
      <c r="AN854" s="43"/>
      <c r="AO854" s="28">
        <f t="shared" si="225"/>
        <v>0</v>
      </c>
      <c r="AP854" s="43"/>
      <c r="AQ854" s="323">
        <f t="shared" si="226"/>
        <v>0</v>
      </c>
      <c r="AR854" s="43"/>
      <c r="AS854" s="44">
        <f t="shared" si="227"/>
        <v>100818.94777499999</v>
      </c>
    </row>
    <row r="855" spans="1:45" x14ac:dyDescent="0.25">
      <c r="A855" s="28"/>
      <c r="B855" s="43"/>
      <c r="C855" s="43"/>
      <c r="D855" s="43"/>
      <c r="E855" s="43" t="s">
        <v>826</v>
      </c>
      <c r="F855" s="43" t="s">
        <v>2218</v>
      </c>
      <c r="G855" s="46">
        <f t="shared" si="214"/>
        <v>97304.354400000011</v>
      </c>
      <c r="H855" s="46">
        <f t="shared" si="215"/>
        <v>87076.33987500002</v>
      </c>
      <c r="I855" s="28" t="s">
        <v>262</v>
      </c>
      <c r="J855" s="337">
        <v>1</v>
      </c>
      <c r="K855" s="46">
        <f t="shared" si="216"/>
        <v>97304.354400000011</v>
      </c>
      <c r="L855" s="46">
        <f t="shared" si="217"/>
        <v>87076.33987500002</v>
      </c>
      <c r="M855" s="338">
        <f t="shared" si="218"/>
        <v>0</v>
      </c>
      <c r="N855" s="43" t="s">
        <v>35</v>
      </c>
      <c r="O855" s="339">
        <v>85364900</v>
      </c>
      <c r="P855" s="340">
        <f>IFERROR(VLOOKUP(O855,NCM!$A$3:$D$99,COLUMN(head_porNCM_IPI)-COLUMN(head_porNCM_NCM)+1,FALSE),"")</f>
        <v>3.2500000000000001E-2</v>
      </c>
      <c r="Q855" s="43" t="s">
        <v>1903</v>
      </c>
      <c r="R855" s="78" t="s">
        <v>210</v>
      </c>
      <c r="S855" s="341"/>
      <c r="T855" s="28" t="s">
        <v>52</v>
      </c>
      <c r="U855" s="28"/>
      <c r="V855" s="548">
        <v>45399</v>
      </c>
      <c r="W855" s="43"/>
      <c r="X855" s="342">
        <f t="shared" si="219"/>
        <v>12851.114382566588</v>
      </c>
      <c r="Y855" s="342">
        <f t="shared" si="220"/>
        <v>3480.5101452784438</v>
      </c>
      <c r="Z855" s="46">
        <f t="shared" si="221"/>
        <v>1767.0282276029059</v>
      </c>
      <c r="AA855" s="46">
        <f t="shared" si="222"/>
        <v>8139.0391089588384</v>
      </c>
      <c r="AB855" s="43"/>
      <c r="AC855" s="44">
        <v>110573.13</v>
      </c>
      <c r="AD855" s="31">
        <v>0.12</v>
      </c>
      <c r="AE855" s="31">
        <v>3.2500000000000001E-2</v>
      </c>
      <c r="AF855" s="31">
        <v>0</v>
      </c>
      <c r="AG855" s="28" t="s">
        <v>53</v>
      </c>
      <c r="AH855" s="46">
        <f t="shared" si="223"/>
        <v>114166.756725</v>
      </c>
      <c r="AI855" s="43"/>
      <c r="AJ855" s="28"/>
      <c r="AK855" s="337"/>
      <c r="AL855" s="43"/>
      <c r="AM855" s="44">
        <f t="shared" si="224"/>
        <v>0</v>
      </c>
      <c r="AN855" s="43"/>
      <c r="AO855" s="28">
        <f t="shared" si="225"/>
        <v>0</v>
      </c>
      <c r="AP855" s="43"/>
      <c r="AQ855" s="323">
        <f t="shared" si="226"/>
        <v>0</v>
      </c>
      <c r="AR855" s="43"/>
      <c r="AS855" s="44">
        <f t="shared" si="227"/>
        <v>114166.756725</v>
      </c>
    </row>
    <row r="856" spans="1:45" x14ac:dyDescent="0.25">
      <c r="A856" s="28"/>
      <c r="B856" s="43"/>
      <c r="C856" s="43"/>
      <c r="D856" s="43"/>
      <c r="E856" s="43" t="s">
        <v>827</v>
      </c>
      <c r="F856" s="43" t="s">
        <v>2219</v>
      </c>
      <c r="G856" s="46">
        <f t="shared" si="214"/>
        <v>107276.97199999999</v>
      </c>
      <c r="H856" s="46">
        <f t="shared" si="215"/>
        <v>96000.699375000011</v>
      </c>
      <c r="I856" s="28" t="s">
        <v>262</v>
      </c>
      <c r="J856" s="337">
        <v>1</v>
      </c>
      <c r="K856" s="46">
        <f t="shared" si="216"/>
        <v>107276.97199999999</v>
      </c>
      <c r="L856" s="46">
        <f t="shared" si="217"/>
        <v>96000.699375000011</v>
      </c>
      <c r="M856" s="338">
        <f t="shared" si="218"/>
        <v>0</v>
      </c>
      <c r="N856" s="43" t="s">
        <v>35</v>
      </c>
      <c r="O856" s="339">
        <v>85364900</v>
      </c>
      <c r="P856" s="340">
        <f>IFERROR(VLOOKUP(O856,NCM!$A$3:$D$99,COLUMN(head_porNCM_IPI)-COLUMN(head_porNCM_NCM)+1,FALSE),"")</f>
        <v>3.2500000000000001E-2</v>
      </c>
      <c r="Q856" s="43" t="s">
        <v>1903</v>
      </c>
      <c r="R856" s="78" t="s">
        <v>210</v>
      </c>
      <c r="S856" s="341"/>
      <c r="T856" s="28" t="s">
        <v>52</v>
      </c>
      <c r="U856" s="28"/>
      <c r="V856" s="548">
        <v>45399</v>
      </c>
      <c r="W856" s="43"/>
      <c r="X856" s="342">
        <f t="shared" si="219"/>
        <v>14168.211138014527</v>
      </c>
      <c r="Y856" s="342">
        <f t="shared" si="220"/>
        <v>3837.2238498789375</v>
      </c>
      <c r="Z856" s="46">
        <f t="shared" si="221"/>
        <v>1948.1290314769976</v>
      </c>
      <c r="AA856" s="46">
        <f t="shared" si="222"/>
        <v>8973.2003874092006</v>
      </c>
      <c r="AB856" s="43"/>
      <c r="AC856" s="44">
        <v>121905.65</v>
      </c>
      <c r="AD856" s="31">
        <v>0.12</v>
      </c>
      <c r="AE856" s="31">
        <v>3.2500000000000001E-2</v>
      </c>
      <c r="AF856" s="31">
        <v>0</v>
      </c>
      <c r="AG856" s="28" t="s">
        <v>53</v>
      </c>
      <c r="AH856" s="46">
        <f t="shared" si="223"/>
        <v>125867.58362499998</v>
      </c>
      <c r="AI856" s="43"/>
      <c r="AJ856" s="28"/>
      <c r="AK856" s="337"/>
      <c r="AL856" s="43"/>
      <c r="AM856" s="44">
        <f t="shared" si="224"/>
        <v>0</v>
      </c>
      <c r="AN856" s="43"/>
      <c r="AO856" s="28">
        <f t="shared" si="225"/>
        <v>0</v>
      </c>
      <c r="AP856" s="43"/>
      <c r="AQ856" s="323">
        <f t="shared" si="226"/>
        <v>0</v>
      </c>
      <c r="AR856" s="43"/>
      <c r="AS856" s="44">
        <f t="shared" si="227"/>
        <v>125867.58362499998</v>
      </c>
    </row>
    <row r="857" spans="1:45" x14ac:dyDescent="0.25">
      <c r="A857" s="28"/>
      <c r="B857" s="43"/>
      <c r="C857" s="43"/>
      <c r="D857" s="43"/>
      <c r="E857" s="43" t="s">
        <v>828</v>
      </c>
      <c r="F857" s="43" t="s">
        <v>2220</v>
      </c>
      <c r="G857" s="46">
        <f t="shared" si="214"/>
        <v>21158.183199999999</v>
      </c>
      <c r="H857" s="46">
        <f t="shared" si="215"/>
        <v>18934.169625000002</v>
      </c>
      <c r="I857" s="28" t="s">
        <v>262</v>
      </c>
      <c r="J857" s="337">
        <v>1</v>
      </c>
      <c r="K857" s="46">
        <f t="shared" si="216"/>
        <v>21158.183199999999</v>
      </c>
      <c r="L857" s="46">
        <f t="shared" si="217"/>
        <v>18934.169625000002</v>
      </c>
      <c r="M857" s="338">
        <f t="shared" si="218"/>
        <v>0</v>
      </c>
      <c r="N857" s="43" t="s">
        <v>35</v>
      </c>
      <c r="O857" s="339">
        <v>85364900</v>
      </c>
      <c r="P857" s="340">
        <f>IFERROR(VLOOKUP(O857,NCM!$A$3:$D$99,COLUMN(head_porNCM_IPI)-COLUMN(head_porNCM_NCM)+1,FALSE),"")</f>
        <v>3.2500000000000001E-2</v>
      </c>
      <c r="Q857" s="43" t="s">
        <v>1903</v>
      </c>
      <c r="R857" s="78" t="s">
        <v>210</v>
      </c>
      <c r="S857" s="341"/>
      <c r="T857" s="28" t="s">
        <v>52</v>
      </c>
      <c r="U857" s="28"/>
      <c r="V857" s="548">
        <v>45399</v>
      </c>
      <c r="W857" s="43"/>
      <c r="X857" s="342">
        <f t="shared" si="219"/>
        <v>2794.3891525423728</v>
      </c>
      <c r="Y857" s="342">
        <f t="shared" si="220"/>
        <v>756.81372881355855</v>
      </c>
      <c r="Z857" s="46">
        <f t="shared" si="221"/>
        <v>384.2285084745763</v>
      </c>
      <c r="AA857" s="46">
        <f t="shared" si="222"/>
        <v>1769.7797966101696</v>
      </c>
      <c r="AB857" s="43"/>
      <c r="AC857" s="44">
        <v>24043.39</v>
      </c>
      <c r="AD857" s="31">
        <v>0.12</v>
      </c>
      <c r="AE857" s="31">
        <v>3.2500000000000001E-2</v>
      </c>
      <c r="AF857" s="31">
        <v>0</v>
      </c>
      <c r="AG857" s="28" t="s">
        <v>53</v>
      </c>
      <c r="AH857" s="46">
        <f t="shared" si="223"/>
        <v>24824.800175</v>
      </c>
      <c r="AI857" s="43"/>
      <c r="AJ857" s="28"/>
      <c r="AK857" s="337"/>
      <c r="AL857" s="43"/>
      <c r="AM857" s="44">
        <f t="shared" si="224"/>
        <v>0</v>
      </c>
      <c r="AN857" s="43"/>
      <c r="AO857" s="28">
        <f t="shared" si="225"/>
        <v>0</v>
      </c>
      <c r="AP857" s="43"/>
      <c r="AQ857" s="323">
        <f t="shared" si="226"/>
        <v>0</v>
      </c>
      <c r="AR857" s="43"/>
      <c r="AS857" s="44">
        <f t="shared" si="227"/>
        <v>24824.800175</v>
      </c>
    </row>
    <row r="858" spans="1:45" x14ac:dyDescent="0.25">
      <c r="A858" s="28"/>
      <c r="B858" s="43"/>
      <c r="C858" s="43"/>
      <c r="D858" s="43"/>
      <c r="E858" s="43" t="s">
        <v>829</v>
      </c>
      <c r="F858" s="43" t="s">
        <v>2221</v>
      </c>
      <c r="G858" s="46">
        <f t="shared" si="214"/>
        <v>25711.954400000002</v>
      </c>
      <c r="H858" s="46">
        <f t="shared" si="215"/>
        <v>23009.277375000005</v>
      </c>
      <c r="I858" s="28" t="s">
        <v>262</v>
      </c>
      <c r="J858" s="337">
        <v>1</v>
      </c>
      <c r="K858" s="46">
        <f t="shared" si="216"/>
        <v>25711.954400000002</v>
      </c>
      <c r="L858" s="46">
        <f t="shared" si="217"/>
        <v>23009.277375000005</v>
      </c>
      <c r="M858" s="338">
        <f t="shared" si="218"/>
        <v>0</v>
      </c>
      <c r="N858" s="43" t="s">
        <v>35</v>
      </c>
      <c r="O858" s="339">
        <v>85364900</v>
      </c>
      <c r="P858" s="340">
        <f>IFERROR(VLOOKUP(O858,NCM!$A$3:$D$99,COLUMN(head_porNCM_IPI)-COLUMN(head_porNCM_NCM)+1,FALSE),"")</f>
        <v>3.2500000000000001E-2</v>
      </c>
      <c r="Q858" s="43" t="s">
        <v>1903</v>
      </c>
      <c r="R858" s="78" t="s">
        <v>210</v>
      </c>
      <c r="S858" s="341"/>
      <c r="T858" s="28" t="s">
        <v>52</v>
      </c>
      <c r="U858" s="28"/>
      <c r="V858" s="548">
        <v>45399</v>
      </c>
      <c r="W858" s="43"/>
      <c r="X858" s="342">
        <f t="shared" si="219"/>
        <v>3395.8117191283295</v>
      </c>
      <c r="Y858" s="342">
        <f t="shared" si="220"/>
        <v>919.69900726392007</v>
      </c>
      <c r="Z858" s="46">
        <f t="shared" si="221"/>
        <v>466.92411138014535</v>
      </c>
      <c r="AA858" s="46">
        <f t="shared" si="222"/>
        <v>2150.6807554479419</v>
      </c>
      <c r="AB858" s="43"/>
      <c r="AC858" s="44">
        <v>29218.13</v>
      </c>
      <c r="AD858" s="31">
        <v>0.12</v>
      </c>
      <c r="AE858" s="31">
        <v>3.2500000000000001E-2</v>
      </c>
      <c r="AF858" s="31">
        <v>0</v>
      </c>
      <c r="AG858" s="28" t="s">
        <v>53</v>
      </c>
      <c r="AH858" s="46">
        <f t="shared" si="223"/>
        <v>30167.719225000001</v>
      </c>
      <c r="AI858" s="43"/>
      <c r="AJ858" s="28"/>
      <c r="AK858" s="337"/>
      <c r="AL858" s="43"/>
      <c r="AM858" s="44">
        <f t="shared" si="224"/>
        <v>0</v>
      </c>
      <c r="AN858" s="43"/>
      <c r="AO858" s="28">
        <f t="shared" si="225"/>
        <v>0</v>
      </c>
      <c r="AP858" s="43"/>
      <c r="AQ858" s="323">
        <f t="shared" si="226"/>
        <v>0</v>
      </c>
      <c r="AR858" s="43"/>
      <c r="AS858" s="44">
        <f t="shared" si="227"/>
        <v>30167.719225000001</v>
      </c>
    </row>
    <row r="859" spans="1:45" x14ac:dyDescent="0.25">
      <c r="A859" s="28"/>
      <c r="B859" s="43"/>
      <c r="C859" s="43"/>
      <c r="D859" s="43"/>
      <c r="E859" s="43" t="s">
        <v>830</v>
      </c>
      <c r="F859" s="43" t="s">
        <v>2222</v>
      </c>
      <c r="G859" s="46">
        <f t="shared" si="214"/>
        <v>30220.194399999997</v>
      </c>
      <c r="H859" s="46">
        <f t="shared" si="215"/>
        <v>27043.639875000001</v>
      </c>
      <c r="I859" s="28" t="s">
        <v>262</v>
      </c>
      <c r="J859" s="337">
        <v>1</v>
      </c>
      <c r="K859" s="46">
        <f t="shared" si="216"/>
        <v>30220.194399999997</v>
      </c>
      <c r="L859" s="46">
        <f t="shared" si="217"/>
        <v>27043.639875000001</v>
      </c>
      <c r="M859" s="338">
        <f t="shared" si="218"/>
        <v>0</v>
      </c>
      <c r="N859" s="43" t="s">
        <v>35</v>
      </c>
      <c r="O859" s="339">
        <v>85364900</v>
      </c>
      <c r="P859" s="340">
        <f>IFERROR(VLOOKUP(O859,NCM!$A$3:$D$99,COLUMN(head_porNCM_IPI)-COLUMN(head_porNCM_NCM)+1,FALSE),"")</f>
        <v>3.2500000000000001E-2</v>
      </c>
      <c r="Q859" s="43" t="s">
        <v>1903</v>
      </c>
      <c r="R859" s="78" t="s">
        <v>210</v>
      </c>
      <c r="S859" s="341"/>
      <c r="T859" s="28" t="s">
        <v>52</v>
      </c>
      <c r="U859" s="28"/>
      <c r="V859" s="548">
        <v>45399</v>
      </c>
      <c r="W859" s="43"/>
      <c r="X859" s="342">
        <f t="shared" si="219"/>
        <v>3991.2209200968523</v>
      </c>
      <c r="Y859" s="342">
        <f t="shared" si="220"/>
        <v>1080.9556658595611</v>
      </c>
      <c r="Z859" s="46">
        <f t="shared" si="221"/>
        <v>548.7928765133172</v>
      </c>
      <c r="AA859" s="46">
        <f t="shared" si="222"/>
        <v>2527.7732493946733</v>
      </c>
      <c r="AB859" s="43"/>
      <c r="AC859" s="44">
        <v>34341.129999999997</v>
      </c>
      <c r="AD859" s="31">
        <v>0.12</v>
      </c>
      <c r="AE859" s="31">
        <v>3.2500000000000001E-2</v>
      </c>
      <c r="AF859" s="31">
        <v>0</v>
      </c>
      <c r="AG859" s="28" t="s">
        <v>53</v>
      </c>
      <c r="AH859" s="46">
        <f t="shared" si="223"/>
        <v>35457.216724999998</v>
      </c>
      <c r="AI859" s="43"/>
      <c r="AJ859" s="28"/>
      <c r="AK859" s="337"/>
      <c r="AL859" s="43"/>
      <c r="AM859" s="44">
        <f t="shared" si="224"/>
        <v>0</v>
      </c>
      <c r="AN859" s="43"/>
      <c r="AO859" s="28">
        <f t="shared" si="225"/>
        <v>0</v>
      </c>
      <c r="AP859" s="43"/>
      <c r="AQ859" s="323">
        <f t="shared" si="226"/>
        <v>0</v>
      </c>
      <c r="AR859" s="43"/>
      <c r="AS859" s="44">
        <f t="shared" si="227"/>
        <v>35457.216724999998</v>
      </c>
    </row>
    <row r="860" spans="1:45" x14ac:dyDescent="0.25">
      <c r="A860" s="28"/>
      <c r="B860" s="43"/>
      <c r="C860" s="43"/>
      <c r="D860" s="43"/>
      <c r="E860" s="43" t="s">
        <v>831</v>
      </c>
      <c r="F860" s="43" t="s">
        <v>2223</v>
      </c>
      <c r="G860" s="46">
        <f t="shared" si="214"/>
        <v>36275.879199999996</v>
      </c>
      <c r="H860" s="46">
        <f t="shared" si="215"/>
        <v>32462.789625000001</v>
      </c>
      <c r="I860" s="28" t="s">
        <v>262</v>
      </c>
      <c r="J860" s="337">
        <v>1</v>
      </c>
      <c r="K860" s="46">
        <f t="shared" si="216"/>
        <v>36275.879199999996</v>
      </c>
      <c r="L860" s="46">
        <f t="shared" si="217"/>
        <v>32462.789625000001</v>
      </c>
      <c r="M860" s="338">
        <f t="shared" si="218"/>
        <v>0</v>
      </c>
      <c r="N860" s="43" t="s">
        <v>35</v>
      </c>
      <c r="O860" s="339">
        <v>85364900</v>
      </c>
      <c r="P860" s="340">
        <f>IFERROR(VLOOKUP(O860,NCM!$A$3:$D$99,COLUMN(head_porNCM_IPI)-COLUMN(head_porNCM_NCM)+1,FALSE),"")</f>
        <v>3.2500000000000001E-2</v>
      </c>
      <c r="Q860" s="43" t="s">
        <v>1903</v>
      </c>
      <c r="R860" s="78" t="s">
        <v>210</v>
      </c>
      <c r="S860" s="341"/>
      <c r="T860" s="28" t="s">
        <v>52</v>
      </c>
      <c r="U860" s="28"/>
      <c r="V860" s="548">
        <v>45399</v>
      </c>
      <c r="W860" s="43"/>
      <c r="X860" s="342">
        <f t="shared" si="219"/>
        <v>4791.0031961259074</v>
      </c>
      <c r="Y860" s="342">
        <f t="shared" si="220"/>
        <v>1297.5633656174323</v>
      </c>
      <c r="Z860" s="46">
        <f t="shared" si="221"/>
        <v>658.76293946731232</v>
      </c>
      <c r="AA860" s="46">
        <f t="shared" si="222"/>
        <v>3034.3020242130747</v>
      </c>
      <c r="AB860" s="43"/>
      <c r="AC860" s="44">
        <v>41222.589999999997</v>
      </c>
      <c r="AD860" s="31">
        <v>0.12</v>
      </c>
      <c r="AE860" s="31">
        <v>3.2500000000000001E-2</v>
      </c>
      <c r="AF860" s="31">
        <v>0</v>
      </c>
      <c r="AG860" s="28" t="s">
        <v>53</v>
      </c>
      <c r="AH860" s="46">
        <f t="shared" si="223"/>
        <v>42562.324174999994</v>
      </c>
      <c r="AI860" s="43"/>
      <c r="AJ860" s="28"/>
      <c r="AK860" s="337"/>
      <c r="AL860" s="43"/>
      <c r="AM860" s="44">
        <f t="shared" si="224"/>
        <v>0</v>
      </c>
      <c r="AN860" s="43"/>
      <c r="AO860" s="28">
        <f t="shared" si="225"/>
        <v>0</v>
      </c>
      <c r="AP860" s="43"/>
      <c r="AQ860" s="323">
        <f t="shared" si="226"/>
        <v>0</v>
      </c>
      <c r="AR860" s="43"/>
      <c r="AS860" s="44">
        <f t="shared" si="227"/>
        <v>42562.324174999994</v>
      </c>
    </row>
    <row r="861" spans="1:45" x14ac:dyDescent="0.25">
      <c r="A861" s="28"/>
      <c r="B861" s="43"/>
      <c r="C861" s="43"/>
      <c r="D861" s="43"/>
      <c r="E861" s="43" t="s">
        <v>832</v>
      </c>
      <c r="F861" s="43" t="s">
        <v>2224</v>
      </c>
      <c r="G861" s="46">
        <f t="shared" si="214"/>
        <v>34670.292799999996</v>
      </c>
      <c r="H861" s="46">
        <f t="shared" si="215"/>
        <v>31025.972250000003</v>
      </c>
      <c r="I861" s="28" t="s">
        <v>262</v>
      </c>
      <c r="J861" s="337">
        <v>1</v>
      </c>
      <c r="K861" s="46">
        <f t="shared" si="216"/>
        <v>34670.292799999996</v>
      </c>
      <c r="L861" s="46">
        <f t="shared" si="217"/>
        <v>31025.972250000003</v>
      </c>
      <c r="M861" s="338">
        <f t="shared" si="218"/>
        <v>0</v>
      </c>
      <c r="N861" s="43" t="s">
        <v>35</v>
      </c>
      <c r="O861" s="339">
        <v>85364900</v>
      </c>
      <c r="P861" s="340">
        <f>IFERROR(VLOOKUP(O861,NCM!$A$3:$D$99,COLUMN(head_porNCM_IPI)-COLUMN(head_porNCM_NCM)+1,FALSE),"")</f>
        <v>3.2500000000000001E-2</v>
      </c>
      <c r="Q861" s="43" t="s">
        <v>1903</v>
      </c>
      <c r="R861" s="78" t="s">
        <v>210</v>
      </c>
      <c r="S861" s="341"/>
      <c r="T861" s="28" t="s">
        <v>52</v>
      </c>
      <c r="U861" s="28"/>
      <c r="V861" s="548">
        <v>45399</v>
      </c>
      <c r="W861" s="43"/>
      <c r="X861" s="342">
        <f t="shared" si="219"/>
        <v>4578.9512832929777</v>
      </c>
      <c r="Y861" s="342">
        <f t="shared" si="220"/>
        <v>1240.1326392251794</v>
      </c>
      <c r="Z861" s="46">
        <f t="shared" si="221"/>
        <v>629.60580145278448</v>
      </c>
      <c r="AA861" s="46">
        <f t="shared" si="222"/>
        <v>2900.0024794188862</v>
      </c>
      <c r="AB861" s="43"/>
      <c r="AC861" s="44">
        <v>39398.06</v>
      </c>
      <c r="AD861" s="31">
        <v>0.12</v>
      </c>
      <c r="AE861" s="31">
        <v>3.2500000000000001E-2</v>
      </c>
      <c r="AF861" s="31">
        <v>0</v>
      </c>
      <c r="AG861" s="28" t="s">
        <v>53</v>
      </c>
      <c r="AH861" s="46">
        <f t="shared" si="223"/>
        <v>40678.496949999993</v>
      </c>
      <c r="AI861" s="43"/>
      <c r="AJ861" s="28"/>
      <c r="AK861" s="337"/>
      <c r="AL861" s="43"/>
      <c r="AM861" s="44">
        <f t="shared" si="224"/>
        <v>0</v>
      </c>
      <c r="AN861" s="43"/>
      <c r="AO861" s="28">
        <f t="shared" si="225"/>
        <v>0</v>
      </c>
      <c r="AP861" s="43"/>
      <c r="AQ861" s="323">
        <f t="shared" si="226"/>
        <v>0</v>
      </c>
      <c r="AR861" s="43"/>
      <c r="AS861" s="44">
        <f t="shared" si="227"/>
        <v>40678.496949999993</v>
      </c>
    </row>
    <row r="862" spans="1:45" x14ac:dyDescent="0.25">
      <c r="A862" s="28"/>
      <c r="B862" s="43"/>
      <c r="C862" s="43"/>
      <c r="D862" s="43"/>
      <c r="E862" s="43" t="s">
        <v>2225</v>
      </c>
      <c r="F862" s="43" t="s">
        <v>2226</v>
      </c>
      <c r="G862" s="46">
        <f t="shared" si="214"/>
        <v>15431.61</v>
      </c>
      <c r="H862" s="46">
        <f t="shared" si="215"/>
        <v>14004.186075000001</v>
      </c>
      <c r="I862" s="28" t="s">
        <v>262</v>
      </c>
      <c r="J862" s="337">
        <v>1</v>
      </c>
      <c r="K862" s="46">
        <f t="shared" si="216"/>
        <v>15431.61</v>
      </c>
      <c r="L862" s="46">
        <f t="shared" si="217"/>
        <v>14004.186075000001</v>
      </c>
      <c r="M862" s="338">
        <f t="shared" si="218"/>
        <v>0</v>
      </c>
      <c r="N862" s="43" t="s">
        <v>669</v>
      </c>
      <c r="O862" s="339" t="s">
        <v>167</v>
      </c>
      <c r="P862" s="340" t="str">
        <f>IFERROR(VLOOKUP(O862,NCM!$A$3:$D$99,COLUMN(head_porNCM_IPI)-COLUMN(head_porNCM_NCM)+1,FALSE),"")</f>
        <v/>
      </c>
      <c r="Q862" s="43" t="s">
        <v>1903</v>
      </c>
      <c r="R862" s="78" t="s">
        <v>210</v>
      </c>
      <c r="S862" s="341"/>
      <c r="T862" s="28" t="s">
        <v>52</v>
      </c>
      <c r="U862" s="28"/>
      <c r="V862" s="548">
        <v>45399</v>
      </c>
      <c r="W862" s="43"/>
      <c r="X862" s="342">
        <f t="shared" si="219"/>
        <v>0</v>
      </c>
      <c r="Y862" s="342">
        <f t="shared" si="220"/>
        <v>0</v>
      </c>
      <c r="Z862" s="46">
        <f t="shared" si="221"/>
        <v>254.62156500000003</v>
      </c>
      <c r="AA862" s="46">
        <f t="shared" si="222"/>
        <v>1172.8023599999999</v>
      </c>
      <c r="AB862" s="43"/>
      <c r="AC862" s="44">
        <v>15431.61</v>
      </c>
      <c r="AD862" s="31">
        <v>0</v>
      </c>
      <c r="AE862" s="31">
        <v>0</v>
      </c>
      <c r="AF862" s="31">
        <v>0</v>
      </c>
      <c r="AG862" s="28" t="s">
        <v>53</v>
      </c>
      <c r="AH862" s="46">
        <f t="shared" si="223"/>
        <v>15431.61</v>
      </c>
      <c r="AI862" s="43"/>
      <c r="AJ862" s="28"/>
      <c r="AK862" s="337"/>
      <c r="AL862" s="43"/>
      <c r="AM862" s="44">
        <f t="shared" si="224"/>
        <v>0</v>
      </c>
      <c r="AN862" s="43"/>
      <c r="AO862" s="28">
        <f t="shared" si="225"/>
        <v>0</v>
      </c>
      <c r="AP862" s="43"/>
      <c r="AQ862" s="323">
        <f t="shared" si="226"/>
        <v>0</v>
      </c>
      <c r="AR862" s="43"/>
      <c r="AS862" s="44">
        <f t="shared" si="227"/>
        <v>15431.61</v>
      </c>
    </row>
    <row r="863" spans="1:45" x14ac:dyDescent="0.25">
      <c r="A863" s="28"/>
      <c r="B863" s="43"/>
      <c r="C863" s="43"/>
      <c r="D863" s="43"/>
      <c r="E863" s="43" t="s">
        <v>749</v>
      </c>
      <c r="F863" s="43" t="s">
        <v>2227</v>
      </c>
      <c r="G863" s="46">
        <f t="shared" si="214"/>
        <v>21370.444800000001</v>
      </c>
      <c r="H863" s="46">
        <f t="shared" si="215"/>
        <v>19311.313400000003</v>
      </c>
      <c r="I863" s="28" t="s">
        <v>262</v>
      </c>
      <c r="J863" s="337">
        <v>1</v>
      </c>
      <c r="K863" s="46">
        <f t="shared" si="216"/>
        <v>21370.444800000001</v>
      </c>
      <c r="L863" s="46">
        <f t="shared" si="217"/>
        <v>19311.313400000003</v>
      </c>
      <c r="M863" s="338">
        <f t="shared" si="218"/>
        <v>0</v>
      </c>
      <c r="N863" s="43" t="s">
        <v>160</v>
      </c>
      <c r="O863" s="339">
        <v>90303990</v>
      </c>
      <c r="P863" s="340">
        <f>IFERROR(VLOOKUP(O863,NCM!$A$3:$D$99,COLUMN(head_porNCM_IPI)-COLUMN(head_porNCM_NCM)+1,FALSE),"")</f>
        <v>3.2500000000000001E-2</v>
      </c>
      <c r="Q863" s="43" t="s">
        <v>1903</v>
      </c>
      <c r="R863" s="78" t="s">
        <v>210</v>
      </c>
      <c r="S863" s="341"/>
      <c r="T863" s="28" t="s">
        <v>52</v>
      </c>
      <c r="U863" s="28"/>
      <c r="V863" s="548">
        <v>45092</v>
      </c>
      <c r="W863" s="43"/>
      <c r="X863" s="342">
        <f t="shared" si="219"/>
        <v>890.43520000000001</v>
      </c>
      <c r="Y863" s="342">
        <f t="shared" si="220"/>
        <v>0</v>
      </c>
      <c r="Z863" s="46">
        <f t="shared" si="221"/>
        <v>367.30452000000002</v>
      </c>
      <c r="AA863" s="46">
        <f t="shared" si="222"/>
        <v>1691.8268800000001</v>
      </c>
      <c r="AB863" s="43"/>
      <c r="AC863" s="44">
        <v>22260.880000000001</v>
      </c>
      <c r="AD863" s="31">
        <v>0.04</v>
      </c>
      <c r="AE863" s="31">
        <v>0</v>
      </c>
      <c r="AF863" s="31">
        <v>0</v>
      </c>
      <c r="AG863" s="28" t="s">
        <v>53</v>
      </c>
      <c r="AH863" s="46">
        <f t="shared" si="223"/>
        <v>22260.880000000001</v>
      </c>
      <c r="AI863" s="43"/>
      <c r="AJ863" s="28"/>
      <c r="AK863" s="337"/>
      <c r="AL863" s="43"/>
      <c r="AM863" s="44">
        <f t="shared" si="224"/>
        <v>0</v>
      </c>
      <c r="AN863" s="43"/>
      <c r="AO863" s="28">
        <f t="shared" si="225"/>
        <v>0</v>
      </c>
      <c r="AP863" s="43"/>
      <c r="AQ863" s="323">
        <f t="shared" si="226"/>
        <v>0</v>
      </c>
      <c r="AR863" s="43"/>
      <c r="AS863" s="44">
        <f t="shared" si="227"/>
        <v>22260.880000000001</v>
      </c>
    </row>
    <row r="864" spans="1:45" x14ac:dyDescent="0.25">
      <c r="A864" s="28"/>
      <c r="B864" s="43"/>
      <c r="C864" s="43"/>
      <c r="D864" s="43"/>
      <c r="E864" s="43" t="s">
        <v>1004</v>
      </c>
      <c r="F864" s="43" t="s">
        <v>1004</v>
      </c>
      <c r="G864" s="46">
        <f t="shared" si="214"/>
        <v>89396.825396825399</v>
      </c>
      <c r="H864" s="46">
        <f t="shared" si="215"/>
        <v>80000</v>
      </c>
      <c r="I864" s="28" t="s">
        <v>262</v>
      </c>
      <c r="J864" s="337">
        <v>1</v>
      </c>
      <c r="K864" s="46">
        <f t="shared" si="216"/>
        <v>89396.825396825399</v>
      </c>
      <c r="L864" s="46">
        <f t="shared" si="217"/>
        <v>80000</v>
      </c>
      <c r="M864" s="338">
        <f t="shared" si="218"/>
        <v>0</v>
      </c>
      <c r="N864" s="43" t="s">
        <v>37</v>
      </c>
      <c r="O864" s="339">
        <v>85371090</v>
      </c>
      <c r="P864" s="340">
        <f>IFERROR(VLOOKUP(O864,NCM!$A$3:$D$99,COLUMN(head_porNCM_IPI)-COLUMN(head_porNCM_NCM)+1,FALSE),"")</f>
        <v>9.7500000000000003E-2</v>
      </c>
      <c r="Q864" s="43" t="s">
        <v>1109</v>
      </c>
      <c r="R864" s="78" t="s">
        <v>209</v>
      </c>
      <c r="S864" s="341"/>
      <c r="T864" s="28" t="s">
        <v>53</v>
      </c>
      <c r="U864" s="28"/>
      <c r="V864" s="28"/>
      <c r="W864" s="43"/>
      <c r="X864" s="342">
        <f t="shared" si="219"/>
        <v>11107.495389955528</v>
      </c>
      <c r="Y864" s="342">
        <f t="shared" si="220"/>
        <v>9024.8400043388538</v>
      </c>
      <c r="Z864" s="46">
        <f t="shared" si="221"/>
        <v>1527.2806161188851</v>
      </c>
      <c r="AA864" s="46">
        <f t="shared" si="222"/>
        <v>7034.7470803051674</v>
      </c>
      <c r="AB864" s="43"/>
      <c r="AC864" s="44">
        <v>101587.30158730158</v>
      </c>
      <c r="AD864" s="31">
        <v>0.12</v>
      </c>
      <c r="AE864" s="31">
        <v>9.7500000000000003E-2</v>
      </c>
      <c r="AF864" s="31">
        <v>0</v>
      </c>
      <c r="AG864" s="28" t="s">
        <v>53</v>
      </c>
      <c r="AH864" s="46">
        <f t="shared" si="223"/>
        <v>111492.06349206348</v>
      </c>
      <c r="AI864" s="43"/>
      <c r="AJ864" s="28"/>
      <c r="AK864" s="337"/>
      <c r="AL864" s="43"/>
      <c r="AM864" s="44">
        <f t="shared" si="224"/>
        <v>0</v>
      </c>
      <c r="AN864" s="43"/>
      <c r="AO864" s="28">
        <f t="shared" si="225"/>
        <v>0</v>
      </c>
      <c r="AP864" s="43"/>
      <c r="AQ864" s="323">
        <f t="shared" si="226"/>
        <v>0</v>
      </c>
      <c r="AR864" s="43"/>
      <c r="AS864" s="44">
        <f t="shared" si="227"/>
        <v>111492.06349206348</v>
      </c>
    </row>
    <row r="865" spans="1:45" x14ac:dyDescent="0.25">
      <c r="A865" s="28"/>
      <c r="B865" s="43"/>
      <c r="C865" s="43"/>
      <c r="D865" s="43"/>
      <c r="E865" s="43" t="s">
        <v>1005</v>
      </c>
      <c r="F865" s="43" t="s">
        <v>1005</v>
      </c>
      <c r="G865" s="46">
        <f t="shared" si="214"/>
        <v>55873.015873015873</v>
      </c>
      <c r="H865" s="46">
        <f t="shared" si="215"/>
        <v>50000.000000000007</v>
      </c>
      <c r="I865" s="28" t="s">
        <v>262</v>
      </c>
      <c r="J865" s="337">
        <v>1</v>
      </c>
      <c r="K865" s="46">
        <f t="shared" si="216"/>
        <v>55873.015873015873</v>
      </c>
      <c r="L865" s="46">
        <f t="shared" si="217"/>
        <v>50000.000000000007</v>
      </c>
      <c r="M865" s="338">
        <f t="shared" si="218"/>
        <v>0</v>
      </c>
      <c r="N865" s="43" t="s">
        <v>37</v>
      </c>
      <c r="O865" s="339">
        <v>85371090</v>
      </c>
      <c r="P865" s="340">
        <f>IFERROR(VLOOKUP(O865,NCM!$A$3:$D$99,COLUMN(head_porNCM_IPI)-COLUMN(head_porNCM_NCM)+1,FALSE),"")</f>
        <v>9.7500000000000003E-2</v>
      </c>
      <c r="Q865" s="43" t="s">
        <v>1109</v>
      </c>
      <c r="R865" s="78" t="s">
        <v>209</v>
      </c>
      <c r="S865" s="341"/>
      <c r="T865" s="28" t="s">
        <v>53</v>
      </c>
      <c r="U865" s="28"/>
      <c r="V865" s="28"/>
      <c r="W865" s="43"/>
      <c r="X865" s="342">
        <f t="shared" si="219"/>
        <v>6942.1846187222045</v>
      </c>
      <c r="Y865" s="342">
        <f t="shared" si="220"/>
        <v>5640.5250027117872</v>
      </c>
      <c r="Z865" s="46">
        <f t="shared" si="221"/>
        <v>954.55038507430311</v>
      </c>
      <c r="AA865" s="46">
        <f t="shared" si="222"/>
        <v>4396.7169251907289</v>
      </c>
      <c r="AB865" s="43"/>
      <c r="AC865" s="44">
        <v>63492.063492063491</v>
      </c>
      <c r="AD865" s="31">
        <v>0.12</v>
      </c>
      <c r="AE865" s="31">
        <v>9.7500000000000003E-2</v>
      </c>
      <c r="AF865" s="31">
        <v>0</v>
      </c>
      <c r="AG865" s="28" t="s">
        <v>53</v>
      </c>
      <c r="AH865" s="46">
        <f t="shared" si="223"/>
        <v>69682.539682539675</v>
      </c>
      <c r="AI865" s="43"/>
      <c r="AJ865" s="28"/>
      <c r="AK865" s="337"/>
      <c r="AL865" s="43"/>
      <c r="AM865" s="44">
        <f t="shared" si="224"/>
        <v>0</v>
      </c>
      <c r="AN865" s="43"/>
      <c r="AO865" s="28">
        <f t="shared" si="225"/>
        <v>0</v>
      </c>
      <c r="AP865" s="43"/>
      <c r="AQ865" s="323">
        <f t="shared" si="226"/>
        <v>0</v>
      </c>
      <c r="AR865" s="43"/>
      <c r="AS865" s="44">
        <f t="shared" si="227"/>
        <v>69682.539682539675</v>
      </c>
    </row>
    <row r="866" spans="1:45" x14ac:dyDescent="0.25">
      <c r="A866" s="28"/>
      <c r="B866" s="43"/>
      <c r="C866" s="43"/>
      <c r="D866" s="43" t="s">
        <v>2228</v>
      </c>
      <c r="E866" s="43"/>
      <c r="F866" s="43"/>
      <c r="G866" s="46">
        <f t="shared" si="214"/>
        <v>0</v>
      </c>
      <c r="H866" s="46">
        <f t="shared" si="215"/>
        <v>0</v>
      </c>
      <c r="I866" s="28"/>
      <c r="J866" s="337"/>
      <c r="K866" s="46" t="str">
        <f t="shared" si="216"/>
        <v/>
      </c>
      <c r="L866" s="46" t="str">
        <f t="shared" si="217"/>
        <v/>
      </c>
      <c r="M866" s="338">
        <f t="shared" si="218"/>
        <v>0</v>
      </c>
      <c r="N866" s="43"/>
      <c r="O866" s="339"/>
      <c r="P866" s="340" t="str">
        <f>IFERROR(VLOOKUP(O866,NCM!$A$3:$D$99,COLUMN(head_porNCM_IPI)-COLUMN(head_porNCM_NCM)+1,FALSE),"")</f>
        <v/>
      </c>
      <c r="Q866" s="43"/>
      <c r="R866" s="78"/>
      <c r="S866" s="341"/>
      <c r="T866" s="28"/>
      <c r="U866" s="28"/>
      <c r="V866" s="28"/>
      <c r="W866" s="43"/>
      <c r="X866" s="342">
        <f t="shared" si="219"/>
        <v>0</v>
      </c>
      <c r="Y866" s="342">
        <f t="shared" si="220"/>
        <v>0</v>
      </c>
      <c r="Z866" s="46">
        <f t="shared" si="221"/>
        <v>0</v>
      </c>
      <c r="AA866" s="46">
        <f t="shared" si="222"/>
        <v>0</v>
      </c>
      <c r="AB866" s="43"/>
      <c r="AC866" s="44">
        <v>0</v>
      </c>
      <c r="AD866" s="31"/>
      <c r="AE866" s="31"/>
      <c r="AF866" s="31"/>
      <c r="AG866" s="28"/>
      <c r="AH866" s="46">
        <f t="shared" si="223"/>
        <v>0</v>
      </c>
      <c r="AI866" s="43"/>
      <c r="AJ866" s="28"/>
      <c r="AK866" s="337"/>
      <c r="AL866" s="43"/>
      <c r="AM866" s="44">
        <f t="shared" si="224"/>
        <v>0</v>
      </c>
      <c r="AN866" s="43"/>
      <c r="AO866" s="28">
        <f t="shared" si="225"/>
        <v>0</v>
      </c>
      <c r="AP866" s="43"/>
      <c r="AQ866" s="323">
        <f t="shared" si="226"/>
        <v>0</v>
      </c>
      <c r="AR866" s="43"/>
      <c r="AS866" s="44">
        <f t="shared" si="227"/>
        <v>0</v>
      </c>
    </row>
    <row r="867" spans="1:45" x14ac:dyDescent="0.25">
      <c r="A867" s="28"/>
      <c r="B867" s="43"/>
      <c r="C867" s="43"/>
      <c r="D867" s="43"/>
      <c r="E867" s="43" t="s">
        <v>2229</v>
      </c>
      <c r="F867" s="43" t="s">
        <v>3060</v>
      </c>
      <c r="G867" s="46">
        <f t="shared" si="214"/>
        <v>33800.060800000007</v>
      </c>
      <c r="H867" s="46">
        <f t="shared" si="215"/>
        <v>30247.213500000005</v>
      </c>
      <c r="I867" s="28" t="s">
        <v>262</v>
      </c>
      <c r="J867" s="337">
        <v>1</v>
      </c>
      <c r="K867" s="46">
        <f t="shared" si="216"/>
        <v>33800.060800000007</v>
      </c>
      <c r="L867" s="46">
        <f t="shared" si="217"/>
        <v>30247.213500000005</v>
      </c>
      <c r="M867" s="338">
        <f t="shared" si="218"/>
        <v>0</v>
      </c>
      <c r="N867" s="43" t="s">
        <v>35</v>
      </c>
      <c r="O867" s="339">
        <v>85364900</v>
      </c>
      <c r="P867" s="340">
        <f>IFERROR(VLOOKUP(O867,NCM!$A$3:$D$99,COLUMN(head_porNCM_IPI)-COLUMN(head_porNCM_NCM)+1,FALSE),"")</f>
        <v>3.2500000000000001E-2</v>
      </c>
      <c r="Q867" s="43" t="s">
        <v>804</v>
      </c>
      <c r="R867" s="78" t="s">
        <v>210</v>
      </c>
      <c r="S867" s="341"/>
      <c r="T867" s="28" t="s">
        <v>52</v>
      </c>
      <c r="U867" s="28" t="s">
        <v>2741</v>
      </c>
      <c r="V867" s="548">
        <v>45399</v>
      </c>
      <c r="W867" s="43"/>
      <c r="X867" s="342">
        <f t="shared" si="219"/>
        <v>4464.0185956416462</v>
      </c>
      <c r="Y867" s="342">
        <f t="shared" si="220"/>
        <v>1209.0050363196133</v>
      </c>
      <c r="Z867" s="46">
        <f t="shared" si="221"/>
        <v>613.80255690072647</v>
      </c>
      <c r="AA867" s="46">
        <f t="shared" si="222"/>
        <v>2827.2117772397096</v>
      </c>
      <c r="AB867" s="43"/>
      <c r="AC867" s="44">
        <v>38409.160000000003</v>
      </c>
      <c r="AD867" s="31">
        <v>0.12</v>
      </c>
      <c r="AE867" s="31">
        <v>3.2500000000000001E-2</v>
      </c>
      <c r="AF867" s="31">
        <v>0</v>
      </c>
      <c r="AG867" s="28" t="s">
        <v>53</v>
      </c>
      <c r="AH867" s="46">
        <f t="shared" si="223"/>
        <v>39657.457699999999</v>
      </c>
      <c r="AI867" s="43"/>
      <c r="AJ867" s="28" t="s">
        <v>264</v>
      </c>
      <c r="AK867" s="337">
        <v>5.59</v>
      </c>
      <c r="AL867" s="43"/>
      <c r="AM867" s="44">
        <f t="shared" si="224"/>
        <v>0</v>
      </c>
      <c r="AN867" s="43"/>
      <c r="AO867" s="28">
        <f t="shared" si="225"/>
        <v>0</v>
      </c>
      <c r="AP867" s="43"/>
      <c r="AQ867" s="323">
        <f t="shared" si="226"/>
        <v>0</v>
      </c>
      <c r="AR867" s="43"/>
      <c r="AS867" s="44">
        <f t="shared" si="227"/>
        <v>39657.457699999999</v>
      </c>
    </row>
    <row r="868" spans="1:45" x14ac:dyDescent="0.25">
      <c r="A868" s="28"/>
      <c r="B868" s="43"/>
      <c r="C868" s="43"/>
      <c r="D868" s="43"/>
      <c r="E868" s="43" t="s">
        <v>2230</v>
      </c>
      <c r="F868" s="43" t="s">
        <v>3061</v>
      </c>
      <c r="G868" s="46">
        <f t="shared" si="214"/>
        <v>39129.833599999998</v>
      </c>
      <c r="H868" s="46">
        <f t="shared" si="215"/>
        <v>35016.754500000003</v>
      </c>
      <c r="I868" s="28" t="s">
        <v>262</v>
      </c>
      <c r="J868" s="337">
        <v>1</v>
      </c>
      <c r="K868" s="46">
        <f t="shared" si="216"/>
        <v>39129.833599999998</v>
      </c>
      <c r="L868" s="46">
        <f t="shared" si="217"/>
        <v>35016.754500000003</v>
      </c>
      <c r="M868" s="338">
        <f t="shared" si="218"/>
        <v>0</v>
      </c>
      <c r="N868" s="43" t="s">
        <v>35</v>
      </c>
      <c r="O868" s="339">
        <v>85364900</v>
      </c>
      <c r="P868" s="340">
        <f>IFERROR(VLOOKUP(O868,NCM!$A$3:$D$99,COLUMN(head_porNCM_IPI)-COLUMN(head_porNCM_NCM)+1,FALSE),"")</f>
        <v>3.2500000000000001E-2</v>
      </c>
      <c r="Q868" s="43" t="s">
        <v>804</v>
      </c>
      <c r="R868" s="78" t="s">
        <v>210</v>
      </c>
      <c r="S868" s="341"/>
      <c r="T868" s="28" t="s">
        <v>52</v>
      </c>
      <c r="U868" s="28" t="s">
        <v>2741</v>
      </c>
      <c r="V868" s="548">
        <v>45399</v>
      </c>
      <c r="W868" s="43"/>
      <c r="X868" s="342">
        <f t="shared" si="219"/>
        <v>5167.9287167070215</v>
      </c>
      <c r="Y868" s="342">
        <f t="shared" si="220"/>
        <v>1399.6473607748194</v>
      </c>
      <c r="Z868" s="46">
        <f t="shared" si="221"/>
        <v>710.59019854721555</v>
      </c>
      <c r="AA868" s="46">
        <f t="shared" si="222"/>
        <v>3273.0215205811137</v>
      </c>
      <c r="AB868" s="43"/>
      <c r="AC868" s="44">
        <v>44465.72</v>
      </c>
      <c r="AD868" s="31">
        <v>0.12</v>
      </c>
      <c r="AE868" s="31">
        <v>3.2500000000000001E-2</v>
      </c>
      <c r="AF868" s="31">
        <v>0</v>
      </c>
      <c r="AG868" s="28" t="s">
        <v>53</v>
      </c>
      <c r="AH868" s="46">
        <f t="shared" si="223"/>
        <v>45910.855900000002</v>
      </c>
      <c r="AI868" s="43"/>
      <c r="AJ868" s="28" t="s">
        <v>264</v>
      </c>
      <c r="AK868" s="337">
        <v>5.59</v>
      </c>
      <c r="AL868" s="43"/>
      <c r="AM868" s="44">
        <f t="shared" si="224"/>
        <v>0</v>
      </c>
      <c r="AN868" s="43"/>
      <c r="AO868" s="28">
        <f t="shared" si="225"/>
        <v>0</v>
      </c>
      <c r="AP868" s="43"/>
      <c r="AQ868" s="323">
        <f t="shared" si="226"/>
        <v>0</v>
      </c>
      <c r="AR868" s="43"/>
      <c r="AS868" s="44">
        <f t="shared" si="227"/>
        <v>45910.855900000002</v>
      </c>
    </row>
    <row r="869" spans="1:45" x14ac:dyDescent="0.25">
      <c r="A869" s="28"/>
      <c r="B869" s="43"/>
      <c r="C869" s="43"/>
      <c r="D869" s="43"/>
      <c r="E869" s="43" t="s">
        <v>2231</v>
      </c>
      <c r="F869" s="43" t="s">
        <v>3062</v>
      </c>
      <c r="G869" s="46">
        <f t="shared" si="214"/>
        <v>44569.236799999999</v>
      </c>
      <c r="H869" s="46">
        <f t="shared" si="215"/>
        <v>39884.402250000006</v>
      </c>
      <c r="I869" s="28" t="s">
        <v>262</v>
      </c>
      <c r="J869" s="337">
        <v>1</v>
      </c>
      <c r="K869" s="46">
        <f t="shared" si="216"/>
        <v>44569.236799999999</v>
      </c>
      <c r="L869" s="46">
        <f t="shared" si="217"/>
        <v>39884.402250000006</v>
      </c>
      <c r="M869" s="338">
        <f t="shared" si="218"/>
        <v>0</v>
      </c>
      <c r="N869" s="43" t="s">
        <v>35</v>
      </c>
      <c r="O869" s="339">
        <v>85364900</v>
      </c>
      <c r="P869" s="340">
        <f>IFERROR(VLOOKUP(O869,NCM!$A$3:$D$99,COLUMN(head_porNCM_IPI)-COLUMN(head_porNCM_NCM)+1,FALSE),"")</f>
        <v>3.2500000000000001E-2</v>
      </c>
      <c r="Q869" s="43" t="s">
        <v>804</v>
      </c>
      <c r="R869" s="78" t="s">
        <v>210</v>
      </c>
      <c r="S869" s="341"/>
      <c r="T869" s="28" t="s">
        <v>52</v>
      </c>
      <c r="U869" s="28" t="s">
        <v>2741</v>
      </c>
      <c r="V869" s="548">
        <v>45399</v>
      </c>
      <c r="W869" s="43"/>
      <c r="X869" s="342">
        <f t="shared" si="219"/>
        <v>5886.3178692493948</v>
      </c>
      <c r="Y869" s="342">
        <f t="shared" si="220"/>
        <v>1594.2110895883743</v>
      </c>
      <c r="Z869" s="46">
        <f t="shared" si="221"/>
        <v>809.36870702179192</v>
      </c>
      <c r="AA869" s="46">
        <f t="shared" si="222"/>
        <v>3728.0013171912833</v>
      </c>
      <c r="AB869" s="43"/>
      <c r="AC869" s="44">
        <v>50646.86</v>
      </c>
      <c r="AD869" s="31">
        <v>0.12</v>
      </c>
      <c r="AE869" s="31">
        <v>3.2500000000000001E-2</v>
      </c>
      <c r="AF869" s="31">
        <v>0</v>
      </c>
      <c r="AG869" s="28" t="s">
        <v>53</v>
      </c>
      <c r="AH869" s="46">
        <f t="shared" si="223"/>
        <v>52292.882949999999</v>
      </c>
      <c r="AI869" s="43"/>
      <c r="AJ869" s="28" t="s">
        <v>264</v>
      </c>
      <c r="AK869" s="337">
        <v>5.59</v>
      </c>
      <c r="AL869" s="43"/>
      <c r="AM869" s="44">
        <f t="shared" si="224"/>
        <v>0</v>
      </c>
      <c r="AN869" s="43"/>
      <c r="AO869" s="28">
        <f t="shared" si="225"/>
        <v>0</v>
      </c>
      <c r="AP869" s="43"/>
      <c r="AQ869" s="323">
        <f t="shared" si="226"/>
        <v>0</v>
      </c>
      <c r="AR869" s="43"/>
      <c r="AS869" s="44">
        <f t="shared" si="227"/>
        <v>52292.882949999999</v>
      </c>
    </row>
    <row r="870" spans="1:45" x14ac:dyDescent="0.25">
      <c r="A870" s="28"/>
      <c r="B870" s="43"/>
      <c r="C870" s="43"/>
      <c r="D870" s="43"/>
      <c r="E870" s="43" t="s">
        <v>2232</v>
      </c>
      <c r="F870" s="43" t="s">
        <v>3063</v>
      </c>
      <c r="G870" s="46">
        <f t="shared" si="214"/>
        <v>56382.527999999998</v>
      </c>
      <c r="H870" s="46">
        <f t="shared" si="215"/>
        <v>50949.836500000005</v>
      </c>
      <c r="I870" s="28" t="s">
        <v>262</v>
      </c>
      <c r="J870" s="337">
        <v>1</v>
      </c>
      <c r="K870" s="46">
        <f t="shared" si="216"/>
        <v>56382.527999999998</v>
      </c>
      <c r="L870" s="46">
        <f t="shared" si="217"/>
        <v>50949.836500000005</v>
      </c>
      <c r="M870" s="338">
        <f t="shared" si="218"/>
        <v>0</v>
      </c>
      <c r="N870" s="43" t="s">
        <v>35</v>
      </c>
      <c r="O870" s="339">
        <v>85364900</v>
      </c>
      <c r="P870" s="340">
        <f>IFERROR(VLOOKUP(O870,NCM!$A$3:$D$99,COLUMN(head_porNCM_IPI)-COLUMN(head_porNCM_NCM)+1,FALSE),"")</f>
        <v>3.2500000000000001E-2</v>
      </c>
      <c r="Q870" s="43" t="s">
        <v>804</v>
      </c>
      <c r="R870" s="78" t="s">
        <v>210</v>
      </c>
      <c r="S870" s="341"/>
      <c r="T870" s="28" t="s">
        <v>52</v>
      </c>
      <c r="U870" s="28" t="s">
        <v>2741</v>
      </c>
      <c r="V870" s="548">
        <v>45399</v>
      </c>
      <c r="W870" s="43"/>
      <c r="X870" s="342">
        <f t="shared" si="219"/>
        <v>2275.3239709443101</v>
      </c>
      <c r="Y870" s="342">
        <f t="shared" si="220"/>
        <v>1848.7007263922496</v>
      </c>
      <c r="Z870" s="46">
        <f t="shared" si="221"/>
        <v>938.57113801452795</v>
      </c>
      <c r="AA870" s="46">
        <f t="shared" si="222"/>
        <v>4323.1155447941892</v>
      </c>
      <c r="AB870" s="43"/>
      <c r="AC870" s="44">
        <v>58731.8</v>
      </c>
      <c r="AD870" s="31">
        <v>0.04</v>
      </c>
      <c r="AE870" s="31">
        <v>3.2500000000000001E-2</v>
      </c>
      <c r="AF870" s="31">
        <v>0</v>
      </c>
      <c r="AG870" s="28" t="s">
        <v>53</v>
      </c>
      <c r="AH870" s="46">
        <f t="shared" si="223"/>
        <v>60640.583500000001</v>
      </c>
      <c r="AI870" s="43"/>
      <c r="AJ870" s="28" t="s">
        <v>264</v>
      </c>
      <c r="AK870" s="337">
        <v>5.59</v>
      </c>
      <c r="AL870" s="43"/>
      <c r="AM870" s="44">
        <f t="shared" si="224"/>
        <v>0</v>
      </c>
      <c r="AN870" s="43"/>
      <c r="AO870" s="28">
        <f t="shared" si="225"/>
        <v>0</v>
      </c>
      <c r="AP870" s="43"/>
      <c r="AQ870" s="323">
        <f t="shared" si="226"/>
        <v>0</v>
      </c>
      <c r="AR870" s="43"/>
      <c r="AS870" s="44">
        <f t="shared" si="227"/>
        <v>60640.583500000001</v>
      </c>
    </row>
    <row r="871" spans="1:45" x14ac:dyDescent="0.25">
      <c r="A871" s="28"/>
      <c r="B871" s="43"/>
      <c r="C871" s="43"/>
      <c r="D871" s="43"/>
      <c r="E871" s="43" t="s">
        <v>2234</v>
      </c>
      <c r="F871" s="43" t="s">
        <v>3064</v>
      </c>
      <c r="G871" s="46">
        <f t="shared" si="214"/>
        <v>65534.937599999997</v>
      </c>
      <c r="H871" s="46">
        <f t="shared" si="215"/>
        <v>59220.373299999999</v>
      </c>
      <c r="I871" s="28" t="s">
        <v>262</v>
      </c>
      <c r="J871" s="337">
        <v>1</v>
      </c>
      <c r="K871" s="46">
        <f t="shared" si="216"/>
        <v>65534.937599999997</v>
      </c>
      <c r="L871" s="46">
        <f t="shared" si="217"/>
        <v>59220.373299999999</v>
      </c>
      <c r="M871" s="338">
        <f t="shared" si="218"/>
        <v>0</v>
      </c>
      <c r="N871" s="43" t="s">
        <v>35</v>
      </c>
      <c r="O871" s="339">
        <v>85364900</v>
      </c>
      <c r="P871" s="340">
        <f>IFERROR(VLOOKUP(O871,NCM!$A$3:$D$99,COLUMN(head_porNCM_IPI)-COLUMN(head_porNCM_NCM)+1,FALSE),"")</f>
        <v>3.2500000000000001E-2</v>
      </c>
      <c r="Q871" s="43" t="s">
        <v>804</v>
      </c>
      <c r="R871" s="78" t="s">
        <v>210</v>
      </c>
      <c r="S871" s="341"/>
      <c r="T871" s="28" t="s">
        <v>52</v>
      </c>
      <c r="U871" s="28" t="s">
        <v>2741</v>
      </c>
      <c r="V871" s="548">
        <v>45399</v>
      </c>
      <c r="W871" s="43"/>
      <c r="X871" s="342">
        <f t="shared" si="219"/>
        <v>2644.6706053268763</v>
      </c>
      <c r="Y871" s="342">
        <f t="shared" si="220"/>
        <v>2148.7948668280878</v>
      </c>
      <c r="Z871" s="46">
        <f t="shared" si="221"/>
        <v>1090.9266246973366</v>
      </c>
      <c r="AA871" s="46">
        <f t="shared" si="222"/>
        <v>5024.8741501210652</v>
      </c>
      <c r="AB871" s="43"/>
      <c r="AC871" s="44">
        <v>68265.56</v>
      </c>
      <c r="AD871" s="31">
        <v>0.04</v>
      </c>
      <c r="AE871" s="31">
        <v>3.2500000000000001E-2</v>
      </c>
      <c r="AF871" s="31">
        <v>0</v>
      </c>
      <c r="AG871" s="28" t="s">
        <v>53</v>
      </c>
      <c r="AH871" s="46">
        <f t="shared" si="223"/>
        <v>70484.190699999992</v>
      </c>
      <c r="AI871" s="43"/>
      <c r="AJ871" s="28" t="s">
        <v>264</v>
      </c>
      <c r="AK871" s="337">
        <v>5.59</v>
      </c>
      <c r="AL871" s="43"/>
      <c r="AM871" s="44">
        <f t="shared" si="224"/>
        <v>0</v>
      </c>
      <c r="AN871" s="43"/>
      <c r="AO871" s="28">
        <f t="shared" si="225"/>
        <v>0</v>
      </c>
      <c r="AP871" s="43"/>
      <c r="AQ871" s="323">
        <f t="shared" si="226"/>
        <v>0</v>
      </c>
      <c r="AR871" s="43"/>
      <c r="AS871" s="44">
        <f t="shared" si="227"/>
        <v>70484.190699999992</v>
      </c>
    </row>
    <row r="872" spans="1:45" x14ac:dyDescent="0.25">
      <c r="A872" s="28"/>
      <c r="B872" s="43"/>
      <c r="C872" s="43"/>
      <c r="D872" s="43"/>
      <c r="E872" s="43" t="s">
        <v>2233</v>
      </c>
      <c r="F872" s="43" t="s">
        <v>3065</v>
      </c>
      <c r="G872" s="46">
        <f t="shared" si="214"/>
        <v>62933.740799999992</v>
      </c>
      <c r="H872" s="46">
        <f t="shared" si="215"/>
        <v>56869.81265</v>
      </c>
      <c r="I872" s="28" t="s">
        <v>262</v>
      </c>
      <c r="J872" s="337">
        <v>1</v>
      </c>
      <c r="K872" s="46">
        <f t="shared" si="216"/>
        <v>62933.740799999992</v>
      </c>
      <c r="L872" s="46">
        <f t="shared" si="217"/>
        <v>56869.81265</v>
      </c>
      <c r="M872" s="338">
        <f t="shared" si="218"/>
        <v>0</v>
      </c>
      <c r="N872" s="43" t="s">
        <v>35</v>
      </c>
      <c r="O872" s="339">
        <v>85364900</v>
      </c>
      <c r="P872" s="340">
        <f>IFERROR(VLOOKUP(O872,NCM!$A$3:$D$99,COLUMN(head_porNCM_IPI)-COLUMN(head_porNCM_NCM)+1,FALSE),"")</f>
        <v>3.2500000000000001E-2</v>
      </c>
      <c r="Q872" s="43" t="s">
        <v>804</v>
      </c>
      <c r="R872" s="78" t="s">
        <v>210</v>
      </c>
      <c r="S872" s="341"/>
      <c r="T872" s="28" t="s">
        <v>52</v>
      </c>
      <c r="U872" s="28" t="s">
        <v>2741</v>
      </c>
      <c r="V872" s="548">
        <v>45399</v>
      </c>
      <c r="W872" s="43"/>
      <c r="X872" s="342">
        <f t="shared" si="219"/>
        <v>2539.6989830508473</v>
      </c>
      <c r="Y872" s="342">
        <f t="shared" si="220"/>
        <v>2063.5054237288132</v>
      </c>
      <c r="Z872" s="46">
        <f t="shared" si="221"/>
        <v>1047.6258305084746</v>
      </c>
      <c r="AA872" s="46">
        <f t="shared" si="222"/>
        <v>4825.4280677966099</v>
      </c>
      <c r="AB872" s="43"/>
      <c r="AC872" s="44">
        <v>65555.98</v>
      </c>
      <c r="AD872" s="31">
        <v>0.04</v>
      </c>
      <c r="AE872" s="31">
        <v>3.2500000000000001E-2</v>
      </c>
      <c r="AF872" s="31">
        <v>0</v>
      </c>
      <c r="AG872" s="28" t="s">
        <v>53</v>
      </c>
      <c r="AH872" s="46">
        <f t="shared" si="223"/>
        <v>67686.549350000001</v>
      </c>
      <c r="AI872" s="43"/>
      <c r="AJ872" s="28" t="s">
        <v>264</v>
      </c>
      <c r="AK872" s="337">
        <v>5.59</v>
      </c>
      <c r="AL872" s="43"/>
      <c r="AM872" s="44">
        <f t="shared" si="224"/>
        <v>0</v>
      </c>
      <c r="AN872" s="43"/>
      <c r="AO872" s="28">
        <f t="shared" si="225"/>
        <v>0</v>
      </c>
      <c r="AP872" s="43"/>
      <c r="AQ872" s="323">
        <f t="shared" si="226"/>
        <v>0</v>
      </c>
      <c r="AR872" s="43"/>
      <c r="AS872" s="44">
        <f t="shared" si="227"/>
        <v>67686.549350000001</v>
      </c>
    </row>
    <row r="873" spans="1:45" x14ac:dyDescent="0.25">
      <c r="A873" s="28"/>
      <c r="B873" s="43"/>
      <c r="C873" s="43"/>
      <c r="D873" s="43"/>
      <c r="E873" s="43" t="s">
        <v>2235</v>
      </c>
      <c r="F873" s="43" t="s">
        <v>3066</v>
      </c>
      <c r="G873" s="46">
        <f t="shared" si="214"/>
        <v>42550.108799999995</v>
      </c>
      <c r="H873" s="46">
        <f t="shared" si="215"/>
        <v>38450.228524999999</v>
      </c>
      <c r="I873" s="28" t="s">
        <v>262</v>
      </c>
      <c r="J873" s="337">
        <v>1</v>
      </c>
      <c r="K873" s="46">
        <f t="shared" si="216"/>
        <v>42550.108799999995</v>
      </c>
      <c r="L873" s="46">
        <f t="shared" si="217"/>
        <v>38450.228524999999</v>
      </c>
      <c r="M873" s="338">
        <f t="shared" si="218"/>
        <v>0</v>
      </c>
      <c r="N873" s="43" t="s">
        <v>35</v>
      </c>
      <c r="O873" s="339">
        <v>85364900</v>
      </c>
      <c r="P873" s="340">
        <f>IFERROR(VLOOKUP(O873,NCM!$A$3:$D$99,COLUMN(head_porNCM_IPI)-COLUMN(head_porNCM_NCM)+1,FALSE),"")</f>
        <v>3.2500000000000001E-2</v>
      </c>
      <c r="Q873" s="43" t="s">
        <v>804</v>
      </c>
      <c r="R873" s="78" t="s">
        <v>210</v>
      </c>
      <c r="S873" s="341"/>
      <c r="T873" s="28" t="s">
        <v>52</v>
      </c>
      <c r="U873" s="28" t="s">
        <v>2741</v>
      </c>
      <c r="V873" s="548">
        <v>45399</v>
      </c>
      <c r="W873" s="43"/>
      <c r="X873" s="342">
        <f t="shared" si="219"/>
        <v>1717.1149636803873</v>
      </c>
      <c r="Y873" s="342">
        <f t="shared" si="220"/>
        <v>1395.1559079903163</v>
      </c>
      <c r="Z873" s="46">
        <f t="shared" si="221"/>
        <v>708.30992251815985</v>
      </c>
      <c r="AA873" s="46">
        <f t="shared" si="222"/>
        <v>3262.5184309927358</v>
      </c>
      <c r="AB873" s="43"/>
      <c r="AC873" s="44">
        <v>44323.03</v>
      </c>
      <c r="AD873" s="31">
        <v>0.04</v>
      </c>
      <c r="AE873" s="31">
        <v>3.2500000000000001E-2</v>
      </c>
      <c r="AF873" s="31">
        <v>0</v>
      </c>
      <c r="AG873" s="28" t="s">
        <v>53</v>
      </c>
      <c r="AH873" s="46">
        <f t="shared" si="223"/>
        <v>45763.528474999999</v>
      </c>
      <c r="AI873" s="43"/>
      <c r="AJ873" s="28" t="s">
        <v>264</v>
      </c>
      <c r="AK873" s="337">
        <v>5.59</v>
      </c>
      <c r="AL873" s="43"/>
      <c r="AM873" s="44">
        <f t="shared" si="224"/>
        <v>0</v>
      </c>
      <c r="AN873" s="43"/>
      <c r="AO873" s="28">
        <f t="shared" si="225"/>
        <v>0</v>
      </c>
      <c r="AP873" s="43"/>
      <c r="AQ873" s="323">
        <f t="shared" si="226"/>
        <v>0</v>
      </c>
      <c r="AR873" s="43"/>
      <c r="AS873" s="44">
        <f t="shared" si="227"/>
        <v>45763.528474999999</v>
      </c>
    </row>
    <row r="874" spans="1:45" x14ac:dyDescent="0.25">
      <c r="A874" s="28"/>
      <c r="B874" s="43"/>
      <c r="C874" s="43"/>
      <c r="D874" s="43"/>
      <c r="E874" s="43" t="s">
        <v>2237</v>
      </c>
      <c r="F874" s="43" t="s">
        <v>3067</v>
      </c>
      <c r="G874" s="46">
        <f t="shared" si="214"/>
        <v>46716.499199999998</v>
      </c>
      <c r="H874" s="46">
        <f t="shared" si="215"/>
        <v>42215.169849999998</v>
      </c>
      <c r="I874" s="28" t="s">
        <v>262</v>
      </c>
      <c r="J874" s="337">
        <v>1</v>
      </c>
      <c r="K874" s="46">
        <f t="shared" si="216"/>
        <v>46716.499199999998</v>
      </c>
      <c r="L874" s="46">
        <f t="shared" si="217"/>
        <v>42215.169849999998</v>
      </c>
      <c r="M874" s="338">
        <f t="shared" si="218"/>
        <v>0</v>
      </c>
      <c r="N874" s="43" t="s">
        <v>35</v>
      </c>
      <c r="O874" s="339">
        <v>85364900</v>
      </c>
      <c r="P874" s="340">
        <f>IFERROR(VLOOKUP(O874,NCM!$A$3:$D$99,COLUMN(head_porNCM_IPI)-COLUMN(head_porNCM_NCM)+1,FALSE),"")</f>
        <v>3.2500000000000001E-2</v>
      </c>
      <c r="Q874" s="43" t="s">
        <v>804</v>
      </c>
      <c r="R874" s="78" t="s">
        <v>210</v>
      </c>
      <c r="S874" s="341"/>
      <c r="T874" s="28" t="s">
        <v>52</v>
      </c>
      <c r="U874" s="28" t="s">
        <v>2741</v>
      </c>
      <c r="V874" s="548">
        <v>45399</v>
      </c>
      <c r="W874" s="43"/>
      <c r="X874" s="342">
        <f t="shared" si="219"/>
        <v>1885.2501694915254</v>
      </c>
      <c r="Y874" s="342">
        <f t="shared" si="220"/>
        <v>1531.7657627118606</v>
      </c>
      <c r="Z874" s="46">
        <f t="shared" si="221"/>
        <v>777.66569491525433</v>
      </c>
      <c r="AA874" s="46">
        <f t="shared" si="222"/>
        <v>3581.9753220338985</v>
      </c>
      <c r="AB874" s="43"/>
      <c r="AC874" s="44">
        <v>48663.02</v>
      </c>
      <c r="AD874" s="31">
        <v>0.04</v>
      </c>
      <c r="AE874" s="31">
        <v>3.2500000000000001E-2</v>
      </c>
      <c r="AF874" s="31">
        <v>0</v>
      </c>
      <c r="AG874" s="28" t="s">
        <v>53</v>
      </c>
      <c r="AH874" s="46">
        <f t="shared" si="223"/>
        <v>50244.568149999992</v>
      </c>
      <c r="AI874" s="43"/>
      <c r="AJ874" s="28" t="s">
        <v>264</v>
      </c>
      <c r="AK874" s="337">
        <v>5.59</v>
      </c>
      <c r="AL874" s="43"/>
      <c r="AM874" s="44">
        <f t="shared" si="224"/>
        <v>0</v>
      </c>
      <c r="AN874" s="43"/>
      <c r="AO874" s="28">
        <f t="shared" si="225"/>
        <v>0</v>
      </c>
      <c r="AP874" s="43"/>
      <c r="AQ874" s="323">
        <f t="shared" si="226"/>
        <v>0</v>
      </c>
      <c r="AR874" s="43"/>
      <c r="AS874" s="44">
        <f t="shared" si="227"/>
        <v>50244.568149999992</v>
      </c>
    </row>
    <row r="875" spans="1:45" x14ac:dyDescent="0.25">
      <c r="A875" s="28"/>
      <c r="B875" s="43"/>
      <c r="C875" s="43"/>
      <c r="D875" s="43"/>
      <c r="E875" s="43" t="s">
        <v>2236</v>
      </c>
      <c r="F875" s="43" t="s">
        <v>3068</v>
      </c>
      <c r="G875" s="46">
        <f t="shared" si="214"/>
        <v>53978.793600000005</v>
      </c>
      <c r="H875" s="46">
        <f t="shared" si="215"/>
        <v>48777.711925000003</v>
      </c>
      <c r="I875" s="28" t="s">
        <v>262</v>
      </c>
      <c r="J875" s="337">
        <v>1</v>
      </c>
      <c r="K875" s="46">
        <f t="shared" si="216"/>
        <v>53978.793600000005</v>
      </c>
      <c r="L875" s="46">
        <f t="shared" si="217"/>
        <v>48777.711925000003</v>
      </c>
      <c r="M875" s="338">
        <f t="shared" si="218"/>
        <v>0</v>
      </c>
      <c r="N875" s="43" t="s">
        <v>35</v>
      </c>
      <c r="O875" s="339">
        <v>85364900</v>
      </c>
      <c r="P875" s="340">
        <f>IFERROR(VLOOKUP(O875,NCM!$A$3:$D$99,COLUMN(head_porNCM_IPI)-COLUMN(head_porNCM_NCM)+1,FALSE),"")</f>
        <v>3.2500000000000001E-2</v>
      </c>
      <c r="Q875" s="43" t="s">
        <v>804</v>
      </c>
      <c r="R875" s="78" t="s">
        <v>210</v>
      </c>
      <c r="S875" s="341"/>
      <c r="T875" s="28" t="s">
        <v>52</v>
      </c>
      <c r="U875" s="28" t="s">
        <v>2741</v>
      </c>
      <c r="V875" s="548">
        <v>45399</v>
      </c>
      <c r="W875" s="43"/>
      <c r="X875" s="342">
        <f t="shared" si="219"/>
        <v>2178.3209685230026</v>
      </c>
      <c r="Y875" s="342">
        <f t="shared" si="220"/>
        <v>1769.8857869249405</v>
      </c>
      <c r="Z875" s="46">
        <f t="shared" si="221"/>
        <v>898.55739951573855</v>
      </c>
      <c r="AA875" s="46">
        <f t="shared" si="222"/>
        <v>4138.809840193705</v>
      </c>
      <c r="AB875" s="43"/>
      <c r="AC875" s="44">
        <v>56227.91</v>
      </c>
      <c r="AD875" s="31">
        <v>0.04</v>
      </c>
      <c r="AE875" s="31">
        <v>3.2500000000000001E-2</v>
      </c>
      <c r="AF875" s="31">
        <v>0</v>
      </c>
      <c r="AG875" s="28" t="s">
        <v>53</v>
      </c>
      <c r="AH875" s="46">
        <f t="shared" si="223"/>
        <v>58055.317074999999</v>
      </c>
      <c r="AI875" s="43"/>
      <c r="AJ875" s="28" t="s">
        <v>264</v>
      </c>
      <c r="AK875" s="337">
        <v>5.59</v>
      </c>
      <c r="AL875" s="43"/>
      <c r="AM875" s="44">
        <f t="shared" si="224"/>
        <v>0</v>
      </c>
      <c r="AN875" s="43"/>
      <c r="AO875" s="28">
        <f t="shared" si="225"/>
        <v>0</v>
      </c>
      <c r="AP875" s="43"/>
      <c r="AQ875" s="323">
        <f t="shared" si="226"/>
        <v>0</v>
      </c>
      <c r="AR875" s="43"/>
      <c r="AS875" s="44">
        <f t="shared" si="227"/>
        <v>58055.317074999999</v>
      </c>
    </row>
    <row r="876" spans="1:45" x14ac:dyDescent="0.25">
      <c r="A876" s="28"/>
      <c r="B876" s="43"/>
      <c r="C876" s="43"/>
      <c r="D876" s="43"/>
      <c r="E876" s="43" t="s">
        <v>2238</v>
      </c>
      <c r="F876" s="43" t="s">
        <v>3069</v>
      </c>
      <c r="G876" s="46">
        <f t="shared" si="214"/>
        <v>18664.3488</v>
      </c>
      <c r="H876" s="46">
        <f t="shared" si="215"/>
        <v>16865.961025000001</v>
      </c>
      <c r="I876" s="28" t="s">
        <v>262</v>
      </c>
      <c r="J876" s="337">
        <v>1</v>
      </c>
      <c r="K876" s="46">
        <f t="shared" si="216"/>
        <v>18664.3488</v>
      </c>
      <c r="L876" s="46">
        <f t="shared" si="217"/>
        <v>16865.961025000001</v>
      </c>
      <c r="M876" s="338">
        <f t="shared" si="218"/>
        <v>0</v>
      </c>
      <c r="N876" s="43" t="s">
        <v>35</v>
      </c>
      <c r="O876" s="339">
        <v>85364900</v>
      </c>
      <c r="P876" s="340">
        <f>IFERROR(VLOOKUP(O876,NCM!$A$3:$D$99,COLUMN(head_porNCM_IPI)-COLUMN(head_porNCM_NCM)+1,FALSE),"")</f>
        <v>3.2500000000000001E-2</v>
      </c>
      <c r="Q876" s="43" t="s">
        <v>804</v>
      </c>
      <c r="R876" s="78" t="s">
        <v>210</v>
      </c>
      <c r="S876" s="341"/>
      <c r="T876" s="28" t="s">
        <v>52</v>
      </c>
      <c r="U876" s="28" t="s">
        <v>2741</v>
      </c>
      <c r="V876" s="548">
        <v>45399</v>
      </c>
      <c r="W876" s="43"/>
      <c r="X876" s="342">
        <f t="shared" si="219"/>
        <v>753.20213075060531</v>
      </c>
      <c r="Y876" s="342">
        <f t="shared" si="220"/>
        <v>611.97673123486675</v>
      </c>
      <c r="Z876" s="46">
        <f t="shared" si="221"/>
        <v>310.69587893462472</v>
      </c>
      <c r="AA876" s="46">
        <f t="shared" si="222"/>
        <v>1431.08404842615</v>
      </c>
      <c r="AB876" s="43"/>
      <c r="AC876" s="44">
        <v>19442.03</v>
      </c>
      <c r="AD876" s="31">
        <v>0.04</v>
      </c>
      <c r="AE876" s="31">
        <v>3.2500000000000001E-2</v>
      </c>
      <c r="AF876" s="31">
        <v>0</v>
      </c>
      <c r="AG876" s="28" t="s">
        <v>53</v>
      </c>
      <c r="AH876" s="46">
        <f t="shared" si="223"/>
        <v>20073.895974999999</v>
      </c>
      <c r="AI876" s="43"/>
      <c r="AJ876" s="28" t="s">
        <v>264</v>
      </c>
      <c r="AK876" s="337">
        <v>5.59</v>
      </c>
      <c r="AL876" s="43"/>
      <c r="AM876" s="44">
        <f t="shared" si="224"/>
        <v>0</v>
      </c>
      <c r="AN876" s="43"/>
      <c r="AO876" s="28">
        <f t="shared" si="225"/>
        <v>0</v>
      </c>
      <c r="AP876" s="43"/>
      <c r="AQ876" s="323">
        <f t="shared" si="226"/>
        <v>0</v>
      </c>
      <c r="AR876" s="43"/>
      <c r="AS876" s="44">
        <f t="shared" si="227"/>
        <v>20073.895974999999</v>
      </c>
    </row>
    <row r="877" spans="1:45" x14ac:dyDescent="0.25">
      <c r="A877" s="28"/>
      <c r="B877" s="43"/>
      <c r="C877" s="43"/>
      <c r="D877" s="43"/>
      <c r="E877" s="43" t="s">
        <v>2240</v>
      </c>
      <c r="F877" s="43" t="s">
        <v>3117</v>
      </c>
      <c r="G877" s="46">
        <f t="shared" si="214"/>
        <v>23448.5088</v>
      </c>
      <c r="H877" s="46">
        <f t="shared" si="215"/>
        <v>21189.147274999999</v>
      </c>
      <c r="I877" s="28" t="s">
        <v>262</v>
      </c>
      <c r="J877" s="337">
        <v>1</v>
      </c>
      <c r="K877" s="46">
        <f t="shared" si="216"/>
        <v>23448.5088</v>
      </c>
      <c r="L877" s="46">
        <f t="shared" si="217"/>
        <v>21189.147274999999</v>
      </c>
      <c r="M877" s="338">
        <f t="shared" si="218"/>
        <v>0</v>
      </c>
      <c r="N877" s="43" t="s">
        <v>35</v>
      </c>
      <c r="O877" s="339">
        <v>85364900</v>
      </c>
      <c r="P877" s="340">
        <f>IFERROR(VLOOKUP(O877,NCM!$A$3:$D$99,COLUMN(head_porNCM_IPI)-COLUMN(head_porNCM_NCM)+1,FALSE),"")</f>
        <v>3.2500000000000001E-2</v>
      </c>
      <c r="Q877" s="43" t="s">
        <v>804</v>
      </c>
      <c r="R877" s="78" t="s">
        <v>210</v>
      </c>
      <c r="S877" s="341"/>
      <c r="T877" s="28" t="s">
        <v>52</v>
      </c>
      <c r="U877" s="28" t="s">
        <v>2741</v>
      </c>
      <c r="V877" s="548">
        <v>45399</v>
      </c>
      <c r="W877" s="43"/>
      <c r="X877" s="342">
        <f t="shared" si="219"/>
        <v>946.26750605326879</v>
      </c>
      <c r="Y877" s="342">
        <f t="shared" si="220"/>
        <v>768.84234866828047</v>
      </c>
      <c r="Z877" s="46">
        <f t="shared" si="221"/>
        <v>390.33534624697336</v>
      </c>
      <c r="AA877" s="46">
        <f t="shared" si="222"/>
        <v>1797.9082615012105</v>
      </c>
      <c r="AB877" s="43"/>
      <c r="AC877" s="44">
        <v>24425.53</v>
      </c>
      <c r="AD877" s="31">
        <v>0.04</v>
      </c>
      <c r="AE877" s="31">
        <v>3.2500000000000001E-2</v>
      </c>
      <c r="AF877" s="31">
        <v>0</v>
      </c>
      <c r="AG877" s="28" t="s">
        <v>53</v>
      </c>
      <c r="AH877" s="46">
        <f t="shared" si="223"/>
        <v>25219.359724999998</v>
      </c>
      <c r="AI877" s="43"/>
      <c r="AJ877" s="28" t="s">
        <v>264</v>
      </c>
      <c r="AK877" s="337">
        <v>5.59</v>
      </c>
      <c r="AL877" s="43"/>
      <c r="AM877" s="44">
        <f t="shared" si="224"/>
        <v>0</v>
      </c>
      <c r="AN877" s="43"/>
      <c r="AO877" s="28">
        <f t="shared" si="225"/>
        <v>0</v>
      </c>
      <c r="AP877" s="43"/>
      <c r="AQ877" s="323">
        <f t="shared" si="226"/>
        <v>0</v>
      </c>
      <c r="AR877" s="43"/>
      <c r="AS877" s="44">
        <f t="shared" si="227"/>
        <v>25219.359724999998</v>
      </c>
    </row>
    <row r="878" spans="1:45" x14ac:dyDescent="0.25">
      <c r="A878" s="28"/>
      <c r="B878" s="43"/>
      <c r="C878" s="43"/>
      <c r="D878" s="43"/>
      <c r="E878" s="43" t="s">
        <v>2241</v>
      </c>
      <c r="F878" s="43" t="s">
        <v>3118</v>
      </c>
      <c r="G878" s="46">
        <f t="shared" si="214"/>
        <v>30678.076799999999</v>
      </c>
      <c r="H878" s="46">
        <f t="shared" si="215"/>
        <v>27722.116275000004</v>
      </c>
      <c r="I878" s="28" t="s">
        <v>262</v>
      </c>
      <c r="J878" s="337">
        <v>1</v>
      </c>
      <c r="K878" s="46">
        <f t="shared" si="216"/>
        <v>30678.076799999999</v>
      </c>
      <c r="L878" s="46">
        <f t="shared" si="217"/>
        <v>27722.116275000004</v>
      </c>
      <c r="M878" s="338">
        <f t="shared" si="218"/>
        <v>0</v>
      </c>
      <c r="N878" s="43" t="s">
        <v>35</v>
      </c>
      <c r="O878" s="339">
        <v>85364900</v>
      </c>
      <c r="P878" s="340">
        <f>IFERROR(VLOOKUP(O878,NCM!$A$3:$D$99,COLUMN(head_porNCM_IPI)-COLUMN(head_porNCM_NCM)+1,FALSE),"")</f>
        <v>3.2500000000000001E-2</v>
      </c>
      <c r="Q878" s="43" t="s">
        <v>804</v>
      </c>
      <c r="R878" s="78" t="s">
        <v>210</v>
      </c>
      <c r="S878" s="341"/>
      <c r="T878" s="28" t="s">
        <v>52</v>
      </c>
      <c r="U878" s="28" t="s">
        <v>2741</v>
      </c>
      <c r="V878" s="548">
        <v>45399</v>
      </c>
      <c r="W878" s="43"/>
      <c r="X878" s="342">
        <f t="shared" si="219"/>
        <v>1238.0176271186442</v>
      </c>
      <c r="Y878" s="342">
        <f t="shared" si="220"/>
        <v>1005.8893220338978</v>
      </c>
      <c r="Z878" s="46">
        <f t="shared" si="221"/>
        <v>510.68227118644074</v>
      </c>
      <c r="AA878" s="46">
        <f t="shared" si="222"/>
        <v>2352.2334915254237</v>
      </c>
      <c r="AB878" s="43"/>
      <c r="AC878" s="44">
        <v>31956.33</v>
      </c>
      <c r="AD878" s="31">
        <v>0.04</v>
      </c>
      <c r="AE878" s="31">
        <v>3.2500000000000001E-2</v>
      </c>
      <c r="AF878" s="31">
        <v>0</v>
      </c>
      <c r="AG878" s="28" t="s">
        <v>53</v>
      </c>
      <c r="AH878" s="46">
        <f t="shared" si="223"/>
        <v>32994.910725000002</v>
      </c>
      <c r="AI878" s="43"/>
      <c r="AJ878" s="28" t="s">
        <v>264</v>
      </c>
      <c r="AK878" s="337">
        <v>5.59</v>
      </c>
      <c r="AL878" s="43"/>
      <c r="AM878" s="44">
        <f t="shared" si="224"/>
        <v>0</v>
      </c>
      <c r="AN878" s="43"/>
      <c r="AO878" s="28">
        <f t="shared" si="225"/>
        <v>0</v>
      </c>
      <c r="AP878" s="43"/>
      <c r="AQ878" s="323">
        <f t="shared" si="226"/>
        <v>0</v>
      </c>
      <c r="AR878" s="43"/>
      <c r="AS878" s="44">
        <f t="shared" si="227"/>
        <v>32994.910725000002</v>
      </c>
    </row>
    <row r="879" spans="1:45" x14ac:dyDescent="0.25">
      <c r="A879" s="28"/>
      <c r="B879" s="43"/>
      <c r="C879" s="43"/>
      <c r="D879" s="43"/>
      <c r="E879" s="43" t="s">
        <v>2242</v>
      </c>
      <c r="F879" s="43" t="s">
        <v>3119</v>
      </c>
      <c r="G879" s="46">
        <f t="shared" si="214"/>
        <v>27840.9984</v>
      </c>
      <c r="H879" s="46">
        <f t="shared" si="215"/>
        <v>25158.4022</v>
      </c>
      <c r="I879" s="28" t="s">
        <v>262</v>
      </c>
      <c r="J879" s="337">
        <v>1</v>
      </c>
      <c r="K879" s="46">
        <f t="shared" si="216"/>
        <v>27840.9984</v>
      </c>
      <c r="L879" s="46">
        <f t="shared" si="217"/>
        <v>25158.4022</v>
      </c>
      <c r="M879" s="338">
        <f t="shared" si="218"/>
        <v>0</v>
      </c>
      <c r="N879" s="43" t="s">
        <v>35</v>
      </c>
      <c r="O879" s="339">
        <v>85364900</v>
      </c>
      <c r="P879" s="340">
        <f>IFERROR(VLOOKUP(O879,NCM!$A$3:$D$99,COLUMN(head_porNCM_IPI)-COLUMN(head_porNCM_NCM)+1,FALSE),"")</f>
        <v>3.2500000000000001E-2</v>
      </c>
      <c r="Q879" s="43" t="s">
        <v>804</v>
      </c>
      <c r="R879" s="78" t="s">
        <v>210</v>
      </c>
      <c r="S879" s="341"/>
      <c r="T879" s="28" t="s">
        <v>52</v>
      </c>
      <c r="U879" s="28" t="s">
        <v>2741</v>
      </c>
      <c r="V879" s="548">
        <v>45399</v>
      </c>
      <c r="W879" s="43"/>
      <c r="X879" s="342">
        <f t="shared" si="219"/>
        <v>1123.5269733656176</v>
      </c>
      <c r="Y879" s="342">
        <f t="shared" si="220"/>
        <v>912.86566585956461</v>
      </c>
      <c r="Z879" s="46">
        <f t="shared" si="221"/>
        <v>463.45487651331723</v>
      </c>
      <c r="AA879" s="46">
        <f t="shared" si="222"/>
        <v>2134.7012493946731</v>
      </c>
      <c r="AB879" s="43"/>
      <c r="AC879" s="44">
        <v>29001.040000000001</v>
      </c>
      <c r="AD879" s="31">
        <v>0.04</v>
      </c>
      <c r="AE879" s="31">
        <v>3.2500000000000001E-2</v>
      </c>
      <c r="AF879" s="31">
        <v>0</v>
      </c>
      <c r="AG879" s="28" t="s">
        <v>53</v>
      </c>
      <c r="AH879" s="46">
        <f t="shared" si="223"/>
        <v>29943.573800000002</v>
      </c>
      <c r="AI879" s="43"/>
      <c r="AJ879" s="28" t="s">
        <v>264</v>
      </c>
      <c r="AK879" s="337">
        <v>5.59</v>
      </c>
      <c r="AL879" s="43"/>
      <c r="AM879" s="44">
        <f t="shared" si="224"/>
        <v>0</v>
      </c>
      <c r="AN879" s="43"/>
      <c r="AO879" s="28">
        <f t="shared" si="225"/>
        <v>0</v>
      </c>
      <c r="AP879" s="43"/>
      <c r="AQ879" s="323">
        <f t="shared" si="226"/>
        <v>0</v>
      </c>
      <c r="AR879" s="43"/>
      <c r="AS879" s="44">
        <f t="shared" si="227"/>
        <v>29943.573800000002</v>
      </c>
    </row>
    <row r="880" spans="1:45" x14ac:dyDescent="0.25">
      <c r="A880" s="28"/>
      <c r="B880" s="43"/>
      <c r="C880" s="43"/>
      <c r="D880" s="43"/>
      <c r="E880" s="43" t="s">
        <v>2243</v>
      </c>
      <c r="F880" s="43" t="s">
        <v>3120</v>
      </c>
      <c r="G880" s="46">
        <f t="shared" si="214"/>
        <v>34772.006399999998</v>
      </c>
      <c r="H880" s="46">
        <f t="shared" si="215"/>
        <v>31421.578699999998</v>
      </c>
      <c r="I880" s="28" t="s">
        <v>262</v>
      </c>
      <c r="J880" s="337">
        <v>1</v>
      </c>
      <c r="K880" s="46">
        <f t="shared" si="216"/>
        <v>34772.006399999998</v>
      </c>
      <c r="L880" s="46">
        <f t="shared" si="217"/>
        <v>31421.578699999998</v>
      </c>
      <c r="M880" s="338">
        <f t="shared" si="218"/>
        <v>0</v>
      </c>
      <c r="N880" s="43" t="s">
        <v>35</v>
      </c>
      <c r="O880" s="339">
        <v>85364900</v>
      </c>
      <c r="P880" s="340">
        <f>IFERROR(VLOOKUP(O880,NCM!$A$3:$D$99,COLUMN(head_porNCM_IPI)-COLUMN(head_porNCM_NCM)+1,FALSE),"")</f>
        <v>3.2500000000000001E-2</v>
      </c>
      <c r="Q880" s="43" t="s">
        <v>804</v>
      </c>
      <c r="R880" s="78" t="s">
        <v>210</v>
      </c>
      <c r="S880" s="341"/>
      <c r="T880" s="28" t="s">
        <v>52</v>
      </c>
      <c r="U880" s="28" t="s">
        <v>2741</v>
      </c>
      <c r="V880" s="548">
        <v>45399</v>
      </c>
      <c r="W880" s="43"/>
      <c r="X880" s="342">
        <f t="shared" si="219"/>
        <v>1403.2286682808717</v>
      </c>
      <c r="Y880" s="342">
        <f t="shared" si="220"/>
        <v>1140.1232929782054</v>
      </c>
      <c r="Z880" s="46">
        <f t="shared" si="221"/>
        <v>578.83182566585958</v>
      </c>
      <c r="AA880" s="46">
        <f t="shared" si="222"/>
        <v>2666.1344697336563</v>
      </c>
      <c r="AB880" s="43"/>
      <c r="AC880" s="44">
        <v>36220.839999999997</v>
      </c>
      <c r="AD880" s="31">
        <v>0.04</v>
      </c>
      <c r="AE880" s="31">
        <v>3.2500000000000001E-2</v>
      </c>
      <c r="AF880" s="31">
        <v>0</v>
      </c>
      <c r="AG880" s="28" t="s">
        <v>53</v>
      </c>
      <c r="AH880" s="46">
        <f t="shared" si="223"/>
        <v>37398.017299999992</v>
      </c>
      <c r="AI880" s="43"/>
      <c r="AJ880" s="28" t="s">
        <v>264</v>
      </c>
      <c r="AK880" s="337">
        <v>5.59</v>
      </c>
      <c r="AL880" s="43"/>
      <c r="AM880" s="44">
        <f t="shared" si="224"/>
        <v>0</v>
      </c>
      <c r="AN880" s="43"/>
      <c r="AO880" s="28">
        <f t="shared" si="225"/>
        <v>0</v>
      </c>
      <c r="AP880" s="43"/>
      <c r="AQ880" s="323">
        <f t="shared" si="226"/>
        <v>0</v>
      </c>
      <c r="AR880" s="43"/>
      <c r="AS880" s="44">
        <f t="shared" si="227"/>
        <v>37398.017299999992</v>
      </c>
    </row>
    <row r="881" spans="1:45" x14ac:dyDescent="0.25">
      <c r="A881" s="28"/>
      <c r="B881" s="43"/>
      <c r="C881" s="43"/>
      <c r="D881" s="43"/>
      <c r="E881" s="43" t="s">
        <v>2246</v>
      </c>
      <c r="F881" s="43" t="s">
        <v>3070</v>
      </c>
      <c r="G881" s="46">
        <f t="shared" si="214"/>
        <v>83102.793600000005</v>
      </c>
      <c r="H881" s="46">
        <f t="shared" si="215"/>
        <v>75095.493175000011</v>
      </c>
      <c r="I881" s="28" t="s">
        <v>262</v>
      </c>
      <c r="J881" s="337">
        <v>1</v>
      </c>
      <c r="K881" s="46">
        <f t="shared" si="216"/>
        <v>83102.793600000005</v>
      </c>
      <c r="L881" s="46">
        <f t="shared" si="217"/>
        <v>75095.493175000011</v>
      </c>
      <c r="M881" s="338">
        <f t="shared" si="218"/>
        <v>0</v>
      </c>
      <c r="N881" s="43" t="s">
        <v>35</v>
      </c>
      <c r="O881" s="339">
        <v>85364900</v>
      </c>
      <c r="P881" s="340">
        <f>IFERROR(VLOOKUP(O881,NCM!$A$3:$D$99,COLUMN(head_porNCM_IPI)-COLUMN(head_porNCM_NCM)+1,FALSE),"")</f>
        <v>3.2500000000000001E-2</v>
      </c>
      <c r="Q881" s="43" t="s">
        <v>804</v>
      </c>
      <c r="R881" s="78" t="s">
        <v>210</v>
      </c>
      <c r="S881" s="341"/>
      <c r="T881" s="28" t="s">
        <v>52</v>
      </c>
      <c r="U881" s="28" t="s">
        <v>2741</v>
      </c>
      <c r="V881" s="548">
        <v>45399</v>
      </c>
      <c r="W881" s="43"/>
      <c r="X881" s="342">
        <f t="shared" si="219"/>
        <v>3353.6236319612594</v>
      </c>
      <c r="Y881" s="342">
        <f t="shared" si="220"/>
        <v>2724.8192009685154</v>
      </c>
      <c r="Z881" s="46">
        <f t="shared" si="221"/>
        <v>1383.3697481840197</v>
      </c>
      <c r="AA881" s="46">
        <f t="shared" si="222"/>
        <v>6371.8849007263925</v>
      </c>
      <c r="AB881" s="43"/>
      <c r="AC881" s="44">
        <v>86565.41</v>
      </c>
      <c r="AD881" s="31">
        <v>0.04</v>
      </c>
      <c r="AE881" s="31">
        <v>3.2500000000000001E-2</v>
      </c>
      <c r="AF881" s="31">
        <v>0</v>
      </c>
      <c r="AG881" s="28" t="s">
        <v>53</v>
      </c>
      <c r="AH881" s="46">
        <f t="shared" si="223"/>
        <v>89378.785824999999</v>
      </c>
      <c r="AI881" s="43"/>
      <c r="AJ881" s="28" t="s">
        <v>264</v>
      </c>
      <c r="AK881" s="337">
        <v>5.59</v>
      </c>
      <c r="AL881" s="43"/>
      <c r="AM881" s="44">
        <f t="shared" si="224"/>
        <v>0</v>
      </c>
      <c r="AN881" s="43"/>
      <c r="AO881" s="28">
        <f t="shared" si="225"/>
        <v>0</v>
      </c>
      <c r="AP881" s="43"/>
      <c r="AQ881" s="323">
        <f t="shared" si="226"/>
        <v>0</v>
      </c>
      <c r="AR881" s="43"/>
      <c r="AS881" s="44">
        <f t="shared" si="227"/>
        <v>89378.785824999999</v>
      </c>
    </row>
    <row r="882" spans="1:45" x14ac:dyDescent="0.25">
      <c r="A882" s="28"/>
      <c r="B882" s="43"/>
      <c r="C882" s="43"/>
      <c r="D882" s="43"/>
      <c r="E882" s="43" t="s">
        <v>2247</v>
      </c>
      <c r="F882" s="43" t="s">
        <v>3071</v>
      </c>
      <c r="G882" s="46">
        <f t="shared" si="214"/>
        <v>90996.547200000001</v>
      </c>
      <c r="H882" s="46">
        <f t="shared" si="215"/>
        <v>82228.650725000014</v>
      </c>
      <c r="I882" s="28" t="s">
        <v>262</v>
      </c>
      <c r="J882" s="337">
        <v>1</v>
      </c>
      <c r="K882" s="46">
        <f t="shared" si="216"/>
        <v>90996.547200000001</v>
      </c>
      <c r="L882" s="46">
        <f t="shared" si="217"/>
        <v>82228.650725000014</v>
      </c>
      <c r="M882" s="338">
        <f t="shared" si="218"/>
        <v>0</v>
      </c>
      <c r="N882" s="43" t="s">
        <v>35</v>
      </c>
      <c r="O882" s="339">
        <v>85364900</v>
      </c>
      <c r="P882" s="340">
        <f>IFERROR(VLOOKUP(O882,NCM!$A$3:$D$99,COLUMN(head_porNCM_IPI)-COLUMN(head_porNCM_NCM)+1,FALSE),"")</f>
        <v>3.2500000000000001E-2</v>
      </c>
      <c r="Q882" s="43" t="s">
        <v>804</v>
      </c>
      <c r="R882" s="78" t="s">
        <v>210</v>
      </c>
      <c r="S882" s="341"/>
      <c r="T882" s="28" t="s">
        <v>52</v>
      </c>
      <c r="U882" s="28" t="s">
        <v>2741</v>
      </c>
      <c r="V882" s="548">
        <v>45399</v>
      </c>
      <c r="W882" s="43"/>
      <c r="X882" s="342">
        <f t="shared" si="219"/>
        <v>3672.1770460048429</v>
      </c>
      <c r="Y882" s="342">
        <f t="shared" si="220"/>
        <v>2983.6438498789357</v>
      </c>
      <c r="Z882" s="46">
        <f t="shared" si="221"/>
        <v>1514.7730314769979</v>
      </c>
      <c r="AA882" s="46">
        <f t="shared" si="222"/>
        <v>6977.1363874092012</v>
      </c>
      <c r="AB882" s="43"/>
      <c r="AC882" s="44">
        <v>94788.07</v>
      </c>
      <c r="AD882" s="31">
        <v>0.04</v>
      </c>
      <c r="AE882" s="31">
        <v>3.2500000000000001E-2</v>
      </c>
      <c r="AF882" s="31">
        <v>0</v>
      </c>
      <c r="AG882" s="28" t="s">
        <v>53</v>
      </c>
      <c r="AH882" s="46">
        <f t="shared" si="223"/>
        <v>97868.682274999999</v>
      </c>
      <c r="AI882" s="43"/>
      <c r="AJ882" s="28" t="s">
        <v>264</v>
      </c>
      <c r="AK882" s="337">
        <v>5.59</v>
      </c>
      <c r="AL882" s="43"/>
      <c r="AM882" s="44">
        <f t="shared" si="224"/>
        <v>0</v>
      </c>
      <c r="AN882" s="43"/>
      <c r="AO882" s="28">
        <f t="shared" si="225"/>
        <v>0</v>
      </c>
      <c r="AP882" s="43"/>
      <c r="AQ882" s="323">
        <f t="shared" si="226"/>
        <v>0</v>
      </c>
      <c r="AR882" s="43"/>
      <c r="AS882" s="44">
        <f t="shared" si="227"/>
        <v>97868.682274999999</v>
      </c>
    </row>
    <row r="883" spans="1:45" x14ac:dyDescent="0.25">
      <c r="A883" s="28"/>
      <c r="B883" s="43"/>
      <c r="C883" s="43"/>
      <c r="D883" s="43"/>
      <c r="E883" s="43" t="s">
        <v>2248</v>
      </c>
      <c r="F883" s="43" t="s">
        <v>3072</v>
      </c>
      <c r="G883" s="46">
        <f t="shared" si="214"/>
        <v>93739.651199999993</v>
      </c>
      <c r="H883" s="46">
        <f t="shared" si="215"/>
        <v>84707.445225000003</v>
      </c>
      <c r="I883" s="28" t="s">
        <v>262</v>
      </c>
      <c r="J883" s="337">
        <v>1</v>
      </c>
      <c r="K883" s="46">
        <f t="shared" si="216"/>
        <v>93739.651199999993</v>
      </c>
      <c r="L883" s="46">
        <f t="shared" si="217"/>
        <v>84707.445225000003</v>
      </c>
      <c r="M883" s="338">
        <f t="shared" si="218"/>
        <v>0</v>
      </c>
      <c r="N883" s="43" t="s">
        <v>35</v>
      </c>
      <c r="O883" s="339">
        <v>85364900</v>
      </c>
      <c r="P883" s="340">
        <f>IFERROR(VLOOKUP(O883,NCM!$A$3:$D$99,COLUMN(head_porNCM_IPI)-COLUMN(head_porNCM_NCM)+1,FALSE),"")</f>
        <v>3.2500000000000001E-2</v>
      </c>
      <c r="Q883" s="43" t="s">
        <v>804</v>
      </c>
      <c r="R883" s="78" t="s">
        <v>210</v>
      </c>
      <c r="S883" s="341"/>
      <c r="T883" s="28" t="s">
        <v>52</v>
      </c>
      <c r="U883" s="28" t="s">
        <v>2741</v>
      </c>
      <c r="V883" s="548">
        <v>45399</v>
      </c>
      <c r="W883" s="43"/>
      <c r="X883" s="342">
        <f t="shared" si="219"/>
        <v>3782.8753510895885</v>
      </c>
      <c r="Y883" s="342">
        <f t="shared" si="220"/>
        <v>3073.586222760292</v>
      </c>
      <c r="Z883" s="46">
        <f t="shared" si="221"/>
        <v>1560.4360823244554</v>
      </c>
      <c r="AA883" s="46">
        <f t="shared" si="222"/>
        <v>7187.4631670702174</v>
      </c>
      <c r="AB883" s="43"/>
      <c r="AC883" s="44">
        <v>97645.47</v>
      </c>
      <c r="AD883" s="31">
        <v>0.04</v>
      </c>
      <c r="AE883" s="31">
        <v>3.2500000000000001E-2</v>
      </c>
      <c r="AF883" s="31">
        <v>0</v>
      </c>
      <c r="AG883" s="28" t="s">
        <v>53</v>
      </c>
      <c r="AH883" s="46">
        <f t="shared" si="223"/>
        <v>100818.94777499999</v>
      </c>
      <c r="AI883" s="43"/>
      <c r="AJ883" s="28" t="s">
        <v>264</v>
      </c>
      <c r="AK883" s="337">
        <v>5.59</v>
      </c>
      <c r="AL883" s="43"/>
      <c r="AM883" s="44">
        <f t="shared" si="224"/>
        <v>0</v>
      </c>
      <c r="AN883" s="43"/>
      <c r="AO883" s="28">
        <f t="shared" si="225"/>
        <v>0</v>
      </c>
      <c r="AP883" s="43"/>
      <c r="AQ883" s="323">
        <f t="shared" si="226"/>
        <v>0</v>
      </c>
      <c r="AR883" s="43"/>
      <c r="AS883" s="44">
        <f t="shared" si="227"/>
        <v>100818.94777499999</v>
      </c>
    </row>
    <row r="884" spans="1:45" x14ac:dyDescent="0.25">
      <c r="A884" s="28"/>
      <c r="B884" s="43"/>
      <c r="C884" s="43"/>
      <c r="D884" s="43"/>
      <c r="E884" s="43" t="s">
        <v>2249</v>
      </c>
      <c r="F884" s="43" t="s">
        <v>3073</v>
      </c>
      <c r="G884" s="46">
        <f t="shared" si="214"/>
        <v>106150.20480000001</v>
      </c>
      <c r="H884" s="46">
        <f t="shared" si="215"/>
        <v>95922.190275000015</v>
      </c>
      <c r="I884" s="28" t="s">
        <v>262</v>
      </c>
      <c r="J884" s="337">
        <v>1</v>
      </c>
      <c r="K884" s="46">
        <f t="shared" si="216"/>
        <v>106150.20480000001</v>
      </c>
      <c r="L884" s="46">
        <f t="shared" si="217"/>
        <v>95922.190275000015</v>
      </c>
      <c r="M884" s="338">
        <f t="shared" si="218"/>
        <v>0</v>
      </c>
      <c r="N884" s="43" t="s">
        <v>35</v>
      </c>
      <c r="O884" s="339">
        <v>85364900</v>
      </c>
      <c r="P884" s="340">
        <f>IFERROR(VLOOKUP(O884,NCM!$A$3:$D$99,COLUMN(head_porNCM_IPI)-COLUMN(head_porNCM_NCM)+1,FALSE),"")</f>
        <v>3.2500000000000001E-2</v>
      </c>
      <c r="Q884" s="43" t="s">
        <v>804</v>
      </c>
      <c r="R884" s="78" t="s">
        <v>210</v>
      </c>
      <c r="S884" s="341"/>
      <c r="T884" s="28" t="s">
        <v>52</v>
      </c>
      <c r="U884" s="28" t="s">
        <v>2741</v>
      </c>
      <c r="V884" s="548">
        <v>45399</v>
      </c>
      <c r="W884" s="43"/>
      <c r="X884" s="342">
        <f t="shared" si="219"/>
        <v>4283.7047941888623</v>
      </c>
      <c r="Y884" s="342">
        <f t="shared" si="220"/>
        <v>3480.5101452784438</v>
      </c>
      <c r="Z884" s="46">
        <f t="shared" si="221"/>
        <v>1767.0282276029059</v>
      </c>
      <c r="AA884" s="46">
        <f t="shared" si="222"/>
        <v>8139.0391089588384</v>
      </c>
      <c r="AB884" s="43"/>
      <c r="AC884" s="44">
        <v>110573.13</v>
      </c>
      <c r="AD884" s="31">
        <v>0.04</v>
      </c>
      <c r="AE884" s="31">
        <v>3.2500000000000001E-2</v>
      </c>
      <c r="AF884" s="31">
        <v>0</v>
      </c>
      <c r="AG884" s="28" t="s">
        <v>53</v>
      </c>
      <c r="AH884" s="46">
        <f t="shared" si="223"/>
        <v>114166.756725</v>
      </c>
      <c r="AI884" s="43"/>
      <c r="AJ884" s="28" t="s">
        <v>264</v>
      </c>
      <c r="AK884" s="337">
        <v>5.59</v>
      </c>
      <c r="AL884" s="43"/>
      <c r="AM884" s="44">
        <f t="shared" si="224"/>
        <v>0</v>
      </c>
      <c r="AN884" s="43"/>
      <c r="AO884" s="28">
        <f t="shared" si="225"/>
        <v>0</v>
      </c>
      <c r="AP884" s="43"/>
      <c r="AQ884" s="323">
        <f t="shared" si="226"/>
        <v>0</v>
      </c>
      <c r="AR884" s="43"/>
      <c r="AS884" s="44">
        <f t="shared" si="227"/>
        <v>114166.756725</v>
      </c>
    </row>
    <row r="885" spans="1:45" x14ac:dyDescent="0.25">
      <c r="A885" s="28"/>
      <c r="B885" s="43"/>
      <c r="C885" s="43"/>
      <c r="D885" s="43"/>
      <c r="E885" s="43" t="s">
        <v>2250</v>
      </c>
      <c r="F885" s="43" t="s">
        <v>3074</v>
      </c>
      <c r="G885" s="46">
        <f t="shared" si="214"/>
        <v>117029.42399999998</v>
      </c>
      <c r="H885" s="46">
        <f t="shared" si="215"/>
        <v>105753.151375</v>
      </c>
      <c r="I885" s="28" t="s">
        <v>262</v>
      </c>
      <c r="J885" s="337">
        <v>1</v>
      </c>
      <c r="K885" s="46">
        <f t="shared" si="216"/>
        <v>117029.42399999998</v>
      </c>
      <c r="L885" s="46">
        <f t="shared" si="217"/>
        <v>105753.151375</v>
      </c>
      <c r="M885" s="338">
        <f t="shared" si="218"/>
        <v>0</v>
      </c>
      <c r="N885" s="43" t="s">
        <v>35</v>
      </c>
      <c r="O885" s="339">
        <v>85364900</v>
      </c>
      <c r="P885" s="340">
        <f>IFERROR(VLOOKUP(O885,NCM!$A$3:$D$99,COLUMN(head_porNCM_IPI)-COLUMN(head_porNCM_NCM)+1,FALSE),"")</f>
        <v>3.2500000000000001E-2</v>
      </c>
      <c r="Q885" s="43" t="s">
        <v>804</v>
      </c>
      <c r="R885" s="78" t="s">
        <v>210</v>
      </c>
      <c r="S885" s="341"/>
      <c r="T885" s="28" t="s">
        <v>52</v>
      </c>
      <c r="U885" s="28" t="s">
        <v>2741</v>
      </c>
      <c r="V885" s="548">
        <v>45399</v>
      </c>
      <c r="W885" s="43"/>
      <c r="X885" s="342">
        <f t="shared" si="219"/>
        <v>4722.7370460048423</v>
      </c>
      <c r="Y885" s="342">
        <f t="shared" si="220"/>
        <v>3837.2238498789375</v>
      </c>
      <c r="Z885" s="46">
        <f t="shared" si="221"/>
        <v>1948.1290314769976</v>
      </c>
      <c r="AA885" s="46">
        <f t="shared" si="222"/>
        <v>8973.2003874092006</v>
      </c>
      <c r="AB885" s="43"/>
      <c r="AC885" s="44">
        <v>121905.65</v>
      </c>
      <c r="AD885" s="31">
        <v>0.04</v>
      </c>
      <c r="AE885" s="31">
        <v>3.2500000000000001E-2</v>
      </c>
      <c r="AF885" s="31">
        <v>0</v>
      </c>
      <c r="AG885" s="28" t="s">
        <v>53</v>
      </c>
      <c r="AH885" s="46">
        <f t="shared" si="223"/>
        <v>125867.58362499998</v>
      </c>
      <c r="AI885" s="43"/>
      <c r="AJ885" s="28" t="s">
        <v>264</v>
      </c>
      <c r="AK885" s="337">
        <v>5.59</v>
      </c>
      <c r="AL885" s="43"/>
      <c r="AM885" s="44">
        <f t="shared" si="224"/>
        <v>0</v>
      </c>
      <c r="AN885" s="43"/>
      <c r="AO885" s="28">
        <f t="shared" si="225"/>
        <v>0</v>
      </c>
      <c r="AP885" s="43"/>
      <c r="AQ885" s="323">
        <f t="shared" si="226"/>
        <v>0</v>
      </c>
      <c r="AR885" s="43"/>
      <c r="AS885" s="44">
        <f t="shared" si="227"/>
        <v>125867.58362499998</v>
      </c>
    </row>
    <row r="886" spans="1:45" x14ac:dyDescent="0.25">
      <c r="A886" s="28"/>
      <c r="B886" s="43"/>
      <c r="C886" s="43"/>
      <c r="D886" s="43"/>
      <c r="E886" s="43" t="s">
        <v>2251</v>
      </c>
      <c r="F886" s="43" t="s">
        <v>3075</v>
      </c>
      <c r="G886" s="46">
        <f t="shared" si="214"/>
        <v>23081.654399999999</v>
      </c>
      <c r="H886" s="46">
        <f t="shared" si="215"/>
        <v>20857.640825000002</v>
      </c>
      <c r="I886" s="28" t="s">
        <v>262</v>
      </c>
      <c r="J886" s="337">
        <v>1</v>
      </c>
      <c r="K886" s="46">
        <f t="shared" si="216"/>
        <v>23081.654399999999</v>
      </c>
      <c r="L886" s="46">
        <f t="shared" si="217"/>
        <v>20857.640825000002</v>
      </c>
      <c r="M886" s="338">
        <f t="shared" si="218"/>
        <v>0</v>
      </c>
      <c r="N886" s="43" t="s">
        <v>35</v>
      </c>
      <c r="O886" s="339">
        <v>85364900</v>
      </c>
      <c r="P886" s="340">
        <f>IFERROR(VLOOKUP(O886,NCM!$A$3:$D$99,COLUMN(head_porNCM_IPI)-COLUMN(head_porNCM_NCM)+1,FALSE),"")</f>
        <v>3.2500000000000001E-2</v>
      </c>
      <c r="Q886" s="43" t="s">
        <v>804</v>
      </c>
      <c r="R886" s="78" t="s">
        <v>210</v>
      </c>
      <c r="S886" s="341"/>
      <c r="T886" s="28" t="s">
        <v>52</v>
      </c>
      <c r="U886" s="28" t="s">
        <v>2741</v>
      </c>
      <c r="V886" s="548">
        <v>45399</v>
      </c>
      <c r="W886" s="43"/>
      <c r="X886" s="342">
        <f t="shared" si="219"/>
        <v>931.46305084745768</v>
      </c>
      <c r="Y886" s="342">
        <f t="shared" si="220"/>
        <v>756.81372881355855</v>
      </c>
      <c r="Z886" s="46">
        <f t="shared" si="221"/>
        <v>384.2285084745763</v>
      </c>
      <c r="AA886" s="46">
        <f t="shared" si="222"/>
        <v>1769.7797966101696</v>
      </c>
      <c r="AB886" s="43"/>
      <c r="AC886" s="44">
        <v>24043.39</v>
      </c>
      <c r="AD886" s="31">
        <v>0.04</v>
      </c>
      <c r="AE886" s="31">
        <v>3.2500000000000001E-2</v>
      </c>
      <c r="AF886" s="31">
        <v>0</v>
      </c>
      <c r="AG886" s="28" t="s">
        <v>53</v>
      </c>
      <c r="AH886" s="46">
        <f t="shared" si="223"/>
        <v>24824.800175</v>
      </c>
      <c r="AI886" s="43"/>
      <c r="AJ886" s="28" t="s">
        <v>264</v>
      </c>
      <c r="AK886" s="337">
        <v>5.59</v>
      </c>
      <c r="AL886" s="43"/>
      <c r="AM886" s="44">
        <f t="shared" si="224"/>
        <v>0</v>
      </c>
      <c r="AN886" s="43"/>
      <c r="AO886" s="28">
        <f t="shared" si="225"/>
        <v>0</v>
      </c>
      <c r="AP886" s="43"/>
      <c r="AQ886" s="323">
        <f t="shared" si="226"/>
        <v>0</v>
      </c>
      <c r="AR886" s="43"/>
      <c r="AS886" s="44">
        <f t="shared" si="227"/>
        <v>24824.800175</v>
      </c>
    </row>
    <row r="887" spans="1:45" x14ac:dyDescent="0.25">
      <c r="A887" s="28"/>
      <c r="B887" s="43"/>
      <c r="C887" s="43"/>
      <c r="D887" s="43"/>
      <c r="E887" s="43" t="s">
        <v>2252</v>
      </c>
      <c r="F887" s="43" t="s">
        <v>3076</v>
      </c>
      <c r="G887" s="46">
        <f t="shared" si="214"/>
        <v>28049.4048</v>
      </c>
      <c r="H887" s="46">
        <f t="shared" si="215"/>
        <v>25346.727775000003</v>
      </c>
      <c r="I887" s="28" t="s">
        <v>262</v>
      </c>
      <c r="J887" s="337">
        <v>1</v>
      </c>
      <c r="K887" s="46">
        <f t="shared" si="216"/>
        <v>28049.4048</v>
      </c>
      <c r="L887" s="46">
        <f t="shared" si="217"/>
        <v>25346.727775000003</v>
      </c>
      <c r="M887" s="338">
        <f t="shared" si="218"/>
        <v>0</v>
      </c>
      <c r="N887" s="43" t="s">
        <v>35</v>
      </c>
      <c r="O887" s="339">
        <v>85364900</v>
      </c>
      <c r="P887" s="340">
        <f>IFERROR(VLOOKUP(O887,NCM!$A$3:$D$99,COLUMN(head_porNCM_IPI)-COLUMN(head_porNCM_NCM)+1,FALSE),"")</f>
        <v>3.2500000000000001E-2</v>
      </c>
      <c r="Q887" s="43" t="s">
        <v>804</v>
      </c>
      <c r="R887" s="78" t="s">
        <v>210</v>
      </c>
      <c r="S887" s="341"/>
      <c r="T887" s="28" t="s">
        <v>52</v>
      </c>
      <c r="U887" s="28" t="s">
        <v>2741</v>
      </c>
      <c r="V887" s="548">
        <v>45399</v>
      </c>
      <c r="W887" s="43"/>
      <c r="X887" s="342">
        <f t="shared" si="219"/>
        <v>1131.9372397094432</v>
      </c>
      <c r="Y887" s="342">
        <f t="shared" si="220"/>
        <v>919.69900726392007</v>
      </c>
      <c r="Z887" s="46">
        <f t="shared" si="221"/>
        <v>466.92411138014535</v>
      </c>
      <c r="AA887" s="46">
        <f t="shared" si="222"/>
        <v>2150.6807554479419</v>
      </c>
      <c r="AB887" s="43"/>
      <c r="AC887" s="44">
        <v>29218.13</v>
      </c>
      <c r="AD887" s="31">
        <v>0.04</v>
      </c>
      <c r="AE887" s="31">
        <v>3.2500000000000001E-2</v>
      </c>
      <c r="AF887" s="31">
        <v>0</v>
      </c>
      <c r="AG887" s="28" t="s">
        <v>53</v>
      </c>
      <c r="AH887" s="46">
        <f t="shared" si="223"/>
        <v>30167.719225000001</v>
      </c>
      <c r="AI887" s="43"/>
      <c r="AJ887" s="28" t="s">
        <v>264</v>
      </c>
      <c r="AK887" s="337">
        <v>5.59</v>
      </c>
      <c r="AL887" s="43"/>
      <c r="AM887" s="44">
        <f t="shared" si="224"/>
        <v>0</v>
      </c>
      <c r="AN887" s="43"/>
      <c r="AO887" s="28">
        <f t="shared" si="225"/>
        <v>0</v>
      </c>
      <c r="AP887" s="43"/>
      <c r="AQ887" s="323">
        <f t="shared" si="226"/>
        <v>0</v>
      </c>
      <c r="AR887" s="43"/>
      <c r="AS887" s="44">
        <f t="shared" si="227"/>
        <v>30167.719225000001</v>
      </c>
    </row>
    <row r="888" spans="1:45" x14ac:dyDescent="0.25">
      <c r="A888" s="28"/>
      <c r="B888" s="43"/>
      <c r="C888" s="43"/>
      <c r="D888" s="43"/>
      <c r="E888" s="43" t="s">
        <v>2253</v>
      </c>
      <c r="F888" s="43" t="s">
        <v>3077</v>
      </c>
      <c r="G888" s="46">
        <f t="shared" ref="G888:G951" si="228">AC888*(1-AD888)</f>
        <v>32967.484799999998</v>
      </c>
      <c r="H888" s="46">
        <f t="shared" ref="H888:H951" si="229">AC888*(1-AD888-pis_naocum-cofins_naocum)</f>
        <v>29790.930274999999</v>
      </c>
      <c r="I888" s="28" t="s">
        <v>262</v>
      </c>
      <c r="J888" s="337">
        <v>1</v>
      </c>
      <c r="K888" s="46">
        <f t="shared" ref="K888:K951" si="230">IFERROR(G888*J888*VLOOKUP(I888,tbl_cambio,2,FALSE),"")</f>
        <v>32967.484799999998</v>
      </c>
      <c r="L888" s="46">
        <f t="shared" ref="L888:L951" si="231">IFERROR(H888*J888*VLOOKUP(I888,tbl_cambio,2,FALSE),"")</f>
        <v>29790.930274999999</v>
      </c>
      <c r="M888" s="338">
        <f t="shared" ref="M888:M951" si="232">SUMIF(col_item,"="&amp;E888,col_qtd)</f>
        <v>0</v>
      </c>
      <c r="N888" s="43" t="s">
        <v>35</v>
      </c>
      <c r="O888" s="339">
        <v>85364900</v>
      </c>
      <c r="P888" s="340">
        <f>IFERROR(VLOOKUP(O888,NCM!$A$3:$D$99,COLUMN(head_porNCM_IPI)-COLUMN(head_porNCM_NCM)+1,FALSE),"")</f>
        <v>3.2500000000000001E-2</v>
      </c>
      <c r="Q888" s="43" t="s">
        <v>804</v>
      </c>
      <c r="R888" s="78" t="s">
        <v>210</v>
      </c>
      <c r="S888" s="341"/>
      <c r="T888" s="28" t="s">
        <v>52</v>
      </c>
      <c r="U888" s="28" t="s">
        <v>2741</v>
      </c>
      <c r="V888" s="548">
        <v>45399</v>
      </c>
      <c r="W888" s="43"/>
      <c r="X888" s="342">
        <f t="shared" ref="X888:X951" si="233">(AC888-Y888)*AD888</f>
        <v>1330.4069733656174</v>
      </c>
      <c r="Y888" s="342">
        <f t="shared" ref="Y888:Y951" si="234">AC888-AC888/(1+AE888)</f>
        <v>1080.9556658595611</v>
      </c>
      <c r="Z888" s="46">
        <f t="shared" ref="Z888:Z951" si="235">(AC888-Y888)*pis_naocum</f>
        <v>548.7928765133172</v>
      </c>
      <c r="AA888" s="46">
        <f t="shared" ref="AA888:AA951" si="236">(AC888-Y888)*cofins_naocum</f>
        <v>2527.7732493946733</v>
      </c>
      <c r="AB888" s="43"/>
      <c r="AC888" s="44">
        <v>34341.129999999997</v>
      </c>
      <c r="AD888" s="31">
        <v>0.04</v>
      </c>
      <c r="AE888" s="31">
        <v>3.2500000000000001E-2</v>
      </c>
      <c r="AF888" s="31">
        <v>0</v>
      </c>
      <c r="AG888" s="28" t="s">
        <v>53</v>
      </c>
      <c r="AH888" s="46">
        <f t="shared" ref="AH888:AH951" si="237">AC888*(1+AE888)</f>
        <v>35457.216724999998</v>
      </c>
      <c r="AI888" s="43"/>
      <c r="AJ888" s="28" t="s">
        <v>264</v>
      </c>
      <c r="AK888" s="337">
        <v>5.59</v>
      </c>
      <c r="AL888" s="43"/>
      <c r="AM888" s="44">
        <f t="shared" ref="AM888:AM951" si="238">IF(AND(AJ888&lt;&gt;"",AK888&gt;0),AQ888*(VLOOKUP(AJ888,tbl_cambio,2,FALSE)/AK888-1),0)</f>
        <v>0</v>
      </c>
      <c r="AN888" s="43"/>
      <c r="AO888" s="28">
        <f t="shared" ref="AO888:AO951" si="239">IF(T888="Sim",ROUNDUP(M888*sobress_pc,0),0)</f>
        <v>0</v>
      </c>
      <c r="AP888" s="43"/>
      <c r="AQ888" s="323">
        <f t="shared" ref="AQ888:AQ951" si="240">SUMIFS(col_custoTotal,col_fatdir,"Não",col_item,E888)</f>
        <v>0</v>
      </c>
      <c r="AR888" s="43"/>
      <c r="AS888" s="44">
        <f t="shared" ref="AS888:AS951" si="241">IFERROR(AH888*VLOOKUP(I888,tbl_cambio,2,FALSE),0)</f>
        <v>35457.216724999998</v>
      </c>
    </row>
    <row r="889" spans="1:45" x14ac:dyDescent="0.25">
      <c r="A889" s="28"/>
      <c r="B889" s="43"/>
      <c r="C889" s="43"/>
      <c r="D889" s="43"/>
      <c r="E889" s="43" t="s">
        <v>2254</v>
      </c>
      <c r="F889" s="43" t="s">
        <v>3078</v>
      </c>
      <c r="G889" s="46">
        <f t="shared" si="228"/>
        <v>39573.686399999999</v>
      </c>
      <c r="H889" s="46">
        <f t="shared" si="229"/>
        <v>35760.596825000001</v>
      </c>
      <c r="I889" s="28" t="s">
        <v>262</v>
      </c>
      <c r="J889" s="337">
        <v>1</v>
      </c>
      <c r="K889" s="46">
        <f t="shared" si="230"/>
        <v>39573.686399999999</v>
      </c>
      <c r="L889" s="46">
        <f t="shared" si="231"/>
        <v>35760.596825000001</v>
      </c>
      <c r="M889" s="338">
        <f t="shared" si="232"/>
        <v>0</v>
      </c>
      <c r="N889" s="43" t="s">
        <v>35</v>
      </c>
      <c r="O889" s="339">
        <v>85364900</v>
      </c>
      <c r="P889" s="340">
        <f>IFERROR(VLOOKUP(O889,NCM!$A$3:$D$99,COLUMN(head_porNCM_IPI)-COLUMN(head_porNCM_NCM)+1,FALSE),"")</f>
        <v>3.2500000000000001E-2</v>
      </c>
      <c r="Q889" s="43" t="s">
        <v>804</v>
      </c>
      <c r="R889" s="78" t="s">
        <v>210</v>
      </c>
      <c r="S889" s="341"/>
      <c r="T889" s="28" t="s">
        <v>52</v>
      </c>
      <c r="U889" s="28" t="s">
        <v>2741</v>
      </c>
      <c r="V889" s="548">
        <v>45399</v>
      </c>
      <c r="W889" s="43"/>
      <c r="X889" s="342">
        <f t="shared" si="233"/>
        <v>1597.0010653753027</v>
      </c>
      <c r="Y889" s="342">
        <f t="shared" si="234"/>
        <v>1297.5633656174323</v>
      </c>
      <c r="Z889" s="46">
        <f t="shared" si="235"/>
        <v>658.76293946731232</v>
      </c>
      <c r="AA889" s="46">
        <f t="shared" si="236"/>
        <v>3034.3020242130747</v>
      </c>
      <c r="AB889" s="43"/>
      <c r="AC889" s="44">
        <v>41222.589999999997</v>
      </c>
      <c r="AD889" s="31">
        <v>0.04</v>
      </c>
      <c r="AE889" s="31">
        <v>3.2500000000000001E-2</v>
      </c>
      <c r="AF889" s="31">
        <v>0</v>
      </c>
      <c r="AG889" s="28" t="s">
        <v>53</v>
      </c>
      <c r="AH889" s="46">
        <f t="shared" si="237"/>
        <v>42562.324174999994</v>
      </c>
      <c r="AI889" s="43"/>
      <c r="AJ889" s="28" t="s">
        <v>264</v>
      </c>
      <c r="AK889" s="337">
        <v>5.59</v>
      </c>
      <c r="AL889" s="43"/>
      <c r="AM889" s="44">
        <f t="shared" si="238"/>
        <v>0</v>
      </c>
      <c r="AN889" s="43"/>
      <c r="AO889" s="28">
        <f t="shared" si="239"/>
        <v>0</v>
      </c>
      <c r="AP889" s="43"/>
      <c r="AQ889" s="323">
        <f t="shared" si="240"/>
        <v>0</v>
      </c>
      <c r="AR889" s="43"/>
      <c r="AS889" s="44">
        <f t="shared" si="241"/>
        <v>42562.324174999994</v>
      </c>
    </row>
    <row r="890" spans="1:45" x14ac:dyDescent="0.25">
      <c r="A890" s="28"/>
      <c r="B890" s="43"/>
      <c r="C890" s="43"/>
      <c r="D890" s="43"/>
      <c r="E890" s="43" t="s">
        <v>2255</v>
      </c>
      <c r="F890" s="43" t="s">
        <v>3079</v>
      </c>
      <c r="G890" s="46">
        <f t="shared" si="228"/>
        <v>37822.137599999995</v>
      </c>
      <c r="H890" s="46">
        <f t="shared" si="229"/>
        <v>34177.817049999998</v>
      </c>
      <c r="I890" s="28" t="s">
        <v>262</v>
      </c>
      <c r="J890" s="337">
        <v>1</v>
      </c>
      <c r="K890" s="46">
        <f t="shared" si="230"/>
        <v>37822.137599999995</v>
      </c>
      <c r="L890" s="46">
        <f t="shared" si="231"/>
        <v>34177.817049999998</v>
      </c>
      <c r="M890" s="338">
        <f t="shared" si="232"/>
        <v>0</v>
      </c>
      <c r="N890" s="43" t="s">
        <v>35</v>
      </c>
      <c r="O890" s="339">
        <v>85364900</v>
      </c>
      <c r="P890" s="340">
        <f>IFERROR(VLOOKUP(O890,NCM!$A$3:$D$99,COLUMN(head_porNCM_IPI)-COLUMN(head_porNCM_NCM)+1,FALSE),"")</f>
        <v>3.2500000000000001E-2</v>
      </c>
      <c r="Q890" s="43" t="s">
        <v>804</v>
      </c>
      <c r="R890" s="78" t="s">
        <v>210</v>
      </c>
      <c r="S890" s="341"/>
      <c r="T890" s="28" t="s">
        <v>52</v>
      </c>
      <c r="U890" s="28" t="s">
        <v>2741</v>
      </c>
      <c r="V890" s="548">
        <v>45399</v>
      </c>
      <c r="W890" s="43"/>
      <c r="X890" s="342">
        <f t="shared" si="233"/>
        <v>1526.3170944309927</v>
      </c>
      <c r="Y890" s="342">
        <f t="shared" si="234"/>
        <v>1240.1326392251794</v>
      </c>
      <c r="Z890" s="46">
        <f t="shared" si="235"/>
        <v>629.60580145278448</v>
      </c>
      <c r="AA890" s="46">
        <f t="shared" si="236"/>
        <v>2900.0024794188862</v>
      </c>
      <c r="AB890" s="43"/>
      <c r="AC890" s="44">
        <v>39398.06</v>
      </c>
      <c r="AD890" s="31">
        <v>0.04</v>
      </c>
      <c r="AE890" s="31">
        <v>3.2500000000000001E-2</v>
      </c>
      <c r="AF890" s="31">
        <v>0</v>
      </c>
      <c r="AG890" s="28" t="s">
        <v>53</v>
      </c>
      <c r="AH890" s="46">
        <f t="shared" si="237"/>
        <v>40678.496949999993</v>
      </c>
      <c r="AI890" s="43"/>
      <c r="AJ890" s="28" t="s">
        <v>264</v>
      </c>
      <c r="AK890" s="337">
        <v>5.59</v>
      </c>
      <c r="AL890" s="43"/>
      <c r="AM890" s="44">
        <f t="shared" si="238"/>
        <v>0</v>
      </c>
      <c r="AN890" s="43"/>
      <c r="AO890" s="28">
        <f t="shared" si="239"/>
        <v>0</v>
      </c>
      <c r="AP890" s="43"/>
      <c r="AQ890" s="323">
        <f t="shared" si="240"/>
        <v>0</v>
      </c>
      <c r="AR890" s="43"/>
      <c r="AS890" s="44">
        <f t="shared" si="241"/>
        <v>40678.496949999993</v>
      </c>
    </row>
    <row r="891" spans="1:45" x14ac:dyDescent="0.25">
      <c r="A891" s="28"/>
      <c r="B891" s="43"/>
      <c r="C891" s="43"/>
      <c r="D891" s="43"/>
      <c r="E891" s="43" t="s">
        <v>2239</v>
      </c>
      <c r="F891" s="43" t="s">
        <v>3080</v>
      </c>
      <c r="G891" s="46">
        <f t="shared" si="228"/>
        <v>25803.647999999997</v>
      </c>
      <c r="H891" s="46">
        <f t="shared" si="229"/>
        <v>23317.359</v>
      </c>
      <c r="I891" s="28" t="s">
        <v>262</v>
      </c>
      <c r="J891" s="337">
        <v>1</v>
      </c>
      <c r="K891" s="46">
        <f t="shared" si="230"/>
        <v>25803.647999999997</v>
      </c>
      <c r="L891" s="46">
        <f t="shared" si="231"/>
        <v>23317.359</v>
      </c>
      <c r="M891" s="338">
        <f t="shared" si="232"/>
        <v>0</v>
      </c>
      <c r="N891" s="43" t="s">
        <v>35</v>
      </c>
      <c r="O891" s="339">
        <v>85364900</v>
      </c>
      <c r="P891" s="340">
        <f>IFERROR(VLOOKUP(O891,NCM!$A$3:$D$99,COLUMN(head_porNCM_IPI)-COLUMN(head_porNCM_NCM)+1,FALSE),"")</f>
        <v>3.2500000000000001E-2</v>
      </c>
      <c r="Q891" s="43" t="s">
        <v>804</v>
      </c>
      <c r="R891" s="78" t="s">
        <v>210</v>
      </c>
      <c r="S891" s="341"/>
      <c r="T891" s="28" t="s">
        <v>52</v>
      </c>
      <c r="U891" s="28" t="s">
        <v>2741</v>
      </c>
      <c r="V891" s="548">
        <v>45399</v>
      </c>
      <c r="W891" s="43"/>
      <c r="X891" s="342">
        <f t="shared" si="233"/>
        <v>1041.3094430992737</v>
      </c>
      <c r="Y891" s="342">
        <f t="shared" si="234"/>
        <v>846.06392251815851</v>
      </c>
      <c r="Z891" s="46">
        <f t="shared" si="235"/>
        <v>429.54014527845038</v>
      </c>
      <c r="AA891" s="46">
        <f t="shared" si="236"/>
        <v>1978.4879418886198</v>
      </c>
      <c r="AB891" s="43"/>
      <c r="AC891" s="44">
        <v>26878.799999999999</v>
      </c>
      <c r="AD891" s="31">
        <v>0.04</v>
      </c>
      <c r="AE891" s="31">
        <v>3.2500000000000001E-2</v>
      </c>
      <c r="AF891" s="31">
        <v>0</v>
      </c>
      <c r="AG891" s="28" t="s">
        <v>53</v>
      </c>
      <c r="AH891" s="46">
        <f t="shared" si="237"/>
        <v>27752.360999999997</v>
      </c>
      <c r="AI891" s="43"/>
      <c r="AJ891" s="28" t="s">
        <v>264</v>
      </c>
      <c r="AK891" s="337">
        <v>5.59</v>
      </c>
      <c r="AL891" s="43"/>
      <c r="AM891" s="44">
        <f t="shared" si="238"/>
        <v>0</v>
      </c>
      <c r="AN891" s="43"/>
      <c r="AO891" s="28">
        <f t="shared" si="239"/>
        <v>0</v>
      </c>
      <c r="AP891" s="43"/>
      <c r="AQ891" s="323">
        <f t="shared" si="240"/>
        <v>0</v>
      </c>
      <c r="AR891" s="43"/>
      <c r="AS891" s="44">
        <f t="shared" si="241"/>
        <v>27752.360999999997</v>
      </c>
    </row>
    <row r="892" spans="1:45" x14ac:dyDescent="0.25">
      <c r="A892" s="28"/>
      <c r="B892" s="43"/>
      <c r="C892" s="43"/>
      <c r="D892" s="43"/>
      <c r="E892" s="43" t="s">
        <v>3081</v>
      </c>
      <c r="F892" s="43" t="s">
        <v>3082</v>
      </c>
      <c r="G892" s="46">
        <f t="shared" si="228"/>
        <v>34953.379199999996</v>
      </c>
      <c r="H892" s="46">
        <f t="shared" si="229"/>
        <v>31585.475474999999</v>
      </c>
      <c r="I892" s="28" t="s">
        <v>262</v>
      </c>
      <c r="J892" s="337">
        <v>1</v>
      </c>
      <c r="K892" s="46">
        <f t="shared" si="230"/>
        <v>34953.379199999996</v>
      </c>
      <c r="L892" s="46">
        <f t="shared" si="231"/>
        <v>31585.475474999999</v>
      </c>
      <c r="M892" s="338">
        <f t="shared" si="232"/>
        <v>0</v>
      </c>
      <c r="N892" s="43" t="s">
        <v>35</v>
      </c>
      <c r="O892" s="339">
        <v>85364900</v>
      </c>
      <c r="P892" s="340">
        <f>IFERROR(VLOOKUP(O892,NCM!$A$3:$D$99,COLUMN(head_porNCM_IPI)-COLUMN(head_porNCM_NCM)+1,FALSE),"")</f>
        <v>3.2500000000000001E-2</v>
      </c>
      <c r="Q892" s="43" t="s">
        <v>804</v>
      </c>
      <c r="R892" s="78" t="s">
        <v>210</v>
      </c>
      <c r="S892" s="341"/>
      <c r="T892" s="28" t="s">
        <v>52</v>
      </c>
      <c r="U892" s="28" t="s">
        <v>3091</v>
      </c>
      <c r="V892" s="548">
        <v>45463</v>
      </c>
      <c r="W892" s="43"/>
      <c r="X892" s="342">
        <f t="shared" si="233"/>
        <v>1410.5479903147698</v>
      </c>
      <c r="Y892" s="342">
        <f t="shared" si="234"/>
        <v>1146.0702421307506</v>
      </c>
      <c r="Z892" s="46">
        <f t="shared" si="235"/>
        <v>581.8510460048426</v>
      </c>
      <c r="AA892" s="46">
        <f t="shared" si="236"/>
        <v>2680.0411815980628</v>
      </c>
      <c r="AB892" s="43"/>
      <c r="AC892" s="44">
        <v>36409.769999999997</v>
      </c>
      <c r="AD892" s="31">
        <v>0.04</v>
      </c>
      <c r="AE892" s="31">
        <v>3.2500000000000001E-2</v>
      </c>
      <c r="AF892" s="31">
        <v>0</v>
      </c>
      <c r="AG892" s="28" t="s">
        <v>53</v>
      </c>
      <c r="AH892" s="46">
        <f t="shared" si="237"/>
        <v>37593.087524999995</v>
      </c>
      <c r="AI892" s="43"/>
      <c r="AJ892" s="28" t="s">
        <v>264</v>
      </c>
      <c r="AK892" s="337">
        <v>5.83</v>
      </c>
      <c r="AL892" s="43"/>
      <c r="AM892" s="44">
        <f t="shared" si="238"/>
        <v>0</v>
      </c>
      <c r="AN892" s="43"/>
      <c r="AO892" s="28">
        <f t="shared" si="239"/>
        <v>0</v>
      </c>
      <c r="AP892" s="43"/>
      <c r="AQ892" s="323">
        <f t="shared" si="240"/>
        <v>0</v>
      </c>
      <c r="AR892" s="43"/>
      <c r="AS892" s="44">
        <f t="shared" si="241"/>
        <v>37593.087524999995</v>
      </c>
    </row>
    <row r="893" spans="1:45" x14ac:dyDescent="0.25">
      <c r="A893" s="28"/>
      <c r="B893" s="43"/>
      <c r="C893" s="43"/>
      <c r="D893" s="43"/>
      <c r="E893" s="43" t="s">
        <v>3083</v>
      </c>
      <c r="F893" s="43" t="s">
        <v>3084</v>
      </c>
      <c r="G893" s="46">
        <f t="shared" si="228"/>
        <v>62502.662400000001</v>
      </c>
      <c r="H893" s="46">
        <f t="shared" si="229"/>
        <v>56480.270450000004</v>
      </c>
      <c r="I893" s="28" t="s">
        <v>262</v>
      </c>
      <c r="J893" s="337">
        <v>1</v>
      </c>
      <c r="K893" s="46">
        <f t="shared" si="230"/>
        <v>62502.662400000001</v>
      </c>
      <c r="L893" s="46">
        <f t="shared" si="231"/>
        <v>56480.270450000004</v>
      </c>
      <c r="M893" s="338">
        <f t="shared" si="232"/>
        <v>0</v>
      </c>
      <c r="N893" s="43" t="s">
        <v>35</v>
      </c>
      <c r="O893" s="339">
        <v>85364900</v>
      </c>
      <c r="P893" s="340">
        <f>IFERROR(VLOOKUP(O893,NCM!$A$3:$D$99,COLUMN(head_porNCM_IPI)-COLUMN(head_porNCM_NCM)+1,FALSE),"")</f>
        <v>3.2500000000000001E-2</v>
      </c>
      <c r="Q893" s="43" t="s">
        <v>804</v>
      </c>
      <c r="R893" s="78" t="s">
        <v>210</v>
      </c>
      <c r="S893" s="341"/>
      <c r="T893" s="28" t="s">
        <v>52</v>
      </c>
      <c r="U893" s="28" t="s">
        <v>3091</v>
      </c>
      <c r="V893" s="548">
        <v>45463</v>
      </c>
      <c r="W893" s="43"/>
      <c r="X893" s="342">
        <f t="shared" si="233"/>
        <v>2522.3027602905572</v>
      </c>
      <c r="Y893" s="342">
        <f t="shared" si="234"/>
        <v>2049.370992736076</v>
      </c>
      <c r="Z893" s="46">
        <f t="shared" si="235"/>
        <v>1040.4498886198548</v>
      </c>
      <c r="AA893" s="46">
        <f t="shared" si="236"/>
        <v>4792.3752445520586</v>
      </c>
      <c r="AB893" s="43"/>
      <c r="AC893" s="44">
        <v>65106.94</v>
      </c>
      <c r="AD893" s="31">
        <v>0.04</v>
      </c>
      <c r="AE893" s="31">
        <v>3.2500000000000001E-2</v>
      </c>
      <c r="AF893" s="31">
        <v>0</v>
      </c>
      <c r="AG893" s="28" t="s">
        <v>53</v>
      </c>
      <c r="AH893" s="46">
        <f t="shared" si="237"/>
        <v>67222.915550000005</v>
      </c>
      <c r="AI893" s="43"/>
      <c r="AJ893" s="28" t="s">
        <v>264</v>
      </c>
      <c r="AK893" s="337">
        <v>5.83</v>
      </c>
      <c r="AL893" s="43"/>
      <c r="AM893" s="44">
        <f t="shared" si="238"/>
        <v>0</v>
      </c>
      <c r="AN893" s="43"/>
      <c r="AO893" s="28">
        <f t="shared" si="239"/>
        <v>0</v>
      </c>
      <c r="AP893" s="43"/>
      <c r="AQ893" s="323">
        <f t="shared" si="240"/>
        <v>0</v>
      </c>
      <c r="AR893" s="43"/>
      <c r="AS893" s="44">
        <f t="shared" si="241"/>
        <v>67222.915550000005</v>
      </c>
    </row>
    <row r="894" spans="1:45" x14ac:dyDescent="0.25">
      <c r="A894" s="28"/>
      <c r="B894" s="43"/>
      <c r="C894" s="43"/>
      <c r="D894" s="43"/>
      <c r="E894" s="43" t="s">
        <v>2672</v>
      </c>
      <c r="F894" s="43" t="s">
        <v>2673</v>
      </c>
      <c r="G894" s="46">
        <f t="shared" si="228"/>
        <v>330.67759999999998</v>
      </c>
      <c r="H894" s="46">
        <f t="shared" si="229"/>
        <v>295.91887500000001</v>
      </c>
      <c r="I894" s="28" t="s">
        <v>262</v>
      </c>
      <c r="J894" s="337">
        <v>1</v>
      </c>
      <c r="K894" s="46">
        <f t="shared" si="230"/>
        <v>330.67759999999998</v>
      </c>
      <c r="L894" s="46">
        <f t="shared" si="231"/>
        <v>295.91887500000001</v>
      </c>
      <c r="M894" s="338">
        <f t="shared" si="232"/>
        <v>0</v>
      </c>
      <c r="N894" s="43" t="s">
        <v>35</v>
      </c>
      <c r="O894" s="339">
        <v>85414900</v>
      </c>
      <c r="P894" s="340">
        <f>IFERROR(VLOOKUP(O894,NCM!$A$3:$D$99,COLUMN(head_porNCM_IPI)-COLUMN(head_porNCM_NCM)+1,FALSE),"")</f>
        <v>1.2999999999999999E-2</v>
      </c>
      <c r="Q894" s="43" t="s">
        <v>804</v>
      </c>
      <c r="R894" s="78" t="s">
        <v>210</v>
      </c>
      <c r="S894" s="341"/>
      <c r="T894" s="28" t="s">
        <v>52</v>
      </c>
      <c r="U894" s="28" t="s">
        <v>2777</v>
      </c>
      <c r="V894" s="548">
        <v>45379</v>
      </c>
      <c r="W894" s="43"/>
      <c r="X894" s="342">
        <f t="shared" si="233"/>
        <v>44.513721618953603</v>
      </c>
      <c r="Y894" s="342">
        <f t="shared" si="234"/>
        <v>4.8223198420532754</v>
      </c>
      <c r="Z894" s="46">
        <f t="shared" si="235"/>
        <v>6.1206367226061209</v>
      </c>
      <c r="AA894" s="46">
        <f t="shared" si="236"/>
        <v>28.19202369200395</v>
      </c>
      <c r="AB894" s="43"/>
      <c r="AC894" s="44">
        <v>375.77</v>
      </c>
      <c r="AD894" s="31">
        <v>0.12</v>
      </c>
      <c r="AE894" s="31">
        <v>1.2999999999999999E-2</v>
      </c>
      <c r="AF894" s="31">
        <v>0</v>
      </c>
      <c r="AG894" s="28" t="s">
        <v>53</v>
      </c>
      <c r="AH894" s="46">
        <f t="shared" si="237"/>
        <v>380.65500999999995</v>
      </c>
      <c r="AI894" s="43"/>
      <c r="AJ894" s="28" t="s">
        <v>264</v>
      </c>
      <c r="AK894" s="337">
        <v>5.41</v>
      </c>
      <c r="AL894" s="43"/>
      <c r="AM894" s="44">
        <f t="shared" si="238"/>
        <v>0</v>
      </c>
      <c r="AN894" s="43"/>
      <c r="AO894" s="28">
        <f t="shared" si="239"/>
        <v>0</v>
      </c>
      <c r="AP894" s="43"/>
      <c r="AQ894" s="323">
        <f t="shared" si="240"/>
        <v>0</v>
      </c>
      <c r="AR894" s="43"/>
      <c r="AS894" s="44">
        <f t="shared" si="241"/>
        <v>380.65500999999995</v>
      </c>
    </row>
    <row r="895" spans="1:45" x14ac:dyDescent="0.25">
      <c r="A895" s="28"/>
      <c r="B895" s="43"/>
      <c r="C895" s="43"/>
      <c r="D895" s="43"/>
      <c r="E895" s="43" t="s">
        <v>2674</v>
      </c>
      <c r="F895" s="43" t="s">
        <v>2675</v>
      </c>
      <c r="G895" s="46">
        <f t="shared" si="228"/>
        <v>21313.599999999999</v>
      </c>
      <c r="H895" s="46">
        <f t="shared" si="229"/>
        <v>19073.250000000004</v>
      </c>
      <c r="I895" s="28" t="s">
        <v>262</v>
      </c>
      <c r="J895" s="337">
        <v>1</v>
      </c>
      <c r="K895" s="46">
        <f t="shared" si="230"/>
        <v>21313.599999999999</v>
      </c>
      <c r="L895" s="46">
        <f t="shared" si="231"/>
        <v>19073.250000000004</v>
      </c>
      <c r="M895" s="338">
        <f t="shared" si="232"/>
        <v>0</v>
      </c>
      <c r="N895" s="43" t="s">
        <v>35</v>
      </c>
      <c r="O895" s="339">
        <v>85364900</v>
      </c>
      <c r="P895" s="340">
        <f>IFERROR(VLOOKUP(O895,NCM!$A$3:$D$99,COLUMN(head_porNCM_IPI)-COLUMN(head_porNCM_NCM)+1,FALSE),"")</f>
        <v>3.2500000000000001E-2</v>
      </c>
      <c r="Q895" s="43" t="s">
        <v>804</v>
      </c>
      <c r="R895" s="78" t="s">
        <v>210</v>
      </c>
      <c r="S895" s="341"/>
      <c r="T895" s="28" t="s">
        <v>52</v>
      </c>
      <c r="U895" s="28" t="s">
        <v>2778</v>
      </c>
      <c r="V895" s="548">
        <v>45237</v>
      </c>
      <c r="W895" s="43"/>
      <c r="X895" s="342">
        <f t="shared" si="233"/>
        <v>2814.9152542372881</v>
      </c>
      <c r="Y895" s="342">
        <f t="shared" si="234"/>
        <v>762.3728813559319</v>
      </c>
      <c r="Z895" s="46">
        <f t="shared" si="235"/>
        <v>387.05084745762713</v>
      </c>
      <c r="AA895" s="46">
        <f t="shared" si="236"/>
        <v>1782.7796610169491</v>
      </c>
      <c r="AB895" s="43"/>
      <c r="AC895" s="44">
        <v>24220</v>
      </c>
      <c r="AD895" s="31">
        <v>0.12</v>
      </c>
      <c r="AE895" s="31">
        <v>3.2500000000000001E-2</v>
      </c>
      <c r="AF895" s="31">
        <v>0</v>
      </c>
      <c r="AG895" s="28" t="s">
        <v>53</v>
      </c>
      <c r="AH895" s="46">
        <f t="shared" si="237"/>
        <v>25007.149999999998</v>
      </c>
      <c r="AI895" s="43"/>
      <c r="AJ895" s="28" t="s">
        <v>264</v>
      </c>
      <c r="AK895" s="337">
        <v>4.8600000000000003</v>
      </c>
      <c r="AL895" s="43"/>
      <c r="AM895" s="44">
        <f t="shared" si="238"/>
        <v>0</v>
      </c>
      <c r="AN895" s="43"/>
      <c r="AO895" s="28">
        <f t="shared" si="239"/>
        <v>0</v>
      </c>
      <c r="AP895" s="43"/>
      <c r="AQ895" s="323">
        <f t="shared" si="240"/>
        <v>0</v>
      </c>
      <c r="AR895" s="43"/>
      <c r="AS895" s="44">
        <f t="shared" si="241"/>
        <v>25007.149999999998</v>
      </c>
    </row>
    <row r="896" spans="1:45" x14ac:dyDescent="0.25">
      <c r="A896" s="28"/>
      <c r="B896" s="43"/>
      <c r="C896" s="43"/>
      <c r="D896" s="43"/>
      <c r="E896" s="43" t="s">
        <v>2676</v>
      </c>
      <c r="F896" s="43" t="s">
        <v>2677</v>
      </c>
      <c r="G896" s="46">
        <f t="shared" si="228"/>
        <v>14549.04</v>
      </c>
      <c r="H896" s="46">
        <f t="shared" si="229"/>
        <v>13019.737500000001</v>
      </c>
      <c r="I896" s="28" t="s">
        <v>262</v>
      </c>
      <c r="J896" s="337">
        <v>1</v>
      </c>
      <c r="K896" s="46">
        <f t="shared" si="230"/>
        <v>14549.04</v>
      </c>
      <c r="L896" s="46">
        <f t="shared" si="231"/>
        <v>13019.737500000001</v>
      </c>
      <c r="M896" s="338">
        <f t="shared" si="232"/>
        <v>0</v>
      </c>
      <c r="N896" s="43" t="s">
        <v>35</v>
      </c>
      <c r="O896" s="339">
        <v>85364900</v>
      </c>
      <c r="P896" s="340">
        <f>IFERROR(VLOOKUP(O896,NCM!$A$3:$D$99,COLUMN(head_porNCM_IPI)-COLUMN(head_porNCM_NCM)+1,FALSE),"")</f>
        <v>3.2500000000000001E-2</v>
      </c>
      <c r="Q896" s="43" t="s">
        <v>804</v>
      </c>
      <c r="R896" s="78" t="s">
        <v>210</v>
      </c>
      <c r="S896" s="341"/>
      <c r="T896" s="28" t="s">
        <v>52</v>
      </c>
      <c r="U896" s="28" t="s">
        <v>2778</v>
      </c>
      <c r="V896" s="548">
        <v>45237</v>
      </c>
      <c r="W896" s="43"/>
      <c r="X896" s="342">
        <f t="shared" si="233"/>
        <v>1921.5108958837773</v>
      </c>
      <c r="Y896" s="342">
        <f t="shared" si="234"/>
        <v>520.40920096852278</v>
      </c>
      <c r="Z896" s="46">
        <f t="shared" si="235"/>
        <v>264.20774818401941</v>
      </c>
      <c r="AA896" s="46">
        <f t="shared" si="236"/>
        <v>1216.9569007263922</v>
      </c>
      <c r="AB896" s="43"/>
      <c r="AC896" s="44">
        <v>16533</v>
      </c>
      <c r="AD896" s="31">
        <v>0.12</v>
      </c>
      <c r="AE896" s="31">
        <v>3.2500000000000001E-2</v>
      </c>
      <c r="AF896" s="31">
        <v>0</v>
      </c>
      <c r="AG896" s="28" t="s">
        <v>53</v>
      </c>
      <c r="AH896" s="46">
        <f t="shared" si="237"/>
        <v>17070.322499999998</v>
      </c>
      <c r="AI896" s="43"/>
      <c r="AJ896" s="28" t="s">
        <v>264</v>
      </c>
      <c r="AK896" s="337">
        <v>4.8600000000000003</v>
      </c>
      <c r="AL896" s="43"/>
      <c r="AM896" s="44">
        <f t="shared" si="238"/>
        <v>0</v>
      </c>
      <c r="AN896" s="43"/>
      <c r="AO896" s="28">
        <f t="shared" si="239"/>
        <v>0</v>
      </c>
      <c r="AP896" s="43"/>
      <c r="AQ896" s="323">
        <f t="shared" si="240"/>
        <v>0</v>
      </c>
      <c r="AR896" s="43"/>
      <c r="AS896" s="44">
        <f t="shared" si="241"/>
        <v>17070.322499999998</v>
      </c>
    </row>
    <row r="897" spans="1:45" x14ac:dyDescent="0.25">
      <c r="A897" s="28"/>
      <c r="B897" s="43"/>
      <c r="C897" s="43"/>
      <c r="D897" s="43"/>
      <c r="E897" s="43" t="s">
        <v>2678</v>
      </c>
      <c r="F897" s="43" t="s">
        <v>2679</v>
      </c>
      <c r="G897" s="46">
        <f t="shared" si="228"/>
        <v>12534.183199999999</v>
      </c>
      <c r="H897" s="46">
        <f t="shared" si="229"/>
        <v>11216.669625</v>
      </c>
      <c r="I897" s="28" t="s">
        <v>262</v>
      </c>
      <c r="J897" s="337">
        <v>1</v>
      </c>
      <c r="K897" s="46">
        <f t="shared" si="230"/>
        <v>12534.183199999999</v>
      </c>
      <c r="L897" s="46">
        <f t="shared" si="231"/>
        <v>11216.669625</v>
      </c>
      <c r="M897" s="338">
        <f t="shared" si="232"/>
        <v>0</v>
      </c>
      <c r="N897" s="43" t="s">
        <v>35</v>
      </c>
      <c r="O897" s="339">
        <v>85364900</v>
      </c>
      <c r="P897" s="340">
        <f>IFERROR(VLOOKUP(O897,NCM!$A$3:$D$99,COLUMN(head_porNCM_IPI)-COLUMN(head_porNCM_NCM)+1,FALSE),"")</f>
        <v>3.2500000000000001E-2</v>
      </c>
      <c r="Q897" s="43" t="s">
        <v>804</v>
      </c>
      <c r="R897" s="78" t="s">
        <v>210</v>
      </c>
      <c r="S897" s="341"/>
      <c r="T897" s="28" t="s">
        <v>52</v>
      </c>
      <c r="U897" s="28" t="s">
        <v>2778</v>
      </c>
      <c r="V897" s="548">
        <v>45237</v>
      </c>
      <c r="W897" s="43"/>
      <c r="X897" s="342">
        <f t="shared" si="233"/>
        <v>1655.4061016949152</v>
      </c>
      <c r="Y897" s="342">
        <f t="shared" si="234"/>
        <v>448.33915254237218</v>
      </c>
      <c r="Z897" s="46">
        <f t="shared" si="235"/>
        <v>227.61833898305085</v>
      </c>
      <c r="AA897" s="46">
        <f t="shared" si="236"/>
        <v>1048.4238644067796</v>
      </c>
      <c r="AB897" s="43"/>
      <c r="AC897" s="44">
        <v>14243.39</v>
      </c>
      <c r="AD897" s="31">
        <v>0.12</v>
      </c>
      <c r="AE897" s="31">
        <v>3.2500000000000001E-2</v>
      </c>
      <c r="AF897" s="31">
        <v>0</v>
      </c>
      <c r="AG897" s="28" t="s">
        <v>53</v>
      </c>
      <c r="AH897" s="46">
        <f t="shared" si="237"/>
        <v>14706.300174999998</v>
      </c>
      <c r="AI897" s="43"/>
      <c r="AJ897" s="28" t="s">
        <v>264</v>
      </c>
      <c r="AK897" s="337">
        <v>4.8600000000000003</v>
      </c>
      <c r="AL897" s="43"/>
      <c r="AM897" s="44">
        <f t="shared" si="238"/>
        <v>0</v>
      </c>
      <c r="AN897" s="43"/>
      <c r="AO897" s="28">
        <f t="shared" si="239"/>
        <v>0</v>
      </c>
      <c r="AP897" s="43"/>
      <c r="AQ897" s="323">
        <f t="shared" si="240"/>
        <v>0</v>
      </c>
      <c r="AR897" s="43"/>
      <c r="AS897" s="44">
        <f t="shared" si="241"/>
        <v>14706.300174999998</v>
      </c>
    </row>
    <row r="898" spans="1:45" x14ac:dyDescent="0.25">
      <c r="A898" s="28"/>
      <c r="B898" s="43"/>
      <c r="C898" s="43"/>
      <c r="D898" s="43"/>
      <c r="E898" s="43" t="s">
        <v>2244</v>
      </c>
      <c r="F898" s="43" t="s">
        <v>2245</v>
      </c>
      <c r="G898" s="46">
        <f t="shared" si="228"/>
        <v>225064.59359999999</v>
      </c>
      <c r="H898" s="46">
        <f t="shared" si="229"/>
        <v>201407.23575000002</v>
      </c>
      <c r="I898" s="28" t="s">
        <v>262</v>
      </c>
      <c r="J898" s="337">
        <v>1</v>
      </c>
      <c r="K898" s="46">
        <f t="shared" si="230"/>
        <v>225064.59359999999</v>
      </c>
      <c r="L898" s="46">
        <f t="shared" si="231"/>
        <v>201407.23575000002</v>
      </c>
      <c r="M898" s="338">
        <f t="shared" si="232"/>
        <v>0</v>
      </c>
      <c r="N898" s="43" t="s">
        <v>35</v>
      </c>
      <c r="O898" s="339">
        <v>85364900</v>
      </c>
      <c r="P898" s="340">
        <f>IFERROR(VLOOKUP(O898,NCM!$A$3:$D$99,COLUMN(head_porNCM_IPI)-COLUMN(head_porNCM_NCM)+1,FALSE),"")</f>
        <v>3.2500000000000001E-2</v>
      </c>
      <c r="Q898" s="43" t="s">
        <v>804</v>
      </c>
      <c r="R898" s="78" t="s">
        <v>210</v>
      </c>
      <c r="S898" s="341"/>
      <c r="T898" s="28" t="s">
        <v>52</v>
      </c>
      <c r="U898" s="28" t="s">
        <v>2375</v>
      </c>
      <c r="V898" s="548">
        <v>45029</v>
      </c>
      <c r="W898" s="43"/>
      <c r="X898" s="342">
        <f t="shared" si="233"/>
        <v>29724.577627118644</v>
      </c>
      <c r="Y898" s="342">
        <f t="shared" si="234"/>
        <v>8050.4064406779653</v>
      </c>
      <c r="Z898" s="46">
        <f t="shared" si="235"/>
        <v>4087.1294237288139</v>
      </c>
      <c r="AA898" s="46">
        <f t="shared" si="236"/>
        <v>18825.565830508473</v>
      </c>
      <c r="AB898" s="43"/>
      <c r="AC898" s="44">
        <v>255755.22</v>
      </c>
      <c r="AD898" s="31">
        <v>0.12</v>
      </c>
      <c r="AE898" s="31">
        <v>3.2500000000000001E-2</v>
      </c>
      <c r="AF898" s="31">
        <v>0</v>
      </c>
      <c r="AG898" s="28" t="s">
        <v>53</v>
      </c>
      <c r="AH898" s="46">
        <f t="shared" si="237"/>
        <v>264067.26464999997</v>
      </c>
      <c r="AI898" s="43"/>
      <c r="AJ898" s="28" t="s">
        <v>264</v>
      </c>
      <c r="AK898" s="337">
        <v>5.44</v>
      </c>
      <c r="AL898" s="43"/>
      <c r="AM898" s="44">
        <f t="shared" si="238"/>
        <v>0</v>
      </c>
      <c r="AN898" s="43"/>
      <c r="AO898" s="28">
        <f t="shared" si="239"/>
        <v>0</v>
      </c>
      <c r="AP898" s="43"/>
      <c r="AQ898" s="323">
        <f t="shared" si="240"/>
        <v>0</v>
      </c>
      <c r="AR898" s="43"/>
      <c r="AS898" s="44">
        <f t="shared" si="241"/>
        <v>264067.26464999997</v>
      </c>
    </row>
    <row r="899" spans="1:45" x14ac:dyDescent="0.25">
      <c r="A899" s="28"/>
      <c r="B899" s="43"/>
      <c r="C899" s="43"/>
      <c r="D899" s="43"/>
      <c r="E899" s="43" t="s">
        <v>1803</v>
      </c>
      <c r="F899" s="43" t="s">
        <v>1804</v>
      </c>
      <c r="G899" s="46">
        <f t="shared" si="228"/>
        <v>39243.292000000001</v>
      </c>
      <c r="H899" s="46">
        <f t="shared" si="229"/>
        <v>35118.286875000005</v>
      </c>
      <c r="I899" s="28" t="s">
        <v>262</v>
      </c>
      <c r="J899" s="337">
        <v>1</v>
      </c>
      <c r="K899" s="46">
        <f t="shared" si="230"/>
        <v>39243.292000000001</v>
      </c>
      <c r="L899" s="46">
        <f t="shared" si="231"/>
        <v>35118.286875000005</v>
      </c>
      <c r="M899" s="338">
        <f t="shared" si="232"/>
        <v>0</v>
      </c>
      <c r="N899" s="43" t="s">
        <v>35</v>
      </c>
      <c r="O899" s="339">
        <v>85364900</v>
      </c>
      <c r="P899" s="340">
        <f>IFERROR(VLOOKUP(O899,NCM!$A$3:$D$99,COLUMN(head_porNCM_IPI)-COLUMN(head_porNCM_NCM)+1,FALSE),"")</f>
        <v>3.2500000000000001E-2</v>
      </c>
      <c r="Q899" s="43" t="s">
        <v>804</v>
      </c>
      <c r="R899" s="78" t="s">
        <v>210</v>
      </c>
      <c r="S899" s="341"/>
      <c r="T899" s="28" t="s">
        <v>52</v>
      </c>
      <c r="U899" s="28" t="s">
        <v>2375</v>
      </c>
      <c r="V899" s="548">
        <v>45029</v>
      </c>
      <c r="W899" s="43"/>
      <c r="X899" s="342">
        <f t="shared" si="233"/>
        <v>5182.9133171912836</v>
      </c>
      <c r="Y899" s="342">
        <f t="shared" si="234"/>
        <v>1403.7056900726384</v>
      </c>
      <c r="Z899" s="46">
        <f t="shared" si="235"/>
        <v>712.65058111380154</v>
      </c>
      <c r="AA899" s="46">
        <f t="shared" si="236"/>
        <v>3282.5117675544793</v>
      </c>
      <c r="AB899" s="43"/>
      <c r="AC899" s="44">
        <v>44594.65</v>
      </c>
      <c r="AD899" s="31">
        <v>0.12</v>
      </c>
      <c r="AE899" s="31">
        <v>3.2500000000000001E-2</v>
      </c>
      <c r="AF899" s="31">
        <v>0</v>
      </c>
      <c r="AG899" s="28" t="s">
        <v>53</v>
      </c>
      <c r="AH899" s="46">
        <f t="shared" si="237"/>
        <v>46043.976125000001</v>
      </c>
      <c r="AI899" s="43"/>
      <c r="AJ899" s="28" t="s">
        <v>264</v>
      </c>
      <c r="AK899" s="337">
        <v>5.44</v>
      </c>
      <c r="AL899" s="43"/>
      <c r="AM899" s="44">
        <f t="shared" si="238"/>
        <v>0</v>
      </c>
      <c r="AN899" s="43"/>
      <c r="AO899" s="28">
        <f t="shared" si="239"/>
        <v>0</v>
      </c>
      <c r="AP899" s="43"/>
      <c r="AQ899" s="323">
        <f t="shared" si="240"/>
        <v>0</v>
      </c>
      <c r="AR899" s="43"/>
      <c r="AS899" s="44">
        <f t="shared" si="241"/>
        <v>46043.976125000001</v>
      </c>
    </row>
    <row r="900" spans="1:45" x14ac:dyDescent="0.25">
      <c r="A900" s="28"/>
      <c r="B900" s="43"/>
      <c r="C900" s="43"/>
      <c r="D900" s="43" t="s">
        <v>1165</v>
      </c>
      <c r="E900" s="43"/>
      <c r="F900" s="43"/>
      <c r="G900" s="46">
        <f t="shared" si="228"/>
        <v>0</v>
      </c>
      <c r="H900" s="46">
        <f t="shared" si="229"/>
        <v>0</v>
      </c>
      <c r="I900" s="28"/>
      <c r="J900" s="337"/>
      <c r="K900" s="46" t="str">
        <f t="shared" si="230"/>
        <v/>
      </c>
      <c r="L900" s="46" t="str">
        <f t="shared" si="231"/>
        <v/>
      </c>
      <c r="M900" s="338">
        <f t="shared" si="232"/>
        <v>0</v>
      </c>
      <c r="N900" s="43"/>
      <c r="O900" s="339"/>
      <c r="P900" s="340" t="str">
        <f>IFERROR(VLOOKUP(O900,NCM!$A$3:$D$99,COLUMN(head_porNCM_IPI)-COLUMN(head_porNCM_NCM)+1,FALSE),"")</f>
        <v/>
      </c>
      <c r="Q900" s="43"/>
      <c r="R900" s="78"/>
      <c r="S900" s="341"/>
      <c r="T900" s="28"/>
      <c r="U900" s="28"/>
      <c r="V900" s="28"/>
      <c r="W900" s="43"/>
      <c r="X900" s="342">
        <f t="shared" si="233"/>
        <v>0</v>
      </c>
      <c r="Y900" s="342">
        <f t="shared" si="234"/>
        <v>0</v>
      </c>
      <c r="Z900" s="46">
        <f t="shared" si="235"/>
        <v>0</v>
      </c>
      <c r="AA900" s="46">
        <f t="shared" si="236"/>
        <v>0</v>
      </c>
      <c r="AB900" s="43"/>
      <c r="AC900" s="44">
        <v>0</v>
      </c>
      <c r="AD900" s="31"/>
      <c r="AE900" s="31"/>
      <c r="AF900" s="31"/>
      <c r="AG900" s="28"/>
      <c r="AH900" s="46">
        <f t="shared" si="237"/>
        <v>0</v>
      </c>
      <c r="AI900" s="43"/>
      <c r="AJ900" s="28"/>
      <c r="AK900" s="337"/>
      <c r="AL900" s="43"/>
      <c r="AM900" s="44">
        <f t="shared" si="238"/>
        <v>0</v>
      </c>
      <c r="AN900" s="43"/>
      <c r="AO900" s="28">
        <f t="shared" si="239"/>
        <v>0</v>
      </c>
      <c r="AP900" s="43"/>
      <c r="AQ900" s="323">
        <f t="shared" si="240"/>
        <v>0</v>
      </c>
      <c r="AR900" s="43"/>
      <c r="AS900" s="44">
        <f t="shared" si="241"/>
        <v>0</v>
      </c>
    </row>
    <row r="901" spans="1:45" x14ac:dyDescent="0.25">
      <c r="A901" s="28"/>
      <c r="B901" s="43"/>
      <c r="C901" s="43"/>
      <c r="D901" s="43"/>
      <c r="E901" s="43" t="s">
        <v>2680</v>
      </c>
      <c r="F901" s="43" t="s">
        <v>2681</v>
      </c>
      <c r="G901" s="46">
        <f t="shared" si="228"/>
        <v>111204.2448</v>
      </c>
      <c r="H901" s="46">
        <f t="shared" si="229"/>
        <v>99515.162250000023</v>
      </c>
      <c r="I901" s="28" t="s">
        <v>262</v>
      </c>
      <c r="J901" s="337">
        <v>1</v>
      </c>
      <c r="K901" s="46">
        <f t="shared" si="230"/>
        <v>111204.2448</v>
      </c>
      <c r="L901" s="46">
        <f t="shared" si="231"/>
        <v>99515.162250000023</v>
      </c>
      <c r="M901" s="338">
        <f t="shared" si="232"/>
        <v>0</v>
      </c>
      <c r="N901" s="43" t="s">
        <v>35</v>
      </c>
      <c r="O901" s="339">
        <v>85364900</v>
      </c>
      <c r="P901" s="340">
        <f>IFERROR(VLOOKUP(O901,NCM!$A$3:$D$99,COLUMN(head_porNCM_IPI)-COLUMN(head_porNCM_NCM)+1,FALSE),"")</f>
        <v>3.2500000000000001E-2</v>
      </c>
      <c r="Q901" s="43" t="s">
        <v>1165</v>
      </c>
      <c r="R901" s="78" t="s">
        <v>210</v>
      </c>
      <c r="S901" s="341"/>
      <c r="T901" s="28" t="s">
        <v>52</v>
      </c>
      <c r="U901" s="28" t="s">
        <v>2779</v>
      </c>
      <c r="V901" s="548">
        <v>45278</v>
      </c>
      <c r="W901" s="43"/>
      <c r="X901" s="342">
        <f t="shared" si="233"/>
        <v>14686.891234866829</v>
      </c>
      <c r="Y901" s="342">
        <f t="shared" si="234"/>
        <v>3977.699709443099</v>
      </c>
      <c r="Z901" s="46">
        <f t="shared" si="235"/>
        <v>2019.4475447941891</v>
      </c>
      <c r="AA901" s="46">
        <f t="shared" si="236"/>
        <v>9301.6977820823249</v>
      </c>
      <c r="AB901" s="43"/>
      <c r="AC901" s="44">
        <v>126368.46</v>
      </c>
      <c r="AD901" s="31">
        <v>0.12</v>
      </c>
      <c r="AE901" s="31">
        <v>3.2500000000000001E-2</v>
      </c>
      <c r="AF901" s="31">
        <v>0</v>
      </c>
      <c r="AG901" s="28" t="s">
        <v>53</v>
      </c>
      <c r="AH901" s="46">
        <f t="shared" si="237"/>
        <v>130475.43495000001</v>
      </c>
      <c r="AI901" s="43"/>
      <c r="AJ901" s="28" t="s">
        <v>263</v>
      </c>
      <c r="AK901" s="337">
        <v>4.93</v>
      </c>
      <c r="AL901" s="43"/>
      <c r="AM901" s="44">
        <f t="shared" si="238"/>
        <v>0</v>
      </c>
      <c r="AN901" s="43"/>
      <c r="AO901" s="28">
        <f t="shared" si="239"/>
        <v>0</v>
      </c>
      <c r="AP901" s="43"/>
      <c r="AQ901" s="323">
        <f t="shared" si="240"/>
        <v>0</v>
      </c>
      <c r="AR901" s="43"/>
      <c r="AS901" s="44">
        <f t="shared" si="241"/>
        <v>130475.43495000001</v>
      </c>
    </row>
    <row r="902" spans="1:45" x14ac:dyDescent="0.25">
      <c r="A902" s="28"/>
      <c r="B902" s="43"/>
      <c r="C902" s="43"/>
      <c r="D902" s="43"/>
      <c r="E902" s="43" t="s">
        <v>1933</v>
      </c>
      <c r="F902" s="43" t="s">
        <v>2682</v>
      </c>
      <c r="G902" s="46">
        <f t="shared" si="228"/>
        <v>39729.747200000005</v>
      </c>
      <c r="H902" s="46">
        <f t="shared" si="229"/>
        <v>35553.609000000004</v>
      </c>
      <c r="I902" s="28" t="s">
        <v>262</v>
      </c>
      <c r="J902" s="337">
        <v>1</v>
      </c>
      <c r="K902" s="46">
        <f t="shared" si="230"/>
        <v>39729.747200000005</v>
      </c>
      <c r="L902" s="46">
        <f t="shared" si="231"/>
        <v>35553.609000000004</v>
      </c>
      <c r="M902" s="338">
        <f t="shared" si="232"/>
        <v>0</v>
      </c>
      <c r="N902" s="43" t="s">
        <v>35</v>
      </c>
      <c r="O902" s="339">
        <v>85364900</v>
      </c>
      <c r="P902" s="340">
        <f>IFERROR(VLOOKUP(O902,NCM!$A$3:$D$99,COLUMN(head_porNCM_IPI)-COLUMN(head_porNCM_NCM)+1,FALSE),"")</f>
        <v>3.2500000000000001E-2</v>
      </c>
      <c r="Q902" s="43" t="s">
        <v>1165</v>
      </c>
      <c r="R902" s="78" t="s">
        <v>210</v>
      </c>
      <c r="S902" s="341"/>
      <c r="T902" s="28" t="s">
        <v>52</v>
      </c>
      <c r="U902" s="28" t="s">
        <v>2779</v>
      </c>
      <c r="V902" s="548">
        <v>45278</v>
      </c>
      <c r="W902" s="43"/>
      <c r="X902" s="342">
        <f t="shared" si="233"/>
        <v>5247.1600968522998</v>
      </c>
      <c r="Y902" s="342">
        <f t="shared" si="234"/>
        <v>1421.1058595641662</v>
      </c>
      <c r="Z902" s="46">
        <f t="shared" si="235"/>
        <v>721.48451331719139</v>
      </c>
      <c r="AA902" s="46">
        <f t="shared" si="236"/>
        <v>3323.2013946731236</v>
      </c>
      <c r="AB902" s="43"/>
      <c r="AC902" s="44">
        <v>45147.44</v>
      </c>
      <c r="AD902" s="31">
        <v>0.12</v>
      </c>
      <c r="AE902" s="31">
        <v>3.2500000000000001E-2</v>
      </c>
      <c r="AF902" s="31">
        <v>0</v>
      </c>
      <c r="AG902" s="28" t="s">
        <v>53</v>
      </c>
      <c r="AH902" s="46">
        <f t="shared" si="237"/>
        <v>46614.731800000001</v>
      </c>
      <c r="AI902" s="43"/>
      <c r="AJ902" s="28" t="s">
        <v>263</v>
      </c>
      <c r="AK902" s="337">
        <v>4.93</v>
      </c>
      <c r="AL902" s="43"/>
      <c r="AM902" s="44">
        <f t="shared" si="238"/>
        <v>0</v>
      </c>
      <c r="AN902" s="43"/>
      <c r="AO902" s="28">
        <f t="shared" si="239"/>
        <v>0</v>
      </c>
      <c r="AP902" s="43"/>
      <c r="AQ902" s="323">
        <f t="shared" si="240"/>
        <v>0</v>
      </c>
      <c r="AR902" s="43"/>
      <c r="AS902" s="44">
        <f t="shared" si="241"/>
        <v>46614.731800000001</v>
      </c>
    </row>
    <row r="903" spans="1:45" x14ac:dyDescent="0.25">
      <c r="A903" s="28"/>
      <c r="B903" s="43"/>
      <c r="C903" s="43"/>
      <c r="D903" s="43"/>
      <c r="E903" s="43" t="s">
        <v>2683</v>
      </c>
      <c r="F903" s="43" t="s">
        <v>2684</v>
      </c>
      <c r="G903" s="46">
        <f t="shared" si="228"/>
        <v>68008.432799999995</v>
      </c>
      <c r="H903" s="46">
        <f t="shared" si="229"/>
        <v>60859.819125000002</v>
      </c>
      <c r="I903" s="28" t="s">
        <v>262</v>
      </c>
      <c r="J903" s="337">
        <v>1</v>
      </c>
      <c r="K903" s="46">
        <f t="shared" si="230"/>
        <v>68008.432799999995</v>
      </c>
      <c r="L903" s="46">
        <f t="shared" si="231"/>
        <v>60859.819125000002</v>
      </c>
      <c r="M903" s="338">
        <f t="shared" si="232"/>
        <v>0</v>
      </c>
      <c r="N903" s="43" t="s">
        <v>35</v>
      </c>
      <c r="O903" s="339">
        <v>85364900</v>
      </c>
      <c r="P903" s="340">
        <f>IFERROR(VLOOKUP(O903,NCM!$A$3:$D$99,COLUMN(head_porNCM_IPI)-COLUMN(head_porNCM_NCM)+1,FALSE),"")</f>
        <v>3.2500000000000001E-2</v>
      </c>
      <c r="Q903" s="43" t="s">
        <v>1165</v>
      </c>
      <c r="R903" s="78" t="s">
        <v>210</v>
      </c>
      <c r="S903" s="341"/>
      <c r="T903" s="28" t="s">
        <v>52</v>
      </c>
      <c r="U903" s="28" t="s">
        <v>2779</v>
      </c>
      <c r="V903" s="548">
        <v>45278</v>
      </c>
      <c r="W903" s="43"/>
      <c r="X903" s="342">
        <f t="shared" si="233"/>
        <v>8981.9633898305074</v>
      </c>
      <c r="Y903" s="342">
        <f t="shared" si="234"/>
        <v>2432.6150847457611</v>
      </c>
      <c r="Z903" s="46">
        <f t="shared" si="235"/>
        <v>1235.019966101695</v>
      </c>
      <c r="AA903" s="46">
        <f t="shared" si="236"/>
        <v>5688.5768135593216</v>
      </c>
      <c r="AB903" s="43"/>
      <c r="AC903" s="44">
        <v>77282.31</v>
      </c>
      <c r="AD903" s="31">
        <v>0.12</v>
      </c>
      <c r="AE903" s="31">
        <v>3.2500000000000001E-2</v>
      </c>
      <c r="AF903" s="31">
        <v>0</v>
      </c>
      <c r="AG903" s="28" t="s">
        <v>53</v>
      </c>
      <c r="AH903" s="46">
        <f t="shared" si="237"/>
        <v>79793.98507499999</v>
      </c>
      <c r="AI903" s="43"/>
      <c r="AJ903" s="28" t="s">
        <v>263</v>
      </c>
      <c r="AK903" s="337">
        <v>4.93</v>
      </c>
      <c r="AL903" s="43"/>
      <c r="AM903" s="44">
        <f t="shared" si="238"/>
        <v>0</v>
      </c>
      <c r="AN903" s="43"/>
      <c r="AO903" s="28">
        <f t="shared" si="239"/>
        <v>0</v>
      </c>
      <c r="AP903" s="43"/>
      <c r="AQ903" s="323">
        <f t="shared" si="240"/>
        <v>0</v>
      </c>
      <c r="AR903" s="43"/>
      <c r="AS903" s="44">
        <f t="shared" si="241"/>
        <v>79793.98507499999</v>
      </c>
    </row>
    <row r="904" spans="1:45" x14ac:dyDescent="0.25">
      <c r="A904" s="28"/>
      <c r="B904" s="43"/>
      <c r="C904" s="43"/>
      <c r="D904" s="43" t="s">
        <v>3085</v>
      </c>
      <c r="E904" s="43"/>
      <c r="F904" s="43"/>
      <c r="G904" s="46">
        <f t="shared" si="228"/>
        <v>0</v>
      </c>
      <c r="H904" s="46">
        <f t="shared" si="229"/>
        <v>0</v>
      </c>
      <c r="I904" s="28"/>
      <c r="J904" s="337"/>
      <c r="K904" s="46" t="str">
        <f t="shared" si="230"/>
        <v/>
      </c>
      <c r="L904" s="46" t="str">
        <f t="shared" si="231"/>
        <v/>
      </c>
      <c r="M904" s="338">
        <f t="shared" si="232"/>
        <v>0</v>
      </c>
      <c r="N904" s="43"/>
      <c r="O904" s="339"/>
      <c r="P904" s="340" t="str">
        <f>IFERROR(VLOOKUP(O904,NCM!$A$3:$D$99,COLUMN(head_porNCM_IPI)-COLUMN(head_porNCM_NCM)+1,FALSE),"")</f>
        <v/>
      </c>
      <c r="Q904" s="43"/>
      <c r="R904" s="78"/>
      <c r="S904" s="341"/>
      <c r="T904" s="28"/>
      <c r="U904" s="28"/>
      <c r="V904" s="28"/>
      <c r="W904" s="43"/>
      <c r="X904" s="342">
        <f t="shared" si="233"/>
        <v>0</v>
      </c>
      <c r="Y904" s="342">
        <f t="shared" si="234"/>
        <v>0</v>
      </c>
      <c r="Z904" s="46">
        <f t="shared" si="235"/>
        <v>0</v>
      </c>
      <c r="AA904" s="46">
        <f t="shared" si="236"/>
        <v>0</v>
      </c>
      <c r="AB904" s="43"/>
      <c r="AC904" s="44">
        <v>0</v>
      </c>
      <c r="AD904" s="31"/>
      <c r="AE904" s="31"/>
      <c r="AF904" s="31"/>
      <c r="AG904" s="28"/>
      <c r="AH904" s="46">
        <f t="shared" si="237"/>
        <v>0</v>
      </c>
      <c r="AI904" s="43"/>
      <c r="AJ904" s="28"/>
      <c r="AK904" s="337"/>
      <c r="AL904" s="43"/>
      <c r="AM904" s="44">
        <f t="shared" si="238"/>
        <v>0</v>
      </c>
      <c r="AN904" s="43"/>
      <c r="AO904" s="28">
        <f t="shared" si="239"/>
        <v>0</v>
      </c>
      <c r="AP904" s="43"/>
      <c r="AQ904" s="323">
        <f t="shared" si="240"/>
        <v>0</v>
      </c>
      <c r="AR904" s="43"/>
      <c r="AS904" s="44">
        <f t="shared" si="241"/>
        <v>0</v>
      </c>
    </row>
    <row r="905" spans="1:45" x14ac:dyDescent="0.25">
      <c r="A905" s="28"/>
      <c r="B905" s="43"/>
      <c r="C905" s="43"/>
      <c r="D905" s="43"/>
      <c r="E905" s="43" t="s">
        <v>1805</v>
      </c>
      <c r="F905" s="43" t="s">
        <v>1802</v>
      </c>
      <c r="G905" s="46">
        <f t="shared" si="228"/>
        <v>26964.5088</v>
      </c>
      <c r="H905" s="46">
        <f t="shared" si="229"/>
        <v>24366.366024999999</v>
      </c>
      <c r="I905" s="28" t="s">
        <v>262</v>
      </c>
      <c r="J905" s="337">
        <v>1</v>
      </c>
      <c r="K905" s="46">
        <f t="shared" si="230"/>
        <v>26964.5088</v>
      </c>
      <c r="L905" s="46">
        <f t="shared" si="231"/>
        <v>24366.366024999999</v>
      </c>
      <c r="M905" s="338">
        <f t="shared" si="232"/>
        <v>0</v>
      </c>
      <c r="N905" s="43" t="s">
        <v>35</v>
      </c>
      <c r="O905" s="339">
        <v>85364900</v>
      </c>
      <c r="P905" s="340">
        <f>IFERROR(VLOOKUP(O905,NCM!$A$3:$D$99,COLUMN(head_porNCM_IPI)-COLUMN(head_porNCM_NCM)+1,FALSE),"")</f>
        <v>3.2500000000000001E-2</v>
      </c>
      <c r="Q905" s="43" t="s">
        <v>804</v>
      </c>
      <c r="R905" s="78" t="s">
        <v>210</v>
      </c>
      <c r="S905" s="341"/>
      <c r="T905" s="28" t="s">
        <v>52</v>
      </c>
      <c r="U905" s="28" t="s">
        <v>2780</v>
      </c>
      <c r="V905" s="548">
        <v>45308</v>
      </c>
      <c r="W905" s="43"/>
      <c r="X905" s="342">
        <f t="shared" si="233"/>
        <v>1088.1561259079904</v>
      </c>
      <c r="Y905" s="342">
        <f t="shared" si="234"/>
        <v>884.12685230023999</v>
      </c>
      <c r="Z905" s="46">
        <f t="shared" si="235"/>
        <v>448.86440193704607</v>
      </c>
      <c r="AA905" s="46">
        <f t="shared" si="236"/>
        <v>2067.4966392251818</v>
      </c>
      <c r="AB905" s="43"/>
      <c r="AC905" s="44">
        <v>28088.03</v>
      </c>
      <c r="AD905" s="31">
        <v>0.04</v>
      </c>
      <c r="AE905" s="31">
        <v>3.2500000000000001E-2</v>
      </c>
      <c r="AF905" s="31">
        <v>0</v>
      </c>
      <c r="AG905" s="28" t="s">
        <v>53</v>
      </c>
      <c r="AH905" s="46">
        <f t="shared" si="237"/>
        <v>29000.890974999998</v>
      </c>
      <c r="AI905" s="43"/>
      <c r="AJ905" s="28" t="s">
        <v>264</v>
      </c>
      <c r="AK905" s="337">
        <v>5.82</v>
      </c>
      <c r="AL905" s="43"/>
      <c r="AM905" s="44">
        <f t="shared" si="238"/>
        <v>0</v>
      </c>
      <c r="AN905" s="43"/>
      <c r="AO905" s="28">
        <f t="shared" si="239"/>
        <v>0</v>
      </c>
      <c r="AP905" s="43"/>
      <c r="AQ905" s="323">
        <f t="shared" si="240"/>
        <v>0</v>
      </c>
      <c r="AR905" s="43"/>
      <c r="AS905" s="44">
        <f t="shared" si="241"/>
        <v>29000.890974999998</v>
      </c>
    </row>
    <row r="906" spans="1:45" x14ac:dyDescent="0.25">
      <c r="A906" s="28"/>
      <c r="B906" s="43"/>
      <c r="C906" s="43"/>
      <c r="D906" s="43"/>
      <c r="E906" s="43" t="s">
        <v>1806</v>
      </c>
      <c r="F906" s="43" t="s">
        <v>1807</v>
      </c>
      <c r="G906" s="46">
        <f t="shared" si="228"/>
        <v>32994.566399999996</v>
      </c>
      <c r="H906" s="46">
        <f t="shared" si="229"/>
        <v>29815.402449999998</v>
      </c>
      <c r="I906" s="28" t="s">
        <v>262</v>
      </c>
      <c r="J906" s="337">
        <v>1</v>
      </c>
      <c r="K906" s="46">
        <f t="shared" si="230"/>
        <v>32994.566399999996</v>
      </c>
      <c r="L906" s="46">
        <f t="shared" si="231"/>
        <v>29815.402449999998</v>
      </c>
      <c r="M906" s="338">
        <f t="shared" si="232"/>
        <v>0</v>
      </c>
      <c r="N906" s="43" t="s">
        <v>35</v>
      </c>
      <c r="O906" s="339">
        <v>85364900</v>
      </c>
      <c r="P906" s="340">
        <f>IFERROR(VLOOKUP(O906,NCM!$A$3:$D$99,COLUMN(head_porNCM_IPI)-COLUMN(head_porNCM_NCM)+1,FALSE),"")</f>
        <v>3.2500000000000001E-2</v>
      </c>
      <c r="Q906" s="43" t="s">
        <v>804</v>
      </c>
      <c r="R906" s="78" t="s">
        <v>210</v>
      </c>
      <c r="S906" s="341"/>
      <c r="T906" s="28" t="s">
        <v>52</v>
      </c>
      <c r="U906" s="28" t="s">
        <v>2780</v>
      </c>
      <c r="V906" s="548">
        <v>45308</v>
      </c>
      <c r="W906" s="43"/>
      <c r="X906" s="342">
        <f t="shared" si="233"/>
        <v>1331.4998547215496</v>
      </c>
      <c r="Y906" s="342">
        <f t="shared" si="234"/>
        <v>1081.8436319612592</v>
      </c>
      <c r="Z906" s="46">
        <f t="shared" si="235"/>
        <v>549.2436900726392</v>
      </c>
      <c r="AA906" s="46">
        <f t="shared" si="236"/>
        <v>2529.8497239709441</v>
      </c>
      <c r="AB906" s="43"/>
      <c r="AC906" s="44">
        <v>34369.339999999997</v>
      </c>
      <c r="AD906" s="31">
        <v>0.04</v>
      </c>
      <c r="AE906" s="31">
        <v>3.2500000000000001E-2</v>
      </c>
      <c r="AF906" s="31">
        <v>0</v>
      </c>
      <c r="AG906" s="28" t="s">
        <v>53</v>
      </c>
      <c r="AH906" s="46">
        <f t="shared" si="237"/>
        <v>35486.343549999998</v>
      </c>
      <c r="AI906" s="43"/>
      <c r="AJ906" s="28" t="s">
        <v>264</v>
      </c>
      <c r="AK906" s="337">
        <v>5.82</v>
      </c>
      <c r="AL906" s="43"/>
      <c r="AM906" s="44">
        <f t="shared" si="238"/>
        <v>0</v>
      </c>
      <c r="AN906" s="43"/>
      <c r="AO906" s="28">
        <f t="shared" si="239"/>
        <v>0</v>
      </c>
      <c r="AP906" s="43"/>
      <c r="AQ906" s="323">
        <f t="shared" si="240"/>
        <v>0</v>
      </c>
      <c r="AR906" s="43"/>
      <c r="AS906" s="44">
        <f t="shared" si="241"/>
        <v>35486.343549999998</v>
      </c>
    </row>
    <row r="907" spans="1:45" x14ac:dyDescent="0.25">
      <c r="A907" s="28"/>
      <c r="B907" s="43"/>
      <c r="C907" s="43"/>
      <c r="D907" s="43"/>
      <c r="E907" s="43" t="s">
        <v>1808</v>
      </c>
      <c r="F907" s="43" t="s">
        <v>3121</v>
      </c>
      <c r="G907" s="46">
        <f t="shared" si="228"/>
        <v>23799.215999999997</v>
      </c>
      <c r="H907" s="46">
        <f t="shared" si="229"/>
        <v>21506.062375000001</v>
      </c>
      <c r="I907" s="28" t="s">
        <v>262</v>
      </c>
      <c r="J907" s="337">
        <v>1</v>
      </c>
      <c r="K907" s="46">
        <f t="shared" si="230"/>
        <v>23799.215999999997</v>
      </c>
      <c r="L907" s="46">
        <f t="shared" si="231"/>
        <v>21506.062375000001</v>
      </c>
      <c r="M907" s="338">
        <f t="shared" si="232"/>
        <v>0</v>
      </c>
      <c r="N907" s="43" t="s">
        <v>35</v>
      </c>
      <c r="O907" s="339">
        <v>85364900</v>
      </c>
      <c r="P907" s="340">
        <f>IFERROR(VLOOKUP(O907,NCM!$A$3:$D$99,COLUMN(head_porNCM_IPI)-COLUMN(head_porNCM_NCM)+1,FALSE),"")</f>
        <v>3.2500000000000001E-2</v>
      </c>
      <c r="Q907" s="43" t="s">
        <v>804</v>
      </c>
      <c r="R907" s="78" t="s">
        <v>210</v>
      </c>
      <c r="S907" s="341"/>
      <c r="T907" s="28" t="s">
        <v>52</v>
      </c>
      <c r="U907" s="28" t="s">
        <v>2780</v>
      </c>
      <c r="V907" s="548">
        <v>45308</v>
      </c>
      <c r="W907" s="43"/>
      <c r="X907" s="342">
        <f t="shared" si="233"/>
        <v>960.42033898305078</v>
      </c>
      <c r="Y907" s="342">
        <f t="shared" si="234"/>
        <v>780.34152542372976</v>
      </c>
      <c r="Z907" s="46">
        <f t="shared" si="235"/>
        <v>396.17338983050843</v>
      </c>
      <c r="AA907" s="46">
        <f t="shared" si="236"/>
        <v>1824.7986440677964</v>
      </c>
      <c r="AB907" s="43"/>
      <c r="AC907" s="44">
        <v>24790.85</v>
      </c>
      <c r="AD907" s="31">
        <v>0.04</v>
      </c>
      <c r="AE907" s="31">
        <v>3.2500000000000001E-2</v>
      </c>
      <c r="AF907" s="31">
        <v>0</v>
      </c>
      <c r="AG907" s="28" t="s">
        <v>53</v>
      </c>
      <c r="AH907" s="46">
        <f t="shared" si="237"/>
        <v>25596.552624999997</v>
      </c>
      <c r="AI907" s="43"/>
      <c r="AJ907" s="28" t="s">
        <v>264</v>
      </c>
      <c r="AK907" s="337">
        <v>5.82</v>
      </c>
      <c r="AL907" s="43"/>
      <c r="AM907" s="44">
        <f t="shared" si="238"/>
        <v>0</v>
      </c>
      <c r="AN907" s="43"/>
      <c r="AO907" s="28">
        <f t="shared" si="239"/>
        <v>0</v>
      </c>
      <c r="AP907" s="43"/>
      <c r="AQ907" s="323">
        <f t="shared" si="240"/>
        <v>0</v>
      </c>
      <c r="AR907" s="43"/>
      <c r="AS907" s="44">
        <f t="shared" si="241"/>
        <v>25596.552624999997</v>
      </c>
    </row>
    <row r="908" spans="1:45" x14ac:dyDescent="0.25">
      <c r="A908" s="28"/>
      <c r="B908" s="43"/>
      <c r="C908" s="43"/>
      <c r="D908" s="43"/>
      <c r="E908" s="43" t="s">
        <v>1809</v>
      </c>
      <c r="F908" s="43" t="s">
        <v>1810</v>
      </c>
      <c r="G908" s="46">
        <f t="shared" si="228"/>
        <v>42639.859199999999</v>
      </c>
      <c r="H908" s="46">
        <f t="shared" si="229"/>
        <v>38531.331099999996</v>
      </c>
      <c r="I908" s="28" t="s">
        <v>262</v>
      </c>
      <c r="J908" s="337">
        <v>1</v>
      </c>
      <c r="K908" s="46">
        <f t="shared" si="230"/>
        <v>42639.859199999999</v>
      </c>
      <c r="L908" s="46">
        <f t="shared" si="231"/>
        <v>38531.331099999996</v>
      </c>
      <c r="M908" s="338">
        <f t="shared" si="232"/>
        <v>0</v>
      </c>
      <c r="N908" s="43" t="s">
        <v>35</v>
      </c>
      <c r="O908" s="339">
        <v>85364900</v>
      </c>
      <c r="P908" s="340">
        <f>IFERROR(VLOOKUP(O908,NCM!$A$3:$D$99,COLUMN(head_porNCM_IPI)-COLUMN(head_porNCM_NCM)+1,FALSE),"")</f>
        <v>3.2500000000000001E-2</v>
      </c>
      <c r="Q908" s="43" t="s">
        <v>804</v>
      </c>
      <c r="R908" s="78" t="s">
        <v>210</v>
      </c>
      <c r="S908" s="341"/>
      <c r="T908" s="28" t="s">
        <v>52</v>
      </c>
      <c r="U908" s="28" t="s">
        <v>2780</v>
      </c>
      <c r="V908" s="548">
        <v>45308</v>
      </c>
      <c r="W908" s="43"/>
      <c r="X908" s="342">
        <f t="shared" si="233"/>
        <v>1720.7368523002422</v>
      </c>
      <c r="Y908" s="342">
        <f t="shared" si="234"/>
        <v>1398.0986924939425</v>
      </c>
      <c r="Z908" s="46">
        <f t="shared" si="235"/>
        <v>709.80395157384999</v>
      </c>
      <c r="AA908" s="46">
        <f t="shared" si="236"/>
        <v>3269.4000193704601</v>
      </c>
      <c r="AB908" s="43"/>
      <c r="AC908" s="44">
        <v>44416.52</v>
      </c>
      <c r="AD908" s="31">
        <v>0.04</v>
      </c>
      <c r="AE908" s="31">
        <v>3.2500000000000001E-2</v>
      </c>
      <c r="AF908" s="31">
        <v>0</v>
      </c>
      <c r="AG908" s="28" t="s">
        <v>53</v>
      </c>
      <c r="AH908" s="46">
        <f t="shared" si="237"/>
        <v>45860.056899999996</v>
      </c>
      <c r="AI908" s="43"/>
      <c r="AJ908" s="28" t="s">
        <v>264</v>
      </c>
      <c r="AK908" s="337">
        <v>5.82</v>
      </c>
      <c r="AL908" s="43"/>
      <c r="AM908" s="44">
        <f t="shared" si="238"/>
        <v>0</v>
      </c>
      <c r="AN908" s="43"/>
      <c r="AO908" s="28">
        <f t="shared" si="239"/>
        <v>0</v>
      </c>
      <c r="AP908" s="43"/>
      <c r="AQ908" s="323">
        <f t="shared" si="240"/>
        <v>0</v>
      </c>
      <c r="AR908" s="43"/>
      <c r="AS908" s="44">
        <f t="shared" si="241"/>
        <v>45860.056899999996</v>
      </c>
    </row>
    <row r="909" spans="1:45" x14ac:dyDescent="0.25">
      <c r="A909" s="28"/>
      <c r="B909" s="43"/>
      <c r="C909" s="43"/>
      <c r="D909" s="43"/>
      <c r="E909" s="43" t="s">
        <v>1811</v>
      </c>
      <c r="F909" s="43" t="s">
        <v>1812</v>
      </c>
      <c r="G909" s="46">
        <f t="shared" si="228"/>
        <v>169742.54399999999</v>
      </c>
      <c r="H909" s="46">
        <f t="shared" si="229"/>
        <v>153387.14262500001</v>
      </c>
      <c r="I909" s="28" t="s">
        <v>262</v>
      </c>
      <c r="J909" s="337">
        <v>1</v>
      </c>
      <c r="K909" s="46">
        <f t="shared" si="230"/>
        <v>169742.54399999999</v>
      </c>
      <c r="L909" s="46">
        <f t="shared" si="231"/>
        <v>153387.14262500001</v>
      </c>
      <c r="M909" s="338">
        <f t="shared" si="232"/>
        <v>0</v>
      </c>
      <c r="N909" s="43" t="s">
        <v>35</v>
      </c>
      <c r="O909" s="339">
        <v>85364900</v>
      </c>
      <c r="P909" s="340">
        <f>IFERROR(VLOOKUP(O909,NCM!$A$3:$D$99,COLUMN(head_porNCM_IPI)-COLUMN(head_porNCM_NCM)+1,FALSE),"")</f>
        <v>3.2500000000000001E-2</v>
      </c>
      <c r="Q909" s="43" t="s">
        <v>804</v>
      </c>
      <c r="R909" s="78" t="s">
        <v>210</v>
      </c>
      <c r="S909" s="341"/>
      <c r="T909" s="28" t="s">
        <v>52</v>
      </c>
      <c r="U909" s="28" t="s">
        <v>2780</v>
      </c>
      <c r="V909" s="548">
        <v>45308</v>
      </c>
      <c r="W909" s="43"/>
      <c r="X909" s="342">
        <f t="shared" si="233"/>
        <v>6849.9815980629546</v>
      </c>
      <c r="Y909" s="342">
        <f t="shared" si="234"/>
        <v>5565.6100484261406</v>
      </c>
      <c r="Z909" s="46">
        <f t="shared" si="235"/>
        <v>2825.6174092009687</v>
      </c>
      <c r="AA909" s="46">
        <f t="shared" si="236"/>
        <v>13014.965036319612</v>
      </c>
      <c r="AB909" s="43"/>
      <c r="AC909" s="44">
        <v>176815.15</v>
      </c>
      <c r="AD909" s="31">
        <v>0.04</v>
      </c>
      <c r="AE909" s="31">
        <v>3.2500000000000001E-2</v>
      </c>
      <c r="AF909" s="31">
        <v>0</v>
      </c>
      <c r="AG909" s="28" t="s">
        <v>53</v>
      </c>
      <c r="AH909" s="46">
        <f t="shared" si="237"/>
        <v>182561.642375</v>
      </c>
      <c r="AI909" s="43"/>
      <c r="AJ909" s="28" t="s">
        <v>264</v>
      </c>
      <c r="AK909" s="337">
        <v>5.82</v>
      </c>
      <c r="AL909" s="43"/>
      <c r="AM909" s="44">
        <f t="shared" si="238"/>
        <v>0</v>
      </c>
      <c r="AN909" s="43"/>
      <c r="AO909" s="28">
        <f t="shared" si="239"/>
        <v>0</v>
      </c>
      <c r="AP909" s="43"/>
      <c r="AQ909" s="323">
        <f t="shared" si="240"/>
        <v>0</v>
      </c>
      <c r="AR909" s="43"/>
      <c r="AS909" s="44">
        <f t="shared" si="241"/>
        <v>182561.642375</v>
      </c>
    </row>
    <row r="910" spans="1:45" x14ac:dyDescent="0.25">
      <c r="A910" s="28"/>
      <c r="B910" s="43"/>
      <c r="C910" s="43"/>
      <c r="D910" s="43"/>
      <c r="E910" s="43" t="s">
        <v>1813</v>
      </c>
      <c r="F910" s="43" t="s">
        <v>1814</v>
      </c>
      <c r="G910" s="46">
        <f t="shared" si="228"/>
        <v>2740.8412017167384</v>
      </c>
      <c r="H910" s="46">
        <f t="shared" si="229"/>
        <v>2452.7414163090129</v>
      </c>
      <c r="I910" s="28" t="s">
        <v>264</v>
      </c>
      <c r="J910" s="337">
        <v>1</v>
      </c>
      <c r="K910" s="46">
        <f t="shared" si="230"/>
        <v>16170.963090128758</v>
      </c>
      <c r="L910" s="46">
        <f t="shared" si="231"/>
        <v>14471.174356223177</v>
      </c>
      <c r="M910" s="338">
        <f t="shared" si="232"/>
        <v>0</v>
      </c>
      <c r="N910" s="43" t="s">
        <v>35</v>
      </c>
      <c r="O910" s="339">
        <v>85364900</v>
      </c>
      <c r="P910" s="340">
        <f>IFERROR(VLOOKUP(O910,NCM!$A$3:$D$99,COLUMN(head_porNCM_IPI)-COLUMN(head_porNCM_NCM)+1,FALSE),"")</f>
        <v>3.2500000000000001E-2</v>
      </c>
      <c r="Q910" s="43" t="s">
        <v>804</v>
      </c>
      <c r="R910" s="78" t="s">
        <v>210</v>
      </c>
      <c r="S910" s="341"/>
      <c r="T910" s="28" t="s">
        <v>52</v>
      </c>
      <c r="U910" s="28" t="s">
        <v>1905</v>
      </c>
      <c r="V910" s="548">
        <v>43790</v>
      </c>
      <c r="W910" s="43"/>
      <c r="X910" s="342">
        <f t="shared" si="233"/>
        <v>355.95340282035556</v>
      </c>
      <c r="Y910" s="342">
        <f t="shared" si="234"/>
        <v>148.31391784181505</v>
      </c>
      <c r="Z910" s="46">
        <f t="shared" si="235"/>
        <v>48.943592887798893</v>
      </c>
      <c r="AA910" s="46">
        <f t="shared" si="236"/>
        <v>225.43715511955853</v>
      </c>
      <c r="AB910" s="43"/>
      <c r="AC910" s="44">
        <v>3114.5922746781116</v>
      </c>
      <c r="AD910" s="31">
        <v>0.12</v>
      </c>
      <c r="AE910" s="31">
        <v>0.05</v>
      </c>
      <c r="AF910" s="31">
        <v>0</v>
      </c>
      <c r="AG910" s="28" t="s">
        <v>53</v>
      </c>
      <c r="AH910" s="46">
        <f t="shared" si="237"/>
        <v>3270.3218884120174</v>
      </c>
      <c r="AI910" s="43"/>
      <c r="AJ910" s="28" t="s">
        <v>264</v>
      </c>
      <c r="AK910" s="337">
        <v>4.66</v>
      </c>
      <c r="AL910" s="43"/>
      <c r="AM910" s="44">
        <f t="shared" si="238"/>
        <v>0</v>
      </c>
      <c r="AN910" s="43"/>
      <c r="AO910" s="28">
        <f t="shared" si="239"/>
        <v>0</v>
      </c>
      <c r="AP910" s="43"/>
      <c r="AQ910" s="323">
        <f t="shared" si="240"/>
        <v>0</v>
      </c>
      <c r="AR910" s="43"/>
      <c r="AS910" s="44">
        <f t="shared" si="241"/>
        <v>19294.899141630904</v>
      </c>
    </row>
    <row r="911" spans="1:45" x14ac:dyDescent="0.25">
      <c r="A911" s="28"/>
      <c r="B911" s="43"/>
      <c r="C911" s="43"/>
      <c r="D911" s="43"/>
      <c r="E911" s="43" t="s">
        <v>1815</v>
      </c>
      <c r="F911" s="43" t="s">
        <v>1816</v>
      </c>
      <c r="G911" s="46">
        <f t="shared" si="228"/>
        <v>3885.4077253218879</v>
      </c>
      <c r="H911" s="46">
        <f t="shared" si="229"/>
        <v>3476.9983905579402</v>
      </c>
      <c r="I911" s="28" t="s">
        <v>264</v>
      </c>
      <c r="J911" s="337">
        <v>1</v>
      </c>
      <c r="K911" s="46">
        <f t="shared" si="230"/>
        <v>22923.905579399139</v>
      </c>
      <c r="L911" s="46">
        <f t="shared" si="231"/>
        <v>20514.29050429185</v>
      </c>
      <c r="M911" s="338">
        <f t="shared" si="232"/>
        <v>0</v>
      </c>
      <c r="N911" s="43" t="s">
        <v>35</v>
      </c>
      <c r="O911" s="339">
        <v>85364900</v>
      </c>
      <c r="P911" s="340">
        <f>IFERROR(VLOOKUP(O911,NCM!$A$3:$D$99,COLUMN(head_porNCM_IPI)-COLUMN(head_porNCM_NCM)+1,FALSE),"")</f>
        <v>3.2500000000000001E-2</v>
      </c>
      <c r="Q911" s="43" t="s">
        <v>804</v>
      </c>
      <c r="R911" s="78" t="s">
        <v>210</v>
      </c>
      <c r="S911" s="341"/>
      <c r="T911" s="28" t="s">
        <v>52</v>
      </c>
      <c r="U911" s="28" t="s">
        <v>1905</v>
      </c>
      <c r="V911" s="548">
        <v>43790</v>
      </c>
      <c r="W911" s="43"/>
      <c r="X911" s="342">
        <f t="shared" si="233"/>
        <v>504.59840588595944</v>
      </c>
      <c r="Y911" s="342">
        <f t="shared" si="234"/>
        <v>210.24933578581658</v>
      </c>
      <c r="Z911" s="46">
        <f t="shared" si="235"/>
        <v>69.382280809319425</v>
      </c>
      <c r="AA911" s="46">
        <f t="shared" si="236"/>
        <v>319.57899039444101</v>
      </c>
      <c r="AB911" s="43"/>
      <c r="AC911" s="44">
        <v>4415.2360515021455</v>
      </c>
      <c r="AD911" s="31">
        <v>0.12</v>
      </c>
      <c r="AE911" s="31">
        <v>0.05</v>
      </c>
      <c r="AF911" s="31">
        <v>0</v>
      </c>
      <c r="AG911" s="28" t="s">
        <v>53</v>
      </c>
      <c r="AH911" s="46">
        <f t="shared" si="237"/>
        <v>4635.9978540772527</v>
      </c>
      <c r="AI911" s="43"/>
      <c r="AJ911" s="28" t="s">
        <v>264</v>
      </c>
      <c r="AK911" s="337">
        <v>4.66</v>
      </c>
      <c r="AL911" s="43"/>
      <c r="AM911" s="44">
        <f t="shared" si="238"/>
        <v>0</v>
      </c>
      <c r="AN911" s="43"/>
      <c r="AO911" s="28">
        <f t="shared" si="239"/>
        <v>0</v>
      </c>
      <c r="AP911" s="43"/>
      <c r="AQ911" s="323">
        <f t="shared" si="240"/>
        <v>0</v>
      </c>
      <c r="AR911" s="43"/>
      <c r="AS911" s="44">
        <f t="shared" si="241"/>
        <v>27352.387339055793</v>
      </c>
    </row>
    <row r="912" spans="1:45" x14ac:dyDescent="0.25">
      <c r="A912" s="28"/>
      <c r="B912" s="43"/>
      <c r="C912" s="43"/>
      <c r="D912" s="43"/>
      <c r="E912" s="43" t="s">
        <v>1817</v>
      </c>
      <c r="F912" s="43" t="s">
        <v>1818</v>
      </c>
      <c r="G912" s="46">
        <f t="shared" si="228"/>
        <v>7263.9312714776634</v>
      </c>
      <c r="H912" s="46">
        <f t="shared" si="229"/>
        <v>6500.3930412371137</v>
      </c>
      <c r="I912" s="28" t="s">
        <v>264</v>
      </c>
      <c r="J912" s="337">
        <v>1</v>
      </c>
      <c r="K912" s="46">
        <f t="shared" si="230"/>
        <v>42857.194501718215</v>
      </c>
      <c r="L912" s="46">
        <f t="shared" si="231"/>
        <v>38352.318943298975</v>
      </c>
      <c r="M912" s="338">
        <f t="shared" si="232"/>
        <v>0</v>
      </c>
      <c r="N912" s="43" t="s">
        <v>35</v>
      </c>
      <c r="O912" s="339">
        <v>85364900</v>
      </c>
      <c r="P912" s="340">
        <f>IFERROR(VLOOKUP(O912,NCM!$A$3:$D$99,COLUMN(head_porNCM_IPI)-COLUMN(head_porNCM_NCM)+1,FALSE),"")</f>
        <v>3.2500000000000001E-2</v>
      </c>
      <c r="Q912" s="43" t="s">
        <v>804</v>
      </c>
      <c r="R912" s="78" t="s">
        <v>210</v>
      </c>
      <c r="S912" s="341"/>
      <c r="T912" s="28" t="s">
        <v>52</v>
      </c>
      <c r="U912" s="28" t="s">
        <v>1904</v>
      </c>
      <c r="V912" s="548">
        <v>44005</v>
      </c>
      <c r="W912" s="43"/>
      <c r="X912" s="342">
        <f t="shared" si="233"/>
        <v>943.36769759450158</v>
      </c>
      <c r="Y912" s="342">
        <f t="shared" si="234"/>
        <v>393.06987399770969</v>
      </c>
      <c r="Z912" s="46">
        <f t="shared" si="235"/>
        <v>129.71305841924399</v>
      </c>
      <c r="AA912" s="46">
        <f t="shared" si="236"/>
        <v>597.46620847651764</v>
      </c>
      <c r="AB912" s="43"/>
      <c r="AC912" s="44">
        <v>8254.4673539518899</v>
      </c>
      <c r="AD912" s="31">
        <v>0.12</v>
      </c>
      <c r="AE912" s="31">
        <v>0.05</v>
      </c>
      <c r="AF912" s="31">
        <v>0</v>
      </c>
      <c r="AG912" s="28" t="s">
        <v>53</v>
      </c>
      <c r="AH912" s="46">
        <f t="shared" si="237"/>
        <v>8667.1907216494856</v>
      </c>
      <c r="AI912" s="43"/>
      <c r="AJ912" s="28" t="s">
        <v>264</v>
      </c>
      <c r="AK912" s="337">
        <v>5.82</v>
      </c>
      <c r="AL912" s="43"/>
      <c r="AM912" s="44">
        <f t="shared" si="238"/>
        <v>0</v>
      </c>
      <c r="AN912" s="43"/>
      <c r="AO912" s="28">
        <f t="shared" si="239"/>
        <v>0</v>
      </c>
      <c r="AP912" s="43"/>
      <c r="AQ912" s="323">
        <f t="shared" si="240"/>
        <v>0</v>
      </c>
      <c r="AR912" s="43"/>
      <c r="AS912" s="44">
        <f t="shared" si="241"/>
        <v>51136.425257731971</v>
      </c>
    </row>
    <row r="913" spans="1:45" x14ac:dyDescent="0.25">
      <c r="A913" s="28"/>
      <c r="B913" s="43"/>
      <c r="C913" s="43"/>
      <c r="D913" s="43"/>
      <c r="E913" s="43" t="s">
        <v>1819</v>
      </c>
      <c r="F913" s="43" t="s">
        <v>1820</v>
      </c>
      <c r="G913" s="46">
        <f t="shared" si="228"/>
        <v>3877.4763948497853</v>
      </c>
      <c r="H913" s="46">
        <f t="shared" si="229"/>
        <v>3469.9007510729616</v>
      </c>
      <c r="I913" s="28" t="s">
        <v>264</v>
      </c>
      <c r="J913" s="337">
        <v>1</v>
      </c>
      <c r="K913" s="46">
        <f t="shared" si="230"/>
        <v>22877.110729613734</v>
      </c>
      <c r="L913" s="46">
        <f t="shared" si="231"/>
        <v>20472.414431330475</v>
      </c>
      <c r="M913" s="338">
        <f t="shared" si="232"/>
        <v>0</v>
      </c>
      <c r="N913" s="43" t="s">
        <v>35</v>
      </c>
      <c r="O913" s="339">
        <v>85364900</v>
      </c>
      <c r="P913" s="340">
        <f>IFERROR(VLOOKUP(O913,NCM!$A$3:$D$99,COLUMN(head_porNCM_IPI)-COLUMN(head_porNCM_NCM)+1,FALSE),"")</f>
        <v>3.2500000000000001E-2</v>
      </c>
      <c r="Q913" s="43" t="s">
        <v>804</v>
      </c>
      <c r="R913" s="78" t="s">
        <v>210</v>
      </c>
      <c r="S913" s="341"/>
      <c r="T913" s="28" t="s">
        <v>52</v>
      </c>
      <c r="U913" s="28" t="s">
        <v>1905</v>
      </c>
      <c r="V913" s="548">
        <v>43790</v>
      </c>
      <c r="W913" s="43"/>
      <c r="X913" s="342">
        <f t="shared" si="233"/>
        <v>503.56836296750458</v>
      </c>
      <c r="Y913" s="342">
        <f t="shared" si="234"/>
        <v>209.82015123646033</v>
      </c>
      <c r="Z913" s="46">
        <f t="shared" si="235"/>
        <v>69.240649908031884</v>
      </c>
      <c r="AA913" s="46">
        <f t="shared" si="236"/>
        <v>318.92662987941958</v>
      </c>
      <c r="AB913" s="43"/>
      <c r="AC913" s="44">
        <v>4406.2231759656652</v>
      </c>
      <c r="AD913" s="31">
        <v>0.12</v>
      </c>
      <c r="AE913" s="31">
        <v>0.05</v>
      </c>
      <c r="AF913" s="31">
        <v>0</v>
      </c>
      <c r="AG913" s="28" t="s">
        <v>53</v>
      </c>
      <c r="AH913" s="46">
        <f t="shared" si="237"/>
        <v>4626.5343347639482</v>
      </c>
      <c r="AI913" s="43"/>
      <c r="AJ913" s="28" t="s">
        <v>264</v>
      </c>
      <c r="AK913" s="337">
        <v>4.66</v>
      </c>
      <c r="AL913" s="43"/>
      <c r="AM913" s="44">
        <f t="shared" si="238"/>
        <v>0</v>
      </c>
      <c r="AN913" s="43"/>
      <c r="AO913" s="28">
        <f t="shared" si="239"/>
        <v>0</v>
      </c>
      <c r="AP913" s="43"/>
      <c r="AQ913" s="323">
        <f t="shared" si="240"/>
        <v>0</v>
      </c>
      <c r="AR913" s="43"/>
      <c r="AS913" s="44">
        <f t="shared" si="241"/>
        <v>27296.552575107296</v>
      </c>
    </row>
    <row r="914" spans="1:45" x14ac:dyDescent="0.25">
      <c r="A914" s="28"/>
      <c r="B914" s="43"/>
      <c r="C914" s="43"/>
      <c r="D914" s="43"/>
      <c r="E914" s="43" t="s">
        <v>1821</v>
      </c>
      <c r="F914" s="43" t="s">
        <v>1822</v>
      </c>
      <c r="G914" s="46">
        <f t="shared" si="228"/>
        <v>4483.9175257731958</v>
      </c>
      <c r="H914" s="46">
        <f t="shared" si="229"/>
        <v>4012.5966494845366</v>
      </c>
      <c r="I914" s="28" t="s">
        <v>264</v>
      </c>
      <c r="J914" s="337">
        <v>1</v>
      </c>
      <c r="K914" s="46">
        <f t="shared" si="230"/>
        <v>26455.113402061856</v>
      </c>
      <c r="L914" s="46">
        <f t="shared" si="231"/>
        <v>23674.320231958765</v>
      </c>
      <c r="M914" s="338">
        <f t="shared" si="232"/>
        <v>0</v>
      </c>
      <c r="N914" s="43" t="s">
        <v>35</v>
      </c>
      <c r="O914" s="339">
        <v>85364900</v>
      </c>
      <c r="P914" s="340">
        <f>IFERROR(VLOOKUP(O914,NCM!$A$3:$D$99,COLUMN(head_porNCM_IPI)-COLUMN(head_porNCM_NCM)+1,FALSE),"")</f>
        <v>3.2500000000000001E-2</v>
      </c>
      <c r="Q914" s="43" t="s">
        <v>804</v>
      </c>
      <c r="R914" s="78" t="s">
        <v>210</v>
      </c>
      <c r="S914" s="341"/>
      <c r="T914" s="28" t="s">
        <v>52</v>
      </c>
      <c r="U914" s="28" t="s">
        <v>1904</v>
      </c>
      <c r="V914" s="548">
        <v>44005</v>
      </c>
      <c r="W914" s="43"/>
      <c r="X914" s="342">
        <f t="shared" si="233"/>
        <v>582.3269513991163</v>
      </c>
      <c r="Y914" s="342">
        <f t="shared" si="234"/>
        <v>242.63622974963164</v>
      </c>
      <c r="Z914" s="46">
        <f t="shared" si="235"/>
        <v>80.069955817378499</v>
      </c>
      <c r="AA914" s="46">
        <f t="shared" si="236"/>
        <v>368.80706921944034</v>
      </c>
      <c r="AB914" s="43"/>
      <c r="AC914" s="44">
        <v>5095.3608247422681</v>
      </c>
      <c r="AD914" s="31">
        <v>0.12</v>
      </c>
      <c r="AE914" s="31">
        <v>0.05</v>
      </c>
      <c r="AF914" s="31">
        <v>0</v>
      </c>
      <c r="AG914" s="28" t="s">
        <v>53</v>
      </c>
      <c r="AH914" s="46">
        <f t="shared" si="237"/>
        <v>5350.1288659793818</v>
      </c>
      <c r="AI914" s="43"/>
      <c r="AJ914" s="28" t="s">
        <v>264</v>
      </c>
      <c r="AK914" s="337">
        <v>5.82</v>
      </c>
      <c r="AL914" s="43"/>
      <c r="AM914" s="44">
        <f t="shared" si="238"/>
        <v>0</v>
      </c>
      <c r="AN914" s="43"/>
      <c r="AO914" s="28">
        <f t="shared" si="239"/>
        <v>0</v>
      </c>
      <c r="AP914" s="43"/>
      <c r="AQ914" s="323">
        <f t="shared" si="240"/>
        <v>0</v>
      </c>
      <c r="AR914" s="43"/>
      <c r="AS914" s="44">
        <f t="shared" si="241"/>
        <v>31565.760309278354</v>
      </c>
    </row>
    <row r="915" spans="1:45" x14ac:dyDescent="0.25">
      <c r="A915" s="28"/>
      <c r="B915" s="43"/>
      <c r="C915" s="43"/>
      <c r="D915" s="43"/>
      <c r="E915" s="43" t="s">
        <v>1823</v>
      </c>
      <c r="F915" s="43" t="s">
        <v>1824</v>
      </c>
      <c r="G915" s="46">
        <f t="shared" si="228"/>
        <v>4170.5579399141634</v>
      </c>
      <c r="H915" s="46">
        <f t="shared" si="229"/>
        <v>3732.17542918455</v>
      </c>
      <c r="I915" s="28" t="s">
        <v>264</v>
      </c>
      <c r="J915" s="337">
        <v>1</v>
      </c>
      <c r="K915" s="46">
        <f t="shared" si="230"/>
        <v>24606.291845493564</v>
      </c>
      <c r="L915" s="46">
        <f t="shared" si="231"/>
        <v>22019.835032188847</v>
      </c>
      <c r="M915" s="338">
        <f t="shared" si="232"/>
        <v>0</v>
      </c>
      <c r="N915" s="43" t="s">
        <v>35</v>
      </c>
      <c r="O915" s="339">
        <v>85364900</v>
      </c>
      <c r="P915" s="340">
        <f>IFERROR(VLOOKUP(O915,NCM!$A$3:$D$99,COLUMN(head_porNCM_IPI)-COLUMN(head_porNCM_NCM)+1,FALSE),"")</f>
        <v>3.2500000000000001E-2</v>
      </c>
      <c r="Q915" s="43" t="s">
        <v>804</v>
      </c>
      <c r="R915" s="78" t="s">
        <v>210</v>
      </c>
      <c r="S915" s="341"/>
      <c r="T915" s="28" t="s">
        <v>52</v>
      </c>
      <c r="U915" s="28" t="s">
        <v>1905</v>
      </c>
      <c r="V915" s="548">
        <v>43790</v>
      </c>
      <c r="W915" s="43"/>
      <c r="X915" s="342">
        <f t="shared" si="233"/>
        <v>541.63090128755368</v>
      </c>
      <c r="Y915" s="342">
        <f t="shared" si="234"/>
        <v>225.67954220314732</v>
      </c>
      <c r="Z915" s="46">
        <f t="shared" si="235"/>
        <v>74.47424892703863</v>
      </c>
      <c r="AA915" s="46">
        <f t="shared" si="236"/>
        <v>343.03290414878398</v>
      </c>
      <c r="AB915" s="43"/>
      <c r="AC915" s="44">
        <v>4739.2703862660946</v>
      </c>
      <c r="AD915" s="31">
        <v>0.12</v>
      </c>
      <c r="AE915" s="31">
        <v>0.05</v>
      </c>
      <c r="AF915" s="31">
        <v>0</v>
      </c>
      <c r="AG915" s="28" t="s">
        <v>53</v>
      </c>
      <c r="AH915" s="46">
        <f t="shared" si="237"/>
        <v>4976.2339055794</v>
      </c>
      <c r="AI915" s="43"/>
      <c r="AJ915" s="28" t="s">
        <v>264</v>
      </c>
      <c r="AK915" s="337">
        <v>4.66</v>
      </c>
      <c r="AL915" s="43"/>
      <c r="AM915" s="44">
        <f t="shared" si="238"/>
        <v>0</v>
      </c>
      <c r="AN915" s="43"/>
      <c r="AO915" s="28">
        <f t="shared" si="239"/>
        <v>0</v>
      </c>
      <c r="AP915" s="43"/>
      <c r="AQ915" s="323">
        <f t="shared" si="240"/>
        <v>0</v>
      </c>
      <c r="AR915" s="43"/>
      <c r="AS915" s="44">
        <f t="shared" si="241"/>
        <v>29359.780042918461</v>
      </c>
    </row>
    <row r="916" spans="1:45" x14ac:dyDescent="0.25">
      <c r="A916" s="28"/>
      <c r="B916" s="43"/>
      <c r="C916" s="43"/>
      <c r="D916" s="43"/>
      <c r="E916" s="43" t="s">
        <v>1825</v>
      </c>
      <c r="F916" s="43" t="s">
        <v>1826</v>
      </c>
      <c r="G916" s="46">
        <f t="shared" si="228"/>
        <v>5506.7982832618027</v>
      </c>
      <c r="H916" s="46">
        <f t="shared" si="229"/>
        <v>4927.958690987125</v>
      </c>
      <c r="I916" s="28" t="s">
        <v>264</v>
      </c>
      <c r="J916" s="337">
        <v>1</v>
      </c>
      <c r="K916" s="46">
        <f t="shared" si="230"/>
        <v>32490.109871244636</v>
      </c>
      <c r="L916" s="46">
        <f t="shared" si="231"/>
        <v>29074.956276824039</v>
      </c>
      <c r="M916" s="338">
        <f t="shared" si="232"/>
        <v>0</v>
      </c>
      <c r="N916" s="43" t="s">
        <v>35</v>
      </c>
      <c r="O916" s="339">
        <v>85364900</v>
      </c>
      <c r="P916" s="340">
        <f>IFERROR(VLOOKUP(O916,NCM!$A$3:$D$99,COLUMN(head_porNCM_IPI)-COLUMN(head_porNCM_NCM)+1,FALSE),"")</f>
        <v>3.2500000000000001E-2</v>
      </c>
      <c r="Q916" s="43" t="s">
        <v>804</v>
      </c>
      <c r="R916" s="78" t="s">
        <v>210</v>
      </c>
      <c r="S916" s="341"/>
      <c r="T916" s="28" t="s">
        <v>52</v>
      </c>
      <c r="U916" s="28" t="s">
        <v>1905</v>
      </c>
      <c r="V916" s="548">
        <v>43790</v>
      </c>
      <c r="W916" s="43"/>
      <c r="X916" s="342">
        <f t="shared" si="233"/>
        <v>715.16860821581838</v>
      </c>
      <c r="Y916" s="342">
        <f t="shared" si="234"/>
        <v>297.98692008992475</v>
      </c>
      <c r="Z916" s="46">
        <f t="shared" si="235"/>
        <v>98.335683629675032</v>
      </c>
      <c r="AA916" s="46">
        <f t="shared" si="236"/>
        <v>452.94011853668496</v>
      </c>
      <c r="AB916" s="43"/>
      <c r="AC916" s="44">
        <v>6257.7253218884116</v>
      </c>
      <c r="AD916" s="31">
        <v>0.12</v>
      </c>
      <c r="AE916" s="31">
        <v>0.05</v>
      </c>
      <c r="AF916" s="31">
        <v>0</v>
      </c>
      <c r="AG916" s="28" t="s">
        <v>53</v>
      </c>
      <c r="AH916" s="46">
        <f t="shared" si="237"/>
        <v>6570.6115879828321</v>
      </c>
      <c r="AI916" s="43"/>
      <c r="AJ916" s="28" t="s">
        <v>264</v>
      </c>
      <c r="AK916" s="337">
        <v>4.66</v>
      </c>
      <c r="AL916" s="43"/>
      <c r="AM916" s="44">
        <f t="shared" si="238"/>
        <v>0</v>
      </c>
      <c r="AN916" s="43"/>
      <c r="AO916" s="28">
        <f t="shared" si="239"/>
        <v>0</v>
      </c>
      <c r="AP916" s="43"/>
      <c r="AQ916" s="323">
        <f t="shared" si="240"/>
        <v>0</v>
      </c>
      <c r="AR916" s="43"/>
      <c r="AS916" s="44">
        <f t="shared" si="241"/>
        <v>38766.608369098714</v>
      </c>
    </row>
    <row r="917" spans="1:45" x14ac:dyDescent="0.25">
      <c r="A917" s="28"/>
      <c r="B917" s="43"/>
      <c r="C917" s="43"/>
      <c r="D917" s="43"/>
      <c r="E917" s="43" t="s">
        <v>1827</v>
      </c>
      <c r="F917" s="43" t="s">
        <v>1828</v>
      </c>
      <c r="G917" s="46">
        <f t="shared" si="228"/>
        <v>4092</v>
      </c>
      <c r="H917" s="46">
        <f t="shared" si="229"/>
        <v>3661.8750000000005</v>
      </c>
      <c r="I917" s="28" t="s">
        <v>264</v>
      </c>
      <c r="J917" s="337">
        <v>1</v>
      </c>
      <c r="K917" s="46">
        <f t="shared" si="230"/>
        <v>24142.800000000003</v>
      </c>
      <c r="L917" s="46">
        <f t="shared" si="231"/>
        <v>21605.062500000004</v>
      </c>
      <c r="M917" s="338">
        <f t="shared" si="232"/>
        <v>0</v>
      </c>
      <c r="N917" s="43" t="s">
        <v>35</v>
      </c>
      <c r="O917" s="339">
        <v>85364900</v>
      </c>
      <c r="P917" s="340">
        <f>IFERROR(VLOOKUP(O917,NCM!$A$3:$D$99,COLUMN(head_porNCM_IPI)-COLUMN(head_porNCM_NCM)+1,FALSE),"")</f>
        <v>3.2500000000000001E-2</v>
      </c>
      <c r="Q917" s="43" t="s">
        <v>804</v>
      </c>
      <c r="R917" s="78" t="s">
        <v>210</v>
      </c>
      <c r="S917" s="341"/>
      <c r="T917" s="28" t="s">
        <v>52</v>
      </c>
      <c r="U917" s="28" t="s">
        <v>1905</v>
      </c>
      <c r="V917" s="548">
        <v>43790</v>
      </c>
      <c r="W917" s="43"/>
      <c r="X917" s="342">
        <f t="shared" si="233"/>
        <v>531.42857142857144</v>
      </c>
      <c r="Y917" s="342">
        <f t="shared" si="234"/>
        <v>221.42857142857156</v>
      </c>
      <c r="Z917" s="46">
        <f t="shared" si="235"/>
        <v>73.071428571428569</v>
      </c>
      <c r="AA917" s="46">
        <f t="shared" si="236"/>
        <v>336.57142857142856</v>
      </c>
      <c r="AB917" s="43"/>
      <c r="AC917" s="44">
        <v>4650</v>
      </c>
      <c r="AD917" s="31">
        <v>0.12</v>
      </c>
      <c r="AE917" s="31">
        <v>0.05</v>
      </c>
      <c r="AF917" s="31">
        <v>0</v>
      </c>
      <c r="AG917" s="28" t="s">
        <v>53</v>
      </c>
      <c r="AH917" s="46">
        <f t="shared" si="237"/>
        <v>4882.5</v>
      </c>
      <c r="AI917" s="43"/>
      <c r="AJ917" s="28" t="s">
        <v>264</v>
      </c>
      <c r="AK917" s="337">
        <v>4.66</v>
      </c>
      <c r="AL917" s="43"/>
      <c r="AM917" s="44">
        <f t="shared" si="238"/>
        <v>0</v>
      </c>
      <c r="AN917" s="43"/>
      <c r="AO917" s="28">
        <f t="shared" si="239"/>
        <v>0</v>
      </c>
      <c r="AP917" s="43"/>
      <c r="AQ917" s="323">
        <f t="shared" si="240"/>
        <v>0</v>
      </c>
      <c r="AR917" s="43"/>
      <c r="AS917" s="44">
        <f t="shared" si="241"/>
        <v>28806.75</v>
      </c>
    </row>
    <row r="918" spans="1:45" x14ac:dyDescent="0.25">
      <c r="A918" s="28"/>
      <c r="B918" s="43"/>
      <c r="C918" s="43"/>
      <c r="D918" s="43"/>
      <c r="E918" s="43" t="s">
        <v>1829</v>
      </c>
      <c r="F918" s="43" t="s">
        <v>1830</v>
      </c>
      <c r="G918" s="46">
        <f t="shared" si="228"/>
        <v>4385.2703862660946</v>
      </c>
      <c r="H918" s="46">
        <f t="shared" si="229"/>
        <v>3924.3186695278973</v>
      </c>
      <c r="I918" s="28" t="s">
        <v>264</v>
      </c>
      <c r="J918" s="337">
        <v>1</v>
      </c>
      <c r="K918" s="46">
        <f t="shared" si="230"/>
        <v>25873.095278969959</v>
      </c>
      <c r="L918" s="46">
        <f t="shared" si="231"/>
        <v>23153.480150214597</v>
      </c>
      <c r="M918" s="338">
        <f t="shared" si="232"/>
        <v>0</v>
      </c>
      <c r="N918" s="43" t="s">
        <v>35</v>
      </c>
      <c r="O918" s="339">
        <v>85364900</v>
      </c>
      <c r="P918" s="340">
        <f>IFERROR(VLOOKUP(O918,NCM!$A$3:$D$99,COLUMN(head_porNCM_IPI)-COLUMN(head_porNCM_NCM)+1,FALSE),"")</f>
        <v>3.2500000000000001E-2</v>
      </c>
      <c r="Q918" s="43" t="s">
        <v>804</v>
      </c>
      <c r="R918" s="78" t="s">
        <v>210</v>
      </c>
      <c r="S918" s="341"/>
      <c r="T918" s="28" t="s">
        <v>52</v>
      </c>
      <c r="U918" s="28" t="s">
        <v>1905</v>
      </c>
      <c r="V918" s="548">
        <v>43790</v>
      </c>
      <c r="W918" s="43"/>
      <c r="X918" s="342">
        <f t="shared" si="233"/>
        <v>569.51563458001226</v>
      </c>
      <c r="Y918" s="342">
        <f t="shared" si="234"/>
        <v>237.29818107500523</v>
      </c>
      <c r="Z918" s="46">
        <f t="shared" si="235"/>
        <v>78.30839975475169</v>
      </c>
      <c r="AA918" s="46">
        <f t="shared" si="236"/>
        <v>360.69323523400772</v>
      </c>
      <c r="AB918" s="43"/>
      <c r="AC918" s="44">
        <v>4983.2618025751071</v>
      </c>
      <c r="AD918" s="31">
        <v>0.12</v>
      </c>
      <c r="AE918" s="31">
        <v>0.05</v>
      </c>
      <c r="AF918" s="31">
        <v>0</v>
      </c>
      <c r="AG918" s="28" t="s">
        <v>53</v>
      </c>
      <c r="AH918" s="46">
        <f t="shared" si="237"/>
        <v>5232.4248927038625</v>
      </c>
      <c r="AI918" s="43"/>
      <c r="AJ918" s="28" t="s">
        <v>264</v>
      </c>
      <c r="AK918" s="337">
        <v>4.66</v>
      </c>
      <c r="AL918" s="43"/>
      <c r="AM918" s="44">
        <f t="shared" si="238"/>
        <v>0</v>
      </c>
      <c r="AN918" s="43"/>
      <c r="AO918" s="28">
        <f t="shared" si="239"/>
        <v>0</v>
      </c>
      <c r="AP918" s="43"/>
      <c r="AQ918" s="323">
        <f t="shared" si="240"/>
        <v>0</v>
      </c>
      <c r="AR918" s="43"/>
      <c r="AS918" s="44">
        <f t="shared" si="241"/>
        <v>30871.306866952789</v>
      </c>
    </row>
    <row r="919" spans="1:45" x14ac:dyDescent="0.25">
      <c r="A919" s="28"/>
      <c r="B919" s="43"/>
      <c r="C919" s="43"/>
      <c r="D919" s="43"/>
      <c r="E919" s="43" t="s">
        <v>1831</v>
      </c>
      <c r="F919" s="43" t="s">
        <v>1832</v>
      </c>
      <c r="G919" s="46">
        <f t="shared" si="228"/>
        <v>4781.4845360824738</v>
      </c>
      <c r="H919" s="46">
        <f t="shared" si="229"/>
        <v>4278.8853092783511</v>
      </c>
      <c r="I919" s="28" t="s">
        <v>264</v>
      </c>
      <c r="J919" s="337">
        <v>1</v>
      </c>
      <c r="K919" s="46">
        <f t="shared" si="230"/>
        <v>28210.758762886599</v>
      </c>
      <c r="L919" s="46">
        <f t="shared" si="231"/>
        <v>25245.423324742274</v>
      </c>
      <c r="M919" s="338">
        <f t="shared" si="232"/>
        <v>0</v>
      </c>
      <c r="N919" s="43" t="s">
        <v>35</v>
      </c>
      <c r="O919" s="339">
        <v>85364900</v>
      </c>
      <c r="P919" s="340">
        <f>IFERROR(VLOOKUP(O919,NCM!$A$3:$D$99,COLUMN(head_porNCM_IPI)-COLUMN(head_porNCM_NCM)+1,FALSE),"")</f>
        <v>3.2500000000000001E-2</v>
      </c>
      <c r="Q919" s="43" t="s">
        <v>804</v>
      </c>
      <c r="R919" s="78" t="s">
        <v>210</v>
      </c>
      <c r="S919" s="341"/>
      <c r="T919" s="28" t="s">
        <v>52</v>
      </c>
      <c r="U919" s="28" t="s">
        <v>1904</v>
      </c>
      <c r="V919" s="548">
        <v>44005</v>
      </c>
      <c r="W919" s="43"/>
      <c r="X919" s="342">
        <f t="shared" si="233"/>
        <v>620.97201767304853</v>
      </c>
      <c r="Y919" s="342">
        <f t="shared" si="234"/>
        <v>258.73834069710392</v>
      </c>
      <c r="Z919" s="46">
        <f t="shared" si="235"/>
        <v>85.383652430044179</v>
      </c>
      <c r="AA919" s="46">
        <f t="shared" si="236"/>
        <v>393.2822778595974</v>
      </c>
      <c r="AB919" s="43"/>
      <c r="AC919" s="44">
        <v>5433.5051546391751</v>
      </c>
      <c r="AD919" s="31">
        <v>0.12</v>
      </c>
      <c r="AE919" s="31">
        <v>0.05</v>
      </c>
      <c r="AF919" s="31">
        <v>0</v>
      </c>
      <c r="AG919" s="28" t="s">
        <v>53</v>
      </c>
      <c r="AH919" s="46">
        <f t="shared" si="237"/>
        <v>5705.1804123711345</v>
      </c>
      <c r="AI919" s="43"/>
      <c r="AJ919" s="28" t="s">
        <v>264</v>
      </c>
      <c r="AK919" s="337">
        <v>5.82</v>
      </c>
      <c r="AL919" s="43"/>
      <c r="AM919" s="44">
        <f t="shared" si="238"/>
        <v>0</v>
      </c>
      <c r="AN919" s="43"/>
      <c r="AO919" s="28">
        <f t="shared" si="239"/>
        <v>0</v>
      </c>
      <c r="AP919" s="43"/>
      <c r="AQ919" s="323">
        <f t="shared" si="240"/>
        <v>0</v>
      </c>
      <c r="AR919" s="43"/>
      <c r="AS919" s="44">
        <f t="shared" si="241"/>
        <v>33660.564432989697</v>
      </c>
    </row>
    <row r="920" spans="1:45" x14ac:dyDescent="0.25">
      <c r="A920" s="28"/>
      <c r="B920" s="43"/>
      <c r="C920" s="43"/>
      <c r="D920" s="43"/>
      <c r="E920" s="43" t="s">
        <v>1833</v>
      </c>
      <c r="F920" s="43" t="s">
        <v>1834</v>
      </c>
      <c r="G920" s="46">
        <f t="shared" si="228"/>
        <v>10322.309278350514</v>
      </c>
      <c r="H920" s="46">
        <f t="shared" si="229"/>
        <v>9237.293814432991</v>
      </c>
      <c r="I920" s="28" t="s">
        <v>264</v>
      </c>
      <c r="J920" s="337">
        <v>1</v>
      </c>
      <c r="K920" s="46">
        <f t="shared" si="230"/>
        <v>60901.624742268039</v>
      </c>
      <c r="L920" s="46">
        <f t="shared" si="231"/>
        <v>54500.03350515465</v>
      </c>
      <c r="M920" s="338">
        <f t="shared" si="232"/>
        <v>0</v>
      </c>
      <c r="N920" s="43" t="s">
        <v>35</v>
      </c>
      <c r="O920" s="339">
        <v>85364900</v>
      </c>
      <c r="P920" s="340">
        <f>IFERROR(VLOOKUP(O920,NCM!$A$3:$D$99,COLUMN(head_porNCM_IPI)-COLUMN(head_porNCM_NCM)+1,FALSE),"")</f>
        <v>3.2500000000000001E-2</v>
      </c>
      <c r="Q920" s="43" t="s">
        <v>804</v>
      </c>
      <c r="R920" s="78" t="s">
        <v>210</v>
      </c>
      <c r="S920" s="341"/>
      <c r="T920" s="28" t="s">
        <v>52</v>
      </c>
      <c r="U920" s="28" t="s">
        <v>1904</v>
      </c>
      <c r="V920" s="548">
        <v>44005</v>
      </c>
      <c r="W920" s="43"/>
      <c r="X920" s="342">
        <f t="shared" si="233"/>
        <v>1340.5596465390279</v>
      </c>
      <c r="Y920" s="342">
        <f t="shared" si="234"/>
        <v>558.56651939126277</v>
      </c>
      <c r="Z920" s="46">
        <f t="shared" si="235"/>
        <v>184.32695139911633</v>
      </c>
      <c r="AA920" s="46">
        <f t="shared" si="236"/>
        <v>849.0211094747176</v>
      </c>
      <c r="AB920" s="43"/>
      <c r="AC920" s="44">
        <v>11729.896907216495</v>
      </c>
      <c r="AD920" s="31">
        <v>0.12</v>
      </c>
      <c r="AE920" s="31">
        <v>0.05</v>
      </c>
      <c r="AF920" s="31">
        <v>0</v>
      </c>
      <c r="AG920" s="28" t="s">
        <v>53</v>
      </c>
      <c r="AH920" s="46">
        <f t="shared" si="237"/>
        <v>12316.391752577319</v>
      </c>
      <c r="AI920" s="43"/>
      <c r="AJ920" s="28" t="s">
        <v>264</v>
      </c>
      <c r="AK920" s="337">
        <v>5.82</v>
      </c>
      <c r="AL920" s="43"/>
      <c r="AM920" s="44">
        <f t="shared" si="238"/>
        <v>0</v>
      </c>
      <c r="AN920" s="43"/>
      <c r="AO920" s="28">
        <f t="shared" si="239"/>
        <v>0</v>
      </c>
      <c r="AP920" s="43"/>
      <c r="AQ920" s="323">
        <f t="shared" si="240"/>
        <v>0</v>
      </c>
      <c r="AR920" s="43"/>
      <c r="AS920" s="44">
        <f t="shared" si="241"/>
        <v>72666.711340206195</v>
      </c>
    </row>
    <row r="921" spans="1:45" x14ac:dyDescent="0.25">
      <c r="A921" s="28"/>
      <c r="B921" s="43"/>
      <c r="C921" s="43"/>
      <c r="D921" s="43"/>
      <c r="E921" s="43" t="s">
        <v>1835</v>
      </c>
      <c r="F921" s="43" t="s">
        <v>1836</v>
      </c>
      <c r="G921" s="46">
        <f t="shared" si="228"/>
        <v>6336.56652360515</v>
      </c>
      <c r="H921" s="46">
        <f t="shared" si="229"/>
        <v>5670.5069742489277</v>
      </c>
      <c r="I921" s="28" t="s">
        <v>264</v>
      </c>
      <c r="J921" s="337">
        <v>1</v>
      </c>
      <c r="K921" s="46">
        <f t="shared" si="230"/>
        <v>37385.742489270386</v>
      </c>
      <c r="L921" s="46">
        <f t="shared" si="231"/>
        <v>33455.991148068679</v>
      </c>
      <c r="M921" s="338">
        <f t="shared" si="232"/>
        <v>0</v>
      </c>
      <c r="N921" s="43" t="s">
        <v>35</v>
      </c>
      <c r="O921" s="339">
        <v>85364900</v>
      </c>
      <c r="P921" s="340">
        <f>IFERROR(VLOOKUP(O921,NCM!$A$3:$D$99,COLUMN(head_porNCM_IPI)-COLUMN(head_porNCM_NCM)+1,FALSE),"")</f>
        <v>3.2500000000000001E-2</v>
      </c>
      <c r="Q921" s="43" t="s">
        <v>804</v>
      </c>
      <c r="R921" s="78" t="s">
        <v>210</v>
      </c>
      <c r="S921" s="341"/>
      <c r="T921" s="28" t="s">
        <v>52</v>
      </c>
      <c r="U921" s="28" t="s">
        <v>1905</v>
      </c>
      <c r="V921" s="548">
        <v>43790</v>
      </c>
      <c r="W921" s="43"/>
      <c r="X921" s="342">
        <f t="shared" si="233"/>
        <v>822.93071735131809</v>
      </c>
      <c r="Y921" s="342">
        <f t="shared" si="234"/>
        <v>342.88779889638317</v>
      </c>
      <c r="Z921" s="46">
        <f t="shared" si="235"/>
        <v>113.15297363580625</v>
      </c>
      <c r="AA921" s="46">
        <f t="shared" si="236"/>
        <v>521.18945432250143</v>
      </c>
      <c r="AB921" s="43"/>
      <c r="AC921" s="44">
        <v>7200.6437768240339</v>
      </c>
      <c r="AD921" s="31">
        <v>0.12</v>
      </c>
      <c r="AE921" s="31">
        <v>0.05</v>
      </c>
      <c r="AF921" s="31">
        <v>0</v>
      </c>
      <c r="AG921" s="28" t="s">
        <v>53</v>
      </c>
      <c r="AH921" s="46">
        <f t="shared" si="237"/>
        <v>7560.6759656652357</v>
      </c>
      <c r="AI921" s="43"/>
      <c r="AJ921" s="28" t="s">
        <v>264</v>
      </c>
      <c r="AK921" s="337">
        <v>4.66</v>
      </c>
      <c r="AL921" s="43"/>
      <c r="AM921" s="44">
        <f t="shared" si="238"/>
        <v>0</v>
      </c>
      <c r="AN921" s="43"/>
      <c r="AO921" s="28">
        <f t="shared" si="239"/>
        <v>0</v>
      </c>
      <c r="AP921" s="43"/>
      <c r="AQ921" s="323">
        <f t="shared" si="240"/>
        <v>0</v>
      </c>
      <c r="AR921" s="43"/>
      <c r="AS921" s="44">
        <f t="shared" si="241"/>
        <v>44607.988197424893</v>
      </c>
    </row>
    <row r="922" spans="1:45" x14ac:dyDescent="0.25">
      <c r="A922" s="28"/>
      <c r="B922" s="43"/>
      <c r="C922" s="43"/>
      <c r="D922" s="43"/>
      <c r="E922" s="43" t="s">
        <v>1837</v>
      </c>
      <c r="F922" s="43" t="s">
        <v>1838</v>
      </c>
      <c r="G922" s="46">
        <f t="shared" si="228"/>
        <v>23472.412371134018</v>
      </c>
      <c r="H922" s="46">
        <f t="shared" si="229"/>
        <v>21005.141752577321</v>
      </c>
      <c r="I922" s="28" t="s">
        <v>264</v>
      </c>
      <c r="J922" s="337">
        <v>1</v>
      </c>
      <c r="K922" s="46">
        <f t="shared" si="230"/>
        <v>138487.2329896907</v>
      </c>
      <c r="L922" s="46">
        <f t="shared" si="231"/>
        <v>123930.33634020621</v>
      </c>
      <c r="M922" s="338">
        <f t="shared" si="232"/>
        <v>0</v>
      </c>
      <c r="N922" s="43" t="s">
        <v>35</v>
      </c>
      <c r="O922" s="339">
        <v>85364900</v>
      </c>
      <c r="P922" s="340">
        <f>IFERROR(VLOOKUP(O922,NCM!$A$3:$D$99,COLUMN(head_porNCM_IPI)-COLUMN(head_porNCM_NCM)+1,FALSE),"")</f>
        <v>3.2500000000000001E-2</v>
      </c>
      <c r="Q922" s="43" t="s">
        <v>804</v>
      </c>
      <c r="R922" s="78" t="s">
        <v>210</v>
      </c>
      <c r="S922" s="341"/>
      <c r="T922" s="28" t="s">
        <v>52</v>
      </c>
      <c r="U922" s="28" t="s">
        <v>1904</v>
      </c>
      <c r="V922" s="548">
        <v>44005</v>
      </c>
      <c r="W922" s="43"/>
      <c r="X922" s="342">
        <f t="shared" si="233"/>
        <v>3048.3652430044176</v>
      </c>
      <c r="Y922" s="342">
        <f t="shared" si="234"/>
        <v>1270.1521845851748</v>
      </c>
      <c r="Z922" s="46">
        <f t="shared" si="235"/>
        <v>419.15022091310749</v>
      </c>
      <c r="AA922" s="46">
        <f t="shared" si="236"/>
        <v>1930.6313205694646</v>
      </c>
      <c r="AB922" s="43"/>
      <c r="AC922" s="44">
        <v>26673.195876288657</v>
      </c>
      <c r="AD922" s="31">
        <v>0.12</v>
      </c>
      <c r="AE922" s="31">
        <v>0.05</v>
      </c>
      <c r="AF922" s="31">
        <v>0</v>
      </c>
      <c r="AG922" s="28" t="s">
        <v>53</v>
      </c>
      <c r="AH922" s="46">
        <f t="shared" si="237"/>
        <v>28006.85567010309</v>
      </c>
      <c r="AI922" s="43"/>
      <c r="AJ922" s="28" t="s">
        <v>264</v>
      </c>
      <c r="AK922" s="337">
        <v>5.82</v>
      </c>
      <c r="AL922" s="43"/>
      <c r="AM922" s="44">
        <f t="shared" si="238"/>
        <v>0</v>
      </c>
      <c r="AN922" s="43"/>
      <c r="AO922" s="28">
        <f t="shared" si="239"/>
        <v>0</v>
      </c>
      <c r="AP922" s="43"/>
      <c r="AQ922" s="323">
        <f t="shared" si="240"/>
        <v>0</v>
      </c>
      <c r="AR922" s="43"/>
      <c r="AS922" s="44">
        <f t="shared" si="241"/>
        <v>165240.44845360823</v>
      </c>
    </row>
    <row r="923" spans="1:45" x14ac:dyDescent="0.25">
      <c r="A923" s="28"/>
      <c r="B923" s="43"/>
      <c r="C923" s="43"/>
      <c r="D923" s="43"/>
      <c r="E923" s="43" t="s">
        <v>1803</v>
      </c>
      <c r="F923" s="43" t="s">
        <v>1804</v>
      </c>
      <c r="G923" s="46">
        <f t="shared" si="228"/>
        <v>3318.7491408934707</v>
      </c>
      <c r="H923" s="46">
        <f t="shared" si="229"/>
        <v>2969.9033505154639</v>
      </c>
      <c r="I923" s="28" t="s">
        <v>264</v>
      </c>
      <c r="J923" s="337">
        <v>1</v>
      </c>
      <c r="K923" s="46">
        <f t="shared" si="230"/>
        <v>19580.619931271478</v>
      </c>
      <c r="L923" s="46">
        <f t="shared" si="231"/>
        <v>17522.429768041238</v>
      </c>
      <c r="M923" s="338">
        <f t="shared" si="232"/>
        <v>0</v>
      </c>
      <c r="N923" s="43" t="s">
        <v>35</v>
      </c>
      <c r="O923" s="339">
        <v>85364900</v>
      </c>
      <c r="P923" s="340">
        <f>IFERROR(VLOOKUP(O923,NCM!$A$3:$D$99,COLUMN(head_porNCM_IPI)-COLUMN(head_porNCM_NCM)+1,FALSE),"")</f>
        <v>3.2500000000000001E-2</v>
      </c>
      <c r="Q923" s="43" t="s">
        <v>804</v>
      </c>
      <c r="R923" s="78" t="s">
        <v>210</v>
      </c>
      <c r="S923" s="341"/>
      <c r="T923" s="28" t="s">
        <v>52</v>
      </c>
      <c r="U923" s="28" t="s">
        <v>1904</v>
      </c>
      <c r="V923" s="548">
        <v>44005</v>
      </c>
      <c r="W923" s="43"/>
      <c r="X923" s="342">
        <f t="shared" si="233"/>
        <v>431.00638193421696</v>
      </c>
      <c r="Y923" s="342">
        <f t="shared" si="234"/>
        <v>179.58599247259053</v>
      </c>
      <c r="Z923" s="46">
        <f t="shared" si="235"/>
        <v>59.263377515954836</v>
      </c>
      <c r="AA923" s="46">
        <f t="shared" si="236"/>
        <v>272.97070855833738</v>
      </c>
      <c r="AB923" s="43"/>
      <c r="AC923" s="44">
        <v>3771.3058419243985</v>
      </c>
      <c r="AD923" s="31">
        <v>0.12</v>
      </c>
      <c r="AE923" s="31">
        <v>0.05</v>
      </c>
      <c r="AF923" s="31">
        <v>0</v>
      </c>
      <c r="AG923" s="28" t="s">
        <v>53</v>
      </c>
      <c r="AH923" s="46">
        <f t="shared" si="237"/>
        <v>3959.8711340206187</v>
      </c>
      <c r="AI923" s="43"/>
      <c r="AJ923" s="28" t="s">
        <v>264</v>
      </c>
      <c r="AK923" s="337">
        <v>5.82</v>
      </c>
      <c r="AL923" s="43"/>
      <c r="AM923" s="44">
        <f t="shared" si="238"/>
        <v>0</v>
      </c>
      <c r="AN923" s="43"/>
      <c r="AO923" s="28">
        <f t="shared" si="239"/>
        <v>0</v>
      </c>
      <c r="AP923" s="43"/>
      <c r="AQ923" s="323">
        <f t="shared" si="240"/>
        <v>0</v>
      </c>
      <c r="AR923" s="43"/>
      <c r="AS923" s="44">
        <f t="shared" si="241"/>
        <v>23363.23969072165</v>
      </c>
    </row>
    <row r="924" spans="1:45" x14ac:dyDescent="0.25">
      <c r="A924" s="28"/>
      <c r="B924" s="43"/>
      <c r="C924" s="43"/>
      <c r="D924" s="43"/>
      <c r="E924" s="43" t="s">
        <v>1839</v>
      </c>
      <c r="F924" s="43" t="s">
        <v>1840</v>
      </c>
      <c r="G924" s="46">
        <f t="shared" si="228"/>
        <v>27217.06</v>
      </c>
      <c r="H924" s="46">
        <f t="shared" si="229"/>
        <v>24699.481950000005</v>
      </c>
      <c r="I924" s="28" t="s">
        <v>262</v>
      </c>
      <c r="J924" s="337">
        <v>1</v>
      </c>
      <c r="K924" s="46">
        <f t="shared" si="230"/>
        <v>27217.06</v>
      </c>
      <c r="L924" s="46">
        <f t="shared" si="231"/>
        <v>24699.481950000005</v>
      </c>
      <c r="M924" s="338">
        <f t="shared" si="232"/>
        <v>0</v>
      </c>
      <c r="N924" s="43" t="s">
        <v>669</v>
      </c>
      <c r="O924" s="339" t="s">
        <v>167</v>
      </c>
      <c r="P924" s="340" t="str">
        <f>IFERROR(VLOOKUP(O924,NCM!$A$3:$D$99,COLUMN(head_porNCM_IPI)-COLUMN(head_porNCM_NCM)+1,FALSE),"")</f>
        <v/>
      </c>
      <c r="Q924" s="43" t="s">
        <v>804</v>
      </c>
      <c r="R924" s="78" t="s">
        <v>210</v>
      </c>
      <c r="S924" s="341"/>
      <c r="T924" s="28" t="s">
        <v>53</v>
      </c>
      <c r="U924" s="28" t="s">
        <v>2780</v>
      </c>
      <c r="V924" s="548">
        <v>45308</v>
      </c>
      <c r="W924" s="43"/>
      <c r="X924" s="342">
        <f t="shared" si="233"/>
        <v>0</v>
      </c>
      <c r="Y924" s="342">
        <f t="shared" si="234"/>
        <v>0</v>
      </c>
      <c r="Z924" s="46">
        <f t="shared" si="235"/>
        <v>449.08149000000003</v>
      </c>
      <c r="AA924" s="46">
        <f t="shared" si="236"/>
        <v>2068.49656</v>
      </c>
      <c r="AB924" s="43"/>
      <c r="AC924" s="44">
        <v>27217.06</v>
      </c>
      <c r="AD924" s="31">
        <v>0</v>
      </c>
      <c r="AE924" s="31">
        <v>0</v>
      </c>
      <c r="AF924" s="31">
        <v>0.02</v>
      </c>
      <c r="AG924" s="28" t="s">
        <v>53</v>
      </c>
      <c r="AH924" s="46">
        <f t="shared" si="237"/>
        <v>27217.06</v>
      </c>
      <c r="AI924" s="43"/>
      <c r="AJ924" s="28" t="s">
        <v>264</v>
      </c>
      <c r="AK924" s="337">
        <v>4.2</v>
      </c>
      <c r="AL924" s="43"/>
      <c r="AM924" s="44">
        <f t="shared" si="238"/>
        <v>0</v>
      </c>
      <c r="AN924" s="43"/>
      <c r="AO924" s="28">
        <f t="shared" si="239"/>
        <v>0</v>
      </c>
      <c r="AP924" s="43"/>
      <c r="AQ924" s="323">
        <f t="shared" si="240"/>
        <v>0</v>
      </c>
      <c r="AR924" s="43"/>
      <c r="AS924" s="44">
        <f t="shared" si="241"/>
        <v>27217.06</v>
      </c>
    </row>
    <row r="925" spans="1:45" x14ac:dyDescent="0.25">
      <c r="A925" s="28"/>
      <c r="B925" s="43"/>
      <c r="C925" s="43"/>
      <c r="D925" s="43"/>
      <c r="E925" s="43" t="s">
        <v>1841</v>
      </c>
      <c r="F925" s="43" t="s">
        <v>1842</v>
      </c>
      <c r="G925" s="46">
        <f t="shared" si="228"/>
        <v>34679.56</v>
      </c>
      <c r="H925" s="46">
        <f t="shared" si="229"/>
        <v>31471.700700000001</v>
      </c>
      <c r="I925" s="28" t="s">
        <v>262</v>
      </c>
      <c r="J925" s="337">
        <v>1</v>
      </c>
      <c r="K925" s="46">
        <f t="shared" si="230"/>
        <v>34679.56</v>
      </c>
      <c r="L925" s="46">
        <f t="shared" si="231"/>
        <v>31471.700700000001</v>
      </c>
      <c r="M925" s="338">
        <f t="shared" si="232"/>
        <v>0</v>
      </c>
      <c r="N925" s="43" t="s">
        <v>669</v>
      </c>
      <c r="O925" s="339" t="s">
        <v>167</v>
      </c>
      <c r="P925" s="340" t="str">
        <f>IFERROR(VLOOKUP(O925,NCM!$A$3:$D$99,COLUMN(head_porNCM_IPI)-COLUMN(head_porNCM_NCM)+1,FALSE),"")</f>
        <v/>
      </c>
      <c r="Q925" s="43" t="s">
        <v>804</v>
      </c>
      <c r="R925" s="78" t="s">
        <v>210</v>
      </c>
      <c r="S925" s="341"/>
      <c r="T925" s="28" t="s">
        <v>53</v>
      </c>
      <c r="U925" s="28" t="s">
        <v>2780</v>
      </c>
      <c r="V925" s="548">
        <v>45308</v>
      </c>
      <c r="W925" s="43"/>
      <c r="X925" s="342">
        <f t="shared" si="233"/>
        <v>0</v>
      </c>
      <c r="Y925" s="342">
        <f t="shared" si="234"/>
        <v>0</v>
      </c>
      <c r="Z925" s="46">
        <f t="shared" si="235"/>
        <v>572.21273999999994</v>
      </c>
      <c r="AA925" s="46">
        <f t="shared" si="236"/>
        <v>2635.6465599999997</v>
      </c>
      <c r="AB925" s="43"/>
      <c r="AC925" s="44">
        <v>34679.56</v>
      </c>
      <c r="AD925" s="31">
        <v>0</v>
      </c>
      <c r="AE925" s="31">
        <v>0</v>
      </c>
      <c r="AF925" s="31">
        <v>0.02</v>
      </c>
      <c r="AG925" s="28" t="s">
        <v>53</v>
      </c>
      <c r="AH925" s="46">
        <f t="shared" si="237"/>
        <v>34679.56</v>
      </c>
      <c r="AI925" s="43"/>
      <c r="AJ925" s="28" t="s">
        <v>264</v>
      </c>
      <c r="AK925" s="337">
        <v>4.2</v>
      </c>
      <c r="AL925" s="43"/>
      <c r="AM925" s="44">
        <f t="shared" si="238"/>
        <v>0</v>
      </c>
      <c r="AN925" s="43"/>
      <c r="AO925" s="28">
        <f t="shared" si="239"/>
        <v>0</v>
      </c>
      <c r="AP925" s="43"/>
      <c r="AQ925" s="323">
        <f t="shared" si="240"/>
        <v>0</v>
      </c>
      <c r="AR925" s="43"/>
      <c r="AS925" s="44">
        <f t="shared" si="241"/>
        <v>34679.56</v>
      </c>
    </row>
    <row r="926" spans="1:45" x14ac:dyDescent="0.25">
      <c r="A926" s="28"/>
      <c r="B926" s="43"/>
      <c r="C926" s="43"/>
      <c r="D926" s="43"/>
      <c r="E926" s="43" t="s">
        <v>1843</v>
      </c>
      <c r="F926" s="43" t="s">
        <v>1844</v>
      </c>
      <c r="G926" s="46">
        <f t="shared" si="228"/>
        <v>62418.92</v>
      </c>
      <c r="H926" s="46">
        <f t="shared" si="229"/>
        <v>56645.169900000001</v>
      </c>
      <c r="I926" s="28" t="s">
        <v>262</v>
      </c>
      <c r="J926" s="337">
        <v>1</v>
      </c>
      <c r="K926" s="46">
        <f t="shared" si="230"/>
        <v>62418.92</v>
      </c>
      <c r="L926" s="46">
        <f t="shared" si="231"/>
        <v>56645.169900000001</v>
      </c>
      <c r="M926" s="338">
        <f t="shared" si="232"/>
        <v>0</v>
      </c>
      <c r="N926" s="43" t="s">
        <v>669</v>
      </c>
      <c r="O926" s="339" t="s">
        <v>167</v>
      </c>
      <c r="P926" s="340" t="str">
        <f>IFERROR(VLOOKUP(O926,NCM!$A$3:$D$99,COLUMN(head_porNCM_IPI)-COLUMN(head_porNCM_NCM)+1,FALSE),"")</f>
        <v/>
      </c>
      <c r="Q926" s="43" t="s">
        <v>804</v>
      </c>
      <c r="R926" s="78" t="s">
        <v>210</v>
      </c>
      <c r="S926" s="341"/>
      <c r="T926" s="28" t="s">
        <v>53</v>
      </c>
      <c r="U926" s="28" t="s">
        <v>2780</v>
      </c>
      <c r="V926" s="548">
        <v>45308</v>
      </c>
      <c r="W926" s="43"/>
      <c r="X926" s="342">
        <f t="shared" si="233"/>
        <v>0</v>
      </c>
      <c r="Y926" s="342">
        <f t="shared" si="234"/>
        <v>0</v>
      </c>
      <c r="Z926" s="46">
        <f t="shared" si="235"/>
        <v>1029.91218</v>
      </c>
      <c r="AA926" s="46">
        <f t="shared" si="236"/>
        <v>4743.8379199999999</v>
      </c>
      <c r="AB926" s="43"/>
      <c r="AC926" s="44">
        <v>62418.92</v>
      </c>
      <c r="AD926" s="31">
        <v>0</v>
      </c>
      <c r="AE926" s="31">
        <v>0</v>
      </c>
      <c r="AF926" s="31">
        <v>0.02</v>
      </c>
      <c r="AG926" s="28" t="s">
        <v>53</v>
      </c>
      <c r="AH926" s="46">
        <f t="shared" si="237"/>
        <v>62418.92</v>
      </c>
      <c r="AI926" s="43"/>
      <c r="AJ926" s="28" t="s">
        <v>264</v>
      </c>
      <c r="AK926" s="337">
        <v>4.2</v>
      </c>
      <c r="AL926" s="43"/>
      <c r="AM926" s="44">
        <f t="shared" si="238"/>
        <v>0</v>
      </c>
      <c r="AN926" s="43"/>
      <c r="AO926" s="28">
        <f t="shared" si="239"/>
        <v>0</v>
      </c>
      <c r="AP926" s="43"/>
      <c r="AQ926" s="323">
        <f t="shared" si="240"/>
        <v>0</v>
      </c>
      <c r="AR926" s="43"/>
      <c r="AS926" s="44">
        <f t="shared" si="241"/>
        <v>62418.92</v>
      </c>
    </row>
    <row r="927" spans="1:45" x14ac:dyDescent="0.25">
      <c r="A927" s="28"/>
      <c r="B927" s="43"/>
      <c r="C927" s="43"/>
      <c r="D927" s="43"/>
      <c r="E927" s="43" t="s">
        <v>1845</v>
      </c>
      <c r="F927" s="43" t="s">
        <v>1846</v>
      </c>
      <c r="G927" s="46">
        <f t="shared" si="228"/>
        <v>15076.43</v>
      </c>
      <c r="H927" s="46">
        <f t="shared" si="229"/>
        <v>13681.860225000002</v>
      </c>
      <c r="I927" s="28" t="s">
        <v>262</v>
      </c>
      <c r="J927" s="337">
        <v>1</v>
      </c>
      <c r="K927" s="46">
        <f t="shared" si="230"/>
        <v>15076.43</v>
      </c>
      <c r="L927" s="46">
        <f t="shared" si="231"/>
        <v>13681.860225000002</v>
      </c>
      <c r="M927" s="338">
        <f t="shared" si="232"/>
        <v>0</v>
      </c>
      <c r="N927" s="43" t="s">
        <v>669</v>
      </c>
      <c r="O927" s="339" t="s">
        <v>167</v>
      </c>
      <c r="P927" s="340" t="str">
        <f>IFERROR(VLOOKUP(O927,NCM!$A$3:$D$99,COLUMN(head_porNCM_IPI)-COLUMN(head_porNCM_NCM)+1,FALSE),"")</f>
        <v/>
      </c>
      <c r="Q927" s="43" t="s">
        <v>804</v>
      </c>
      <c r="R927" s="78" t="s">
        <v>210</v>
      </c>
      <c r="S927" s="341"/>
      <c r="T927" s="28" t="s">
        <v>53</v>
      </c>
      <c r="U927" s="28" t="s">
        <v>2780</v>
      </c>
      <c r="V927" s="548">
        <v>45308</v>
      </c>
      <c r="W927" s="43"/>
      <c r="X927" s="342">
        <f t="shared" si="233"/>
        <v>0</v>
      </c>
      <c r="Y927" s="342">
        <f t="shared" si="234"/>
        <v>0</v>
      </c>
      <c r="Z927" s="46">
        <f t="shared" si="235"/>
        <v>248.76109500000001</v>
      </c>
      <c r="AA927" s="46">
        <f t="shared" si="236"/>
        <v>1145.8086800000001</v>
      </c>
      <c r="AB927" s="43"/>
      <c r="AC927" s="44">
        <v>15076.43</v>
      </c>
      <c r="AD927" s="31">
        <v>0</v>
      </c>
      <c r="AE927" s="31">
        <v>0</v>
      </c>
      <c r="AF927" s="31">
        <v>0.02</v>
      </c>
      <c r="AG927" s="28" t="s">
        <v>53</v>
      </c>
      <c r="AH927" s="46">
        <f t="shared" si="237"/>
        <v>15076.43</v>
      </c>
      <c r="AI927" s="43"/>
      <c r="AJ927" s="28" t="s">
        <v>264</v>
      </c>
      <c r="AK927" s="337">
        <v>4.2</v>
      </c>
      <c r="AL927" s="43"/>
      <c r="AM927" s="44">
        <f t="shared" si="238"/>
        <v>0</v>
      </c>
      <c r="AN927" s="43"/>
      <c r="AO927" s="28">
        <f t="shared" si="239"/>
        <v>0</v>
      </c>
      <c r="AP927" s="43"/>
      <c r="AQ927" s="323">
        <f t="shared" si="240"/>
        <v>0</v>
      </c>
      <c r="AR927" s="43"/>
      <c r="AS927" s="44">
        <f t="shared" si="241"/>
        <v>15076.43</v>
      </c>
    </row>
    <row r="928" spans="1:45" x14ac:dyDescent="0.25">
      <c r="A928" s="28"/>
      <c r="B928" s="43"/>
      <c r="C928" s="43"/>
      <c r="D928" s="43"/>
      <c r="E928" s="43" t="s">
        <v>1847</v>
      </c>
      <c r="F928" s="43" t="s">
        <v>1848</v>
      </c>
      <c r="G928" s="46">
        <f t="shared" si="228"/>
        <v>57121.36</v>
      </c>
      <c r="H928" s="46">
        <f t="shared" si="229"/>
        <v>51837.634200000008</v>
      </c>
      <c r="I928" s="28" t="s">
        <v>262</v>
      </c>
      <c r="J928" s="337">
        <v>1</v>
      </c>
      <c r="K928" s="46">
        <f t="shared" si="230"/>
        <v>57121.36</v>
      </c>
      <c r="L928" s="46">
        <f t="shared" si="231"/>
        <v>51837.634200000008</v>
      </c>
      <c r="M928" s="338">
        <f t="shared" si="232"/>
        <v>0</v>
      </c>
      <c r="N928" s="43" t="s">
        <v>669</v>
      </c>
      <c r="O928" s="339" t="s">
        <v>167</v>
      </c>
      <c r="P928" s="340" t="str">
        <f>IFERROR(VLOOKUP(O928,NCM!$A$3:$D$99,COLUMN(head_porNCM_IPI)-COLUMN(head_porNCM_NCM)+1,FALSE),"")</f>
        <v/>
      </c>
      <c r="Q928" s="43" t="s">
        <v>804</v>
      </c>
      <c r="R928" s="78" t="s">
        <v>210</v>
      </c>
      <c r="S928" s="341"/>
      <c r="T928" s="28" t="s">
        <v>53</v>
      </c>
      <c r="U928" s="28" t="s">
        <v>2780</v>
      </c>
      <c r="V928" s="548">
        <v>45308</v>
      </c>
      <c r="W928" s="43"/>
      <c r="X928" s="342">
        <f t="shared" si="233"/>
        <v>0</v>
      </c>
      <c r="Y928" s="342">
        <f t="shared" si="234"/>
        <v>0</v>
      </c>
      <c r="Z928" s="46">
        <f t="shared" si="235"/>
        <v>942.50244000000009</v>
      </c>
      <c r="AA928" s="46">
        <f t="shared" si="236"/>
        <v>4341.22336</v>
      </c>
      <c r="AB928" s="43"/>
      <c r="AC928" s="44">
        <v>57121.36</v>
      </c>
      <c r="AD928" s="31">
        <v>0</v>
      </c>
      <c r="AE928" s="31">
        <v>0</v>
      </c>
      <c r="AF928" s="31">
        <v>0.02</v>
      </c>
      <c r="AG928" s="28" t="s">
        <v>53</v>
      </c>
      <c r="AH928" s="46">
        <f t="shared" si="237"/>
        <v>57121.36</v>
      </c>
      <c r="AI928" s="43"/>
      <c r="AJ928" s="28" t="s">
        <v>264</v>
      </c>
      <c r="AK928" s="337">
        <v>4.2</v>
      </c>
      <c r="AL928" s="43"/>
      <c r="AM928" s="44">
        <f t="shared" si="238"/>
        <v>0</v>
      </c>
      <c r="AN928" s="43"/>
      <c r="AO928" s="28">
        <f t="shared" si="239"/>
        <v>0</v>
      </c>
      <c r="AP928" s="43"/>
      <c r="AQ928" s="323">
        <f t="shared" si="240"/>
        <v>0</v>
      </c>
      <c r="AR928" s="43"/>
      <c r="AS928" s="44">
        <f t="shared" si="241"/>
        <v>57121.36</v>
      </c>
    </row>
    <row r="929" spans="1:45" x14ac:dyDescent="0.25">
      <c r="A929" s="28"/>
      <c r="B929" s="43"/>
      <c r="C929" s="43"/>
      <c r="D929" s="43"/>
      <c r="E929" s="43" t="s">
        <v>1849</v>
      </c>
      <c r="F929" s="43" t="s">
        <v>1850</v>
      </c>
      <c r="G929" s="46">
        <f t="shared" si="228"/>
        <v>58389.68</v>
      </c>
      <c r="H929" s="46">
        <f t="shared" si="229"/>
        <v>52988.634600000005</v>
      </c>
      <c r="I929" s="28" t="s">
        <v>262</v>
      </c>
      <c r="J929" s="337">
        <v>1</v>
      </c>
      <c r="K929" s="46">
        <f t="shared" si="230"/>
        <v>58389.68</v>
      </c>
      <c r="L929" s="46">
        <f t="shared" si="231"/>
        <v>52988.634600000005</v>
      </c>
      <c r="M929" s="338">
        <f t="shared" si="232"/>
        <v>0</v>
      </c>
      <c r="N929" s="43" t="s">
        <v>669</v>
      </c>
      <c r="O929" s="339" t="s">
        <v>167</v>
      </c>
      <c r="P929" s="340" t="str">
        <f>IFERROR(VLOOKUP(O929,NCM!$A$3:$D$99,COLUMN(head_porNCM_IPI)-COLUMN(head_porNCM_NCM)+1,FALSE),"")</f>
        <v/>
      </c>
      <c r="Q929" s="43" t="s">
        <v>804</v>
      </c>
      <c r="R929" s="78" t="s">
        <v>210</v>
      </c>
      <c r="S929" s="341"/>
      <c r="T929" s="28" t="s">
        <v>53</v>
      </c>
      <c r="U929" s="28" t="s">
        <v>2780</v>
      </c>
      <c r="V929" s="548">
        <v>45308</v>
      </c>
      <c r="W929" s="43"/>
      <c r="X929" s="342">
        <f t="shared" si="233"/>
        <v>0</v>
      </c>
      <c r="Y929" s="342">
        <f t="shared" si="234"/>
        <v>0</v>
      </c>
      <c r="Z929" s="46">
        <f t="shared" si="235"/>
        <v>963.42972000000009</v>
      </c>
      <c r="AA929" s="46">
        <f t="shared" si="236"/>
        <v>4437.6156799999999</v>
      </c>
      <c r="AB929" s="43"/>
      <c r="AC929" s="44">
        <v>58389.68</v>
      </c>
      <c r="AD929" s="31">
        <v>0</v>
      </c>
      <c r="AE929" s="31">
        <v>0</v>
      </c>
      <c r="AF929" s="31">
        <v>0.02</v>
      </c>
      <c r="AG929" s="28" t="s">
        <v>53</v>
      </c>
      <c r="AH929" s="46">
        <f t="shared" si="237"/>
        <v>58389.68</v>
      </c>
      <c r="AI929" s="43"/>
      <c r="AJ929" s="28" t="s">
        <v>264</v>
      </c>
      <c r="AK929" s="337">
        <v>4.2</v>
      </c>
      <c r="AL929" s="43"/>
      <c r="AM929" s="44">
        <f t="shared" si="238"/>
        <v>0</v>
      </c>
      <c r="AN929" s="43"/>
      <c r="AO929" s="28">
        <f t="shared" si="239"/>
        <v>0</v>
      </c>
      <c r="AP929" s="43"/>
      <c r="AQ929" s="323">
        <f t="shared" si="240"/>
        <v>0</v>
      </c>
      <c r="AR929" s="43"/>
      <c r="AS929" s="44">
        <f t="shared" si="241"/>
        <v>58389.68</v>
      </c>
    </row>
    <row r="930" spans="1:45" x14ac:dyDescent="0.25">
      <c r="A930" s="28"/>
      <c r="B930" s="43"/>
      <c r="C930" s="43"/>
      <c r="D930" s="43"/>
      <c r="E930" s="43" t="s">
        <v>1851</v>
      </c>
      <c r="F930" s="43" t="s">
        <v>1852</v>
      </c>
      <c r="G930" s="46">
        <f t="shared" si="228"/>
        <v>13241.47</v>
      </c>
      <c r="H930" s="46">
        <f t="shared" si="229"/>
        <v>12016.634025000001</v>
      </c>
      <c r="I930" s="28" t="s">
        <v>262</v>
      </c>
      <c r="J930" s="337">
        <v>1</v>
      </c>
      <c r="K930" s="46">
        <f t="shared" si="230"/>
        <v>13241.47</v>
      </c>
      <c r="L930" s="46">
        <f t="shared" si="231"/>
        <v>12016.634025000001</v>
      </c>
      <c r="M930" s="338">
        <f t="shared" si="232"/>
        <v>0</v>
      </c>
      <c r="N930" s="43" t="s">
        <v>669</v>
      </c>
      <c r="O930" s="339" t="s">
        <v>167</v>
      </c>
      <c r="P930" s="340" t="str">
        <f>IFERROR(VLOOKUP(O930,NCM!$A$3:$D$99,COLUMN(head_porNCM_IPI)-COLUMN(head_porNCM_NCM)+1,FALSE),"")</f>
        <v/>
      </c>
      <c r="Q930" s="43" t="s">
        <v>804</v>
      </c>
      <c r="R930" s="78" t="s">
        <v>210</v>
      </c>
      <c r="S930" s="341"/>
      <c r="T930" s="28" t="s">
        <v>53</v>
      </c>
      <c r="U930" s="28" t="s">
        <v>2780</v>
      </c>
      <c r="V930" s="548">
        <v>45308</v>
      </c>
      <c r="W930" s="43"/>
      <c r="X930" s="342">
        <f t="shared" si="233"/>
        <v>0</v>
      </c>
      <c r="Y930" s="342">
        <f t="shared" si="234"/>
        <v>0</v>
      </c>
      <c r="Z930" s="46">
        <f t="shared" si="235"/>
        <v>218.48425499999999</v>
      </c>
      <c r="AA930" s="46">
        <f t="shared" si="236"/>
        <v>1006.3517199999999</v>
      </c>
      <c r="AB930" s="43"/>
      <c r="AC930" s="44">
        <v>13241.47</v>
      </c>
      <c r="AD930" s="31">
        <v>0</v>
      </c>
      <c r="AE930" s="31">
        <v>0</v>
      </c>
      <c r="AF930" s="31">
        <v>0.02</v>
      </c>
      <c r="AG930" s="28" t="s">
        <v>53</v>
      </c>
      <c r="AH930" s="46">
        <f t="shared" si="237"/>
        <v>13241.47</v>
      </c>
      <c r="AI930" s="43"/>
      <c r="AJ930" s="28" t="s">
        <v>264</v>
      </c>
      <c r="AK930" s="337">
        <v>4.2</v>
      </c>
      <c r="AL930" s="43"/>
      <c r="AM930" s="44">
        <f t="shared" si="238"/>
        <v>0</v>
      </c>
      <c r="AN930" s="43"/>
      <c r="AO930" s="28">
        <f t="shared" si="239"/>
        <v>0</v>
      </c>
      <c r="AP930" s="43"/>
      <c r="AQ930" s="323">
        <f t="shared" si="240"/>
        <v>0</v>
      </c>
      <c r="AR930" s="43"/>
      <c r="AS930" s="44">
        <f t="shared" si="241"/>
        <v>13241.47</v>
      </c>
    </row>
    <row r="931" spans="1:45" x14ac:dyDescent="0.25">
      <c r="A931" s="28"/>
      <c r="B931" s="43"/>
      <c r="C931" s="43"/>
      <c r="D931" s="43"/>
      <c r="E931" s="43" t="s">
        <v>1853</v>
      </c>
      <c r="F931" s="43" t="s">
        <v>1854</v>
      </c>
      <c r="G931" s="46">
        <f t="shared" si="228"/>
        <v>7950.92</v>
      </c>
      <c r="H931" s="46">
        <f t="shared" si="229"/>
        <v>7215.4599000000007</v>
      </c>
      <c r="I931" s="28" t="s">
        <v>262</v>
      </c>
      <c r="J931" s="337">
        <v>1</v>
      </c>
      <c r="K931" s="46">
        <f t="shared" si="230"/>
        <v>7950.92</v>
      </c>
      <c r="L931" s="46">
        <f t="shared" si="231"/>
        <v>7215.4599000000007</v>
      </c>
      <c r="M931" s="338">
        <f t="shared" si="232"/>
        <v>0</v>
      </c>
      <c r="N931" s="43" t="s">
        <v>669</v>
      </c>
      <c r="O931" s="339" t="s">
        <v>167</v>
      </c>
      <c r="P931" s="340" t="str">
        <f>IFERROR(VLOOKUP(O931,NCM!$A$3:$D$99,COLUMN(head_porNCM_IPI)-COLUMN(head_porNCM_NCM)+1,FALSE),"")</f>
        <v/>
      </c>
      <c r="Q931" s="43" t="s">
        <v>804</v>
      </c>
      <c r="R931" s="78" t="s">
        <v>210</v>
      </c>
      <c r="S931" s="341"/>
      <c r="T931" s="28" t="s">
        <v>53</v>
      </c>
      <c r="U931" s="28" t="s">
        <v>2780</v>
      </c>
      <c r="V931" s="548">
        <v>45308</v>
      </c>
      <c r="W931" s="43"/>
      <c r="X931" s="342">
        <f t="shared" si="233"/>
        <v>0</v>
      </c>
      <c r="Y931" s="342">
        <f t="shared" si="234"/>
        <v>0</v>
      </c>
      <c r="Z931" s="46">
        <f t="shared" si="235"/>
        <v>131.19018</v>
      </c>
      <c r="AA931" s="46">
        <f t="shared" si="236"/>
        <v>604.26991999999996</v>
      </c>
      <c r="AB931" s="43"/>
      <c r="AC931" s="44">
        <v>7950.92</v>
      </c>
      <c r="AD931" s="31">
        <v>0</v>
      </c>
      <c r="AE931" s="31">
        <v>0</v>
      </c>
      <c r="AF931" s="31">
        <v>0.02</v>
      </c>
      <c r="AG931" s="28" t="s">
        <v>53</v>
      </c>
      <c r="AH931" s="46">
        <f t="shared" si="237"/>
        <v>7950.92</v>
      </c>
      <c r="AI931" s="43"/>
      <c r="AJ931" s="28" t="s">
        <v>264</v>
      </c>
      <c r="AK931" s="337">
        <v>4.2</v>
      </c>
      <c r="AL931" s="43"/>
      <c r="AM931" s="44">
        <f t="shared" si="238"/>
        <v>0</v>
      </c>
      <c r="AN931" s="43"/>
      <c r="AO931" s="28">
        <f t="shared" si="239"/>
        <v>0</v>
      </c>
      <c r="AP931" s="43"/>
      <c r="AQ931" s="323">
        <f t="shared" si="240"/>
        <v>0</v>
      </c>
      <c r="AR931" s="43"/>
      <c r="AS931" s="44">
        <f t="shared" si="241"/>
        <v>7950.92</v>
      </c>
    </row>
    <row r="932" spans="1:45" x14ac:dyDescent="0.25">
      <c r="A932" s="28"/>
      <c r="B932" s="43"/>
      <c r="C932" s="43"/>
      <c r="D932" s="43"/>
      <c r="E932" s="43" t="s">
        <v>1855</v>
      </c>
      <c r="F932" s="43" t="s">
        <v>1856</v>
      </c>
      <c r="G932" s="46">
        <f t="shared" si="228"/>
        <v>13241.47</v>
      </c>
      <c r="H932" s="46">
        <f t="shared" si="229"/>
        <v>12016.634025000001</v>
      </c>
      <c r="I932" s="28" t="s">
        <v>262</v>
      </c>
      <c r="J932" s="337">
        <v>1</v>
      </c>
      <c r="K932" s="46">
        <f t="shared" si="230"/>
        <v>13241.47</v>
      </c>
      <c r="L932" s="46">
        <f t="shared" si="231"/>
        <v>12016.634025000001</v>
      </c>
      <c r="M932" s="338">
        <f t="shared" si="232"/>
        <v>0</v>
      </c>
      <c r="N932" s="43" t="s">
        <v>669</v>
      </c>
      <c r="O932" s="339" t="s">
        <v>167</v>
      </c>
      <c r="P932" s="340" t="str">
        <f>IFERROR(VLOOKUP(O932,NCM!$A$3:$D$99,COLUMN(head_porNCM_IPI)-COLUMN(head_porNCM_NCM)+1,FALSE),"")</f>
        <v/>
      </c>
      <c r="Q932" s="43" t="s">
        <v>804</v>
      </c>
      <c r="R932" s="78" t="s">
        <v>210</v>
      </c>
      <c r="S932" s="341"/>
      <c r="T932" s="28" t="s">
        <v>53</v>
      </c>
      <c r="U932" s="28" t="s">
        <v>2780</v>
      </c>
      <c r="V932" s="548">
        <v>45308</v>
      </c>
      <c r="W932" s="43"/>
      <c r="X932" s="342">
        <f t="shared" si="233"/>
        <v>0</v>
      </c>
      <c r="Y932" s="342">
        <f t="shared" si="234"/>
        <v>0</v>
      </c>
      <c r="Z932" s="46">
        <f t="shared" si="235"/>
        <v>218.48425499999999</v>
      </c>
      <c r="AA932" s="46">
        <f t="shared" si="236"/>
        <v>1006.3517199999999</v>
      </c>
      <c r="AB932" s="43"/>
      <c r="AC932" s="44">
        <v>13241.47</v>
      </c>
      <c r="AD932" s="31">
        <v>0</v>
      </c>
      <c r="AE932" s="31">
        <v>0</v>
      </c>
      <c r="AF932" s="31">
        <v>0.02</v>
      </c>
      <c r="AG932" s="28" t="s">
        <v>53</v>
      </c>
      <c r="AH932" s="46">
        <f t="shared" si="237"/>
        <v>13241.47</v>
      </c>
      <c r="AI932" s="43"/>
      <c r="AJ932" s="28" t="s">
        <v>264</v>
      </c>
      <c r="AK932" s="337">
        <v>4.2</v>
      </c>
      <c r="AL932" s="43"/>
      <c r="AM932" s="44">
        <f t="shared" si="238"/>
        <v>0</v>
      </c>
      <c r="AN932" s="43"/>
      <c r="AO932" s="28">
        <f t="shared" si="239"/>
        <v>0</v>
      </c>
      <c r="AP932" s="43"/>
      <c r="AQ932" s="323">
        <f t="shared" si="240"/>
        <v>0</v>
      </c>
      <c r="AR932" s="43"/>
      <c r="AS932" s="44">
        <f t="shared" si="241"/>
        <v>13241.47</v>
      </c>
    </row>
    <row r="933" spans="1:45" x14ac:dyDescent="0.25">
      <c r="A933" s="28"/>
      <c r="B933" s="43"/>
      <c r="C933" s="43"/>
      <c r="D933" s="43"/>
      <c r="E933" s="43" t="s">
        <v>1857</v>
      </c>
      <c r="F933" s="43" t="s">
        <v>1858</v>
      </c>
      <c r="G933" s="46">
        <f t="shared" si="228"/>
        <v>7950.92</v>
      </c>
      <c r="H933" s="46">
        <f t="shared" si="229"/>
        <v>7215.4599000000007</v>
      </c>
      <c r="I933" s="28" t="s">
        <v>262</v>
      </c>
      <c r="J933" s="337">
        <v>1</v>
      </c>
      <c r="K933" s="46">
        <f t="shared" si="230"/>
        <v>7950.92</v>
      </c>
      <c r="L933" s="46">
        <f t="shared" si="231"/>
        <v>7215.4599000000007</v>
      </c>
      <c r="M933" s="338">
        <f t="shared" si="232"/>
        <v>0</v>
      </c>
      <c r="N933" s="43" t="s">
        <v>669</v>
      </c>
      <c r="O933" s="339" t="s">
        <v>167</v>
      </c>
      <c r="P933" s="340" t="str">
        <f>IFERROR(VLOOKUP(O933,NCM!$A$3:$D$99,COLUMN(head_porNCM_IPI)-COLUMN(head_porNCM_NCM)+1,FALSE),"")</f>
        <v/>
      </c>
      <c r="Q933" s="43" t="s">
        <v>804</v>
      </c>
      <c r="R933" s="78" t="s">
        <v>210</v>
      </c>
      <c r="S933" s="341"/>
      <c r="T933" s="28" t="s">
        <v>53</v>
      </c>
      <c r="U933" s="28" t="s">
        <v>2780</v>
      </c>
      <c r="V933" s="548">
        <v>45308</v>
      </c>
      <c r="W933" s="43"/>
      <c r="X933" s="342">
        <f t="shared" si="233"/>
        <v>0</v>
      </c>
      <c r="Y933" s="342">
        <f t="shared" si="234"/>
        <v>0</v>
      </c>
      <c r="Z933" s="46">
        <f t="shared" si="235"/>
        <v>131.19018</v>
      </c>
      <c r="AA933" s="46">
        <f t="shared" si="236"/>
        <v>604.26991999999996</v>
      </c>
      <c r="AB933" s="43"/>
      <c r="AC933" s="44">
        <v>7950.92</v>
      </c>
      <c r="AD933" s="31">
        <v>0</v>
      </c>
      <c r="AE933" s="31">
        <v>0</v>
      </c>
      <c r="AF933" s="31">
        <v>0.02</v>
      </c>
      <c r="AG933" s="28" t="s">
        <v>53</v>
      </c>
      <c r="AH933" s="46">
        <f t="shared" si="237"/>
        <v>7950.92</v>
      </c>
      <c r="AI933" s="43"/>
      <c r="AJ933" s="28" t="s">
        <v>264</v>
      </c>
      <c r="AK933" s="337">
        <v>4.2</v>
      </c>
      <c r="AL933" s="43"/>
      <c r="AM933" s="44">
        <f t="shared" si="238"/>
        <v>0</v>
      </c>
      <c r="AN933" s="43"/>
      <c r="AO933" s="28">
        <f t="shared" si="239"/>
        <v>0</v>
      </c>
      <c r="AP933" s="43"/>
      <c r="AQ933" s="323">
        <f t="shared" si="240"/>
        <v>0</v>
      </c>
      <c r="AR933" s="43"/>
      <c r="AS933" s="44">
        <f t="shared" si="241"/>
        <v>7950.92</v>
      </c>
    </row>
    <row r="934" spans="1:45" x14ac:dyDescent="0.25">
      <c r="A934" s="28"/>
      <c r="B934" s="43"/>
      <c r="C934" s="43"/>
      <c r="D934" s="43"/>
      <c r="E934" s="43" t="s">
        <v>1859</v>
      </c>
      <c r="F934" s="43" t="s">
        <v>1860</v>
      </c>
      <c r="G934" s="46">
        <f t="shared" si="228"/>
        <v>11458.68</v>
      </c>
      <c r="H934" s="46">
        <f t="shared" si="229"/>
        <v>10398.752100000002</v>
      </c>
      <c r="I934" s="28" t="s">
        <v>262</v>
      </c>
      <c r="J934" s="337">
        <v>1</v>
      </c>
      <c r="K934" s="46">
        <f t="shared" si="230"/>
        <v>11458.68</v>
      </c>
      <c r="L934" s="46">
        <f t="shared" si="231"/>
        <v>10398.752100000002</v>
      </c>
      <c r="M934" s="338">
        <f t="shared" si="232"/>
        <v>0</v>
      </c>
      <c r="N934" s="43" t="s">
        <v>669</v>
      </c>
      <c r="O934" s="339" t="s">
        <v>167</v>
      </c>
      <c r="P934" s="340" t="str">
        <f>IFERROR(VLOOKUP(O934,NCM!$A$3:$D$99,COLUMN(head_porNCM_IPI)-COLUMN(head_porNCM_NCM)+1,FALSE),"")</f>
        <v/>
      </c>
      <c r="Q934" s="43" t="s">
        <v>804</v>
      </c>
      <c r="R934" s="78" t="s">
        <v>210</v>
      </c>
      <c r="S934" s="341"/>
      <c r="T934" s="28" t="s">
        <v>53</v>
      </c>
      <c r="U934" s="28" t="s">
        <v>2780</v>
      </c>
      <c r="V934" s="548">
        <v>45308</v>
      </c>
      <c r="W934" s="43"/>
      <c r="X934" s="342">
        <f t="shared" si="233"/>
        <v>0</v>
      </c>
      <c r="Y934" s="342">
        <f t="shared" si="234"/>
        <v>0</v>
      </c>
      <c r="Z934" s="46">
        <f t="shared" si="235"/>
        <v>189.06822000000003</v>
      </c>
      <c r="AA934" s="46">
        <f t="shared" si="236"/>
        <v>870.85968000000003</v>
      </c>
      <c r="AB934" s="43"/>
      <c r="AC934" s="44">
        <v>11458.68</v>
      </c>
      <c r="AD934" s="31">
        <v>0</v>
      </c>
      <c r="AE934" s="31">
        <v>0</v>
      </c>
      <c r="AF934" s="31">
        <v>0.02</v>
      </c>
      <c r="AG934" s="28" t="s">
        <v>53</v>
      </c>
      <c r="AH934" s="46">
        <f t="shared" si="237"/>
        <v>11458.68</v>
      </c>
      <c r="AI934" s="43"/>
      <c r="AJ934" s="28" t="s">
        <v>264</v>
      </c>
      <c r="AK934" s="337">
        <v>4.2</v>
      </c>
      <c r="AL934" s="43"/>
      <c r="AM934" s="44">
        <f t="shared" si="238"/>
        <v>0</v>
      </c>
      <c r="AN934" s="43"/>
      <c r="AO934" s="28">
        <f t="shared" si="239"/>
        <v>0</v>
      </c>
      <c r="AP934" s="43"/>
      <c r="AQ934" s="323">
        <f t="shared" si="240"/>
        <v>0</v>
      </c>
      <c r="AR934" s="43"/>
      <c r="AS934" s="44">
        <f t="shared" si="241"/>
        <v>11458.68</v>
      </c>
    </row>
    <row r="935" spans="1:45" x14ac:dyDescent="0.25">
      <c r="A935" s="28"/>
      <c r="B935" s="43"/>
      <c r="C935" s="43"/>
      <c r="D935" s="43" t="s">
        <v>1967</v>
      </c>
      <c r="E935" s="43"/>
      <c r="F935" s="43"/>
      <c r="G935" s="46">
        <f t="shared" si="228"/>
        <v>0</v>
      </c>
      <c r="H935" s="46">
        <f t="shared" si="229"/>
        <v>0</v>
      </c>
      <c r="I935" s="28"/>
      <c r="J935" s="337"/>
      <c r="K935" s="46" t="str">
        <f t="shared" si="230"/>
        <v/>
      </c>
      <c r="L935" s="46" t="str">
        <f t="shared" si="231"/>
        <v/>
      </c>
      <c r="M935" s="338">
        <f t="shared" si="232"/>
        <v>0</v>
      </c>
      <c r="N935" s="43"/>
      <c r="O935" s="339"/>
      <c r="P935" s="340" t="str">
        <f>IFERROR(VLOOKUP(O935,NCM!$A$3:$D$99,COLUMN(head_porNCM_IPI)-COLUMN(head_porNCM_NCM)+1,FALSE),"")</f>
        <v/>
      </c>
      <c r="Q935" s="43"/>
      <c r="R935" s="78"/>
      <c r="S935" s="341"/>
      <c r="T935" s="28"/>
      <c r="U935" s="28"/>
      <c r="V935" s="28"/>
      <c r="W935" s="43"/>
      <c r="X935" s="342">
        <f t="shared" si="233"/>
        <v>0</v>
      </c>
      <c r="Y935" s="342">
        <f t="shared" si="234"/>
        <v>0</v>
      </c>
      <c r="Z935" s="46">
        <f t="shared" si="235"/>
        <v>0</v>
      </c>
      <c r="AA935" s="46">
        <f t="shared" si="236"/>
        <v>0</v>
      </c>
      <c r="AB935" s="43"/>
      <c r="AC935" s="44">
        <v>0</v>
      </c>
      <c r="AD935" s="31"/>
      <c r="AE935" s="31"/>
      <c r="AF935" s="31"/>
      <c r="AG935" s="28"/>
      <c r="AH935" s="46">
        <f t="shared" si="237"/>
        <v>0</v>
      </c>
      <c r="AI935" s="43"/>
      <c r="AJ935" s="28"/>
      <c r="AK935" s="337"/>
      <c r="AL935" s="43"/>
      <c r="AM935" s="44">
        <f t="shared" si="238"/>
        <v>0</v>
      </c>
      <c r="AN935" s="43"/>
      <c r="AO935" s="28">
        <f t="shared" si="239"/>
        <v>0</v>
      </c>
      <c r="AP935" s="43"/>
      <c r="AQ935" s="323">
        <f t="shared" si="240"/>
        <v>0</v>
      </c>
      <c r="AR935" s="43"/>
      <c r="AS935" s="44">
        <f t="shared" si="241"/>
        <v>0</v>
      </c>
    </row>
    <row r="936" spans="1:45" x14ac:dyDescent="0.25">
      <c r="A936" s="28"/>
      <c r="B936" s="43"/>
      <c r="C936" s="43"/>
      <c r="D936" s="43"/>
      <c r="E936" s="43" t="s">
        <v>1927</v>
      </c>
      <c r="F936" s="43" t="s">
        <v>1928</v>
      </c>
      <c r="G936" s="46">
        <f t="shared" si="228"/>
        <v>11732.196137517396</v>
      </c>
      <c r="H936" s="46">
        <f t="shared" si="229"/>
        <v>10480.491243952969</v>
      </c>
      <c r="I936" s="28" t="s">
        <v>263</v>
      </c>
      <c r="J936" s="337">
        <v>1</v>
      </c>
      <c r="K936" s="46">
        <f t="shared" si="230"/>
        <v>63705.82502671946</v>
      </c>
      <c r="L936" s="46">
        <f t="shared" si="231"/>
        <v>56909.067454664619</v>
      </c>
      <c r="M936" s="338">
        <f t="shared" si="232"/>
        <v>0</v>
      </c>
      <c r="N936" s="43" t="s">
        <v>35</v>
      </c>
      <c r="O936" s="339">
        <v>85364900</v>
      </c>
      <c r="P936" s="340">
        <f>IFERROR(VLOOKUP(O936,NCM!$A$3:$D$99,COLUMN(head_porNCM_IPI)-COLUMN(head_porNCM_NCM)+1,FALSE),"")</f>
        <v>3.2500000000000001E-2</v>
      </c>
      <c r="Q936" s="43" t="s">
        <v>1165</v>
      </c>
      <c r="R936" s="78" t="s">
        <v>210</v>
      </c>
      <c r="S936" s="341"/>
      <c r="T936" s="28" t="s">
        <v>52</v>
      </c>
      <c r="U936" s="28" t="s">
        <v>1966</v>
      </c>
      <c r="V936" s="548">
        <v>44384</v>
      </c>
      <c r="W936" s="43"/>
      <c r="X936" s="342">
        <f t="shared" si="233"/>
        <v>1714.0463407368745</v>
      </c>
      <c r="Y936" s="342">
        <f t="shared" si="234"/>
        <v>644.37832358529158</v>
      </c>
      <c r="Z936" s="46">
        <f t="shared" si="235"/>
        <v>212.64484678314608</v>
      </c>
      <c r="AA936" s="46">
        <f t="shared" si="236"/>
        <v>979.45505184964247</v>
      </c>
      <c r="AB936" s="43"/>
      <c r="AC936" s="44">
        <v>13531.944795291114</v>
      </c>
      <c r="AD936" s="31">
        <v>0.13300000000000001</v>
      </c>
      <c r="AE936" s="31">
        <v>0.05</v>
      </c>
      <c r="AF936" s="31">
        <v>0</v>
      </c>
      <c r="AG936" s="28" t="s">
        <v>53</v>
      </c>
      <c r="AH936" s="46">
        <f t="shared" si="237"/>
        <v>14208.542035055671</v>
      </c>
      <c r="AI936" s="43"/>
      <c r="AJ936" s="28" t="s">
        <v>263</v>
      </c>
      <c r="AK936" s="337">
        <v>5.23</v>
      </c>
      <c r="AL936" s="43"/>
      <c r="AM936" s="44">
        <f t="shared" si="238"/>
        <v>0</v>
      </c>
      <c r="AN936" s="43"/>
      <c r="AO936" s="28">
        <f t="shared" si="239"/>
        <v>0</v>
      </c>
      <c r="AP936" s="43"/>
      <c r="AQ936" s="323">
        <f t="shared" si="240"/>
        <v>0</v>
      </c>
      <c r="AR936" s="43"/>
      <c r="AS936" s="44">
        <f t="shared" si="241"/>
        <v>77152.383250352286</v>
      </c>
    </row>
    <row r="937" spans="1:45" x14ac:dyDescent="0.25">
      <c r="A937" s="28"/>
      <c r="B937" s="43"/>
      <c r="C937" s="43"/>
      <c r="D937" s="43"/>
      <c r="E937" s="43" t="s">
        <v>1929</v>
      </c>
      <c r="F937" s="43" t="s">
        <v>1930</v>
      </c>
      <c r="G937" s="46">
        <f t="shared" si="228"/>
        <v>12799.197317116939</v>
      </c>
      <c r="H937" s="46">
        <f t="shared" si="229"/>
        <v>11433.654350757868</v>
      </c>
      <c r="I937" s="28" t="s">
        <v>263</v>
      </c>
      <c r="J937" s="337">
        <v>1</v>
      </c>
      <c r="K937" s="46">
        <f t="shared" si="230"/>
        <v>69499.641431944983</v>
      </c>
      <c r="L937" s="46">
        <f t="shared" si="231"/>
        <v>62084.743124615219</v>
      </c>
      <c r="M937" s="338">
        <f t="shared" si="232"/>
        <v>0</v>
      </c>
      <c r="N937" s="43" t="s">
        <v>35</v>
      </c>
      <c r="O937" s="339">
        <v>85364900</v>
      </c>
      <c r="P937" s="340">
        <f>IFERROR(VLOOKUP(O937,NCM!$A$3:$D$99,COLUMN(head_porNCM_IPI)-COLUMN(head_porNCM_NCM)+1,FALSE),"")</f>
        <v>3.2500000000000001E-2</v>
      </c>
      <c r="Q937" s="43" t="s">
        <v>1165</v>
      </c>
      <c r="R937" s="78" t="s">
        <v>210</v>
      </c>
      <c r="S937" s="341"/>
      <c r="T937" s="28" t="s">
        <v>52</v>
      </c>
      <c r="U937" s="28" t="s">
        <v>1966</v>
      </c>
      <c r="V937" s="548">
        <v>44384</v>
      </c>
      <c r="W937" s="43"/>
      <c r="X937" s="342">
        <f t="shared" si="233"/>
        <v>1869.9327106899027</v>
      </c>
      <c r="Y937" s="342">
        <f t="shared" si="234"/>
        <v>702.98222206387436</v>
      </c>
      <c r="Z937" s="46">
        <f t="shared" si="235"/>
        <v>231.98413328107816</v>
      </c>
      <c r="AA937" s="46">
        <f t="shared" si="236"/>
        <v>1068.5329775370872</v>
      </c>
      <c r="AB937" s="43"/>
      <c r="AC937" s="44">
        <v>14762.626663341338</v>
      </c>
      <c r="AD937" s="31">
        <v>0.13300000000000001</v>
      </c>
      <c r="AE937" s="31">
        <v>0.05</v>
      </c>
      <c r="AF937" s="31">
        <v>0</v>
      </c>
      <c r="AG937" s="28" t="s">
        <v>53</v>
      </c>
      <c r="AH937" s="46">
        <f t="shared" si="237"/>
        <v>15500.757996508406</v>
      </c>
      <c r="AI937" s="43"/>
      <c r="AJ937" s="28" t="s">
        <v>263</v>
      </c>
      <c r="AK937" s="337">
        <v>5.23</v>
      </c>
      <c r="AL937" s="43"/>
      <c r="AM937" s="44">
        <f t="shared" si="238"/>
        <v>0</v>
      </c>
      <c r="AN937" s="43"/>
      <c r="AO937" s="28">
        <f t="shared" si="239"/>
        <v>0</v>
      </c>
      <c r="AP937" s="43"/>
      <c r="AQ937" s="323">
        <f t="shared" si="240"/>
        <v>0</v>
      </c>
      <c r="AR937" s="43"/>
      <c r="AS937" s="44">
        <f t="shared" si="241"/>
        <v>84169.115921040633</v>
      </c>
    </row>
    <row r="938" spans="1:45" x14ac:dyDescent="0.25">
      <c r="A938" s="28"/>
      <c r="B938" s="43"/>
      <c r="C938" s="43"/>
      <c r="D938" s="43"/>
      <c r="E938" s="43" t="s">
        <v>1931</v>
      </c>
      <c r="F938" s="43" t="s">
        <v>1932</v>
      </c>
      <c r="G938" s="46">
        <f t="shared" si="228"/>
        <v>13073.412671132346</v>
      </c>
      <c r="H938" s="46">
        <f t="shared" si="229"/>
        <v>11678.613741397929</v>
      </c>
      <c r="I938" s="28" t="s">
        <v>263</v>
      </c>
      <c r="J938" s="337">
        <v>1</v>
      </c>
      <c r="K938" s="46">
        <f t="shared" si="230"/>
        <v>70988.630804248634</v>
      </c>
      <c r="L938" s="46">
        <f t="shared" si="231"/>
        <v>63414.872615790751</v>
      </c>
      <c r="M938" s="338">
        <f t="shared" si="232"/>
        <v>0</v>
      </c>
      <c r="N938" s="43" t="s">
        <v>35</v>
      </c>
      <c r="O938" s="339">
        <v>85364900</v>
      </c>
      <c r="P938" s="340">
        <f>IFERROR(VLOOKUP(O938,NCM!$A$3:$D$99,COLUMN(head_porNCM_IPI)-COLUMN(head_porNCM_NCM)+1,FALSE),"")</f>
        <v>3.2500000000000001E-2</v>
      </c>
      <c r="Q938" s="43" t="s">
        <v>1165</v>
      </c>
      <c r="R938" s="78" t="s">
        <v>210</v>
      </c>
      <c r="S938" s="341"/>
      <c r="T938" s="28" t="s">
        <v>52</v>
      </c>
      <c r="U938" s="28" t="s">
        <v>1966</v>
      </c>
      <c r="V938" s="548">
        <v>44384</v>
      </c>
      <c r="W938" s="43"/>
      <c r="X938" s="342">
        <f t="shared" si="233"/>
        <v>1909.994930807494</v>
      </c>
      <c r="Y938" s="342">
        <f t="shared" si="234"/>
        <v>718.04320707048646</v>
      </c>
      <c r="Z938" s="46">
        <f t="shared" si="235"/>
        <v>236.95425833326055</v>
      </c>
      <c r="AA938" s="46">
        <f t="shared" si="236"/>
        <v>1091.4256747471393</v>
      </c>
      <c r="AB938" s="43"/>
      <c r="AC938" s="44">
        <v>15078.907348480216</v>
      </c>
      <c r="AD938" s="31">
        <v>0.13300000000000001</v>
      </c>
      <c r="AE938" s="31">
        <v>0.05</v>
      </c>
      <c r="AF938" s="31">
        <v>0</v>
      </c>
      <c r="AG938" s="28" t="s">
        <v>53</v>
      </c>
      <c r="AH938" s="46">
        <f t="shared" si="237"/>
        <v>15832.852715904228</v>
      </c>
      <c r="AI938" s="43"/>
      <c r="AJ938" s="28" t="s">
        <v>263</v>
      </c>
      <c r="AK938" s="337">
        <v>5.23</v>
      </c>
      <c r="AL938" s="43"/>
      <c r="AM938" s="44">
        <f t="shared" si="238"/>
        <v>0</v>
      </c>
      <c r="AN938" s="43"/>
      <c r="AO938" s="28">
        <f t="shared" si="239"/>
        <v>0</v>
      </c>
      <c r="AP938" s="43"/>
      <c r="AQ938" s="323">
        <f t="shared" si="240"/>
        <v>0</v>
      </c>
      <c r="AR938" s="43"/>
      <c r="AS938" s="44">
        <f t="shared" si="241"/>
        <v>85972.390247359959</v>
      </c>
    </row>
    <row r="939" spans="1:45" x14ac:dyDescent="0.25">
      <c r="A939" s="28"/>
      <c r="B939" s="43"/>
      <c r="C939" s="43"/>
      <c r="D939" s="43"/>
      <c r="E939" s="43" t="s">
        <v>1933</v>
      </c>
      <c r="F939" s="43" t="s">
        <v>1934</v>
      </c>
      <c r="G939" s="46">
        <f t="shared" si="228"/>
        <v>6715.2013834748659</v>
      </c>
      <c r="H939" s="46">
        <f t="shared" si="229"/>
        <v>5998.7583292979052</v>
      </c>
      <c r="I939" s="28" t="s">
        <v>263</v>
      </c>
      <c r="J939" s="337">
        <v>1</v>
      </c>
      <c r="K939" s="46">
        <f t="shared" si="230"/>
        <v>36463.543512268523</v>
      </c>
      <c r="L939" s="46">
        <f t="shared" si="231"/>
        <v>32573.257728087625</v>
      </c>
      <c r="M939" s="338">
        <f t="shared" si="232"/>
        <v>0</v>
      </c>
      <c r="N939" s="43" t="s">
        <v>35</v>
      </c>
      <c r="O939" s="339">
        <v>85364900</v>
      </c>
      <c r="P939" s="340">
        <f>IFERROR(VLOOKUP(O939,NCM!$A$3:$D$99,COLUMN(head_porNCM_IPI)-COLUMN(head_porNCM_NCM)+1,FALSE),"")</f>
        <v>3.2500000000000001E-2</v>
      </c>
      <c r="Q939" s="43" t="s">
        <v>1165</v>
      </c>
      <c r="R939" s="78" t="s">
        <v>210</v>
      </c>
      <c r="S939" s="341"/>
      <c r="T939" s="28" t="s">
        <v>52</v>
      </c>
      <c r="U939" s="28" t="s">
        <v>1966</v>
      </c>
      <c r="V939" s="548">
        <v>44384</v>
      </c>
      <c r="W939" s="43"/>
      <c r="X939" s="342">
        <f t="shared" si="233"/>
        <v>981.07517328736981</v>
      </c>
      <c r="Y939" s="342">
        <f t="shared" si="234"/>
        <v>368.8252531155531</v>
      </c>
      <c r="Z939" s="46">
        <f t="shared" si="235"/>
        <v>121.71233352813235</v>
      </c>
      <c r="AA939" s="46">
        <f t="shared" si="236"/>
        <v>560.61438473563987</v>
      </c>
      <c r="AB939" s="43"/>
      <c r="AC939" s="44">
        <v>7745.3303154266041</v>
      </c>
      <c r="AD939" s="31">
        <v>0.13300000000000001</v>
      </c>
      <c r="AE939" s="31">
        <v>0.05</v>
      </c>
      <c r="AF939" s="31">
        <v>0</v>
      </c>
      <c r="AG939" s="28" t="s">
        <v>53</v>
      </c>
      <c r="AH939" s="46">
        <f t="shared" si="237"/>
        <v>8132.596831197935</v>
      </c>
      <c r="AI939" s="43"/>
      <c r="AJ939" s="28" t="s">
        <v>263</v>
      </c>
      <c r="AK939" s="337">
        <v>5.23</v>
      </c>
      <c r="AL939" s="43"/>
      <c r="AM939" s="44">
        <f t="shared" si="238"/>
        <v>0</v>
      </c>
      <c r="AN939" s="43"/>
      <c r="AO939" s="28">
        <f t="shared" si="239"/>
        <v>0</v>
      </c>
      <c r="AP939" s="43"/>
      <c r="AQ939" s="323">
        <f t="shared" si="240"/>
        <v>0</v>
      </c>
      <c r="AR939" s="43"/>
      <c r="AS939" s="44">
        <f t="shared" si="241"/>
        <v>44160.000793404783</v>
      </c>
    </row>
    <row r="940" spans="1:45" x14ac:dyDescent="0.25">
      <c r="A940" s="28"/>
      <c r="B940" s="43"/>
      <c r="C940" s="43"/>
      <c r="D940" s="43"/>
      <c r="E940" s="43" t="s">
        <v>1935</v>
      </c>
      <c r="F940" s="43" t="s">
        <v>1936</v>
      </c>
      <c r="G940" s="46">
        <f t="shared" si="228"/>
        <v>7270.9347175236726</v>
      </c>
      <c r="H940" s="46">
        <f t="shared" si="229"/>
        <v>6495.2006213634204</v>
      </c>
      <c r="I940" s="28" t="s">
        <v>263</v>
      </c>
      <c r="J940" s="337">
        <v>1</v>
      </c>
      <c r="K940" s="46">
        <f t="shared" si="230"/>
        <v>39481.17551615354</v>
      </c>
      <c r="L940" s="46">
        <f t="shared" si="231"/>
        <v>35268.93937400337</v>
      </c>
      <c r="M940" s="338">
        <f t="shared" si="232"/>
        <v>0</v>
      </c>
      <c r="N940" s="43" t="s">
        <v>35</v>
      </c>
      <c r="O940" s="339">
        <v>85364900</v>
      </c>
      <c r="P940" s="340">
        <f>IFERROR(VLOOKUP(O940,NCM!$A$3:$D$99,COLUMN(head_porNCM_IPI)-COLUMN(head_porNCM_NCM)+1,FALSE),"")</f>
        <v>3.2500000000000001E-2</v>
      </c>
      <c r="Q940" s="43" t="s">
        <v>1165</v>
      </c>
      <c r="R940" s="78" t="s">
        <v>210</v>
      </c>
      <c r="S940" s="341"/>
      <c r="T940" s="28" t="s">
        <v>52</v>
      </c>
      <c r="U940" s="28" t="s">
        <v>1966</v>
      </c>
      <c r="V940" s="548">
        <v>44384</v>
      </c>
      <c r="W940" s="43"/>
      <c r="X940" s="342">
        <f t="shared" si="233"/>
        <v>1062.266510057284</v>
      </c>
      <c r="Y940" s="342">
        <f t="shared" si="234"/>
        <v>399.34831205161117</v>
      </c>
      <c r="Z940" s="46">
        <f t="shared" si="235"/>
        <v>131.78494297703148</v>
      </c>
      <c r="AA940" s="46">
        <f t="shared" si="236"/>
        <v>607.00943431844792</v>
      </c>
      <c r="AB940" s="43"/>
      <c r="AC940" s="44">
        <v>8386.314553083821</v>
      </c>
      <c r="AD940" s="31">
        <v>0.13300000000000001</v>
      </c>
      <c r="AE940" s="31">
        <v>0.05</v>
      </c>
      <c r="AF940" s="31">
        <v>0</v>
      </c>
      <c r="AG940" s="28" t="s">
        <v>53</v>
      </c>
      <c r="AH940" s="46">
        <f t="shared" si="237"/>
        <v>8805.6302807380125</v>
      </c>
      <c r="AI940" s="43"/>
      <c r="AJ940" s="28" t="s">
        <v>263</v>
      </c>
      <c r="AK940" s="337">
        <v>5.23</v>
      </c>
      <c r="AL940" s="43"/>
      <c r="AM940" s="44">
        <f t="shared" si="238"/>
        <v>0</v>
      </c>
      <c r="AN940" s="43"/>
      <c r="AO940" s="28">
        <f t="shared" si="239"/>
        <v>0</v>
      </c>
      <c r="AP940" s="43"/>
      <c r="AQ940" s="323">
        <f t="shared" si="240"/>
        <v>0</v>
      </c>
      <c r="AR940" s="43"/>
      <c r="AS940" s="44">
        <f t="shared" si="241"/>
        <v>47814.572424407408</v>
      </c>
    </row>
    <row r="941" spans="1:45" x14ac:dyDescent="0.25">
      <c r="A941" s="28"/>
      <c r="B941" s="43"/>
      <c r="C941" s="43"/>
      <c r="D941" s="43"/>
      <c r="E941" s="43" t="s">
        <v>1937</v>
      </c>
      <c r="F941" s="43" t="s">
        <v>1938</v>
      </c>
      <c r="G941" s="46">
        <f t="shared" si="228"/>
        <v>8331.8071154104582</v>
      </c>
      <c r="H941" s="46">
        <f t="shared" si="229"/>
        <v>7442.8888245506341</v>
      </c>
      <c r="I941" s="28" t="s">
        <v>263</v>
      </c>
      <c r="J941" s="337">
        <v>1</v>
      </c>
      <c r="K941" s="46">
        <f t="shared" si="230"/>
        <v>45241.712636678785</v>
      </c>
      <c r="L941" s="46">
        <f t="shared" si="231"/>
        <v>40414.886317309938</v>
      </c>
      <c r="M941" s="338">
        <f t="shared" si="232"/>
        <v>0</v>
      </c>
      <c r="N941" s="43" t="s">
        <v>35</v>
      </c>
      <c r="O941" s="339">
        <v>85364900</v>
      </c>
      <c r="P941" s="340">
        <f>IFERROR(VLOOKUP(O941,NCM!$A$3:$D$99,COLUMN(head_porNCM_IPI)-COLUMN(head_porNCM_NCM)+1,FALSE),"")</f>
        <v>3.2500000000000001E-2</v>
      </c>
      <c r="Q941" s="43" t="s">
        <v>1165</v>
      </c>
      <c r="R941" s="78" t="s">
        <v>210</v>
      </c>
      <c r="S941" s="341"/>
      <c r="T941" s="28" t="s">
        <v>52</v>
      </c>
      <c r="U941" s="28" t="s">
        <v>1966</v>
      </c>
      <c r="V941" s="548">
        <v>44384</v>
      </c>
      <c r="W941" s="43"/>
      <c r="X941" s="342">
        <f t="shared" si="233"/>
        <v>1217.2574793756148</v>
      </c>
      <c r="Y941" s="342">
        <f t="shared" si="234"/>
        <v>457.61559375023171</v>
      </c>
      <c r="Z941" s="46">
        <f t="shared" si="235"/>
        <v>151.01314593757627</v>
      </c>
      <c r="AA941" s="46">
        <f t="shared" si="236"/>
        <v>695.57570250035121</v>
      </c>
      <c r="AB941" s="43"/>
      <c r="AC941" s="44">
        <v>9609.9274687548532</v>
      </c>
      <c r="AD941" s="31">
        <v>0.13300000000000001</v>
      </c>
      <c r="AE941" s="31">
        <v>0.05</v>
      </c>
      <c r="AF941" s="31">
        <v>0</v>
      </c>
      <c r="AG941" s="28" t="s">
        <v>53</v>
      </c>
      <c r="AH941" s="46">
        <f t="shared" si="237"/>
        <v>10090.423842192597</v>
      </c>
      <c r="AI941" s="43"/>
      <c r="AJ941" s="28" t="s">
        <v>263</v>
      </c>
      <c r="AK941" s="337">
        <v>5.23</v>
      </c>
      <c r="AL941" s="43"/>
      <c r="AM941" s="44">
        <f t="shared" si="238"/>
        <v>0</v>
      </c>
      <c r="AN941" s="43"/>
      <c r="AO941" s="28">
        <f t="shared" si="239"/>
        <v>0</v>
      </c>
      <c r="AP941" s="43"/>
      <c r="AQ941" s="323">
        <f t="shared" si="240"/>
        <v>0</v>
      </c>
      <c r="AR941" s="43"/>
      <c r="AS941" s="44">
        <f t="shared" si="241"/>
        <v>54791.001463105793</v>
      </c>
    </row>
    <row r="942" spans="1:45" x14ac:dyDescent="0.25">
      <c r="A942" s="28"/>
      <c r="B942" s="43"/>
      <c r="C942" s="43"/>
      <c r="D942" s="43"/>
      <c r="E942" s="43" t="s">
        <v>1939</v>
      </c>
      <c r="F942" s="43" t="s">
        <v>1940</v>
      </c>
      <c r="G942" s="46">
        <f t="shared" si="228"/>
        <v>9640.5495083769019</v>
      </c>
      <c r="H942" s="46">
        <f t="shared" si="229"/>
        <v>8612.0018387980526</v>
      </c>
      <c r="I942" s="28" t="s">
        <v>263</v>
      </c>
      <c r="J942" s="337">
        <v>1</v>
      </c>
      <c r="K942" s="46">
        <f t="shared" si="230"/>
        <v>52348.183830486574</v>
      </c>
      <c r="L942" s="46">
        <f t="shared" si="231"/>
        <v>46763.169984673426</v>
      </c>
      <c r="M942" s="338">
        <f t="shared" si="232"/>
        <v>0</v>
      </c>
      <c r="N942" s="43" t="s">
        <v>35</v>
      </c>
      <c r="O942" s="339">
        <v>85364900</v>
      </c>
      <c r="P942" s="340">
        <f>IFERROR(VLOOKUP(O942,NCM!$A$3:$D$99,COLUMN(head_porNCM_IPI)-COLUMN(head_porNCM_NCM)+1,FALSE),"")</f>
        <v>3.2500000000000001E-2</v>
      </c>
      <c r="Q942" s="43" t="s">
        <v>1165</v>
      </c>
      <c r="R942" s="78" t="s">
        <v>210</v>
      </c>
      <c r="S942" s="341"/>
      <c r="T942" s="28" t="s">
        <v>52</v>
      </c>
      <c r="U942" s="28" t="s">
        <v>1966</v>
      </c>
      <c r="V942" s="548">
        <v>44384</v>
      </c>
      <c r="W942" s="43"/>
      <c r="X942" s="342">
        <f t="shared" si="233"/>
        <v>1408.4616736575251</v>
      </c>
      <c r="Y942" s="342">
        <f t="shared" si="234"/>
        <v>529.49686979606304</v>
      </c>
      <c r="Z942" s="46">
        <f t="shared" si="235"/>
        <v>174.73396703270049</v>
      </c>
      <c r="AA942" s="46">
        <f t="shared" si="236"/>
        <v>804.83524209001428</v>
      </c>
      <c r="AB942" s="43"/>
      <c r="AC942" s="44">
        <v>11119.434265717304</v>
      </c>
      <c r="AD942" s="31">
        <v>0.13300000000000001</v>
      </c>
      <c r="AE942" s="31">
        <v>0.05</v>
      </c>
      <c r="AF942" s="31">
        <v>0</v>
      </c>
      <c r="AG942" s="28" t="s">
        <v>53</v>
      </c>
      <c r="AH942" s="46">
        <f t="shared" si="237"/>
        <v>11675.40597900317</v>
      </c>
      <c r="AI942" s="43"/>
      <c r="AJ942" s="28" t="s">
        <v>263</v>
      </c>
      <c r="AK942" s="337">
        <v>5.23</v>
      </c>
      <c r="AL942" s="43"/>
      <c r="AM942" s="44">
        <f t="shared" si="238"/>
        <v>0</v>
      </c>
      <c r="AN942" s="43"/>
      <c r="AO942" s="28">
        <f t="shared" si="239"/>
        <v>0</v>
      </c>
      <c r="AP942" s="43"/>
      <c r="AQ942" s="323">
        <f t="shared" si="240"/>
        <v>0</v>
      </c>
      <c r="AR942" s="43"/>
      <c r="AS942" s="44">
        <f t="shared" si="241"/>
        <v>63397.454465987212</v>
      </c>
    </row>
    <row r="943" spans="1:45" x14ac:dyDescent="0.25">
      <c r="A943" s="28"/>
      <c r="B943" s="43"/>
      <c r="C943" s="43"/>
      <c r="D943" s="43"/>
      <c r="E943" s="43" t="s">
        <v>1941</v>
      </c>
      <c r="F943" s="43" t="s">
        <v>1942</v>
      </c>
      <c r="G943" s="46">
        <f t="shared" si="228"/>
        <v>13621.668675191409</v>
      </c>
      <c r="H943" s="46">
        <f t="shared" si="229"/>
        <v>12168.3764578267</v>
      </c>
      <c r="I943" s="28" t="s">
        <v>263</v>
      </c>
      <c r="J943" s="337">
        <v>1</v>
      </c>
      <c r="K943" s="46">
        <f t="shared" si="230"/>
        <v>73965.660906289355</v>
      </c>
      <c r="L943" s="46">
        <f t="shared" si="231"/>
        <v>66074.284165998979</v>
      </c>
      <c r="M943" s="338">
        <f t="shared" si="232"/>
        <v>0</v>
      </c>
      <c r="N943" s="43" t="s">
        <v>35</v>
      </c>
      <c r="O943" s="339">
        <v>85364900</v>
      </c>
      <c r="P943" s="340">
        <f>IFERROR(VLOOKUP(O943,NCM!$A$3:$D$99,COLUMN(head_porNCM_IPI)-COLUMN(head_porNCM_NCM)+1,FALSE),"")</f>
        <v>3.2500000000000001E-2</v>
      </c>
      <c r="Q943" s="43" t="s">
        <v>1165</v>
      </c>
      <c r="R943" s="78" t="s">
        <v>210</v>
      </c>
      <c r="S943" s="341"/>
      <c r="T943" s="28" t="s">
        <v>52</v>
      </c>
      <c r="U943" s="28" t="s">
        <v>1966</v>
      </c>
      <c r="V943" s="548">
        <v>44384</v>
      </c>
      <c r="W943" s="43"/>
      <c r="X943" s="342">
        <f t="shared" si="233"/>
        <v>1990.0938472021285</v>
      </c>
      <c r="Y943" s="342">
        <f t="shared" si="234"/>
        <v>748.1555816549353</v>
      </c>
      <c r="Z943" s="46">
        <f t="shared" si="235"/>
        <v>246.89134194612873</v>
      </c>
      <c r="AA943" s="46">
        <f t="shared" si="236"/>
        <v>1137.196484115502</v>
      </c>
      <c r="AB943" s="43"/>
      <c r="AC943" s="44">
        <v>15711.267214753645</v>
      </c>
      <c r="AD943" s="31">
        <v>0.13300000000000001</v>
      </c>
      <c r="AE943" s="31">
        <v>0.05</v>
      </c>
      <c r="AF943" s="31">
        <v>0</v>
      </c>
      <c r="AG943" s="28" t="s">
        <v>53</v>
      </c>
      <c r="AH943" s="46">
        <f t="shared" si="237"/>
        <v>16496.830575491327</v>
      </c>
      <c r="AI943" s="43"/>
      <c r="AJ943" s="28" t="s">
        <v>263</v>
      </c>
      <c r="AK943" s="337">
        <v>5.23</v>
      </c>
      <c r="AL943" s="43"/>
      <c r="AM943" s="44">
        <f t="shared" si="238"/>
        <v>0</v>
      </c>
      <c r="AN943" s="43"/>
      <c r="AO943" s="28">
        <f t="shared" si="239"/>
        <v>0</v>
      </c>
      <c r="AP943" s="43"/>
      <c r="AQ943" s="323">
        <f t="shared" si="240"/>
        <v>0</v>
      </c>
      <c r="AR943" s="43"/>
      <c r="AS943" s="44">
        <f t="shared" si="241"/>
        <v>89577.790024917907</v>
      </c>
    </row>
    <row r="944" spans="1:45" x14ac:dyDescent="0.25">
      <c r="A944" s="28"/>
      <c r="B944" s="43"/>
      <c r="C944" s="43"/>
      <c r="D944" s="43"/>
      <c r="E944" s="43" t="s">
        <v>1914</v>
      </c>
      <c r="F944" s="43" t="s">
        <v>1943</v>
      </c>
      <c r="G944" s="46">
        <f t="shared" si="228"/>
        <v>9192.3240069839921</v>
      </c>
      <c r="H944" s="46">
        <f t="shared" si="229"/>
        <v>8211.5973972423326</v>
      </c>
      <c r="I944" s="28" t="s">
        <v>263</v>
      </c>
      <c r="J944" s="337">
        <v>1</v>
      </c>
      <c r="K944" s="46">
        <f t="shared" si="230"/>
        <v>49914.319357923072</v>
      </c>
      <c r="L944" s="46">
        <f t="shared" si="231"/>
        <v>44588.973867025867</v>
      </c>
      <c r="M944" s="338">
        <f t="shared" si="232"/>
        <v>0</v>
      </c>
      <c r="N944" s="43" t="s">
        <v>35</v>
      </c>
      <c r="O944" s="339">
        <v>85364900</v>
      </c>
      <c r="P944" s="340">
        <f>IFERROR(VLOOKUP(O944,NCM!$A$3:$D$99,COLUMN(head_porNCM_IPI)-COLUMN(head_porNCM_NCM)+1,FALSE),"")</f>
        <v>3.2500000000000001E-2</v>
      </c>
      <c r="Q944" s="43" t="s">
        <v>1165</v>
      </c>
      <c r="R944" s="78" t="s">
        <v>210</v>
      </c>
      <c r="S944" s="341"/>
      <c r="T944" s="28" t="s">
        <v>52</v>
      </c>
      <c r="U944" s="28" t="s">
        <v>1966</v>
      </c>
      <c r="V944" s="548">
        <v>44384</v>
      </c>
      <c r="W944" s="43"/>
      <c r="X944" s="342">
        <f t="shared" si="233"/>
        <v>1342.9769791056967</v>
      </c>
      <c r="Y944" s="342">
        <f t="shared" si="234"/>
        <v>504.87856357357123</v>
      </c>
      <c r="Z944" s="46">
        <f t="shared" si="235"/>
        <v>166.60992597927816</v>
      </c>
      <c r="AA944" s="46">
        <f t="shared" si="236"/>
        <v>767.41541663182659</v>
      </c>
      <c r="AB944" s="43"/>
      <c r="AC944" s="44">
        <v>10602.449835044974</v>
      </c>
      <c r="AD944" s="31">
        <v>0.13300000000000001</v>
      </c>
      <c r="AE944" s="31">
        <v>0.05</v>
      </c>
      <c r="AF944" s="31">
        <v>0</v>
      </c>
      <c r="AG944" s="28" t="s">
        <v>53</v>
      </c>
      <c r="AH944" s="46">
        <f t="shared" si="237"/>
        <v>11132.572326797223</v>
      </c>
      <c r="AI944" s="43"/>
      <c r="AJ944" s="28" t="s">
        <v>263</v>
      </c>
      <c r="AK944" s="337">
        <v>5.23</v>
      </c>
      <c r="AL944" s="43"/>
      <c r="AM944" s="44">
        <f t="shared" si="238"/>
        <v>0</v>
      </c>
      <c r="AN944" s="43"/>
      <c r="AO944" s="28">
        <f t="shared" si="239"/>
        <v>0</v>
      </c>
      <c r="AP944" s="43"/>
      <c r="AQ944" s="323">
        <f t="shared" si="240"/>
        <v>0</v>
      </c>
      <c r="AR944" s="43"/>
      <c r="AS944" s="44">
        <f t="shared" si="241"/>
        <v>60449.867734508916</v>
      </c>
    </row>
    <row r="945" spans="1:45" x14ac:dyDescent="0.25">
      <c r="A945" s="28"/>
      <c r="B945" s="43"/>
      <c r="C945" s="43"/>
      <c r="D945" s="43"/>
      <c r="E945" s="43" t="s">
        <v>1944</v>
      </c>
      <c r="F945" s="43" t="s">
        <v>1945</v>
      </c>
      <c r="G945" s="46">
        <f t="shared" si="228"/>
        <v>10530.291878648566</v>
      </c>
      <c r="H945" s="46">
        <f t="shared" si="229"/>
        <v>9406.8178316185877</v>
      </c>
      <c r="I945" s="28" t="s">
        <v>263</v>
      </c>
      <c r="J945" s="337">
        <v>1</v>
      </c>
      <c r="K945" s="46">
        <f t="shared" si="230"/>
        <v>57179.484901061711</v>
      </c>
      <c r="L945" s="46">
        <f t="shared" si="231"/>
        <v>51079.020825688931</v>
      </c>
      <c r="M945" s="338">
        <f t="shared" si="232"/>
        <v>0</v>
      </c>
      <c r="N945" s="43" t="s">
        <v>35</v>
      </c>
      <c r="O945" s="339">
        <v>85364900</v>
      </c>
      <c r="P945" s="340">
        <f>IFERROR(VLOOKUP(O945,NCM!$A$3:$D$99,COLUMN(head_porNCM_IPI)-COLUMN(head_porNCM_NCM)+1,FALSE),"")</f>
        <v>3.2500000000000001E-2</v>
      </c>
      <c r="Q945" s="43" t="s">
        <v>1165</v>
      </c>
      <c r="R945" s="78" t="s">
        <v>210</v>
      </c>
      <c r="S945" s="341"/>
      <c r="T945" s="28" t="s">
        <v>52</v>
      </c>
      <c r="U945" s="28" t="s">
        <v>1966</v>
      </c>
      <c r="V945" s="548">
        <v>44384</v>
      </c>
      <c r="W945" s="43"/>
      <c r="X945" s="342">
        <f t="shared" si="233"/>
        <v>1538.4509472842965</v>
      </c>
      <c r="Y945" s="342">
        <f t="shared" si="234"/>
        <v>578.3650177760519</v>
      </c>
      <c r="Z945" s="46">
        <f t="shared" si="235"/>
        <v>190.86045586609691</v>
      </c>
      <c r="AA945" s="46">
        <f t="shared" si="236"/>
        <v>879.1148270195979</v>
      </c>
      <c r="AB945" s="43"/>
      <c r="AC945" s="44">
        <v>12145.665373297077</v>
      </c>
      <c r="AD945" s="31">
        <v>0.13300000000000001</v>
      </c>
      <c r="AE945" s="31">
        <v>0.05</v>
      </c>
      <c r="AF945" s="31">
        <v>0</v>
      </c>
      <c r="AG945" s="28" t="s">
        <v>53</v>
      </c>
      <c r="AH945" s="46">
        <f t="shared" si="237"/>
        <v>12752.948641961932</v>
      </c>
      <c r="AI945" s="43"/>
      <c r="AJ945" s="28" t="s">
        <v>263</v>
      </c>
      <c r="AK945" s="337">
        <v>5.23</v>
      </c>
      <c r="AL945" s="43"/>
      <c r="AM945" s="44">
        <f t="shared" si="238"/>
        <v>0</v>
      </c>
      <c r="AN945" s="43"/>
      <c r="AO945" s="28">
        <f t="shared" si="239"/>
        <v>0</v>
      </c>
      <c r="AP945" s="43"/>
      <c r="AQ945" s="323">
        <f t="shared" si="240"/>
        <v>0</v>
      </c>
      <c r="AR945" s="43"/>
      <c r="AS945" s="44">
        <f t="shared" si="241"/>
        <v>69248.511125853285</v>
      </c>
    </row>
    <row r="946" spans="1:45" x14ac:dyDescent="0.25">
      <c r="A946" s="28"/>
      <c r="B946" s="43"/>
      <c r="C946" s="43"/>
      <c r="D946" s="43"/>
      <c r="E946" s="43" t="s">
        <v>1946</v>
      </c>
      <c r="F946" s="43" t="s">
        <v>1947</v>
      </c>
      <c r="G946" s="46">
        <f t="shared" si="228"/>
        <v>13910.894594457166</v>
      </c>
      <c r="H946" s="46">
        <f t="shared" si="229"/>
        <v>12426.74494049259</v>
      </c>
      <c r="I946" s="28" t="s">
        <v>263</v>
      </c>
      <c r="J946" s="337">
        <v>1</v>
      </c>
      <c r="K946" s="46">
        <f t="shared" si="230"/>
        <v>75536.157647902408</v>
      </c>
      <c r="L946" s="46">
        <f t="shared" si="231"/>
        <v>67477.225026874759</v>
      </c>
      <c r="M946" s="338">
        <f t="shared" si="232"/>
        <v>0</v>
      </c>
      <c r="N946" s="43" t="s">
        <v>35</v>
      </c>
      <c r="O946" s="339">
        <v>85364900</v>
      </c>
      <c r="P946" s="340">
        <f>IFERROR(VLOOKUP(O946,NCM!$A$3:$D$99,COLUMN(head_porNCM_IPI)-COLUMN(head_porNCM_NCM)+1,FALSE),"")</f>
        <v>3.2500000000000001E-2</v>
      </c>
      <c r="Q946" s="43" t="s">
        <v>1165</v>
      </c>
      <c r="R946" s="78" t="s">
        <v>210</v>
      </c>
      <c r="S946" s="341"/>
      <c r="T946" s="28" t="s">
        <v>52</v>
      </c>
      <c r="U946" s="28" t="s">
        <v>1966</v>
      </c>
      <c r="V946" s="548">
        <v>44384</v>
      </c>
      <c r="W946" s="43"/>
      <c r="X946" s="342">
        <f t="shared" si="233"/>
        <v>2032.3490756992398</v>
      </c>
      <c r="Y946" s="342">
        <f t="shared" si="234"/>
        <v>764.04100590197049</v>
      </c>
      <c r="Z946" s="46">
        <f t="shared" si="235"/>
        <v>252.13353194765006</v>
      </c>
      <c r="AA946" s="46">
        <f t="shared" si="236"/>
        <v>1161.3423289709942</v>
      </c>
      <c r="AB946" s="43"/>
      <c r="AC946" s="44">
        <v>16044.861123941368</v>
      </c>
      <c r="AD946" s="31">
        <v>0.13300000000000001</v>
      </c>
      <c r="AE946" s="31">
        <v>0.05</v>
      </c>
      <c r="AF946" s="31">
        <v>0</v>
      </c>
      <c r="AG946" s="28" t="s">
        <v>53</v>
      </c>
      <c r="AH946" s="46">
        <f t="shared" si="237"/>
        <v>16847.104180138438</v>
      </c>
      <c r="AI946" s="43"/>
      <c r="AJ946" s="28" t="s">
        <v>263</v>
      </c>
      <c r="AK946" s="337">
        <v>5.23</v>
      </c>
      <c r="AL946" s="43"/>
      <c r="AM946" s="44">
        <f t="shared" si="238"/>
        <v>0</v>
      </c>
      <c r="AN946" s="43"/>
      <c r="AO946" s="28">
        <f t="shared" si="239"/>
        <v>0</v>
      </c>
      <c r="AP946" s="43"/>
      <c r="AQ946" s="323">
        <f t="shared" si="240"/>
        <v>0</v>
      </c>
      <c r="AR946" s="43"/>
      <c r="AS946" s="44">
        <f t="shared" si="241"/>
        <v>91479.775698151716</v>
      </c>
    </row>
    <row r="947" spans="1:45" x14ac:dyDescent="0.25">
      <c r="A947" s="28"/>
      <c r="B947" s="43"/>
      <c r="C947" s="43"/>
      <c r="D947" s="43"/>
      <c r="E947" s="43" t="s">
        <v>1948</v>
      </c>
      <c r="F947" s="43" t="s">
        <v>1949</v>
      </c>
      <c r="G947" s="46">
        <f t="shared" si="228"/>
        <v>12197.006702907758</v>
      </c>
      <c r="H947" s="46">
        <f t="shared" si="229"/>
        <v>10895.711293427981</v>
      </c>
      <c r="I947" s="28" t="s">
        <v>263</v>
      </c>
      <c r="J947" s="337">
        <v>1</v>
      </c>
      <c r="K947" s="46">
        <f t="shared" si="230"/>
        <v>66229.746396789124</v>
      </c>
      <c r="L947" s="46">
        <f t="shared" si="231"/>
        <v>59163.712323313935</v>
      </c>
      <c r="M947" s="338">
        <f t="shared" si="232"/>
        <v>0</v>
      </c>
      <c r="N947" s="43" t="s">
        <v>35</v>
      </c>
      <c r="O947" s="339">
        <v>85364900</v>
      </c>
      <c r="P947" s="340">
        <f>IFERROR(VLOOKUP(O947,NCM!$A$3:$D$99,COLUMN(head_porNCM_IPI)-COLUMN(head_porNCM_NCM)+1,FALSE),"")</f>
        <v>3.2500000000000001E-2</v>
      </c>
      <c r="Q947" s="43" t="s">
        <v>1165</v>
      </c>
      <c r="R947" s="78" t="s">
        <v>210</v>
      </c>
      <c r="S947" s="341"/>
      <c r="T947" s="28" t="s">
        <v>52</v>
      </c>
      <c r="U947" s="28" t="s">
        <v>1966</v>
      </c>
      <c r="V947" s="548">
        <v>44384</v>
      </c>
      <c r="W947" s="43"/>
      <c r="X947" s="342">
        <f t="shared" si="233"/>
        <v>1781.9540742425791</v>
      </c>
      <c r="Y947" s="342">
        <f t="shared" si="234"/>
        <v>669.9075467077364</v>
      </c>
      <c r="Z947" s="46">
        <f t="shared" si="235"/>
        <v>221.06949041355304</v>
      </c>
      <c r="AA947" s="46">
        <f t="shared" si="236"/>
        <v>1018.2594709957594</v>
      </c>
      <c r="AB947" s="43"/>
      <c r="AC947" s="44">
        <v>14068.058480862466</v>
      </c>
      <c r="AD947" s="31">
        <v>0.13300000000000001</v>
      </c>
      <c r="AE947" s="31">
        <v>0.05</v>
      </c>
      <c r="AF947" s="31">
        <v>0</v>
      </c>
      <c r="AG947" s="28" t="s">
        <v>53</v>
      </c>
      <c r="AH947" s="46">
        <f t="shared" si="237"/>
        <v>14771.461404905591</v>
      </c>
      <c r="AI947" s="43"/>
      <c r="AJ947" s="28" t="s">
        <v>263</v>
      </c>
      <c r="AK947" s="337">
        <v>5.23</v>
      </c>
      <c r="AL947" s="43"/>
      <c r="AM947" s="44">
        <f t="shared" si="238"/>
        <v>0</v>
      </c>
      <c r="AN947" s="43"/>
      <c r="AO947" s="28">
        <f t="shared" si="239"/>
        <v>0</v>
      </c>
      <c r="AP947" s="43"/>
      <c r="AQ947" s="323">
        <f t="shared" si="240"/>
        <v>0</v>
      </c>
      <c r="AR947" s="43"/>
      <c r="AS947" s="44">
        <f t="shared" si="241"/>
        <v>80209.035428637348</v>
      </c>
    </row>
    <row r="948" spans="1:45" x14ac:dyDescent="0.25">
      <c r="A948" s="28"/>
      <c r="B948" s="43"/>
      <c r="C948" s="43"/>
      <c r="D948" s="43"/>
      <c r="E948" s="43" t="s">
        <v>1202</v>
      </c>
      <c r="F948" s="43" t="s">
        <v>1950</v>
      </c>
      <c r="G948" s="46">
        <f t="shared" si="228"/>
        <v>8058.2416601698624</v>
      </c>
      <c r="H948" s="46">
        <f t="shared" si="229"/>
        <v>7198.5099951575075</v>
      </c>
      <c r="I948" s="28" t="s">
        <v>263</v>
      </c>
      <c r="J948" s="337">
        <v>1</v>
      </c>
      <c r="K948" s="46">
        <f t="shared" si="230"/>
        <v>43756.25221472235</v>
      </c>
      <c r="L948" s="46">
        <f t="shared" si="231"/>
        <v>39087.909273705263</v>
      </c>
      <c r="M948" s="338">
        <f t="shared" si="232"/>
        <v>0</v>
      </c>
      <c r="N948" s="43" t="s">
        <v>35</v>
      </c>
      <c r="O948" s="339">
        <v>85364900</v>
      </c>
      <c r="P948" s="340">
        <f>IFERROR(VLOOKUP(O948,NCM!$A$3:$D$99,COLUMN(head_porNCM_IPI)-COLUMN(head_porNCM_NCM)+1,FALSE),"")</f>
        <v>3.2500000000000001E-2</v>
      </c>
      <c r="Q948" s="43" t="s">
        <v>1165</v>
      </c>
      <c r="R948" s="78" t="s">
        <v>210</v>
      </c>
      <c r="S948" s="341"/>
      <c r="T948" s="28" t="s">
        <v>52</v>
      </c>
      <c r="U948" s="28" t="s">
        <v>1966</v>
      </c>
      <c r="V948" s="548">
        <v>44384</v>
      </c>
      <c r="W948" s="43"/>
      <c r="X948" s="342">
        <f t="shared" si="233"/>
        <v>1177.2902079448472</v>
      </c>
      <c r="Y948" s="342">
        <f t="shared" si="234"/>
        <v>442.59030373866517</v>
      </c>
      <c r="Z948" s="46">
        <f t="shared" si="235"/>
        <v>146.05480023375924</v>
      </c>
      <c r="AA948" s="46">
        <f t="shared" si="236"/>
        <v>672.73726168276983</v>
      </c>
      <c r="AB948" s="43"/>
      <c r="AC948" s="44">
        <v>9294.3963785119522</v>
      </c>
      <c r="AD948" s="31">
        <v>0.13300000000000001</v>
      </c>
      <c r="AE948" s="31">
        <v>0.05</v>
      </c>
      <c r="AF948" s="31">
        <v>0</v>
      </c>
      <c r="AG948" s="28" t="s">
        <v>53</v>
      </c>
      <c r="AH948" s="46">
        <f t="shared" si="237"/>
        <v>9759.11619743755</v>
      </c>
      <c r="AI948" s="43"/>
      <c r="AJ948" s="28" t="s">
        <v>263</v>
      </c>
      <c r="AK948" s="337">
        <v>5.23</v>
      </c>
      <c r="AL948" s="43"/>
      <c r="AM948" s="44">
        <f t="shared" si="238"/>
        <v>0</v>
      </c>
      <c r="AN948" s="43"/>
      <c r="AO948" s="28">
        <f t="shared" si="239"/>
        <v>0</v>
      </c>
      <c r="AP948" s="43"/>
      <c r="AQ948" s="323">
        <f t="shared" si="240"/>
        <v>0</v>
      </c>
      <c r="AR948" s="43"/>
      <c r="AS948" s="44">
        <f t="shared" si="241"/>
        <v>52992.000952085895</v>
      </c>
    </row>
    <row r="949" spans="1:45" x14ac:dyDescent="0.25">
      <c r="A949" s="28"/>
      <c r="B949" s="43"/>
      <c r="C949" s="43"/>
      <c r="D949" s="43"/>
      <c r="E949" s="43" t="s">
        <v>1951</v>
      </c>
      <c r="F949" s="43" t="s">
        <v>1952</v>
      </c>
      <c r="G949" s="46">
        <f t="shared" si="228"/>
        <v>8992.8380272957093</v>
      </c>
      <c r="H949" s="46">
        <f t="shared" si="229"/>
        <v>8033.3945238068372</v>
      </c>
      <c r="I949" s="28" t="s">
        <v>263</v>
      </c>
      <c r="J949" s="337">
        <v>1</v>
      </c>
      <c r="K949" s="46">
        <f t="shared" si="230"/>
        <v>48831.110488215701</v>
      </c>
      <c r="L949" s="46">
        <f t="shared" si="231"/>
        <v>43621.332264271121</v>
      </c>
      <c r="M949" s="338">
        <f t="shared" si="232"/>
        <v>0</v>
      </c>
      <c r="N949" s="43" t="s">
        <v>35</v>
      </c>
      <c r="O949" s="339">
        <v>85364900</v>
      </c>
      <c r="P949" s="340">
        <f>IFERROR(VLOOKUP(O949,NCM!$A$3:$D$99,COLUMN(head_porNCM_IPI)-COLUMN(head_porNCM_NCM)+1,FALSE),"")</f>
        <v>3.2500000000000001E-2</v>
      </c>
      <c r="Q949" s="43" t="s">
        <v>1165</v>
      </c>
      <c r="R949" s="78" t="s">
        <v>210</v>
      </c>
      <c r="S949" s="341"/>
      <c r="T949" s="28" t="s">
        <v>52</v>
      </c>
      <c r="U949" s="28" t="s">
        <v>1966</v>
      </c>
      <c r="V949" s="548">
        <v>44384</v>
      </c>
      <c r="W949" s="43"/>
      <c r="X949" s="342">
        <f t="shared" si="233"/>
        <v>1313.8325453180967</v>
      </c>
      <c r="Y949" s="342">
        <f t="shared" si="234"/>
        <v>493.92200951808263</v>
      </c>
      <c r="Z949" s="46">
        <f t="shared" si="235"/>
        <v>162.99426314096689</v>
      </c>
      <c r="AA949" s="46">
        <f t="shared" si="236"/>
        <v>750.76145446748376</v>
      </c>
      <c r="AB949" s="43"/>
      <c r="AC949" s="44">
        <v>10372.362199879712</v>
      </c>
      <c r="AD949" s="31">
        <v>0.13300000000000001</v>
      </c>
      <c r="AE949" s="31">
        <v>0.05</v>
      </c>
      <c r="AF949" s="31">
        <v>0</v>
      </c>
      <c r="AG949" s="28" t="s">
        <v>53</v>
      </c>
      <c r="AH949" s="46">
        <f t="shared" si="237"/>
        <v>10890.980309873697</v>
      </c>
      <c r="AI949" s="43"/>
      <c r="AJ949" s="28" t="s">
        <v>263</v>
      </c>
      <c r="AK949" s="337">
        <v>5.23</v>
      </c>
      <c r="AL949" s="43"/>
      <c r="AM949" s="44">
        <f t="shared" si="238"/>
        <v>0</v>
      </c>
      <c r="AN949" s="43"/>
      <c r="AO949" s="28">
        <f t="shared" si="239"/>
        <v>0</v>
      </c>
      <c r="AP949" s="43"/>
      <c r="AQ949" s="323">
        <f t="shared" si="240"/>
        <v>0</v>
      </c>
      <c r="AR949" s="43"/>
      <c r="AS949" s="44">
        <f t="shared" si="241"/>
        <v>59138.023082614178</v>
      </c>
    </row>
    <row r="950" spans="1:45" x14ac:dyDescent="0.25">
      <c r="A950" s="28"/>
      <c r="B950" s="43"/>
      <c r="C950" s="43"/>
      <c r="D950" s="43"/>
      <c r="E950" s="43" t="s">
        <v>1953</v>
      </c>
      <c r="F950" s="43" t="s">
        <v>1954</v>
      </c>
      <c r="G950" s="46">
        <f t="shared" si="228"/>
        <v>9353.4689538838666</v>
      </c>
      <c r="H950" s="46">
        <f t="shared" si="229"/>
        <v>8355.5498325064073</v>
      </c>
      <c r="I950" s="28" t="s">
        <v>263</v>
      </c>
      <c r="J950" s="337">
        <v>1</v>
      </c>
      <c r="K950" s="46">
        <f t="shared" si="230"/>
        <v>50789.336419589396</v>
      </c>
      <c r="L950" s="46">
        <f t="shared" si="231"/>
        <v>45370.635590509788</v>
      </c>
      <c r="M950" s="338">
        <f t="shared" si="232"/>
        <v>0</v>
      </c>
      <c r="N950" s="43" t="s">
        <v>35</v>
      </c>
      <c r="O950" s="339">
        <v>85364900</v>
      </c>
      <c r="P950" s="340">
        <f>IFERROR(VLOOKUP(O950,NCM!$A$3:$D$99,COLUMN(head_porNCM_IPI)-COLUMN(head_porNCM_NCM)+1,FALSE),"")</f>
        <v>3.2500000000000001E-2</v>
      </c>
      <c r="Q950" s="43" t="s">
        <v>1165</v>
      </c>
      <c r="R950" s="78" t="s">
        <v>210</v>
      </c>
      <c r="S950" s="341"/>
      <c r="T950" s="28" t="s">
        <v>52</v>
      </c>
      <c r="U950" s="28" t="s">
        <v>1966</v>
      </c>
      <c r="V950" s="548">
        <v>44384</v>
      </c>
      <c r="W950" s="43"/>
      <c r="X950" s="342">
        <f t="shared" si="233"/>
        <v>1366.5198779222874</v>
      </c>
      <c r="Y950" s="342">
        <f t="shared" si="234"/>
        <v>513.72927741439344</v>
      </c>
      <c r="Z950" s="46">
        <f t="shared" si="235"/>
        <v>169.53066154674994</v>
      </c>
      <c r="AA950" s="46">
        <f t="shared" si="236"/>
        <v>780.86850166987847</v>
      </c>
      <c r="AB950" s="43"/>
      <c r="AC950" s="44">
        <v>10788.314825702268</v>
      </c>
      <c r="AD950" s="31">
        <v>0.13300000000000001</v>
      </c>
      <c r="AE950" s="31">
        <v>0.05</v>
      </c>
      <c r="AF950" s="31">
        <v>0</v>
      </c>
      <c r="AG950" s="28" t="s">
        <v>53</v>
      </c>
      <c r="AH950" s="46">
        <f t="shared" si="237"/>
        <v>11327.730566987382</v>
      </c>
      <c r="AI950" s="43"/>
      <c r="AJ950" s="28" t="s">
        <v>263</v>
      </c>
      <c r="AK950" s="337">
        <v>5.23</v>
      </c>
      <c r="AL950" s="43"/>
      <c r="AM950" s="44">
        <f t="shared" si="238"/>
        <v>0</v>
      </c>
      <c r="AN950" s="43"/>
      <c r="AO950" s="28">
        <f t="shared" si="239"/>
        <v>0</v>
      </c>
      <c r="AP950" s="43"/>
      <c r="AQ950" s="323">
        <f t="shared" si="240"/>
        <v>0</v>
      </c>
      <c r="AR950" s="43"/>
      <c r="AS950" s="44">
        <f t="shared" si="241"/>
        <v>61509.576978741483</v>
      </c>
    </row>
    <row r="951" spans="1:45" x14ac:dyDescent="0.25">
      <c r="A951" s="28"/>
      <c r="B951" s="43"/>
      <c r="C951" s="43"/>
      <c r="D951" s="43"/>
      <c r="E951" s="43" t="s">
        <v>1201</v>
      </c>
      <c r="F951" s="43" t="s">
        <v>1955</v>
      </c>
      <c r="G951" s="46">
        <f t="shared" si="228"/>
        <v>8594.5618888808804</v>
      </c>
      <c r="H951" s="46">
        <f t="shared" si="229"/>
        <v>7677.6103609437632</v>
      </c>
      <c r="I951" s="28" t="s">
        <v>263</v>
      </c>
      <c r="J951" s="337">
        <v>1</v>
      </c>
      <c r="K951" s="46">
        <f t="shared" si="230"/>
        <v>46668.471056623181</v>
      </c>
      <c r="L951" s="46">
        <f t="shared" si="231"/>
        <v>41689.424259924635</v>
      </c>
      <c r="M951" s="338">
        <f t="shared" si="232"/>
        <v>0</v>
      </c>
      <c r="N951" s="43" t="s">
        <v>35</v>
      </c>
      <c r="O951" s="339">
        <v>85364900</v>
      </c>
      <c r="P951" s="340">
        <f>IFERROR(VLOOKUP(O951,NCM!$A$3:$D$99,COLUMN(head_porNCM_IPI)-COLUMN(head_porNCM_NCM)+1,FALSE),"")</f>
        <v>3.2500000000000001E-2</v>
      </c>
      <c r="Q951" s="43" t="s">
        <v>1165</v>
      </c>
      <c r="R951" s="78" t="s">
        <v>210</v>
      </c>
      <c r="S951" s="341"/>
      <c r="T951" s="28" t="s">
        <v>52</v>
      </c>
      <c r="U951" s="28" t="s">
        <v>1966</v>
      </c>
      <c r="V951" s="548">
        <v>44384</v>
      </c>
      <c r="W951" s="43"/>
      <c r="X951" s="342">
        <f t="shared" si="233"/>
        <v>1255.6453355535314</v>
      </c>
      <c r="Y951" s="342">
        <f t="shared" si="234"/>
        <v>472.04711862914701</v>
      </c>
      <c r="Z951" s="46">
        <f t="shared" si="235"/>
        <v>155.77554914761856</v>
      </c>
      <c r="AA951" s="46">
        <f t="shared" si="236"/>
        <v>717.51162031630361</v>
      </c>
      <c r="AB951" s="43"/>
      <c r="AC951" s="44">
        <v>9912.989491212089</v>
      </c>
      <c r="AD951" s="31">
        <v>0.13300000000000001</v>
      </c>
      <c r="AE951" s="31">
        <v>0.05</v>
      </c>
      <c r="AF951" s="31">
        <v>0</v>
      </c>
      <c r="AG951" s="28" t="s">
        <v>53</v>
      </c>
      <c r="AH951" s="46">
        <f t="shared" si="237"/>
        <v>10408.638965772694</v>
      </c>
      <c r="AI951" s="43"/>
      <c r="AJ951" s="28" t="s">
        <v>263</v>
      </c>
      <c r="AK951" s="337">
        <v>5.23</v>
      </c>
      <c r="AL951" s="43"/>
      <c r="AM951" s="44">
        <f t="shared" si="238"/>
        <v>0</v>
      </c>
      <c r="AN951" s="43"/>
      <c r="AO951" s="28">
        <f t="shared" si="239"/>
        <v>0</v>
      </c>
      <c r="AP951" s="43"/>
      <c r="AQ951" s="323">
        <f t="shared" si="240"/>
        <v>0</v>
      </c>
      <c r="AR951" s="43"/>
      <c r="AS951" s="44">
        <f t="shared" si="241"/>
        <v>56518.909584145724</v>
      </c>
    </row>
    <row r="952" spans="1:45" x14ac:dyDescent="0.25">
      <c r="A952" s="28"/>
      <c r="B952" s="43"/>
      <c r="C952" s="43"/>
      <c r="D952" s="43"/>
      <c r="E952" s="43" t="s">
        <v>1956</v>
      </c>
      <c r="F952" s="43" t="s">
        <v>1957</v>
      </c>
      <c r="G952" s="46">
        <f t="shared" ref="G952:G1006" si="242">AC952*(1-AD952)</f>
        <v>8872.5159078911183</v>
      </c>
      <c r="H952" s="46">
        <f t="shared" ref="H952:H1006" si="243">AC952*(1-AD952-pis_naocum-cofins_naocum)</f>
        <v>7925.9095394021597</v>
      </c>
      <c r="I952" s="28" t="s">
        <v>263</v>
      </c>
      <c r="J952" s="337">
        <v>1</v>
      </c>
      <c r="K952" s="46">
        <f t="shared" ref="K952:K1006" si="244">IFERROR(G952*J952*VLOOKUP(I952,tbl_cambio,2,FALSE),"")</f>
        <v>48177.761379848773</v>
      </c>
      <c r="L952" s="46">
        <f t="shared" ref="L952:L1006" si="245">IFERROR(H952*J952*VLOOKUP(I952,tbl_cambio,2,FALSE),"")</f>
        <v>43037.688798953728</v>
      </c>
      <c r="M952" s="338">
        <f t="shared" ref="M952:M1006" si="246">SUMIF(col_item,"="&amp;E952,col_qtd)</f>
        <v>0</v>
      </c>
      <c r="N952" s="43" t="s">
        <v>35</v>
      </c>
      <c r="O952" s="339">
        <v>85364900</v>
      </c>
      <c r="P952" s="340">
        <f>IFERROR(VLOOKUP(O952,NCM!$A$3:$D$99,COLUMN(head_porNCM_IPI)-COLUMN(head_porNCM_NCM)+1,FALSE),"")</f>
        <v>3.2500000000000001E-2</v>
      </c>
      <c r="Q952" s="43" t="s">
        <v>1165</v>
      </c>
      <c r="R952" s="78" t="s">
        <v>210</v>
      </c>
      <c r="S952" s="341"/>
      <c r="T952" s="28" t="s">
        <v>52</v>
      </c>
      <c r="U952" s="28" t="s">
        <v>1966</v>
      </c>
      <c r="V952" s="548">
        <v>44384</v>
      </c>
      <c r="W952" s="43"/>
      <c r="X952" s="342">
        <f t="shared" ref="X952:X1006" si="247">(AC952-Y952)*AD952</f>
        <v>1296.2537658587562</v>
      </c>
      <c r="Y952" s="342">
        <f t="shared" ref="Y952:Y1006" si="248">AC952-AC952/(1+AE952)</f>
        <v>487.31344581156372</v>
      </c>
      <c r="Z952" s="46">
        <f t="shared" ref="Z952:Z1006" si="249">(AC952-Y952)*pis_naocum</f>
        <v>160.81343711781562</v>
      </c>
      <c r="AA952" s="46">
        <f t="shared" ref="AA952:AA1006" si="250">(AC952-Y952)*cofins_naocum</f>
        <v>740.71643763357486</v>
      </c>
      <c r="AB952" s="43"/>
      <c r="AC952" s="44">
        <v>10233.582362042813</v>
      </c>
      <c r="AD952" s="31">
        <v>0.13300000000000001</v>
      </c>
      <c r="AE952" s="31">
        <v>0.05</v>
      </c>
      <c r="AF952" s="31">
        <v>0</v>
      </c>
      <c r="AG952" s="28" t="s">
        <v>53</v>
      </c>
      <c r="AH952" s="46">
        <f t="shared" ref="AH952:AH1006" si="251">AC952*(1+AE952)</f>
        <v>10745.261480144954</v>
      </c>
      <c r="AI952" s="43"/>
      <c r="AJ952" s="28" t="s">
        <v>263</v>
      </c>
      <c r="AK952" s="337">
        <v>5.23</v>
      </c>
      <c r="AL952" s="43"/>
      <c r="AM952" s="44">
        <f t="shared" ref="AM952:AM1006" si="252">IF(AND(AJ952&lt;&gt;"",AK952&gt;0),AQ952*(VLOOKUP(AJ952,tbl_cambio,2,FALSE)/AK952-1),0)</f>
        <v>0</v>
      </c>
      <c r="AN952" s="43"/>
      <c r="AO952" s="28">
        <f t="shared" ref="AO952:AO1006" si="253">IF(T952="Sim",ROUNDUP(M952*sobress_pc,0),0)</f>
        <v>0</v>
      </c>
      <c r="AP952" s="43"/>
      <c r="AQ952" s="323">
        <f t="shared" ref="AQ952:AQ1006" si="254">SUMIFS(col_custoTotal,col_fatdir,"Não",col_item,E952)</f>
        <v>0</v>
      </c>
      <c r="AR952" s="43"/>
      <c r="AS952" s="44">
        <f t="shared" ref="AS952:AS1006" si="255">IFERROR(AH952*VLOOKUP(I952,tbl_cambio,2,FALSE),0)</f>
        <v>58346.769837187101</v>
      </c>
    </row>
    <row r="953" spans="1:45" x14ac:dyDescent="0.25">
      <c r="A953" s="28"/>
      <c r="B953" s="43"/>
      <c r="C953" s="43"/>
      <c r="D953" s="43"/>
      <c r="E953" s="43" t="s">
        <v>1958</v>
      </c>
      <c r="F953" s="43" t="s">
        <v>1959</v>
      </c>
      <c r="G953" s="46">
        <f t="shared" si="242"/>
        <v>9134.3272799142269</v>
      </c>
      <c r="H953" s="46">
        <f t="shared" si="243"/>
        <v>8159.7883255981196</v>
      </c>
      <c r="I953" s="28" t="s">
        <v>263</v>
      </c>
      <c r="J953" s="337">
        <v>1</v>
      </c>
      <c r="K953" s="46">
        <f t="shared" si="244"/>
        <v>49599.397129934252</v>
      </c>
      <c r="L953" s="46">
        <f t="shared" si="245"/>
        <v>44307.650607997784</v>
      </c>
      <c r="M953" s="338">
        <f t="shared" si="246"/>
        <v>0</v>
      </c>
      <c r="N953" s="43" t="s">
        <v>35</v>
      </c>
      <c r="O953" s="339">
        <v>85364900</v>
      </c>
      <c r="P953" s="340">
        <f>IFERROR(VLOOKUP(O953,NCM!$A$3:$D$99,COLUMN(head_porNCM_IPI)-COLUMN(head_porNCM_NCM)+1,FALSE),"")</f>
        <v>3.2500000000000001E-2</v>
      </c>
      <c r="Q953" s="43" t="s">
        <v>1165</v>
      </c>
      <c r="R953" s="78" t="s">
        <v>210</v>
      </c>
      <c r="S953" s="341"/>
      <c r="T953" s="28" t="s">
        <v>52</v>
      </c>
      <c r="U953" s="28" t="s">
        <v>1966</v>
      </c>
      <c r="V953" s="548">
        <v>44384</v>
      </c>
      <c r="W953" s="43"/>
      <c r="X953" s="342">
        <f t="shared" si="247"/>
        <v>1334.5037932977339</v>
      </c>
      <c r="Y953" s="342">
        <f t="shared" si="248"/>
        <v>501.69315537508919</v>
      </c>
      <c r="Z953" s="46">
        <f t="shared" si="249"/>
        <v>165.55874127377902</v>
      </c>
      <c r="AA953" s="46">
        <f t="shared" si="250"/>
        <v>762.57359617013367</v>
      </c>
      <c r="AB953" s="43"/>
      <c r="AC953" s="44">
        <v>10535.556262876848</v>
      </c>
      <c r="AD953" s="31">
        <v>0.13300000000000001</v>
      </c>
      <c r="AE953" s="31">
        <v>0.05</v>
      </c>
      <c r="AF953" s="31">
        <v>0</v>
      </c>
      <c r="AG953" s="28" t="s">
        <v>53</v>
      </c>
      <c r="AH953" s="46">
        <f t="shared" si="251"/>
        <v>11062.33407602069</v>
      </c>
      <c r="AI953" s="43"/>
      <c r="AJ953" s="28" t="s">
        <v>263</v>
      </c>
      <c r="AK953" s="337">
        <v>5.23</v>
      </c>
      <c r="AL953" s="43"/>
      <c r="AM953" s="44">
        <f t="shared" si="252"/>
        <v>0</v>
      </c>
      <c r="AN953" s="43"/>
      <c r="AO953" s="28">
        <f t="shared" si="253"/>
        <v>0</v>
      </c>
      <c r="AP953" s="43"/>
      <c r="AQ953" s="323">
        <f t="shared" si="254"/>
        <v>0</v>
      </c>
      <c r="AR953" s="43"/>
      <c r="AS953" s="44">
        <f t="shared" si="255"/>
        <v>60068.474032792343</v>
      </c>
    </row>
    <row r="954" spans="1:45" x14ac:dyDescent="0.25">
      <c r="A954" s="28"/>
      <c r="B954" s="43"/>
      <c r="C954" s="43"/>
      <c r="D954" s="43"/>
      <c r="E954" s="43" t="s">
        <v>1198</v>
      </c>
      <c r="F954" s="43" t="s">
        <v>1960</v>
      </c>
      <c r="G954" s="46">
        <f t="shared" si="242"/>
        <v>9644.2881733717768</v>
      </c>
      <c r="H954" s="46">
        <f t="shared" si="243"/>
        <v>8615.3416266164277</v>
      </c>
      <c r="I954" s="28" t="s">
        <v>263</v>
      </c>
      <c r="J954" s="337">
        <v>1</v>
      </c>
      <c r="K954" s="46">
        <f t="shared" si="244"/>
        <v>52368.484781408748</v>
      </c>
      <c r="L954" s="46">
        <f t="shared" si="245"/>
        <v>46781.305032527198</v>
      </c>
      <c r="M954" s="338">
        <f t="shared" si="246"/>
        <v>0</v>
      </c>
      <c r="N954" s="43" t="s">
        <v>35</v>
      </c>
      <c r="O954" s="339">
        <v>85364900</v>
      </c>
      <c r="P954" s="340">
        <f>IFERROR(VLOOKUP(O954,NCM!$A$3:$D$99,COLUMN(head_porNCM_IPI)-COLUMN(head_porNCM_NCM)+1,FALSE),"")</f>
        <v>3.2500000000000001E-2</v>
      </c>
      <c r="Q954" s="43" t="s">
        <v>1165</v>
      </c>
      <c r="R954" s="78" t="s">
        <v>210</v>
      </c>
      <c r="S954" s="341"/>
      <c r="T954" s="28" t="s">
        <v>52</v>
      </c>
      <c r="U954" s="28" t="s">
        <v>1966</v>
      </c>
      <c r="V954" s="548">
        <v>44384</v>
      </c>
      <c r="W954" s="43"/>
      <c r="X954" s="342">
        <f t="shared" si="247"/>
        <v>1409.0078838451655</v>
      </c>
      <c r="Y954" s="342">
        <f t="shared" si="248"/>
        <v>529.70221197186765</v>
      </c>
      <c r="Z954" s="46">
        <f t="shared" si="249"/>
        <v>174.80172995071601</v>
      </c>
      <c r="AA954" s="46">
        <f t="shared" si="250"/>
        <v>805.14736219723727</v>
      </c>
      <c r="AB954" s="43"/>
      <c r="AC954" s="44">
        <v>11123.746451409201</v>
      </c>
      <c r="AD954" s="31">
        <v>0.13300000000000001</v>
      </c>
      <c r="AE954" s="31">
        <v>0.05</v>
      </c>
      <c r="AF954" s="31">
        <v>0</v>
      </c>
      <c r="AG954" s="28" t="s">
        <v>53</v>
      </c>
      <c r="AH954" s="46">
        <f t="shared" si="251"/>
        <v>11679.933773979661</v>
      </c>
      <c r="AI954" s="43"/>
      <c r="AJ954" s="28" t="s">
        <v>263</v>
      </c>
      <c r="AK954" s="337">
        <v>5.23</v>
      </c>
      <c r="AL954" s="43"/>
      <c r="AM954" s="44">
        <f t="shared" si="252"/>
        <v>0</v>
      </c>
      <c r="AN954" s="43"/>
      <c r="AO954" s="28">
        <f t="shared" si="253"/>
        <v>0</v>
      </c>
      <c r="AP954" s="43"/>
      <c r="AQ954" s="323">
        <f t="shared" si="254"/>
        <v>0</v>
      </c>
      <c r="AR954" s="43"/>
      <c r="AS954" s="44">
        <f t="shared" si="255"/>
        <v>63422.040392709554</v>
      </c>
    </row>
    <row r="955" spans="1:45" x14ac:dyDescent="0.25">
      <c r="A955" s="28"/>
      <c r="B955" s="43"/>
      <c r="C955" s="43"/>
      <c r="D955" s="43"/>
      <c r="E955" s="43" t="s">
        <v>1961</v>
      </c>
      <c r="F955" s="43" t="s">
        <v>1962</v>
      </c>
      <c r="G955" s="46">
        <f t="shared" si="242"/>
        <v>10884.057438302254</v>
      </c>
      <c r="H955" s="46">
        <f t="shared" si="243"/>
        <v>9722.8402375606656</v>
      </c>
      <c r="I955" s="28" t="s">
        <v>263</v>
      </c>
      <c r="J955" s="337">
        <v>1</v>
      </c>
      <c r="K955" s="46">
        <f t="shared" si="244"/>
        <v>59100.431889981235</v>
      </c>
      <c r="L955" s="46">
        <f t="shared" si="245"/>
        <v>52795.022489954412</v>
      </c>
      <c r="M955" s="338">
        <f t="shared" si="246"/>
        <v>0</v>
      </c>
      <c r="N955" s="43" t="s">
        <v>35</v>
      </c>
      <c r="O955" s="339">
        <v>85364900</v>
      </c>
      <c r="P955" s="340">
        <f>IFERROR(VLOOKUP(O955,NCM!$A$3:$D$99,COLUMN(head_porNCM_IPI)-COLUMN(head_porNCM_NCM)+1,FALSE),"")</f>
        <v>3.2500000000000001E-2</v>
      </c>
      <c r="Q955" s="43" t="s">
        <v>1165</v>
      </c>
      <c r="R955" s="78" t="s">
        <v>210</v>
      </c>
      <c r="S955" s="341"/>
      <c r="T955" s="28" t="s">
        <v>52</v>
      </c>
      <c r="U955" s="28" t="s">
        <v>1966</v>
      </c>
      <c r="V955" s="548">
        <v>44384</v>
      </c>
      <c r="W955" s="43"/>
      <c r="X955" s="342">
        <f t="shared" si="247"/>
        <v>1590.1352658803753</v>
      </c>
      <c r="Y955" s="342">
        <f t="shared" si="248"/>
        <v>597.79521273698447</v>
      </c>
      <c r="Z955" s="46">
        <f t="shared" si="249"/>
        <v>197.27242020320446</v>
      </c>
      <c r="AA955" s="46">
        <f t="shared" si="250"/>
        <v>908.64872336021438</v>
      </c>
      <c r="AB955" s="43"/>
      <c r="AC955" s="44">
        <v>12553.699467476648</v>
      </c>
      <c r="AD955" s="31">
        <v>0.13300000000000001</v>
      </c>
      <c r="AE955" s="31">
        <v>0.05</v>
      </c>
      <c r="AF955" s="31">
        <v>0</v>
      </c>
      <c r="AG955" s="28" t="s">
        <v>53</v>
      </c>
      <c r="AH955" s="46">
        <f t="shared" si="251"/>
        <v>13181.384440850481</v>
      </c>
      <c r="AI955" s="43"/>
      <c r="AJ955" s="28" t="s">
        <v>263</v>
      </c>
      <c r="AK955" s="337">
        <v>5.23</v>
      </c>
      <c r="AL955" s="43"/>
      <c r="AM955" s="44">
        <f t="shared" si="252"/>
        <v>0</v>
      </c>
      <c r="AN955" s="43"/>
      <c r="AO955" s="28">
        <f t="shared" si="253"/>
        <v>0</v>
      </c>
      <c r="AP955" s="43"/>
      <c r="AQ955" s="323">
        <f t="shared" si="254"/>
        <v>0</v>
      </c>
      <c r="AR955" s="43"/>
      <c r="AS955" s="44">
        <f t="shared" si="255"/>
        <v>71574.917513818102</v>
      </c>
    </row>
    <row r="956" spans="1:45" x14ac:dyDescent="0.25">
      <c r="A956" s="28"/>
      <c r="B956" s="43"/>
      <c r="C956" s="43"/>
      <c r="D956" s="43"/>
      <c r="E956" s="43" t="s">
        <v>1861</v>
      </c>
      <c r="F956" s="43" t="s">
        <v>1862</v>
      </c>
      <c r="G956" s="46">
        <f t="shared" si="242"/>
        <v>9914.9752066115707</v>
      </c>
      <c r="H956" s="46">
        <f t="shared" si="243"/>
        <v>8997.840000000002</v>
      </c>
      <c r="I956" s="28" t="s">
        <v>263</v>
      </c>
      <c r="J956" s="337">
        <v>1</v>
      </c>
      <c r="K956" s="46">
        <f t="shared" si="244"/>
        <v>53838.315371900826</v>
      </c>
      <c r="L956" s="46">
        <f t="shared" si="245"/>
        <v>48858.27120000001</v>
      </c>
      <c r="M956" s="338">
        <f t="shared" si="246"/>
        <v>0</v>
      </c>
      <c r="N956" s="43" t="s">
        <v>669</v>
      </c>
      <c r="O956" s="339" t="s">
        <v>167</v>
      </c>
      <c r="P956" s="340" t="str">
        <f>IFERROR(VLOOKUP(O956,NCM!$A$3:$D$99,COLUMN(head_porNCM_IPI)-COLUMN(head_porNCM_NCM)+1,FALSE),"")</f>
        <v/>
      </c>
      <c r="Q956" s="43" t="s">
        <v>1165</v>
      </c>
      <c r="R956" s="78" t="s">
        <v>210</v>
      </c>
      <c r="S956" s="341"/>
      <c r="T956" s="28" t="s">
        <v>53</v>
      </c>
      <c r="U956" s="28" t="s">
        <v>1906</v>
      </c>
      <c r="V956" s="548">
        <v>44028</v>
      </c>
      <c r="W956" s="43"/>
      <c r="X956" s="342">
        <f t="shared" si="247"/>
        <v>0</v>
      </c>
      <c r="Y956" s="342">
        <f t="shared" si="248"/>
        <v>0</v>
      </c>
      <c r="Z956" s="46">
        <f t="shared" si="249"/>
        <v>163.59709090909092</v>
      </c>
      <c r="AA956" s="46">
        <f t="shared" si="250"/>
        <v>753.53811570247933</v>
      </c>
      <c r="AB956" s="43"/>
      <c r="AC956" s="44">
        <v>9914.9752066115707</v>
      </c>
      <c r="AD956" s="31">
        <v>0</v>
      </c>
      <c r="AE956" s="31">
        <v>0</v>
      </c>
      <c r="AF956" s="31">
        <v>0.05</v>
      </c>
      <c r="AG956" s="28" t="s">
        <v>53</v>
      </c>
      <c r="AH956" s="46">
        <f t="shared" si="251"/>
        <v>9914.9752066115707</v>
      </c>
      <c r="AI956" s="43"/>
      <c r="AJ956" s="28"/>
      <c r="AK956" s="337"/>
      <c r="AL956" s="43"/>
      <c r="AM956" s="44">
        <f t="shared" si="252"/>
        <v>0</v>
      </c>
      <c r="AN956" s="43"/>
      <c r="AO956" s="28">
        <f t="shared" si="253"/>
        <v>0</v>
      </c>
      <c r="AP956" s="43"/>
      <c r="AQ956" s="323">
        <f t="shared" si="254"/>
        <v>0</v>
      </c>
      <c r="AR956" s="43"/>
      <c r="AS956" s="44">
        <f t="shared" si="255"/>
        <v>53838.315371900826</v>
      </c>
    </row>
    <row r="957" spans="1:45" x14ac:dyDescent="0.25">
      <c r="A957" s="28"/>
      <c r="B957" s="43"/>
      <c r="C957" s="43"/>
      <c r="D957" s="43"/>
      <c r="E957" s="43" t="s">
        <v>1863</v>
      </c>
      <c r="F957" s="43" t="s">
        <v>1864</v>
      </c>
      <c r="G957" s="46">
        <f t="shared" si="242"/>
        <v>2606.4832089552237</v>
      </c>
      <c r="H957" s="46">
        <f t="shared" si="243"/>
        <v>2365.3835121268658</v>
      </c>
      <c r="I957" s="28" t="s">
        <v>263</v>
      </c>
      <c r="J957" s="337">
        <v>1</v>
      </c>
      <c r="K957" s="46">
        <f t="shared" si="244"/>
        <v>14153.203824626864</v>
      </c>
      <c r="L957" s="46">
        <f t="shared" si="245"/>
        <v>12844.032470848881</v>
      </c>
      <c r="M957" s="338">
        <f t="shared" si="246"/>
        <v>0</v>
      </c>
      <c r="N957" s="43" t="s">
        <v>669</v>
      </c>
      <c r="O957" s="339" t="s">
        <v>167</v>
      </c>
      <c r="P957" s="340" t="str">
        <f>IFERROR(VLOOKUP(O957,NCM!$A$3:$D$99,COLUMN(head_porNCM_IPI)-COLUMN(head_porNCM_NCM)+1,FALSE),"")</f>
        <v/>
      </c>
      <c r="Q957" s="43" t="s">
        <v>1165</v>
      </c>
      <c r="R957" s="78" t="s">
        <v>210</v>
      </c>
      <c r="S957" s="341"/>
      <c r="T957" s="28" t="s">
        <v>53</v>
      </c>
      <c r="U957" s="28" t="s">
        <v>1907</v>
      </c>
      <c r="V957" s="548">
        <v>44056</v>
      </c>
      <c r="W957" s="43"/>
      <c r="X957" s="342">
        <f t="shared" si="247"/>
        <v>0</v>
      </c>
      <c r="Y957" s="342">
        <f t="shared" si="248"/>
        <v>0</v>
      </c>
      <c r="Z957" s="46">
        <f t="shared" si="249"/>
        <v>43.006972947761192</v>
      </c>
      <c r="AA957" s="46">
        <f t="shared" si="250"/>
        <v>198.09272388059699</v>
      </c>
      <c r="AB957" s="43"/>
      <c r="AC957" s="44">
        <v>2606.4832089552237</v>
      </c>
      <c r="AD957" s="31">
        <v>0</v>
      </c>
      <c r="AE957" s="31">
        <v>0</v>
      </c>
      <c r="AF957" s="31">
        <v>0.05</v>
      </c>
      <c r="AG957" s="28" t="s">
        <v>53</v>
      </c>
      <c r="AH957" s="46">
        <f t="shared" si="251"/>
        <v>2606.4832089552237</v>
      </c>
      <c r="AI957" s="43"/>
      <c r="AJ957" s="28" t="s">
        <v>263</v>
      </c>
      <c r="AK957" s="337">
        <v>5.36</v>
      </c>
      <c r="AL957" s="43"/>
      <c r="AM957" s="44">
        <f t="shared" si="252"/>
        <v>0</v>
      </c>
      <c r="AN957" s="43"/>
      <c r="AO957" s="28">
        <f t="shared" si="253"/>
        <v>0</v>
      </c>
      <c r="AP957" s="43"/>
      <c r="AQ957" s="323">
        <f t="shared" si="254"/>
        <v>0</v>
      </c>
      <c r="AR957" s="43"/>
      <c r="AS957" s="44">
        <f t="shared" si="255"/>
        <v>14153.203824626864</v>
      </c>
    </row>
    <row r="958" spans="1:45" x14ac:dyDescent="0.25">
      <c r="A958" s="28"/>
      <c r="B958" s="43"/>
      <c r="C958" s="43"/>
      <c r="D958" s="43"/>
      <c r="E958" s="43" t="s">
        <v>1963</v>
      </c>
      <c r="F958" s="43" t="s">
        <v>1964</v>
      </c>
      <c r="G958" s="46">
        <f t="shared" si="242"/>
        <v>0</v>
      </c>
      <c r="H958" s="46">
        <f t="shared" si="243"/>
        <v>0</v>
      </c>
      <c r="I958" s="28" t="s">
        <v>263</v>
      </c>
      <c r="J958" s="337">
        <v>1</v>
      </c>
      <c r="K958" s="46">
        <f t="shared" si="244"/>
        <v>0</v>
      </c>
      <c r="L958" s="46">
        <f t="shared" si="245"/>
        <v>0</v>
      </c>
      <c r="M958" s="338">
        <f t="shared" si="246"/>
        <v>0</v>
      </c>
      <c r="N958" s="43" t="s">
        <v>669</v>
      </c>
      <c r="O958" s="339" t="s">
        <v>167</v>
      </c>
      <c r="P958" s="340" t="str">
        <f>IFERROR(VLOOKUP(O958,NCM!$A$3:$D$99,COLUMN(head_porNCM_IPI)-COLUMN(head_porNCM_NCM)+1,FALSE),"")</f>
        <v/>
      </c>
      <c r="Q958" s="43" t="s">
        <v>1165</v>
      </c>
      <c r="R958" s="78" t="s">
        <v>210</v>
      </c>
      <c r="S958" s="341"/>
      <c r="T958" s="28" t="s">
        <v>53</v>
      </c>
      <c r="U958" s="28"/>
      <c r="V958" s="28"/>
      <c r="W958" s="43"/>
      <c r="X958" s="342">
        <f t="shared" si="247"/>
        <v>0</v>
      </c>
      <c r="Y958" s="342">
        <f t="shared" si="248"/>
        <v>0</v>
      </c>
      <c r="Z958" s="46">
        <f t="shared" si="249"/>
        <v>0</v>
      </c>
      <c r="AA958" s="46">
        <f t="shared" si="250"/>
        <v>0</v>
      </c>
      <c r="AB958" s="43"/>
      <c r="AC958" s="44">
        <v>0</v>
      </c>
      <c r="AD958" s="31">
        <v>0</v>
      </c>
      <c r="AE958" s="31">
        <v>0</v>
      </c>
      <c r="AF958" s="31">
        <v>0.05</v>
      </c>
      <c r="AG958" s="28" t="s">
        <v>53</v>
      </c>
      <c r="AH958" s="46">
        <f t="shared" si="251"/>
        <v>0</v>
      </c>
      <c r="AI958" s="43"/>
      <c r="AJ958" s="28"/>
      <c r="AK958" s="337"/>
      <c r="AL958" s="43"/>
      <c r="AM958" s="44">
        <f t="shared" si="252"/>
        <v>0</v>
      </c>
      <c r="AN958" s="43"/>
      <c r="AO958" s="28">
        <f t="shared" si="253"/>
        <v>0</v>
      </c>
      <c r="AP958" s="43"/>
      <c r="AQ958" s="323">
        <f t="shared" si="254"/>
        <v>0</v>
      </c>
      <c r="AR958" s="43"/>
      <c r="AS958" s="44">
        <f t="shared" si="255"/>
        <v>0</v>
      </c>
    </row>
    <row r="959" spans="1:45" x14ac:dyDescent="0.25">
      <c r="A959" s="28"/>
      <c r="B959" s="43"/>
      <c r="C959" s="43"/>
      <c r="D959" s="43" t="s">
        <v>2685</v>
      </c>
      <c r="E959" s="43"/>
      <c r="F959" s="43"/>
      <c r="G959" s="46">
        <f t="shared" si="242"/>
        <v>0</v>
      </c>
      <c r="H959" s="46">
        <f t="shared" si="243"/>
        <v>0</v>
      </c>
      <c r="I959" s="28"/>
      <c r="J959" s="337"/>
      <c r="K959" s="46" t="str">
        <f t="shared" si="244"/>
        <v/>
      </c>
      <c r="L959" s="46" t="str">
        <f t="shared" si="245"/>
        <v/>
      </c>
      <c r="M959" s="338">
        <f t="shared" si="246"/>
        <v>0</v>
      </c>
      <c r="N959" s="43"/>
      <c r="O959" s="339"/>
      <c r="P959" s="340" t="str">
        <f>IFERROR(VLOOKUP(O959,NCM!$A$3:$D$99,COLUMN(head_porNCM_IPI)-COLUMN(head_porNCM_NCM)+1,FALSE),"")</f>
        <v/>
      </c>
      <c r="Q959" s="43"/>
      <c r="R959" s="78"/>
      <c r="S959" s="341"/>
      <c r="T959" s="28"/>
      <c r="U959" s="28"/>
      <c r="V959" s="28"/>
      <c r="W959" s="43"/>
      <c r="X959" s="342">
        <f t="shared" si="247"/>
        <v>0</v>
      </c>
      <c r="Y959" s="342">
        <f t="shared" si="248"/>
        <v>0</v>
      </c>
      <c r="Z959" s="46">
        <f t="shared" si="249"/>
        <v>0</v>
      </c>
      <c r="AA959" s="46">
        <f t="shared" si="250"/>
        <v>0</v>
      </c>
      <c r="AB959" s="43"/>
      <c r="AC959" s="44">
        <v>0</v>
      </c>
      <c r="AD959" s="31"/>
      <c r="AE959" s="31"/>
      <c r="AF959" s="31"/>
      <c r="AG959" s="28"/>
      <c r="AH959" s="46">
        <f t="shared" si="251"/>
        <v>0</v>
      </c>
      <c r="AI959" s="43"/>
      <c r="AJ959" s="28"/>
      <c r="AK959" s="337"/>
      <c r="AL959" s="43"/>
      <c r="AM959" s="44">
        <f t="shared" si="252"/>
        <v>0</v>
      </c>
      <c r="AN959" s="43"/>
      <c r="AO959" s="28">
        <f t="shared" si="253"/>
        <v>0</v>
      </c>
      <c r="AP959" s="43"/>
      <c r="AQ959" s="323">
        <f t="shared" si="254"/>
        <v>0</v>
      </c>
      <c r="AR959" s="43"/>
      <c r="AS959" s="44">
        <f t="shared" si="255"/>
        <v>0</v>
      </c>
    </row>
    <row r="960" spans="1:45" x14ac:dyDescent="0.25">
      <c r="A960" s="28"/>
      <c r="B960" s="43"/>
      <c r="C960" s="43"/>
      <c r="D960" s="43"/>
      <c r="E960" s="43" t="s">
        <v>2686</v>
      </c>
      <c r="F960" s="43" t="s">
        <v>2687</v>
      </c>
      <c r="G960" s="46">
        <f t="shared" si="242"/>
        <v>23086.477995444195</v>
      </c>
      <c r="H960" s="46">
        <f t="shared" si="243"/>
        <v>20482.21066059226</v>
      </c>
      <c r="I960" s="28" t="s">
        <v>262</v>
      </c>
      <c r="J960" s="337">
        <v>1</v>
      </c>
      <c r="K960" s="46">
        <f t="shared" si="244"/>
        <v>23086.477995444195</v>
      </c>
      <c r="L960" s="46">
        <f t="shared" si="245"/>
        <v>20482.21066059226</v>
      </c>
      <c r="M960" s="338">
        <f t="shared" si="246"/>
        <v>0</v>
      </c>
      <c r="N960" s="43" t="s">
        <v>666</v>
      </c>
      <c r="O960" s="339">
        <v>85371020</v>
      </c>
      <c r="P960" s="340">
        <f>IFERROR(VLOOKUP(O960,NCM!$A$3:$D$99,COLUMN(head_porNCM_IPI)-COLUMN(head_porNCM_NCM)+1,FALSE),"")</f>
        <v>9.7500000000000003E-2</v>
      </c>
      <c r="Q960" s="43" t="s">
        <v>1865</v>
      </c>
      <c r="R960" s="78" t="s">
        <v>210</v>
      </c>
      <c r="S960" s="341"/>
      <c r="T960" s="28" t="s">
        <v>52</v>
      </c>
      <c r="U960" s="28" t="s">
        <v>2781</v>
      </c>
      <c r="V960" s="548">
        <v>45272</v>
      </c>
      <c r="W960" s="43"/>
      <c r="X960" s="342">
        <f t="shared" si="247"/>
        <v>4617.5521297627138</v>
      </c>
      <c r="Y960" s="342">
        <f t="shared" si="248"/>
        <v>2501.1740702881361</v>
      </c>
      <c r="Z960" s="46">
        <f t="shared" si="249"/>
        <v>423.27561189491547</v>
      </c>
      <c r="AA960" s="46">
        <f t="shared" si="250"/>
        <v>1949.6331214553682</v>
      </c>
      <c r="AB960" s="43"/>
      <c r="AC960" s="44">
        <v>28154.24145785877</v>
      </c>
      <c r="AD960" s="31">
        <v>0.18</v>
      </c>
      <c r="AE960" s="31">
        <v>9.7500000000000003E-2</v>
      </c>
      <c r="AF960" s="31">
        <v>0</v>
      </c>
      <c r="AG960" s="28" t="s">
        <v>53</v>
      </c>
      <c r="AH960" s="46">
        <f t="shared" si="251"/>
        <v>30899.279999999999</v>
      </c>
      <c r="AI960" s="43"/>
      <c r="AJ960" s="28" t="s">
        <v>263</v>
      </c>
      <c r="AK960" s="337">
        <v>4.96</v>
      </c>
      <c r="AL960" s="43"/>
      <c r="AM960" s="44">
        <f t="shared" si="252"/>
        <v>0</v>
      </c>
      <c r="AN960" s="43"/>
      <c r="AO960" s="28">
        <f t="shared" si="253"/>
        <v>0</v>
      </c>
      <c r="AP960" s="43"/>
      <c r="AQ960" s="323">
        <f t="shared" si="254"/>
        <v>0</v>
      </c>
      <c r="AR960" s="43"/>
      <c r="AS960" s="44">
        <f t="shared" si="255"/>
        <v>30899.279999999999</v>
      </c>
    </row>
    <row r="961" spans="1:45" x14ac:dyDescent="0.25">
      <c r="A961" s="28"/>
      <c r="B961" s="43"/>
      <c r="C961" s="43"/>
      <c r="D961" s="43"/>
      <c r="E961" s="43" t="s">
        <v>2688</v>
      </c>
      <c r="F961" s="43" t="s">
        <v>2689</v>
      </c>
      <c r="G961" s="46">
        <f t="shared" si="242"/>
        <v>1428.1738496583146</v>
      </c>
      <c r="H961" s="46">
        <f t="shared" si="243"/>
        <v>1278.0533029612759</v>
      </c>
      <c r="I961" s="28" t="s">
        <v>262</v>
      </c>
      <c r="J961" s="337">
        <v>1</v>
      </c>
      <c r="K961" s="46">
        <f t="shared" si="244"/>
        <v>1428.1738496583146</v>
      </c>
      <c r="L961" s="46">
        <f t="shared" si="245"/>
        <v>1278.0533029612759</v>
      </c>
      <c r="M961" s="338">
        <f t="shared" si="246"/>
        <v>0</v>
      </c>
      <c r="N961" s="43" t="s">
        <v>666</v>
      </c>
      <c r="O961" s="339">
        <v>85371090</v>
      </c>
      <c r="P961" s="340">
        <f>IFERROR(VLOOKUP(O961,NCM!$A$3:$D$99,COLUMN(head_porNCM_IPI)-COLUMN(head_porNCM_NCM)+1,FALSE),"")</f>
        <v>9.7500000000000003E-2</v>
      </c>
      <c r="Q961" s="43" t="s">
        <v>1865</v>
      </c>
      <c r="R961" s="78" t="s">
        <v>210</v>
      </c>
      <c r="S961" s="341"/>
      <c r="T961" s="28" t="s">
        <v>52</v>
      </c>
      <c r="U961" s="28" t="s">
        <v>2781</v>
      </c>
      <c r="V961" s="548">
        <v>45272</v>
      </c>
      <c r="W961" s="43"/>
      <c r="X961" s="342">
        <f t="shared" si="247"/>
        <v>177.44963963449757</v>
      </c>
      <c r="Y961" s="342">
        <f t="shared" si="248"/>
        <v>144.17783220302908</v>
      </c>
      <c r="Z961" s="46">
        <f t="shared" si="249"/>
        <v>24.399325449743419</v>
      </c>
      <c r="AA961" s="46">
        <f t="shared" si="250"/>
        <v>112.38477176851512</v>
      </c>
      <c r="AB961" s="43"/>
      <c r="AC961" s="44">
        <v>1622.9248291571755</v>
      </c>
      <c r="AD961" s="31">
        <v>0.12</v>
      </c>
      <c r="AE961" s="31">
        <v>9.7500000000000003E-2</v>
      </c>
      <c r="AF961" s="31">
        <v>0</v>
      </c>
      <c r="AG961" s="28" t="s">
        <v>53</v>
      </c>
      <c r="AH961" s="46">
        <f t="shared" si="251"/>
        <v>1781.16</v>
      </c>
      <c r="AI961" s="43"/>
      <c r="AJ961" s="28" t="s">
        <v>263</v>
      </c>
      <c r="AK961" s="337">
        <v>4.96</v>
      </c>
      <c r="AL961" s="43"/>
      <c r="AM961" s="44">
        <f t="shared" si="252"/>
        <v>0</v>
      </c>
      <c r="AN961" s="43"/>
      <c r="AO961" s="28">
        <f t="shared" si="253"/>
        <v>0</v>
      </c>
      <c r="AP961" s="43"/>
      <c r="AQ961" s="323">
        <f t="shared" si="254"/>
        <v>0</v>
      </c>
      <c r="AR961" s="43"/>
      <c r="AS961" s="44">
        <f t="shared" si="255"/>
        <v>1781.16</v>
      </c>
    </row>
    <row r="962" spans="1:45" x14ac:dyDescent="0.25">
      <c r="A962" s="28"/>
      <c r="B962" s="43"/>
      <c r="C962" s="43"/>
      <c r="D962" s="43"/>
      <c r="E962" s="43" t="s">
        <v>2690</v>
      </c>
      <c r="F962" s="43" t="s">
        <v>2691</v>
      </c>
      <c r="G962" s="46">
        <f t="shared" si="242"/>
        <v>3040.440455580866</v>
      </c>
      <c r="H962" s="46">
        <f t="shared" si="243"/>
        <v>2697.463940774488</v>
      </c>
      <c r="I962" s="28" t="s">
        <v>262</v>
      </c>
      <c r="J962" s="337">
        <v>1</v>
      </c>
      <c r="K962" s="46">
        <f t="shared" si="244"/>
        <v>3040.440455580866</v>
      </c>
      <c r="L962" s="46">
        <f t="shared" si="245"/>
        <v>2697.463940774488</v>
      </c>
      <c r="M962" s="338">
        <f t="shared" si="246"/>
        <v>0</v>
      </c>
      <c r="N962" s="43" t="s">
        <v>666</v>
      </c>
      <c r="O962" s="339">
        <v>85389090</v>
      </c>
      <c r="P962" s="340">
        <f>IFERROR(VLOOKUP(O962,NCM!$A$3:$D$99,COLUMN(head_porNCM_IPI)-COLUMN(head_porNCM_NCM)+1,FALSE),"")</f>
        <v>0.15</v>
      </c>
      <c r="Q962" s="43" t="s">
        <v>1865</v>
      </c>
      <c r="R962" s="78" t="s">
        <v>210</v>
      </c>
      <c r="S962" s="341"/>
      <c r="T962" s="28" t="s">
        <v>52</v>
      </c>
      <c r="U962" s="28" t="s">
        <v>2781</v>
      </c>
      <c r="V962" s="548">
        <v>45272</v>
      </c>
      <c r="W962" s="43"/>
      <c r="X962" s="342">
        <f t="shared" si="247"/>
        <v>608.12187566482123</v>
      </c>
      <c r="Y962" s="342">
        <f t="shared" si="248"/>
        <v>329.39934931844437</v>
      </c>
      <c r="Z962" s="46">
        <f t="shared" si="249"/>
        <v>55.744505269275287</v>
      </c>
      <c r="AA962" s="46">
        <f t="shared" si="250"/>
        <v>256.76256972514676</v>
      </c>
      <c r="AB962" s="43"/>
      <c r="AC962" s="44">
        <v>3707.8542141230068</v>
      </c>
      <c r="AD962" s="31">
        <v>0.18</v>
      </c>
      <c r="AE962" s="31">
        <v>9.7500000000000003E-2</v>
      </c>
      <c r="AF962" s="31">
        <v>0</v>
      </c>
      <c r="AG962" s="28" t="s">
        <v>53</v>
      </c>
      <c r="AH962" s="46">
        <f t="shared" si="251"/>
        <v>4069.37</v>
      </c>
      <c r="AI962" s="43"/>
      <c r="AJ962" s="28" t="s">
        <v>263</v>
      </c>
      <c r="AK962" s="337">
        <v>4.96</v>
      </c>
      <c r="AL962" s="43"/>
      <c r="AM962" s="44">
        <f t="shared" si="252"/>
        <v>0</v>
      </c>
      <c r="AN962" s="43"/>
      <c r="AO962" s="28">
        <f t="shared" si="253"/>
        <v>0</v>
      </c>
      <c r="AP962" s="43"/>
      <c r="AQ962" s="323">
        <f t="shared" si="254"/>
        <v>0</v>
      </c>
      <c r="AR962" s="43"/>
      <c r="AS962" s="44">
        <f t="shared" si="255"/>
        <v>4069.37</v>
      </c>
    </row>
    <row r="963" spans="1:45" x14ac:dyDescent="0.25">
      <c r="A963" s="28"/>
      <c r="B963" s="43"/>
      <c r="C963" s="43"/>
      <c r="D963" s="43"/>
      <c r="E963" s="43" t="s">
        <v>2692</v>
      </c>
      <c r="F963" s="43" t="s">
        <v>2693</v>
      </c>
      <c r="G963" s="46">
        <f t="shared" si="242"/>
        <v>1996.7056036446472</v>
      </c>
      <c r="H963" s="46">
        <f t="shared" si="243"/>
        <v>1771.4674715261963</v>
      </c>
      <c r="I963" s="28" t="s">
        <v>262</v>
      </c>
      <c r="J963" s="337">
        <v>1</v>
      </c>
      <c r="K963" s="46">
        <f t="shared" si="244"/>
        <v>1996.7056036446472</v>
      </c>
      <c r="L963" s="46">
        <f t="shared" si="245"/>
        <v>1771.4674715261963</v>
      </c>
      <c r="M963" s="338">
        <f t="shared" si="246"/>
        <v>0</v>
      </c>
      <c r="N963" s="43" t="s">
        <v>666</v>
      </c>
      <c r="O963" s="339">
        <v>85389090</v>
      </c>
      <c r="P963" s="340">
        <f>IFERROR(VLOOKUP(O963,NCM!$A$3:$D$99,COLUMN(head_porNCM_IPI)-COLUMN(head_porNCM_NCM)+1,FALSE),"")</f>
        <v>0.15</v>
      </c>
      <c r="Q963" s="43" t="s">
        <v>1865</v>
      </c>
      <c r="R963" s="78" t="s">
        <v>210</v>
      </c>
      <c r="S963" s="341"/>
      <c r="T963" s="28" t="s">
        <v>52</v>
      </c>
      <c r="U963" s="28" t="s">
        <v>2781</v>
      </c>
      <c r="V963" s="548">
        <v>45272</v>
      </c>
      <c r="W963" s="43"/>
      <c r="X963" s="342">
        <f t="shared" si="247"/>
        <v>399.36330757935048</v>
      </c>
      <c r="Y963" s="342">
        <f t="shared" si="248"/>
        <v>216.32179160548139</v>
      </c>
      <c r="Z963" s="46">
        <f t="shared" si="249"/>
        <v>36.608303194773796</v>
      </c>
      <c r="AA963" s="46">
        <f t="shared" si="250"/>
        <v>168.62006320017022</v>
      </c>
      <c r="AB963" s="43"/>
      <c r="AC963" s="44">
        <v>2435.0068337129842</v>
      </c>
      <c r="AD963" s="31">
        <v>0.18</v>
      </c>
      <c r="AE963" s="31">
        <v>9.7500000000000003E-2</v>
      </c>
      <c r="AF963" s="31">
        <v>0</v>
      </c>
      <c r="AG963" s="28" t="s">
        <v>53</v>
      </c>
      <c r="AH963" s="46">
        <f t="shared" si="251"/>
        <v>2672.42</v>
      </c>
      <c r="AI963" s="43"/>
      <c r="AJ963" s="28" t="s">
        <v>263</v>
      </c>
      <c r="AK963" s="337">
        <v>4.96</v>
      </c>
      <c r="AL963" s="43"/>
      <c r="AM963" s="44">
        <f t="shared" si="252"/>
        <v>0</v>
      </c>
      <c r="AN963" s="43"/>
      <c r="AO963" s="28">
        <f t="shared" si="253"/>
        <v>0</v>
      </c>
      <c r="AP963" s="43"/>
      <c r="AQ963" s="323">
        <f t="shared" si="254"/>
        <v>0</v>
      </c>
      <c r="AR963" s="43"/>
      <c r="AS963" s="44">
        <f t="shared" si="255"/>
        <v>2672.42</v>
      </c>
    </row>
    <row r="964" spans="1:45" x14ac:dyDescent="0.25">
      <c r="A964" s="28"/>
      <c r="B964" s="43"/>
      <c r="C964" s="43"/>
      <c r="D964" s="43"/>
      <c r="E964" s="43" t="s">
        <v>2694</v>
      </c>
      <c r="F964" s="43" t="s">
        <v>2695</v>
      </c>
      <c r="G964" s="46">
        <f t="shared" si="242"/>
        <v>2033.6821867881549</v>
      </c>
      <c r="H964" s="46">
        <f t="shared" si="243"/>
        <v>1804.2729157175402</v>
      </c>
      <c r="I964" s="28" t="s">
        <v>262</v>
      </c>
      <c r="J964" s="337">
        <v>1</v>
      </c>
      <c r="K964" s="46">
        <f t="shared" si="244"/>
        <v>2033.6821867881549</v>
      </c>
      <c r="L964" s="46">
        <f t="shared" si="245"/>
        <v>1804.2729157175402</v>
      </c>
      <c r="M964" s="338">
        <f t="shared" si="246"/>
        <v>0</v>
      </c>
      <c r="N964" s="43" t="s">
        <v>666</v>
      </c>
      <c r="O964" s="339">
        <v>85389090</v>
      </c>
      <c r="P964" s="340">
        <f>IFERROR(VLOOKUP(O964,NCM!$A$3:$D$99,COLUMN(head_porNCM_IPI)-COLUMN(head_porNCM_NCM)+1,FALSE),"")</f>
        <v>0.15</v>
      </c>
      <c r="Q964" s="43" t="s">
        <v>1865</v>
      </c>
      <c r="R964" s="78" t="s">
        <v>210</v>
      </c>
      <c r="S964" s="341"/>
      <c r="T964" s="28" t="s">
        <v>52</v>
      </c>
      <c r="U964" s="28" t="s">
        <v>2782</v>
      </c>
      <c r="V964" s="548">
        <v>45223</v>
      </c>
      <c r="W964" s="43"/>
      <c r="X964" s="342">
        <f t="shared" si="247"/>
        <v>406.75903508180221</v>
      </c>
      <c r="Y964" s="342">
        <f t="shared" si="248"/>
        <v>220.3278106693092</v>
      </c>
      <c r="Z964" s="46">
        <f t="shared" si="249"/>
        <v>37.286244882498536</v>
      </c>
      <c r="AA964" s="46">
        <f t="shared" si="250"/>
        <v>171.74270370120539</v>
      </c>
      <c r="AB964" s="43"/>
      <c r="AC964" s="44">
        <v>2480.1002277904327</v>
      </c>
      <c r="AD964" s="31">
        <v>0.18</v>
      </c>
      <c r="AE964" s="31">
        <v>9.7500000000000003E-2</v>
      </c>
      <c r="AF964" s="31">
        <v>0</v>
      </c>
      <c r="AG964" s="28" t="s">
        <v>53</v>
      </c>
      <c r="AH964" s="46">
        <f t="shared" si="251"/>
        <v>2721.91</v>
      </c>
      <c r="AI964" s="43"/>
      <c r="AJ964" s="28" t="s">
        <v>263</v>
      </c>
      <c r="AK964" s="337">
        <v>5</v>
      </c>
      <c r="AL964" s="43"/>
      <c r="AM964" s="44">
        <f t="shared" si="252"/>
        <v>0</v>
      </c>
      <c r="AN964" s="43"/>
      <c r="AO964" s="28">
        <f t="shared" si="253"/>
        <v>0</v>
      </c>
      <c r="AP964" s="43"/>
      <c r="AQ964" s="323">
        <f t="shared" si="254"/>
        <v>0</v>
      </c>
      <c r="AR964" s="43"/>
      <c r="AS964" s="44">
        <f t="shared" si="255"/>
        <v>2721.91</v>
      </c>
    </row>
    <row r="965" spans="1:45" x14ac:dyDescent="0.25">
      <c r="A965" s="28"/>
      <c r="B965" s="43"/>
      <c r="C965" s="43"/>
      <c r="D965" s="43"/>
      <c r="E965" s="43" t="s">
        <v>2696</v>
      </c>
      <c r="F965" s="43" t="s">
        <v>2697</v>
      </c>
      <c r="G965" s="46">
        <f t="shared" si="242"/>
        <v>9798.6525740318921</v>
      </c>
      <c r="H965" s="46">
        <f t="shared" si="243"/>
        <v>8693.3167653758574</v>
      </c>
      <c r="I965" s="28" t="s">
        <v>262</v>
      </c>
      <c r="J965" s="337">
        <v>1</v>
      </c>
      <c r="K965" s="46">
        <f t="shared" si="244"/>
        <v>9798.6525740318921</v>
      </c>
      <c r="L965" s="46">
        <f t="shared" si="245"/>
        <v>8693.3167653758574</v>
      </c>
      <c r="M965" s="338">
        <f t="shared" si="246"/>
        <v>0</v>
      </c>
      <c r="N965" s="43" t="s">
        <v>666</v>
      </c>
      <c r="O965" s="339">
        <v>85389090</v>
      </c>
      <c r="P965" s="340">
        <f>IFERROR(VLOOKUP(O965,NCM!$A$3:$D$99,COLUMN(head_porNCM_IPI)-COLUMN(head_porNCM_NCM)+1,FALSE),"")</f>
        <v>0.15</v>
      </c>
      <c r="Q965" s="43" t="s">
        <v>1865</v>
      </c>
      <c r="R965" s="78" t="s">
        <v>210</v>
      </c>
      <c r="S965" s="341"/>
      <c r="T965" s="28" t="s">
        <v>52</v>
      </c>
      <c r="U965" s="28" t="s">
        <v>2782</v>
      </c>
      <c r="V965" s="548">
        <v>45223</v>
      </c>
      <c r="W965" s="43"/>
      <c r="X965" s="342">
        <f t="shared" si="247"/>
        <v>1959.8393947727545</v>
      </c>
      <c r="Y965" s="342">
        <f t="shared" si="248"/>
        <v>1061.5796721685747</v>
      </c>
      <c r="Z965" s="46">
        <f t="shared" si="249"/>
        <v>179.65194452083585</v>
      </c>
      <c r="AA965" s="46">
        <f t="shared" si="250"/>
        <v>827.48774445960748</v>
      </c>
      <c r="AB965" s="43"/>
      <c r="AC965" s="44">
        <v>11949.576309794989</v>
      </c>
      <c r="AD965" s="31">
        <v>0.18</v>
      </c>
      <c r="AE965" s="31">
        <v>9.7500000000000003E-2</v>
      </c>
      <c r="AF965" s="31">
        <v>0</v>
      </c>
      <c r="AG965" s="28" t="s">
        <v>53</v>
      </c>
      <c r="AH965" s="46">
        <f t="shared" si="251"/>
        <v>13114.66</v>
      </c>
      <c r="AI965" s="43"/>
      <c r="AJ965" s="28" t="s">
        <v>263</v>
      </c>
      <c r="AK965" s="337">
        <v>5</v>
      </c>
      <c r="AL965" s="43"/>
      <c r="AM965" s="44">
        <f t="shared" si="252"/>
        <v>0</v>
      </c>
      <c r="AN965" s="43"/>
      <c r="AO965" s="28">
        <f t="shared" si="253"/>
        <v>0</v>
      </c>
      <c r="AP965" s="43"/>
      <c r="AQ965" s="323">
        <f t="shared" si="254"/>
        <v>0</v>
      </c>
      <c r="AR965" s="43"/>
      <c r="AS965" s="44">
        <f t="shared" si="255"/>
        <v>13114.66</v>
      </c>
    </row>
    <row r="966" spans="1:45" x14ac:dyDescent="0.25">
      <c r="A966" s="28"/>
      <c r="B966" s="43"/>
      <c r="C966" s="43"/>
      <c r="D966" s="43" t="s">
        <v>1865</v>
      </c>
      <c r="E966" s="43"/>
      <c r="F966" s="43"/>
      <c r="G966" s="46">
        <f t="shared" si="242"/>
        <v>0</v>
      </c>
      <c r="H966" s="46">
        <f t="shared" si="243"/>
        <v>0</v>
      </c>
      <c r="I966" s="28"/>
      <c r="J966" s="337"/>
      <c r="K966" s="46" t="str">
        <f t="shared" si="244"/>
        <v/>
      </c>
      <c r="L966" s="46" t="str">
        <f t="shared" si="245"/>
        <v/>
      </c>
      <c r="M966" s="338">
        <f t="shared" si="246"/>
        <v>0</v>
      </c>
      <c r="N966" s="43"/>
      <c r="O966" s="339"/>
      <c r="P966" s="340" t="str">
        <f>IFERROR(VLOOKUP(O966,NCM!$A$3:$D$99,COLUMN(head_porNCM_IPI)-COLUMN(head_porNCM_NCM)+1,FALSE),"")</f>
        <v/>
      </c>
      <c r="Q966" s="43"/>
      <c r="R966" s="78"/>
      <c r="S966" s="341"/>
      <c r="T966" s="28"/>
      <c r="U966" s="28"/>
      <c r="V966" s="28"/>
      <c r="W966" s="43"/>
      <c r="X966" s="342">
        <f t="shared" si="247"/>
        <v>0</v>
      </c>
      <c r="Y966" s="342">
        <f t="shared" si="248"/>
        <v>0</v>
      </c>
      <c r="Z966" s="46">
        <f t="shared" si="249"/>
        <v>0</v>
      </c>
      <c r="AA966" s="46">
        <f t="shared" si="250"/>
        <v>0</v>
      </c>
      <c r="AB966" s="43"/>
      <c r="AC966" s="44">
        <v>0</v>
      </c>
      <c r="AD966" s="31"/>
      <c r="AE966" s="31"/>
      <c r="AF966" s="31"/>
      <c r="AG966" s="28"/>
      <c r="AH966" s="46">
        <f t="shared" si="251"/>
        <v>0</v>
      </c>
      <c r="AI966" s="43"/>
      <c r="AJ966" s="28"/>
      <c r="AK966" s="337"/>
      <c r="AL966" s="43"/>
      <c r="AM966" s="44">
        <f t="shared" si="252"/>
        <v>0</v>
      </c>
      <c r="AN966" s="43"/>
      <c r="AO966" s="28">
        <f t="shared" si="253"/>
        <v>0</v>
      </c>
      <c r="AP966" s="43"/>
      <c r="AQ966" s="323">
        <f t="shared" si="254"/>
        <v>0</v>
      </c>
      <c r="AR966" s="43"/>
      <c r="AS966" s="44">
        <f t="shared" si="255"/>
        <v>0</v>
      </c>
    </row>
    <row r="967" spans="1:45" x14ac:dyDescent="0.25">
      <c r="A967" s="28"/>
      <c r="B967" s="43"/>
      <c r="C967" s="43"/>
      <c r="D967" s="43"/>
      <c r="E967" s="43" t="s">
        <v>3086</v>
      </c>
      <c r="F967" s="43" t="s">
        <v>3087</v>
      </c>
      <c r="G967" s="46">
        <f t="shared" si="242"/>
        <v>7594.9384000000009</v>
      </c>
      <c r="H967" s="46">
        <f t="shared" si="243"/>
        <v>6738.1923000000015</v>
      </c>
      <c r="I967" s="28" t="s">
        <v>262</v>
      </c>
      <c r="J967" s="337">
        <v>1</v>
      </c>
      <c r="K967" s="46">
        <f t="shared" si="244"/>
        <v>7594.9384000000009</v>
      </c>
      <c r="L967" s="46">
        <f t="shared" si="245"/>
        <v>6738.1923000000015</v>
      </c>
      <c r="M967" s="338">
        <f t="shared" si="246"/>
        <v>0</v>
      </c>
      <c r="N967" s="43" t="s">
        <v>35</v>
      </c>
      <c r="O967" s="339">
        <v>85389090</v>
      </c>
      <c r="P967" s="340">
        <f>IFERROR(VLOOKUP(O967,NCM!$A$3:$D$99,COLUMN(head_porNCM_IPI)-COLUMN(head_porNCM_NCM)+1,FALSE),"")</f>
        <v>0.15</v>
      </c>
      <c r="Q967" s="43" t="s">
        <v>1865</v>
      </c>
      <c r="R967" s="78" t="s">
        <v>210</v>
      </c>
      <c r="S967" s="341"/>
      <c r="T967" s="28" t="s">
        <v>52</v>
      </c>
      <c r="U967" s="28" t="s">
        <v>3092</v>
      </c>
      <c r="V967" s="548">
        <v>45447</v>
      </c>
      <c r="W967" s="43"/>
      <c r="X967" s="342">
        <f t="shared" si="247"/>
        <v>1519.0720728929386</v>
      </c>
      <c r="Y967" s="342">
        <f t="shared" si="248"/>
        <v>822.83070615034194</v>
      </c>
      <c r="Z967" s="46">
        <f t="shared" si="249"/>
        <v>139.24827334851938</v>
      </c>
      <c r="AA967" s="46">
        <f t="shared" si="250"/>
        <v>641.38598633257402</v>
      </c>
      <c r="AB967" s="43"/>
      <c r="AC967" s="44">
        <v>9262.1200000000008</v>
      </c>
      <c r="AD967" s="31">
        <v>0.18</v>
      </c>
      <c r="AE967" s="31">
        <v>9.7500000000000003E-2</v>
      </c>
      <c r="AF967" s="31">
        <v>0</v>
      </c>
      <c r="AG967" s="28" t="s">
        <v>53</v>
      </c>
      <c r="AH967" s="46">
        <f t="shared" si="251"/>
        <v>10165.1767</v>
      </c>
      <c r="AI967" s="43"/>
      <c r="AJ967" s="28" t="s">
        <v>263</v>
      </c>
      <c r="AK967" s="337">
        <v>5.28</v>
      </c>
      <c r="AL967" s="43"/>
      <c r="AM967" s="44">
        <f t="shared" si="252"/>
        <v>0</v>
      </c>
      <c r="AN967" s="43"/>
      <c r="AO967" s="28">
        <f t="shared" si="253"/>
        <v>0</v>
      </c>
      <c r="AP967" s="43"/>
      <c r="AQ967" s="323">
        <f t="shared" si="254"/>
        <v>0</v>
      </c>
      <c r="AR967" s="43"/>
      <c r="AS967" s="44">
        <f t="shared" si="255"/>
        <v>10165.1767</v>
      </c>
    </row>
    <row r="968" spans="1:45" x14ac:dyDescent="0.25">
      <c r="A968" s="28"/>
      <c r="B968" s="43"/>
      <c r="C968" s="43"/>
      <c r="D968" s="43"/>
      <c r="E968" s="43" t="s">
        <v>3088</v>
      </c>
      <c r="F968" s="43" t="s">
        <v>3089</v>
      </c>
      <c r="G968" s="46">
        <f t="shared" si="242"/>
        <v>4226.9606000000003</v>
      </c>
      <c r="H968" s="46">
        <f t="shared" si="243"/>
        <v>3750.1388250000009</v>
      </c>
      <c r="I968" s="28" t="s">
        <v>262</v>
      </c>
      <c r="J968" s="337">
        <v>1</v>
      </c>
      <c r="K968" s="46">
        <f t="shared" si="244"/>
        <v>4226.9606000000003</v>
      </c>
      <c r="L968" s="46">
        <f t="shared" si="245"/>
        <v>3750.1388250000009</v>
      </c>
      <c r="M968" s="338">
        <f t="shared" si="246"/>
        <v>0</v>
      </c>
      <c r="N968" s="43" t="s">
        <v>35</v>
      </c>
      <c r="O968" s="339">
        <v>85176259</v>
      </c>
      <c r="P968" s="340">
        <f>IFERROR(VLOOKUP(O968,NCM!$A$3:$D$99,COLUMN(head_porNCM_IPI)-COLUMN(head_porNCM_NCM)+1,FALSE),"")</f>
        <v>0.15</v>
      </c>
      <c r="Q968" s="43" t="s">
        <v>1865</v>
      </c>
      <c r="R968" s="78" t="s">
        <v>210</v>
      </c>
      <c r="S968" s="341"/>
      <c r="T968" s="28" t="s">
        <v>52</v>
      </c>
      <c r="U968" s="28" t="s">
        <v>3092</v>
      </c>
      <c r="V968" s="548">
        <v>45447</v>
      </c>
      <c r="W968" s="43"/>
      <c r="X968" s="342">
        <f t="shared" si="247"/>
        <v>806.84295652173921</v>
      </c>
      <c r="Y968" s="342">
        <f t="shared" si="248"/>
        <v>672.36913043478216</v>
      </c>
      <c r="Z968" s="46">
        <f t="shared" si="249"/>
        <v>73.960604347826091</v>
      </c>
      <c r="AA968" s="46">
        <f t="shared" si="250"/>
        <v>340.66702608695653</v>
      </c>
      <c r="AB968" s="43"/>
      <c r="AC968" s="44">
        <v>5154.83</v>
      </c>
      <c r="AD968" s="31">
        <v>0.18</v>
      </c>
      <c r="AE968" s="31">
        <v>0.15</v>
      </c>
      <c r="AF968" s="31">
        <v>0</v>
      </c>
      <c r="AG968" s="28" t="s">
        <v>53</v>
      </c>
      <c r="AH968" s="46">
        <f t="shared" si="251"/>
        <v>5928.0544999999993</v>
      </c>
      <c r="AI968" s="43"/>
      <c r="AJ968" s="28" t="s">
        <v>263</v>
      </c>
      <c r="AK968" s="337">
        <v>5.28</v>
      </c>
      <c r="AL968" s="43"/>
      <c r="AM968" s="44">
        <f t="shared" si="252"/>
        <v>0</v>
      </c>
      <c r="AN968" s="43"/>
      <c r="AO968" s="28">
        <f t="shared" si="253"/>
        <v>0</v>
      </c>
      <c r="AP968" s="43"/>
      <c r="AQ968" s="323">
        <f t="shared" si="254"/>
        <v>0</v>
      </c>
      <c r="AR968" s="43"/>
      <c r="AS968" s="44">
        <f t="shared" si="255"/>
        <v>5928.0544999999993</v>
      </c>
    </row>
    <row r="969" spans="1:45" x14ac:dyDescent="0.25">
      <c r="A969" s="28"/>
      <c r="B969" s="43"/>
      <c r="C969" s="43"/>
      <c r="D969" s="43"/>
      <c r="E969" s="43" t="s">
        <v>2698</v>
      </c>
      <c r="F969" s="43" t="s">
        <v>2699</v>
      </c>
      <c r="G969" s="46">
        <f t="shared" si="242"/>
        <v>23169.296271186442</v>
      </c>
      <c r="H969" s="46">
        <f t="shared" si="243"/>
        <v>20733.887288135596</v>
      </c>
      <c r="I969" s="28" t="s">
        <v>262</v>
      </c>
      <c r="J969" s="337">
        <v>1</v>
      </c>
      <c r="K969" s="46">
        <f t="shared" si="244"/>
        <v>23169.296271186442</v>
      </c>
      <c r="L969" s="46">
        <f t="shared" si="245"/>
        <v>20733.887288135596</v>
      </c>
      <c r="M969" s="338">
        <f t="shared" si="246"/>
        <v>0</v>
      </c>
      <c r="N969" s="43" t="s">
        <v>35</v>
      </c>
      <c r="O969" s="339">
        <v>85364900</v>
      </c>
      <c r="P969" s="340">
        <f>IFERROR(VLOOKUP(O969,NCM!$A$3:$D$99,COLUMN(head_porNCM_IPI)-COLUMN(head_porNCM_NCM)+1,FALSE),"")</f>
        <v>3.2500000000000001E-2</v>
      </c>
      <c r="Q969" s="43" t="s">
        <v>1865</v>
      </c>
      <c r="R969" s="78" t="s">
        <v>210</v>
      </c>
      <c r="S969" s="341"/>
      <c r="T969" s="28" t="s">
        <v>52</v>
      </c>
      <c r="U969" s="28" t="s">
        <v>2783</v>
      </c>
      <c r="V969" s="548">
        <v>45394</v>
      </c>
      <c r="W969" s="43"/>
      <c r="X969" s="342">
        <f t="shared" si="247"/>
        <v>3059.999507530677</v>
      </c>
      <c r="Y969" s="342">
        <f t="shared" si="248"/>
        <v>828.74986662288939</v>
      </c>
      <c r="Z969" s="46">
        <f t="shared" si="249"/>
        <v>420.74993228546811</v>
      </c>
      <c r="AA969" s="46">
        <f t="shared" si="250"/>
        <v>1937.9996881027621</v>
      </c>
      <c r="AB969" s="43"/>
      <c r="AC969" s="44">
        <v>26328.745762711864</v>
      </c>
      <c r="AD969" s="31">
        <v>0.12</v>
      </c>
      <c r="AE969" s="31">
        <v>3.2500000000000001E-2</v>
      </c>
      <c r="AF969" s="31">
        <v>0</v>
      </c>
      <c r="AG969" s="28" t="s">
        <v>53</v>
      </c>
      <c r="AH969" s="46">
        <f t="shared" si="251"/>
        <v>27184.43</v>
      </c>
      <c r="AI969" s="43"/>
      <c r="AJ969" s="28" t="s">
        <v>263</v>
      </c>
      <c r="AK969" s="337">
        <v>5.12</v>
      </c>
      <c r="AL969" s="43"/>
      <c r="AM969" s="44">
        <f t="shared" si="252"/>
        <v>0</v>
      </c>
      <c r="AN969" s="43"/>
      <c r="AO969" s="28">
        <f t="shared" si="253"/>
        <v>0</v>
      </c>
      <c r="AP969" s="43"/>
      <c r="AQ969" s="323">
        <f t="shared" si="254"/>
        <v>0</v>
      </c>
      <c r="AR969" s="43"/>
      <c r="AS969" s="44">
        <f t="shared" si="255"/>
        <v>27184.43</v>
      </c>
    </row>
    <row r="970" spans="1:45" x14ac:dyDescent="0.25">
      <c r="A970" s="28"/>
      <c r="B970" s="43"/>
      <c r="C970" s="43"/>
      <c r="D970" s="43"/>
      <c r="E970" s="43" t="s">
        <v>2700</v>
      </c>
      <c r="F970" s="43" t="s">
        <v>2701</v>
      </c>
      <c r="G970" s="46">
        <f t="shared" si="242"/>
        <v>25442.75602905569</v>
      </c>
      <c r="H970" s="46">
        <f t="shared" si="243"/>
        <v>22768.375423728816</v>
      </c>
      <c r="I970" s="28" t="s">
        <v>262</v>
      </c>
      <c r="J970" s="337">
        <v>1</v>
      </c>
      <c r="K970" s="46">
        <f t="shared" si="244"/>
        <v>25442.75602905569</v>
      </c>
      <c r="L970" s="46">
        <f t="shared" si="245"/>
        <v>22768.375423728816</v>
      </c>
      <c r="M970" s="338">
        <f t="shared" si="246"/>
        <v>0</v>
      </c>
      <c r="N970" s="43" t="s">
        <v>35</v>
      </c>
      <c r="O970" s="339">
        <v>85364900</v>
      </c>
      <c r="P970" s="340">
        <f>IFERROR(VLOOKUP(O970,NCM!$A$3:$D$99,COLUMN(head_porNCM_IPI)-COLUMN(head_porNCM_NCM)+1,FALSE),"")</f>
        <v>3.2500000000000001E-2</v>
      </c>
      <c r="Q970" s="43" t="s">
        <v>1865</v>
      </c>
      <c r="R970" s="78" t="s">
        <v>210</v>
      </c>
      <c r="S970" s="341"/>
      <c r="T970" s="28" t="s">
        <v>52</v>
      </c>
      <c r="U970" s="28" t="s">
        <v>2783</v>
      </c>
      <c r="V970" s="548">
        <v>45394</v>
      </c>
      <c r="W970" s="43"/>
      <c r="X970" s="342">
        <f t="shared" si="247"/>
        <v>3360.2583353364325</v>
      </c>
      <c r="Y970" s="342">
        <f t="shared" si="248"/>
        <v>910.06996582028296</v>
      </c>
      <c r="Z970" s="46">
        <f t="shared" si="249"/>
        <v>462.0355211087595</v>
      </c>
      <c r="AA970" s="46">
        <f t="shared" si="250"/>
        <v>2128.1636123797407</v>
      </c>
      <c r="AB970" s="43"/>
      <c r="AC970" s="44">
        <v>28912.222760290555</v>
      </c>
      <c r="AD970" s="31">
        <v>0.12</v>
      </c>
      <c r="AE970" s="31">
        <v>3.2500000000000001E-2</v>
      </c>
      <c r="AF970" s="31">
        <v>0</v>
      </c>
      <c r="AG970" s="28" t="s">
        <v>53</v>
      </c>
      <c r="AH970" s="46">
        <f t="shared" si="251"/>
        <v>29851.87</v>
      </c>
      <c r="AI970" s="43"/>
      <c r="AJ970" s="28" t="s">
        <v>263</v>
      </c>
      <c r="AK970" s="337">
        <v>5.12</v>
      </c>
      <c r="AL970" s="43"/>
      <c r="AM970" s="44">
        <f t="shared" si="252"/>
        <v>0</v>
      </c>
      <c r="AN970" s="43"/>
      <c r="AO970" s="28">
        <f t="shared" si="253"/>
        <v>0</v>
      </c>
      <c r="AP970" s="43"/>
      <c r="AQ970" s="323">
        <f t="shared" si="254"/>
        <v>0</v>
      </c>
      <c r="AR970" s="43"/>
      <c r="AS970" s="44">
        <f t="shared" si="255"/>
        <v>29851.87</v>
      </c>
    </row>
    <row r="971" spans="1:45" x14ac:dyDescent="0.25">
      <c r="A971" s="28"/>
      <c r="B971" s="43"/>
      <c r="C971" s="43"/>
      <c r="D971" s="43"/>
      <c r="E971" s="43" t="s">
        <v>2702</v>
      </c>
      <c r="F971" s="43" t="s">
        <v>2703</v>
      </c>
      <c r="G971" s="46">
        <f t="shared" si="242"/>
        <v>575.30751708428249</v>
      </c>
      <c r="H971" s="46">
        <f t="shared" si="243"/>
        <v>510.4100227790434</v>
      </c>
      <c r="I971" s="28" t="s">
        <v>262</v>
      </c>
      <c r="J971" s="337">
        <v>1</v>
      </c>
      <c r="K971" s="46">
        <f t="shared" si="244"/>
        <v>575.30751708428249</v>
      </c>
      <c r="L971" s="46">
        <f t="shared" si="245"/>
        <v>510.4100227790434</v>
      </c>
      <c r="M971" s="338">
        <f t="shared" si="246"/>
        <v>0</v>
      </c>
      <c r="N971" s="43" t="s">
        <v>35</v>
      </c>
      <c r="O971" s="339">
        <v>85447010</v>
      </c>
      <c r="P971" s="340">
        <f>IFERROR(VLOOKUP(O971,NCM!$A$3:$D$99,COLUMN(head_porNCM_IPI)-COLUMN(head_porNCM_NCM)+1,FALSE),"")</f>
        <v>0.03</v>
      </c>
      <c r="Q971" s="43" t="s">
        <v>1865</v>
      </c>
      <c r="R971" s="78" t="s">
        <v>210</v>
      </c>
      <c r="S971" s="341"/>
      <c r="T971" s="28" t="s">
        <v>52</v>
      </c>
      <c r="U971" s="28" t="s">
        <v>2783</v>
      </c>
      <c r="V971" s="548">
        <v>45394</v>
      </c>
      <c r="W971" s="43"/>
      <c r="X971" s="342">
        <f t="shared" si="247"/>
        <v>115.06789607774971</v>
      </c>
      <c r="Y971" s="342">
        <f t="shared" si="248"/>
        <v>62.328443708781037</v>
      </c>
      <c r="Z971" s="46">
        <f t="shared" si="249"/>
        <v>10.547890473793723</v>
      </c>
      <c r="AA971" s="46">
        <f t="shared" si="250"/>
        <v>48.584222788383208</v>
      </c>
      <c r="AB971" s="43"/>
      <c r="AC971" s="44">
        <v>701.59453302961276</v>
      </c>
      <c r="AD971" s="31">
        <v>0.18</v>
      </c>
      <c r="AE971" s="31">
        <v>9.7500000000000003E-2</v>
      </c>
      <c r="AF971" s="31">
        <v>0</v>
      </c>
      <c r="AG971" s="28" t="s">
        <v>53</v>
      </c>
      <c r="AH971" s="46">
        <f t="shared" si="251"/>
        <v>770</v>
      </c>
      <c r="AI971" s="43"/>
      <c r="AJ971" s="28" t="s">
        <v>263</v>
      </c>
      <c r="AK971" s="337">
        <v>5.12</v>
      </c>
      <c r="AL971" s="43"/>
      <c r="AM971" s="44">
        <f t="shared" si="252"/>
        <v>0</v>
      </c>
      <c r="AN971" s="43"/>
      <c r="AO971" s="28">
        <f t="shared" si="253"/>
        <v>0</v>
      </c>
      <c r="AP971" s="43"/>
      <c r="AQ971" s="323">
        <f t="shared" si="254"/>
        <v>0</v>
      </c>
      <c r="AR971" s="43"/>
      <c r="AS971" s="44">
        <f t="shared" si="255"/>
        <v>770</v>
      </c>
    </row>
    <row r="972" spans="1:45" x14ac:dyDescent="0.25">
      <c r="A972" s="28"/>
      <c r="B972" s="43"/>
      <c r="C972" s="43"/>
      <c r="D972" s="43"/>
      <c r="E972" s="43" t="s">
        <v>2704</v>
      </c>
      <c r="F972" s="43" t="s">
        <v>2705</v>
      </c>
      <c r="G972" s="46">
        <f t="shared" si="242"/>
        <v>1924.3588154897498</v>
      </c>
      <c r="H972" s="46">
        <f t="shared" si="243"/>
        <v>1707.2817539863331</v>
      </c>
      <c r="I972" s="28" t="s">
        <v>262</v>
      </c>
      <c r="J972" s="337">
        <v>1</v>
      </c>
      <c r="K972" s="46">
        <f t="shared" si="244"/>
        <v>1924.3588154897498</v>
      </c>
      <c r="L972" s="46">
        <f t="shared" si="245"/>
        <v>1707.2817539863331</v>
      </c>
      <c r="M972" s="338">
        <f t="shared" si="246"/>
        <v>0</v>
      </c>
      <c r="N972" s="43" t="s">
        <v>35</v>
      </c>
      <c r="O972" s="339">
        <v>85447010</v>
      </c>
      <c r="P972" s="340">
        <f>IFERROR(VLOOKUP(O972,NCM!$A$3:$D$99,COLUMN(head_porNCM_IPI)-COLUMN(head_porNCM_NCM)+1,FALSE),"")</f>
        <v>0.03</v>
      </c>
      <c r="Q972" s="43" t="s">
        <v>1865</v>
      </c>
      <c r="R972" s="78" t="s">
        <v>210</v>
      </c>
      <c r="S972" s="341"/>
      <c r="T972" s="28" t="s">
        <v>52</v>
      </c>
      <c r="U972" s="28" t="s">
        <v>2783</v>
      </c>
      <c r="V972" s="548">
        <v>45394</v>
      </c>
      <c r="W972" s="43"/>
      <c r="X972" s="342">
        <f t="shared" si="247"/>
        <v>384.89314605050834</v>
      </c>
      <c r="Y972" s="342">
        <f t="shared" si="248"/>
        <v>208.48378744402498</v>
      </c>
      <c r="Z972" s="46">
        <f t="shared" si="249"/>
        <v>35.281871721296604</v>
      </c>
      <c r="AA972" s="46">
        <f t="shared" si="250"/>
        <v>162.51043944354797</v>
      </c>
      <c r="AB972" s="43"/>
      <c r="AC972" s="44">
        <v>2346.7790432801826</v>
      </c>
      <c r="AD972" s="31">
        <v>0.18</v>
      </c>
      <c r="AE972" s="31">
        <v>9.7500000000000003E-2</v>
      </c>
      <c r="AF972" s="31">
        <v>0</v>
      </c>
      <c r="AG972" s="28" t="s">
        <v>53</v>
      </c>
      <c r="AH972" s="46">
        <f t="shared" si="251"/>
        <v>2575.59</v>
      </c>
      <c r="AI972" s="43"/>
      <c r="AJ972" s="28" t="s">
        <v>263</v>
      </c>
      <c r="AK972" s="337">
        <v>5.12</v>
      </c>
      <c r="AL972" s="43"/>
      <c r="AM972" s="44">
        <f t="shared" si="252"/>
        <v>0</v>
      </c>
      <c r="AN972" s="43"/>
      <c r="AO972" s="28">
        <f t="shared" si="253"/>
        <v>0</v>
      </c>
      <c r="AP972" s="43"/>
      <c r="AQ972" s="323">
        <f t="shared" si="254"/>
        <v>0</v>
      </c>
      <c r="AR972" s="43"/>
      <c r="AS972" s="44">
        <f t="shared" si="255"/>
        <v>2575.59</v>
      </c>
    </row>
    <row r="973" spans="1:45" x14ac:dyDescent="0.25">
      <c r="A973" s="28"/>
      <c r="B973" s="43"/>
      <c r="C973" s="43"/>
      <c r="D973" s="43"/>
      <c r="E973" s="43" t="s">
        <v>2706</v>
      </c>
      <c r="F973" s="43" t="s">
        <v>2707</v>
      </c>
      <c r="G973" s="46">
        <f t="shared" si="242"/>
        <v>17792.625239179957</v>
      </c>
      <c r="H973" s="46">
        <f t="shared" si="243"/>
        <v>15785.530318906611</v>
      </c>
      <c r="I973" s="28" t="s">
        <v>262</v>
      </c>
      <c r="J973" s="337">
        <v>1</v>
      </c>
      <c r="K973" s="46">
        <f t="shared" si="244"/>
        <v>17792.625239179957</v>
      </c>
      <c r="L973" s="46">
        <f t="shared" si="245"/>
        <v>15785.530318906611</v>
      </c>
      <c r="M973" s="338">
        <f t="shared" si="246"/>
        <v>0</v>
      </c>
      <c r="N973" s="43" t="s">
        <v>668</v>
      </c>
      <c r="O973" s="339">
        <v>85371020</v>
      </c>
      <c r="P973" s="340">
        <f>IFERROR(VLOOKUP(O973,NCM!$A$3:$D$99,COLUMN(head_porNCM_IPI)-COLUMN(head_porNCM_NCM)+1,FALSE),"")</f>
        <v>9.7500000000000003E-2</v>
      </c>
      <c r="Q973" s="43" t="s">
        <v>1865</v>
      </c>
      <c r="R973" s="78" t="s">
        <v>210</v>
      </c>
      <c r="S973" s="341"/>
      <c r="T973" s="28" t="s">
        <v>52</v>
      </c>
      <c r="U973" s="28" t="s">
        <v>2781</v>
      </c>
      <c r="V973" s="548">
        <v>45272</v>
      </c>
      <c r="W973" s="43"/>
      <c r="X973" s="342">
        <f t="shared" si="247"/>
        <v>3558.7227546556946</v>
      </c>
      <c r="Y973" s="342">
        <f t="shared" si="248"/>
        <v>1927.6414921051655</v>
      </c>
      <c r="Z973" s="46">
        <f t="shared" si="249"/>
        <v>326.21625251010539</v>
      </c>
      <c r="AA973" s="46">
        <f t="shared" si="250"/>
        <v>1502.5718297435155</v>
      </c>
      <c r="AB973" s="43"/>
      <c r="AC973" s="44">
        <v>21698.323462414581</v>
      </c>
      <c r="AD973" s="31">
        <v>0.18</v>
      </c>
      <c r="AE973" s="31">
        <v>9.7500000000000003E-2</v>
      </c>
      <c r="AF973" s="31">
        <v>0</v>
      </c>
      <c r="AG973" s="28" t="s">
        <v>53</v>
      </c>
      <c r="AH973" s="46">
        <f t="shared" si="251"/>
        <v>23813.91</v>
      </c>
      <c r="AI973" s="43"/>
      <c r="AJ973" s="28" t="s">
        <v>263</v>
      </c>
      <c r="AK973" s="337">
        <v>4.96</v>
      </c>
      <c r="AL973" s="43"/>
      <c r="AM973" s="44">
        <f t="shared" si="252"/>
        <v>0</v>
      </c>
      <c r="AN973" s="43"/>
      <c r="AO973" s="28">
        <f t="shared" si="253"/>
        <v>0</v>
      </c>
      <c r="AP973" s="43"/>
      <c r="AQ973" s="323">
        <f t="shared" si="254"/>
        <v>0</v>
      </c>
      <c r="AR973" s="43"/>
      <c r="AS973" s="44">
        <f t="shared" si="255"/>
        <v>23813.91</v>
      </c>
    </row>
    <row r="974" spans="1:45" x14ac:dyDescent="0.25">
      <c r="A974" s="28"/>
      <c r="B974" s="43"/>
      <c r="C974" s="43"/>
      <c r="D974" s="43"/>
      <c r="E974" s="43" t="s">
        <v>2258</v>
      </c>
      <c r="F974" s="43" t="s">
        <v>2708</v>
      </c>
      <c r="G974" s="46">
        <f t="shared" si="242"/>
        <v>14928.243826879274</v>
      </c>
      <c r="H974" s="46">
        <f t="shared" si="243"/>
        <v>13244.265102505698</v>
      </c>
      <c r="I974" s="28" t="s">
        <v>262</v>
      </c>
      <c r="J974" s="337">
        <v>1</v>
      </c>
      <c r="K974" s="46">
        <f t="shared" si="244"/>
        <v>14928.243826879274</v>
      </c>
      <c r="L974" s="46">
        <f t="shared" si="245"/>
        <v>13244.265102505698</v>
      </c>
      <c r="M974" s="338">
        <f t="shared" si="246"/>
        <v>0</v>
      </c>
      <c r="N974" s="43" t="s">
        <v>35</v>
      </c>
      <c r="O974" s="339">
        <v>85371020</v>
      </c>
      <c r="P974" s="340">
        <f>IFERROR(VLOOKUP(O974,NCM!$A$3:$D$99,COLUMN(head_porNCM_IPI)-COLUMN(head_porNCM_NCM)+1,FALSE),"")</f>
        <v>9.7500000000000003E-2</v>
      </c>
      <c r="Q974" s="43" t="s">
        <v>1865</v>
      </c>
      <c r="R974" s="78" t="s">
        <v>210</v>
      </c>
      <c r="S974" s="341"/>
      <c r="T974" s="28" t="s">
        <v>52</v>
      </c>
      <c r="U974" s="28" t="s">
        <v>2784</v>
      </c>
      <c r="V974" s="548">
        <v>45247</v>
      </c>
      <c r="W974" s="43"/>
      <c r="X974" s="342">
        <f t="shared" si="247"/>
        <v>2985.8146439671859</v>
      </c>
      <c r="Y974" s="342">
        <f t="shared" si="248"/>
        <v>1617.3162654822263</v>
      </c>
      <c r="Z974" s="46">
        <f t="shared" si="249"/>
        <v>273.69967569699207</v>
      </c>
      <c r="AA974" s="46">
        <f t="shared" si="250"/>
        <v>1260.6772941194783</v>
      </c>
      <c r="AB974" s="43"/>
      <c r="AC974" s="44">
        <v>18205.175398633259</v>
      </c>
      <c r="AD974" s="31">
        <v>0.18</v>
      </c>
      <c r="AE974" s="31">
        <v>9.7500000000000003E-2</v>
      </c>
      <c r="AF974" s="31">
        <v>0</v>
      </c>
      <c r="AG974" s="28" t="s">
        <v>53</v>
      </c>
      <c r="AH974" s="46">
        <f t="shared" si="251"/>
        <v>19980.18</v>
      </c>
      <c r="AI974" s="43"/>
      <c r="AJ974" s="28" t="s">
        <v>263</v>
      </c>
      <c r="AK974" s="337">
        <v>4.9000000000000004</v>
      </c>
      <c r="AL974" s="43"/>
      <c r="AM974" s="44">
        <f t="shared" si="252"/>
        <v>0</v>
      </c>
      <c r="AN974" s="43"/>
      <c r="AO974" s="28">
        <f t="shared" si="253"/>
        <v>0</v>
      </c>
      <c r="AP974" s="43"/>
      <c r="AQ974" s="323">
        <f t="shared" si="254"/>
        <v>0</v>
      </c>
      <c r="AR974" s="43"/>
      <c r="AS974" s="44">
        <f t="shared" si="255"/>
        <v>19980.18</v>
      </c>
    </row>
    <row r="975" spans="1:45" x14ac:dyDescent="0.25">
      <c r="A975" s="28"/>
      <c r="B975" s="43"/>
      <c r="C975" s="43"/>
      <c r="D975" s="43"/>
      <c r="E975" s="43" t="s">
        <v>2709</v>
      </c>
      <c r="F975" s="43" t="s">
        <v>2710</v>
      </c>
      <c r="G975" s="46">
        <f t="shared" si="242"/>
        <v>8585.7698405466981</v>
      </c>
      <c r="H975" s="46">
        <f t="shared" si="243"/>
        <v>7617.2531207289312</v>
      </c>
      <c r="I975" s="28" t="s">
        <v>262</v>
      </c>
      <c r="J975" s="337">
        <v>1</v>
      </c>
      <c r="K975" s="46">
        <f t="shared" si="244"/>
        <v>8585.7698405466981</v>
      </c>
      <c r="L975" s="46">
        <f t="shared" si="245"/>
        <v>7617.2531207289312</v>
      </c>
      <c r="M975" s="338">
        <f t="shared" si="246"/>
        <v>0</v>
      </c>
      <c r="N975" s="43" t="s">
        <v>668</v>
      </c>
      <c r="O975" s="339">
        <v>85371020</v>
      </c>
      <c r="P975" s="340">
        <f>IFERROR(VLOOKUP(O975,NCM!$A$3:$D$99,COLUMN(head_porNCM_IPI)-COLUMN(head_porNCM_NCM)+1,FALSE),"")</f>
        <v>9.7500000000000003E-2</v>
      </c>
      <c r="Q975" s="43" t="s">
        <v>1865</v>
      </c>
      <c r="R975" s="78" t="s">
        <v>210</v>
      </c>
      <c r="S975" s="341"/>
      <c r="T975" s="28" t="s">
        <v>52</v>
      </c>
      <c r="U975" s="28" t="s">
        <v>2784</v>
      </c>
      <c r="V975" s="548">
        <v>45247</v>
      </c>
      <c r="W975" s="43"/>
      <c r="X975" s="342">
        <f t="shared" si="247"/>
        <v>1717.2493708521645</v>
      </c>
      <c r="Y975" s="342">
        <f t="shared" si="248"/>
        <v>930.17674254492158</v>
      </c>
      <c r="Z975" s="46">
        <f t="shared" si="249"/>
        <v>157.41452566144844</v>
      </c>
      <c r="AA975" s="46">
        <f t="shared" si="250"/>
        <v>725.06084547091393</v>
      </c>
      <c r="AB975" s="43"/>
      <c r="AC975" s="44">
        <v>10470.451025056947</v>
      </c>
      <c r="AD975" s="31">
        <v>0.18</v>
      </c>
      <c r="AE975" s="31">
        <v>9.7500000000000003E-2</v>
      </c>
      <c r="AF975" s="31">
        <v>0</v>
      </c>
      <c r="AG975" s="28" t="s">
        <v>53</v>
      </c>
      <c r="AH975" s="46">
        <f t="shared" si="251"/>
        <v>11491.32</v>
      </c>
      <c r="AI975" s="43"/>
      <c r="AJ975" s="28" t="s">
        <v>263</v>
      </c>
      <c r="AK975" s="337">
        <v>4.9000000000000004</v>
      </c>
      <c r="AL975" s="43"/>
      <c r="AM975" s="44">
        <f t="shared" si="252"/>
        <v>0</v>
      </c>
      <c r="AN975" s="43"/>
      <c r="AO975" s="28">
        <f t="shared" si="253"/>
        <v>0</v>
      </c>
      <c r="AP975" s="43"/>
      <c r="AQ975" s="323">
        <f t="shared" si="254"/>
        <v>0</v>
      </c>
      <c r="AR975" s="43"/>
      <c r="AS975" s="44">
        <f t="shared" si="255"/>
        <v>11491.32</v>
      </c>
    </row>
    <row r="976" spans="1:45" x14ac:dyDescent="0.25">
      <c r="A976" s="28"/>
      <c r="B976" s="43"/>
      <c r="C976" s="43"/>
      <c r="D976" s="43"/>
      <c r="E976" s="43" t="s">
        <v>2711</v>
      </c>
      <c r="F976" s="43" t="s">
        <v>2712</v>
      </c>
      <c r="G976" s="46">
        <f t="shared" si="242"/>
        <v>29054.840563380283</v>
      </c>
      <c r="H976" s="46">
        <f t="shared" si="243"/>
        <v>25777.312816901413</v>
      </c>
      <c r="I976" s="28" t="s">
        <v>262</v>
      </c>
      <c r="J976" s="337">
        <v>1</v>
      </c>
      <c r="K976" s="46">
        <f t="shared" si="244"/>
        <v>29054.840563380283</v>
      </c>
      <c r="L976" s="46">
        <f t="shared" si="245"/>
        <v>25777.312816901413</v>
      </c>
      <c r="M976" s="338">
        <f t="shared" si="246"/>
        <v>0</v>
      </c>
      <c r="N976" s="43" t="s">
        <v>668</v>
      </c>
      <c r="O976" s="339">
        <v>85437099</v>
      </c>
      <c r="P976" s="340">
        <f>IFERROR(VLOOKUP(O976,NCM!$A$3:$D$99,COLUMN(head_porNCM_IPI)-COLUMN(head_porNCM_NCM)+1,FALSE),"")</f>
        <v>6.5000000000000002E-2</v>
      </c>
      <c r="Q976" s="43" t="s">
        <v>1865</v>
      </c>
      <c r="R976" s="78" t="s">
        <v>210</v>
      </c>
      <c r="S976" s="341"/>
      <c r="T976" s="28" t="s">
        <v>52</v>
      </c>
      <c r="U976" s="28" t="s">
        <v>2784</v>
      </c>
      <c r="V976" s="548">
        <v>45247</v>
      </c>
      <c r="W976" s="43"/>
      <c r="X976" s="342">
        <f t="shared" si="247"/>
        <v>5988.6308272168217</v>
      </c>
      <c r="Y976" s="342">
        <f t="shared" si="248"/>
        <v>2162.5611320505195</v>
      </c>
      <c r="Z976" s="46">
        <f t="shared" si="249"/>
        <v>548.95782582820868</v>
      </c>
      <c r="AA976" s="46">
        <f t="shared" si="250"/>
        <v>2528.5330159359914</v>
      </c>
      <c r="AB976" s="43"/>
      <c r="AC976" s="44">
        <v>35432.732394366198</v>
      </c>
      <c r="AD976" s="31">
        <v>0.18</v>
      </c>
      <c r="AE976" s="31">
        <v>6.5000000000000002E-2</v>
      </c>
      <c r="AF976" s="31">
        <v>0</v>
      </c>
      <c r="AG976" s="28" t="s">
        <v>53</v>
      </c>
      <c r="AH976" s="46">
        <f t="shared" si="251"/>
        <v>37735.86</v>
      </c>
      <c r="AI976" s="43"/>
      <c r="AJ976" s="28" t="s">
        <v>263</v>
      </c>
      <c r="AK976" s="337">
        <v>4.9000000000000004</v>
      </c>
      <c r="AL976" s="43"/>
      <c r="AM976" s="44">
        <f t="shared" si="252"/>
        <v>0</v>
      </c>
      <c r="AN976" s="43"/>
      <c r="AO976" s="28">
        <f t="shared" si="253"/>
        <v>0</v>
      </c>
      <c r="AP976" s="43"/>
      <c r="AQ976" s="323">
        <f t="shared" si="254"/>
        <v>0</v>
      </c>
      <c r="AR976" s="43"/>
      <c r="AS976" s="44">
        <f t="shared" si="255"/>
        <v>37735.86</v>
      </c>
    </row>
    <row r="977" spans="1:45" x14ac:dyDescent="0.25">
      <c r="A977" s="28"/>
      <c r="B977" s="43"/>
      <c r="C977" s="43"/>
      <c r="D977" s="43"/>
      <c r="E977" s="43" t="s">
        <v>2713</v>
      </c>
      <c r="F977" s="43" t="s">
        <v>2714</v>
      </c>
      <c r="G977" s="46">
        <f t="shared" si="242"/>
        <v>50351.664976525826</v>
      </c>
      <c r="H977" s="46">
        <f t="shared" si="243"/>
        <v>44671.751549295783</v>
      </c>
      <c r="I977" s="28" t="s">
        <v>262</v>
      </c>
      <c r="J977" s="337">
        <v>1</v>
      </c>
      <c r="K977" s="46">
        <f t="shared" si="244"/>
        <v>50351.664976525826</v>
      </c>
      <c r="L977" s="46">
        <f t="shared" si="245"/>
        <v>44671.751549295783</v>
      </c>
      <c r="M977" s="338">
        <f t="shared" si="246"/>
        <v>0</v>
      </c>
      <c r="N977" s="43" t="s">
        <v>668</v>
      </c>
      <c r="O977" s="339">
        <v>85437099</v>
      </c>
      <c r="P977" s="340">
        <f>IFERROR(VLOOKUP(O977,NCM!$A$3:$D$99,COLUMN(head_porNCM_IPI)-COLUMN(head_porNCM_NCM)+1,FALSE),"")</f>
        <v>6.5000000000000002E-2</v>
      </c>
      <c r="Q977" s="43" t="s">
        <v>1865</v>
      </c>
      <c r="R977" s="78" t="s">
        <v>210</v>
      </c>
      <c r="S977" s="341"/>
      <c r="T977" s="28" t="s">
        <v>52</v>
      </c>
      <c r="U977" s="28" t="s">
        <v>2782</v>
      </c>
      <c r="V977" s="548">
        <v>45223</v>
      </c>
      <c r="W977" s="43"/>
      <c r="X977" s="342">
        <f t="shared" si="247"/>
        <v>10378.220194405872</v>
      </c>
      <c r="Y977" s="342">
        <f t="shared" si="248"/>
        <v>3747.6906257576702</v>
      </c>
      <c r="Z977" s="46">
        <f t="shared" si="249"/>
        <v>951.33685115387175</v>
      </c>
      <c r="AA977" s="46">
        <f t="shared" si="250"/>
        <v>4381.9151931935912</v>
      </c>
      <c r="AB977" s="43"/>
      <c r="AC977" s="44">
        <v>61404.469483568078</v>
      </c>
      <c r="AD977" s="31">
        <v>0.18</v>
      </c>
      <c r="AE977" s="31">
        <v>6.5000000000000002E-2</v>
      </c>
      <c r="AF977" s="31">
        <v>0</v>
      </c>
      <c r="AG977" s="28" t="s">
        <v>53</v>
      </c>
      <c r="AH977" s="46">
        <f t="shared" si="251"/>
        <v>65395.76</v>
      </c>
      <c r="AI977" s="43"/>
      <c r="AJ977" s="28" t="s">
        <v>263</v>
      </c>
      <c r="AK977" s="337">
        <v>5</v>
      </c>
      <c r="AL977" s="43"/>
      <c r="AM977" s="44">
        <f t="shared" si="252"/>
        <v>0</v>
      </c>
      <c r="AN977" s="43"/>
      <c r="AO977" s="28">
        <f t="shared" si="253"/>
        <v>0</v>
      </c>
      <c r="AP977" s="43"/>
      <c r="AQ977" s="323">
        <f t="shared" si="254"/>
        <v>0</v>
      </c>
      <c r="AR977" s="43"/>
      <c r="AS977" s="44">
        <f t="shared" si="255"/>
        <v>65395.76</v>
      </c>
    </row>
    <row r="978" spans="1:45" x14ac:dyDescent="0.25">
      <c r="A978" s="28"/>
      <c r="B978" s="43"/>
      <c r="C978" s="43"/>
      <c r="D978" s="43"/>
      <c r="E978" s="43" t="s">
        <v>2715</v>
      </c>
      <c r="F978" s="43" t="s">
        <v>2716</v>
      </c>
      <c r="G978" s="46">
        <f t="shared" si="242"/>
        <v>5870.8227230046959</v>
      </c>
      <c r="H978" s="46">
        <f t="shared" si="243"/>
        <v>5208.565281690142</v>
      </c>
      <c r="I978" s="28" t="s">
        <v>262</v>
      </c>
      <c r="J978" s="337">
        <v>1</v>
      </c>
      <c r="K978" s="46">
        <f t="shared" si="244"/>
        <v>5870.8227230046959</v>
      </c>
      <c r="L978" s="46">
        <f t="shared" si="245"/>
        <v>5208.565281690142</v>
      </c>
      <c r="M978" s="338">
        <f t="shared" si="246"/>
        <v>0</v>
      </c>
      <c r="N978" s="43" t="s">
        <v>668</v>
      </c>
      <c r="O978" s="339">
        <v>85437099</v>
      </c>
      <c r="P978" s="340">
        <f>IFERROR(VLOOKUP(O978,NCM!$A$3:$D$99,COLUMN(head_porNCM_IPI)-COLUMN(head_porNCM_NCM)+1,FALSE),"")</f>
        <v>6.5000000000000002E-2</v>
      </c>
      <c r="Q978" s="43" t="s">
        <v>1865</v>
      </c>
      <c r="R978" s="78" t="s">
        <v>210</v>
      </c>
      <c r="S978" s="341"/>
      <c r="T978" s="28" t="s">
        <v>52</v>
      </c>
      <c r="U978" s="28" t="s">
        <v>2781</v>
      </c>
      <c r="V978" s="548">
        <v>45272</v>
      </c>
      <c r="W978" s="43"/>
      <c r="X978" s="342">
        <f t="shared" si="247"/>
        <v>1210.0630827216821</v>
      </c>
      <c r="Y978" s="342">
        <f t="shared" si="248"/>
        <v>436.96722431616308</v>
      </c>
      <c r="Z978" s="46">
        <f t="shared" si="249"/>
        <v>110.92244924948754</v>
      </c>
      <c r="AA978" s="46">
        <f t="shared" si="250"/>
        <v>510.91552381582136</v>
      </c>
      <c r="AB978" s="43"/>
      <c r="AC978" s="44">
        <v>7159.5399061032867</v>
      </c>
      <c r="AD978" s="31">
        <v>0.18</v>
      </c>
      <c r="AE978" s="31">
        <v>6.5000000000000002E-2</v>
      </c>
      <c r="AF978" s="31">
        <v>0</v>
      </c>
      <c r="AG978" s="28" t="s">
        <v>53</v>
      </c>
      <c r="AH978" s="46">
        <f t="shared" si="251"/>
        <v>7624.91</v>
      </c>
      <c r="AI978" s="43"/>
      <c r="AJ978" s="28" t="s">
        <v>263</v>
      </c>
      <c r="AK978" s="337">
        <v>4.96</v>
      </c>
      <c r="AL978" s="43"/>
      <c r="AM978" s="44">
        <f t="shared" si="252"/>
        <v>0</v>
      </c>
      <c r="AN978" s="43"/>
      <c r="AO978" s="28">
        <f t="shared" si="253"/>
        <v>0</v>
      </c>
      <c r="AP978" s="43"/>
      <c r="AQ978" s="323">
        <f t="shared" si="254"/>
        <v>0</v>
      </c>
      <c r="AR978" s="43"/>
      <c r="AS978" s="44">
        <f t="shared" si="255"/>
        <v>7624.91</v>
      </c>
    </row>
    <row r="979" spans="1:45" x14ac:dyDescent="0.25">
      <c r="A979" s="28"/>
      <c r="B979" s="43"/>
      <c r="C979" s="43"/>
      <c r="D979" s="43"/>
      <c r="E979" s="43" t="s">
        <v>2717</v>
      </c>
      <c r="F979" s="43" t="s">
        <v>2718</v>
      </c>
      <c r="G979" s="46">
        <f t="shared" si="242"/>
        <v>59370.159199999995</v>
      </c>
      <c r="H979" s="46">
        <f t="shared" si="243"/>
        <v>53129.545875000003</v>
      </c>
      <c r="I979" s="28" t="s">
        <v>262</v>
      </c>
      <c r="J979" s="337">
        <v>1</v>
      </c>
      <c r="K979" s="46">
        <f t="shared" si="244"/>
        <v>59370.159199999995</v>
      </c>
      <c r="L979" s="46">
        <f t="shared" si="245"/>
        <v>53129.545875000003</v>
      </c>
      <c r="M979" s="338">
        <f t="shared" si="246"/>
        <v>0</v>
      </c>
      <c r="N979" s="43" t="s">
        <v>35</v>
      </c>
      <c r="O979" s="339">
        <v>85364900</v>
      </c>
      <c r="P979" s="340">
        <f>IFERROR(VLOOKUP(O979,NCM!$A$3:$D$99,COLUMN(head_porNCM_IPI)-COLUMN(head_porNCM_NCM)+1,FALSE),"")</f>
        <v>3.2500000000000001E-2</v>
      </c>
      <c r="Q979" s="43" t="s">
        <v>1865</v>
      </c>
      <c r="R979" s="78" t="s">
        <v>210</v>
      </c>
      <c r="S979" s="341"/>
      <c r="T979" s="28" t="s">
        <v>52</v>
      </c>
      <c r="U979" s="28" t="s">
        <v>2785</v>
      </c>
      <c r="V979" s="548">
        <v>45218</v>
      </c>
      <c r="W979" s="43"/>
      <c r="X979" s="342">
        <f t="shared" si="247"/>
        <v>7841.095205811137</v>
      </c>
      <c r="Y979" s="342">
        <f t="shared" si="248"/>
        <v>2123.6299515738501</v>
      </c>
      <c r="Z979" s="46">
        <f t="shared" si="249"/>
        <v>1078.1505907990315</v>
      </c>
      <c r="AA979" s="46">
        <f t="shared" si="250"/>
        <v>4966.0269636803869</v>
      </c>
      <c r="AB979" s="43"/>
      <c r="AC979" s="44">
        <v>67466.09</v>
      </c>
      <c r="AD979" s="31">
        <v>0.12</v>
      </c>
      <c r="AE979" s="31">
        <v>3.2500000000000001E-2</v>
      </c>
      <c r="AF979" s="31">
        <v>0</v>
      </c>
      <c r="AG979" s="28" t="s">
        <v>53</v>
      </c>
      <c r="AH979" s="46">
        <f t="shared" si="251"/>
        <v>69658.737924999994</v>
      </c>
      <c r="AI979" s="43"/>
      <c r="AJ979" s="28" t="s">
        <v>263</v>
      </c>
      <c r="AK979" s="337">
        <v>5.0599999999999996</v>
      </c>
      <c r="AL979" s="43"/>
      <c r="AM979" s="44">
        <f t="shared" si="252"/>
        <v>0</v>
      </c>
      <c r="AN979" s="43"/>
      <c r="AO979" s="28">
        <f t="shared" si="253"/>
        <v>0</v>
      </c>
      <c r="AP979" s="43"/>
      <c r="AQ979" s="323">
        <f t="shared" si="254"/>
        <v>0</v>
      </c>
      <c r="AR979" s="43"/>
      <c r="AS979" s="44">
        <f t="shared" si="255"/>
        <v>69658.737924999994</v>
      </c>
    </row>
    <row r="980" spans="1:45" x14ac:dyDescent="0.25">
      <c r="A980" s="28"/>
      <c r="B980" s="43"/>
      <c r="C980" s="43"/>
      <c r="D980" s="43"/>
      <c r="E980" s="43" t="s">
        <v>2719</v>
      </c>
      <c r="F980" s="43" t="s">
        <v>2720</v>
      </c>
      <c r="G980" s="46">
        <f t="shared" si="242"/>
        <v>33442.618496583149</v>
      </c>
      <c r="H980" s="46">
        <f t="shared" si="243"/>
        <v>29670.1279954442</v>
      </c>
      <c r="I980" s="28" t="s">
        <v>262</v>
      </c>
      <c r="J980" s="337">
        <v>1</v>
      </c>
      <c r="K980" s="46">
        <f t="shared" si="244"/>
        <v>33442.618496583149</v>
      </c>
      <c r="L980" s="46">
        <f t="shared" si="245"/>
        <v>29670.1279954442</v>
      </c>
      <c r="M980" s="338">
        <f t="shared" si="246"/>
        <v>0</v>
      </c>
      <c r="N980" s="43" t="s">
        <v>35</v>
      </c>
      <c r="O980" s="339">
        <v>85371020</v>
      </c>
      <c r="P980" s="340">
        <f>IFERROR(VLOOKUP(O980,NCM!$A$3:$D$99,COLUMN(head_porNCM_IPI)-COLUMN(head_porNCM_NCM)+1,FALSE),"")</f>
        <v>9.7500000000000003E-2</v>
      </c>
      <c r="Q980" s="43" t="s">
        <v>1865</v>
      </c>
      <c r="R980" s="78" t="s">
        <v>210</v>
      </c>
      <c r="S980" s="341"/>
      <c r="T980" s="28" t="s">
        <v>52</v>
      </c>
      <c r="U980" s="28" t="s">
        <v>2786</v>
      </c>
      <c r="V980" s="548">
        <v>45139</v>
      </c>
      <c r="W980" s="43"/>
      <c r="X980" s="342">
        <f t="shared" si="247"/>
        <v>6688.8953046113302</v>
      </c>
      <c r="Y980" s="342">
        <f t="shared" si="248"/>
        <v>3623.151623331134</v>
      </c>
      <c r="Z980" s="46">
        <f t="shared" si="249"/>
        <v>613.14873625603866</v>
      </c>
      <c r="AA980" s="46">
        <f t="shared" si="250"/>
        <v>2824.2002397247838</v>
      </c>
      <c r="AB980" s="43"/>
      <c r="AC980" s="44">
        <v>40783.68109339408</v>
      </c>
      <c r="AD980" s="31">
        <v>0.18</v>
      </c>
      <c r="AE980" s="31">
        <v>9.7500000000000003E-2</v>
      </c>
      <c r="AF980" s="31">
        <v>0</v>
      </c>
      <c r="AG980" s="28" t="s">
        <v>53</v>
      </c>
      <c r="AH980" s="46">
        <f t="shared" si="251"/>
        <v>44760.09</v>
      </c>
      <c r="AI980" s="43"/>
      <c r="AJ980" s="28" t="s">
        <v>263</v>
      </c>
      <c r="AK980" s="337">
        <v>3.77</v>
      </c>
      <c r="AL980" s="43"/>
      <c r="AM980" s="44">
        <f t="shared" si="252"/>
        <v>0</v>
      </c>
      <c r="AN980" s="43"/>
      <c r="AO980" s="28">
        <f t="shared" si="253"/>
        <v>0</v>
      </c>
      <c r="AP980" s="43"/>
      <c r="AQ980" s="323">
        <f t="shared" si="254"/>
        <v>0</v>
      </c>
      <c r="AR980" s="43"/>
      <c r="AS980" s="44">
        <f t="shared" si="255"/>
        <v>44760.09</v>
      </c>
    </row>
    <row r="981" spans="1:45" x14ac:dyDescent="0.25">
      <c r="A981" s="28"/>
      <c r="B981" s="43"/>
      <c r="C981" s="43"/>
      <c r="D981" s="43"/>
      <c r="E981" s="43" t="s">
        <v>2721</v>
      </c>
      <c r="F981" s="43" t="s">
        <v>2722</v>
      </c>
      <c r="G981" s="46">
        <f t="shared" si="242"/>
        <v>94488.75777239709</v>
      </c>
      <c r="H981" s="46">
        <f t="shared" si="243"/>
        <v>84556.700847457629</v>
      </c>
      <c r="I981" s="28" t="s">
        <v>262</v>
      </c>
      <c r="J981" s="337">
        <v>1</v>
      </c>
      <c r="K981" s="46">
        <f t="shared" si="244"/>
        <v>94488.75777239709</v>
      </c>
      <c r="L981" s="46">
        <f t="shared" si="245"/>
        <v>84556.700847457629</v>
      </c>
      <c r="M981" s="338">
        <f t="shared" si="246"/>
        <v>0</v>
      </c>
      <c r="N981" s="43" t="s">
        <v>35</v>
      </c>
      <c r="O981" s="339">
        <v>85364900</v>
      </c>
      <c r="P981" s="340">
        <f>IFERROR(VLOOKUP(O981,NCM!$A$3:$D$99,COLUMN(head_porNCM_IPI)-COLUMN(head_porNCM_NCM)+1,FALSE),"")</f>
        <v>3.2500000000000001E-2</v>
      </c>
      <c r="Q981" s="43" t="s">
        <v>1865</v>
      </c>
      <c r="R981" s="78" t="s">
        <v>210</v>
      </c>
      <c r="S981" s="341"/>
      <c r="T981" s="28" t="s">
        <v>52</v>
      </c>
      <c r="U981" s="28" t="s">
        <v>2787</v>
      </c>
      <c r="V981" s="548">
        <v>45117</v>
      </c>
      <c r="W981" s="43"/>
      <c r="X981" s="342">
        <f t="shared" si="247"/>
        <v>12479.254823561139</v>
      </c>
      <c r="Y981" s="342">
        <f t="shared" si="248"/>
        <v>3379.7981813811348</v>
      </c>
      <c r="Z981" s="46">
        <f t="shared" si="249"/>
        <v>1715.8975382396568</v>
      </c>
      <c r="AA981" s="46">
        <f t="shared" si="250"/>
        <v>7903.5280549220552</v>
      </c>
      <c r="AB981" s="43"/>
      <c r="AC981" s="44">
        <v>107373.58837772397</v>
      </c>
      <c r="AD981" s="31">
        <v>0.12</v>
      </c>
      <c r="AE981" s="31">
        <v>3.2500000000000001E-2</v>
      </c>
      <c r="AF981" s="31">
        <v>0</v>
      </c>
      <c r="AG981" s="28" t="s">
        <v>53</v>
      </c>
      <c r="AH981" s="46">
        <f t="shared" si="251"/>
        <v>110863.23</v>
      </c>
      <c r="AI981" s="43"/>
      <c r="AJ981" s="28" t="s">
        <v>263</v>
      </c>
      <c r="AK981" s="337">
        <v>4.87</v>
      </c>
      <c r="AL981" s="43"/>
      <c r="AM981" s="44">
        <f t="shared" si="252"/>
        <v>0</v>
      </c>
      <c r="AN981" s="43"/>
      <c r="AO981" s="28">
        <f t="shared" si="253"/>
        <v>0</v>
      </c>
      <c r="AP981" s="43"/>
      <c r="AQ981" s="323">
        <f t="shared" si="254"/>
        <v>0</v>
      </c>
      <c r="AR981" s="43"/>
      <c r="AS981" s="44">
        <f t="shared" si="255"/>
        <v>110863.23</v>
      </c>
    </row>
    <row r="982" spans="1:45" x14ac:dyDescent="0.25">
      <c r="A982" s="28"/>
      <c r="B982" s="43"/>
      <c r="C982" s="43"/>
      <c r="D982" s="43"/>
      <c r="E982" s="43" t="s">
        <v>2723</v>
      </c>
      <c r="F982" s="43" t="s">
        <v>2724</v>
      </c>
      <c r="G982" s="46">
        <f t="shared" si="242"/>
        <v>13731.103599088841</v>
      </c>
      <c r="H982" s="46">
        <f t="shared" si="243"/>
        <v>12182.168132118455</v>
      </c>
      <c r="I982" s="28" t="s">
        <v>262</v>
      </c>
      <c r="J982" s="337">
        <v>1</v>
      </c>
      <c r="K982" s="46">
        <f t="shared" si="244"/>
        <v>13731.103599088841</v>
      </c>
      <c r="L982" s="46">
        <f t="shared" si="245"/>
        <v>12182.168132118455</v>
      </c>
      <c r="M982" s="338">
        <f t="shared" si="246"/>
        <v>0</v>
      </c>
      <c r="N982" s="43" t="s">
        <v>35</v>
      </c>
      <c r="O982" s="339">
        <v>85364900</v>
      </c>
      <c r="P982" s="340">
        <f>IFERROR(VLOOKUP(O982,NCM!$A$3:$D$99,COLUMN(head_porNCM_IPI)-COLUMN(head_porNCM_NCM)+1,FALSE),"")</f>
        <v>3.2500000000000001E-2</v>
      </c>
      <c r="Q982" s="43" t="s">
        <v>1865</v>
      </c>
      <c r="R982" s="78" t="s">
        <v>210</v>
      </c>
      <c r="S982" s="341"/>
      <c r="T982" s="28" t="s">
        <v>52</v>
      </c>
      <c r="U982" s="28" t="s">
        <v>2787</v>
      </c>
      <c r="V982" s="548">
        <v>45117</v>
      </c>
      <c r="W982" s="43"/>
      <c r="X982" s="342">
        <f t="shared" si="247"/>
        <v>2746.3732961119968</v>
      </c>
      <c r="Y982" s="342">
        <f t="shared" si="248"/>
        <v>1487.6188687273298</v>
      </c>
      <c r="Z982" s="46">
        <f t="shared" si="249"/>
        <v>251.75088547693304</v>
      </c>
      <c r="AA982" s="46">
        <f t="shared" si="250"/>
        <v>1159.5798361361763</v>
      </c>
      <c r="AB982" s="43"/>
      <c r="AC982" s="44">
        <v>16745.248291571756</v>
      </c>
      <c r="AD982" s="31">
        <v>0.18</v>
      </c>
      <c r="AE982" s="31">
        <v>9.7500000000000003E-2</v>
      </c>
      <c r="AF982" s="31">
        <v>0</v>
      </c>
      <c r="AG982" s="28" t="s">
        <v>53</v>
      </c>
      <c r="AH982" s="46">
        <f t="shared" si="251"/>
        <v>18377.91</v>
      </c>
      <c r="AI982" s="43"/>
      <c r="AJ982" s="28" t="s">
        <v>263</v>
      </c>
      <c r="AK982" s="337">
        <v>4.87</v>
      </c>
      <c r="AL982" s="43"/>
      <c r="AM982" s="44">
        <f t="shared" si="252"/>
        <v>0</v>
      </c>
      <c r="AN982" s="43"/>
      <c r="AO982" s="28">
        <f t="shared" si="253"/>
        <v>0</v>
      </c>
      <c r="AP982" s="43"/>
      <c r="AQ982" s="323">
        <f t="shared" si="254"/>
        <v>0</v>
      </c>
      <c r="AR982" s="43"/>
      <c r="AS982" s="44">
        <f t="shared" si="255"/>
        <v>18377.91</v>
      </c>
    </row>
    <row r="983" spans="1:45" x14ac:dyDescent="0.25">
      <c r="A983" s="28"/>
      <c r="B983" s="43"/>
      <c r="C983" s="43"/>
      <c r="D983" s="43"/>
      <c r="E983" s="43" t="s">
        <v>2257</v>
      </c>
      <c r="F983" s="43" t="s">
        <v>2725</v>
      </c>
      <c r="G983" s="46">
        <f t="shared" si="242"/>
        <v>58367.318934624702</v>
      </c>
      <c r="H983" s="46">
        <f t="shared" si="243"/>
        <v>52232.117796610182</v>
      </c>
      <c r="I983" s="28" t="s">
        <v>262</v>
      </c>
      <c r="J983" s="337">
        <v>1</v>
      </c>
      <c r="K983" s="46">
        <f t="shared" si="244"/>
        <v>58367.318934624702</v>
      </c>
      <c r="L983" s="46">
        <f t="shared" si="245"/>
        <v>52232.117796610182</v>
      </c>
      <c r="M983" s="338">
        <f t="shared" si="246"/>
        <v>0</v>
      </c>
      <c r="N983" s="43" t="s">
        <v>35</v>
      </c>
      <c r="O983" s="339">
        <v>85364900</v>
      </c>
      <c r="P983" s="340">
        <f>IFERROR(VLOOKUP(O983,NCM!$A$3:$D$99,COLUMN(head_porNCM_IPI)-COLUMN(head_porNCM_NCM)+1,FALSE),"")</f>
        <v>3.2500000000000001E-2</v>
      </c>
      <c r="Q983" s="43" t="s">
        <v>1865</v>
      </c>
      <c r="R983" s="78" t="s">
        <v>210</v>
      </c>
      <c r="S983" s="341"/>
      <c r="T983" s="28" t="s">
        <v>52</v>
      </c>
      <c r="U983" s="28" t="s">
        <v>2787</v>
      </c>
      <c r="V983" s="548">
        <v>45117</v>
      </c>
      <c r="W983" s="43"/>
      <c r="X983" s="342">
        <f t="shared" si="247"/>
        <v>7708.648769706102</v>
      </c>
      <c r="Y983" s="342">
        <f t="shared" si="248"/>
        <v>2087.7590417953979</v>
      </c>
      <c r="Z983" s="46">
        <f t="shared" si="249"/>
        <v>1059.9392058345891</v>
      </c>
      <c r="AA983" s="46">
        <f t="shared" si="250"/>
        <v>4882.1442208138651</v>
      </c>
      <c r="AB983" s="43"/>
      <c r="AC983" s="44">
        <v>66326.498789346253</v>
      </c>
      <c r="AD983" s="31">
        <v>0.12</v>
      </c>
      <c r="AE983" s="31">
        <v>3.2500000000000001E-2</v>
      </c>
      <c r="AF983" s="31">
        <v>0</v>
      </c>
      <c r="AG983" s="28" t="s">
        <v>53</v>
      </c>
      <c r="AH983" s="46">
        <f t="shared" si="251"/>
        <v>68482.11</v>
      </c>
      <c r="AI983" s="43"/>
      <c r="AJ983" s="28" t="s">
        <v>263</v>
      </c>
      <c r="AK983" s="337">
        <v>4.87</v>
      </c>
      <c r="AL983" s="43"/>
      <c r="AM983" s="44">
        <f t="shared" si="252"/>
        <v>0</v>
      </c>
      <c r="AN983" s="43"/>
      <c r="AO983" s="28">
        <f t="shared" si="253"/>
        <v>0</v>
      </c>
      <c r="AP983" s="43"/>
      <c r="AQ983" s="323">
        <f t="shared" si="254"/>
        <v>0</v>
      </c>
      <c r="AR983" s="43"/>
      <c r="AS983" s="44">
        <f t="shared" si="255"/>
        <v>68482.11</v>
      </c>
    </row>
    <row r="984" spans="1:45" x14ac:dyDescent="0.25">
      <c r="A984" s="28"/>
      <c r="B984" s="43"/>
      <c r="C984" s="43"/>
      <c r="D984" s="43"/>
      <c r="E984" s="43" t="s">
        <v>2256</v>
      </c>
      <c r="F984" s="43" t="s">
        <v>2726</v>
      </c>
      <c r="G984" s="46">
        <f t="shared" si="242"/>
        <v>88548.800774818403</v>
      </c>
      <c r="H984" s="46">
        <f t="shared" si="243"/>
        <v>80016.754866828094</v>
      </c>
      <c r="I984" s="28" t="s">
        <v>262</v>
      </c>
      <c r="J984" s="337">
        <v>1</v>
      </c>
      <c r="K984" s="46">
        <f t="shared" si="244"/>
        <v>88548.800774818403</v>
      </c>
      <c r="L984" s="46">
        <f t="shared" si="245"/>
        <v>80016.754866828094</v>
      </c>
      <c r="M984" s="338">
        <f t="shared" si="246"/>
        <v>0</v>
      </c>
      <c r="N984" s="43" t="s">
        <v>35</v>
      </c>
      <c r="O984" s="339">
        <v>85364900</v>
      </c>
      <c r="P984" s="340">
        <f>IFERROR(VLOOKUP(O984,NCM!$A$3:$D$99,COLUMN(head_porNCM_IPI)-COLUMN(head_porNCM_NCM)+1,FALSE),"")</f>
        <v>3.2500000000000001E-2</v>
      </c>
      <c r="Q984" s="43" t="s">
        <v>1865</v>
      </c>
      <c r="R984" s="78" t="s">
        <v>210</v>
      </c>
      <c r="S984" s="341"/>
      <c r="T984" s="28" t="s">
        <v>52</v>
      </c>
      <c r="U984" s="28" t="s">
        <v>2291</v>
      </c>
      <c r="V984" s="548">
        <v>44735</v>
      </c>
      <c r="W984" s="43"/>
      <c r="X984" s="342">
        <f t="shared" si="247"/>
        <v>3573.3979328013888</v>
      </c>
      <c r="Y984" s="342">
        <f t="shared" si="248"/>
        <v>2903.3858204011194</v>
      </c>
      <c r="Z984" s="46">
        <f t="shared" si="249"/>
        <v>1474.0266472805729</v>
      </c>
      <c r="AA984" s="46">
        <f t="shared" si="250"/>
        <v>6789.4560723226386</v>
      </c>
      <c r="AB984" s="43"/>
      <c r="AC984" s="44">
        <v>92238.334140435836</v>
      </c>
      <c r="AD984" s="31">
        <v>0.04</v>
      </c>
      <c r="AE984" s="31">
        <v>3.2500000000000001E-2</v>
      </c>
      <c r="AF984" s="31">
        <v>0</v>
      </c>
      <c r="AG984" s="28" t="s">
        <v>53</v>
      </c>
      <c r="AH984" s="46">
        <f t="shared" si="251"/>
        <v>95236.08</v>
      </c>
      <c r="AI984" s="43"/>
      <c r="AJ984" s="28" t="s">
        <v>263</v>
      </c>
      <c r="AK984" s="337">
        <v>5.23</v>
      </c>
      <c r="AL984" s="43"/>
      <c r="AM984" s="44">
        <f t="shared" si="252"/>
        <v>0</v>
      </c>
      <c r="AN984" s="43"/>
      <c r="AO984" s="28">
        <f t="shared" si="253"/>
        <v>0</v>
      </c>
      <c r="AP984" s="43"/>
      <c r="AQ984" s="323">
        <f t="shared" si="254"/>
        <v>0</v>
      </c>
      <c r="AR984" s="43"/>
      <c r="AS984" s="44">
        <f t="shared" si="255"/>
        <v>95236.08</v>
      </c>
    </row>
    <row r="985" spans="1:45" x14ac:dyDescent="0.25">
      <c r="A985" s="28"/>
      <c r="B985" s="43"/>
      <c r="C985" s="43"/>
      <c r="D985" s="43"/>
      <c r="E985" s="43" t="s">
        <v>2257</v>
      </c>
      <c r="F985" s="43" t="s">
        <v>2727</v>
      </c>
      <c r="G985" s="46">
        <f t="shared" si="242"/>
        <v>60511.166295399511</v>
      </c>
      <c r="H985" s="46">
        <f t="shared" si="243"/>
        <v>54680.663292978214</v>
      </c>
      <c r="I985" s="28" t="s">
        <v>262</v>
      </c>
      <c r="J985" s="337">
        <v>1</v>
      </c>
      <c r="K985" s="46">
        <f t="shared" si="244"/>
        <v>60511.166295399511</v>
      </c>
      <c r="L985" s="46">
        <f t="shared" si="245"/>
        <v>54680.663292978214</v>
      </c>
      <c r="M985" s="338">
        <f t="shared" si="246"/>
        <v>0</v>
      </c>
      <c r="N985" s="43" t="s">
        <v>35</v>
      </c>
      <c r="O985" s="339">
        <v>85364900</v>
      </c>
      <c r="P985" s="340">
        <f>IFERROR(VLOOKUP(O985,NCM!$A$3:$D$99,COLUMN(head_porNCM_IPI)-COLUMN(head_porNCM_NCM)+1,FALSE),"")</f>
        <v>3.2500000000000001E-2</v>
      </c>
      <c r="Q985" s="43" t="s">
        <v>1865</v>
      </c>
      <c r="R985" s="78" t="s">
        <v>210</v>
      </c>
      <c r="S985" s="341"/>
      <c r="T985" s="28" t="s">
        <v>52</v>
      </c>
      <c r="U985" s="28" t="s">
        <v>2291</v>
      </c>
      <c r="V985" s="548">
        <v>44735</v>
      </c>
      <c r="W985" s="43"/>
      <c r="X985" s="342">
        <f t="shared" si="247"/>
        <v>2441.9356858514739</v>
      </c>
      <c r="Y985" s="342">
        <f t="shared" si="248"/>
        <v>1984.0727447543177</v>
      </c>
      <c r="Z985" s="46">
        <f t="shared" si="249"/>
        <v>1007.298470413733</v>
      </c>
      <c r="AA985" s="46">
        <f t="shared" si="250"/>
        <v>4639.6778031178001</v>
      </c>
      <c r="AB985" s="43"/>
      <c r="AC985" s="44">
        <v>63032.464891041163</v>
      </c>
      <c r="AD985" s="31">
        <v>0.04</v>
      </c>
      <c r="AE985" s="31">
        <v>3.2500000000000001E-2</v>
      </c>
      <c r="AF985" s="31">
        <v>0</v>
      </c>
      <c r="AG985" s="28" t="s">
        <v>53</v>
      </c>
      <c r="AH985" s="46">
        <f t="shared" si="251"/>
        <v>65081.02</v>
      </c>
      <c r="AI985" s="43"/>
      <c r="AJ985" s="28" t="s">
        <v>263</v>
      </c>
      <c r="AK985" s="337">
        <v>5.23</v>
      </c>
      <c r="AL985" s="43"/>
      <c r="AM985" s="44">
        <f t="shared" si="252"/>
        <v>0</v>
      </c>
      <c r="AN985" s="43"/>
      <c r="AO985" s="28">
        <f t="shared" si="253"/>
        <v>0</v>
      </c>
      <c r="AP985" s="43"/>
      <c r="AQ985" s="323">
        <f t="shared" si="254"/>
        <v>0</v>
      </c>
      <c r="AR985" s="43"/>
      <c r="AS985" s="44">
        <f t="shared" si="255"/>
        <v>65081.02</v>
      </c>
    </row>
    <row r="986" spans="1:45" x14ac:dyDescent="0.25">
      <c r="A986" s="28"/>
      <c r="B986" s="43"/>
      <c r="C986" s="43"/>
      <c r="D986" s="43"/>
      <c r="E986" s="43" t="s">
        <v>2259</v>
      </c>
      <c r="F986" s="43" t="s">
        <v>2728</v>
      </c>
      <c r="G986" s="46">
        <f t="shared" si="242"/>
        <v>102709.7308428246</v>
      </c>
      <c r="H986" s="46">
        <f t="shared" si="243"/>
        <v>92813.22031890662</v>
      </c>
      <c r="I986" s="28" t="s">
        <v>262</v>
      </c>
      <c r="J986" s="337">
        <v>1</v>
      </c>
      <c r="K986" s="46">
        <f t="shared" si="244"/>
        <v>102709.7308428246</v>
      </c>
      <c r="L986" s="46">
        <f t="shared" si="245"/>
        <v>92813.22031890662</v>
      </c>
      <c r="M986" s="338">
        <f t="shared" si="246"/>
        <v>0</v>
      </c>
      <c r="N986" s="43" t="s">
        <v>668</v>
      </c>
      <c r="O986" s="339">
        <v>85371020</v>
      </c>
      <c r="P986" s="340">
        <f>IFERROR(VLOOKUP(O986,NCM!$A$3:$D$99,COLUMN(head_porNCM_IPI)-COLUMN(head_porNCM_NCM)+1,FALSE),"")</f>
        <v>9.7500000000000003E-2</v>
      </c>
      <c r="Q986" s="43" t="s">
        <v>1865</v>
      </c>
      <c r="R986" s="78" t="s">
        <v>210</v>
      </c>
      <c r="S986" s="341"/>
      <c r="T986" s="28" t="s">
        <v>52</v>
      </c>
      <c r="U986" s="28" t="s">
        <v>2291</v>
      </c>
      <c r="V986" s="548">
        <v>44735</v>
      </c>
      <c r="W986" s="43"/>
      <c r="X986" s="342">
        <f t="shared" si="247"/>
        <v>3899.3823402742833</v>
      </c>
      <c r="Y986" s="342">
        <f t="shared" si="248"/>
        <v>9504.7444544185564</v>
      </c>
      <c r="Z986" s="46">
        <f t="shared" si="249"/>
        <v>1608.4952153631418</v>
      </c>
      <c r="AA986" s="46">
        <f t="shared" si="250"/>
        <v>7408.8264465211378</v>
      </c>
      <c r="AB986" s="43"/>
      <c r="AC986" s="44">
        <v>106989.30296127564</v>
      </c>
      <c r="AD986" s="31">
        <v>0.04</v>
      </c>
      <c r="AE986" s="31">
        <v>9.7500000000000003E-2</v>
      </c>
      <c r="AF986" s="31">
        <v>0</v>
      </c>
      <c r="AG986" s="28" t="s">
        <v>53</v>
      </c>
      <c r="AH986" s="46">
        <f t="shared" si="251"/>
        <v>117420.76000000001</v>
      </c>
      <c r="AI986" s="43"/>
      <c r="AJ986" s="28" t="s">
        <v>263</v>
      </c>
      <c r="AK986" s="337">
        <v>5.23</v>
      </c>
      <c r="AL986" s="43"/>
      <c r="AM986" s="44">
        <f t="shared" si="252"/>
        <v>0</v>
      </c>
      <c r="AN986" s="43"/>
      <c r="AO986" s="28">
        <f t="shared" si="253"/>
        <v>0</v>
      </c>
      <c r="AP986" s="43"/>
      <c r="AQ986" s="323">
        <f t="shared" si="254"/>
        <v>0</v>
      </c>
      <c r="AR986" s="43"/>
      <c r="AS986" s="44">
        <f t="shared" si="255"/>
        <v>117420.76000000001</v>
      </c>
    </row>
    <row r="987" spans="1:45" x14ac:dyDescent="0.25">
      <c r="A987" s="28"/>
      <c r="B987" s="43"/>
      <c r="C987" s="43"/>
      <c r="D987" s="43"/>
      <c r="E987" s="43" t="s">
        <v>2260</v>
      </c>
      <c r="F987" s="43" t="s">
        <v>2729</v>
      </c>
      <c r="G987" s="46">
        <f t="shared" si="242"/>
        <v>15950.025915492959</v>
      </c>
      <c r="H987" s="46">
        <f t="shared" si="243"/>
        <v>14413.1744600939</v>
      </c>
      <c r="I987" s="28" t="s">
        <v>262</v>
      </c>
      <c r="J987" s="337">
        <v>1</v>
      </c>
      <c r="K987" s="46">
        <f t="shared" si="244"/>
        <v>15950.025915492959</v>
      </c>
      <c r="L987" s="46">
        <f t="shared" si="245"/>
        <v>14413.1744600939</v>
      </c>
      <c r="M987" s="338">
        <f t="shared" si="246"/>
        <v>0</v>
      </c>
      <c r="N987" s="43" t="s">
        <v>668</v>
      </c>
      <c r="O987" s="339">
        <v>85437099</v>
      </c>
      <c r="P987" s="340">
        <f>IFERROR(VLOOKUP(O987,NCM!$A$3:$D$99,COLUMN(head_porNCM_IPI)-COLUMN(head_porNCM_NCM)+1,FALSE),"")</f>
        <v>6.5000000000000002E-2</v>
      </c>
      <c r="Q987" s="43" t="s">
        <v>1865</v>
      </c>
      <c r="R987" s="78" t="s">
        <v>210</v>
      </c>
      <c r="S987" s="341"/>
      <c r="T987" s="28" t="s">
        <v>52</v>
      </c>
      <c r="U987" s="28" t="s">
        <v>2291</v>
      </c>
      <c r="V987" s="548">
        <v>44735</v>
      </c>
      <c r="W987" s="43"/>
      <c r="X987" s="342">
        <f t="shared" si="247"/>
        <v>624.02292314135218</v>
      </c>
      <c r="Y987" s="342">
        <f t="shared" si="248"/>
        <v>1014.0372501046968</v>
      </c>
      <c r="Z987" s="46">
        <f t="shared" si="249"/>
        <v>257.40945579580779</v>
      </c>
      <c r="AA987" s="46">
        <f t="shared" si="250"/>
        <v>1185.643553968569</v>
      </c>
      <c r="AB987" s="43"/>
      <c r="AC987" s="44">
        <v>16614.610328638501</v>
      </c>
      <c r="AD987" s="31">
        <v>0.04</v>
      </c>
      <c r="AE987" s="31">
        <v>6.5000000000000002E-2</v>
      </c>
      <c r="AF987" s="31">
        <v>0</v>
      </c>
      <c r="AG987" s="28" t="s">
        <v>53</v>
      </c>
      <c r="AH987" s="46">
        <f t="shared" si="251"/>
        <v>17694.560000000001</v>
      </c>
      <c r="AI987" s="43"/>
      <c r="AJ987" s="28" t="s">
        <v>263</v>
      </c>
      <c r="AK987" s="337">
        <v>5.23</v>
      </c>
      <c r="AL987" s="43"/>
      <c r="AM987" s="44">
        <f t="shared" si="252"/>
        <v>0</v>
      </c>
      <c r="AN987" s="43"/>
      <c r="AO987" s="28">
        <f t="shared" si="253"/>
        <v>0</v>
      </c>
      <c r="AP987" s="43"/>
      <c r="AQ987" s="323">
        <f t="shared" si="254"/>
        <v>0</v>
      </c>
      <c r="AR987" s="43"/>
      <c r="AS987" s="44">
        <f t="shared" si="255"/>
        <v>17694.560000000001</v>
      </c>
    </row>
    <row r="988" spans="1:45" x14ac:dyDescent="0.25">
      <c r="A988" s="28"/>
      <c r="B988" s="43"/>
      <c r="C988" s="43"/>
      <c r="D988" s="43"/>
      <c r="E988" s="43" t="s">
        <v>2261</v>
      </c>
      <c r="F988" s="43" t="s">
        <v>2730</v>
      </c>
      <c r="G988" s="46">
        <f t="shared" si="242"/>
        <v>28653.967927107064</v>
      </c>
      <c r="H988" s="46">
        <f t="shared" si="243"/>
        <v>25421.660569476087</v>
      </c>
      <c r="I988" s="28" t="s">
        <v>262</v>
      </c>
      <c r="J988" s="337">
        <v>1</v>
      </c>
      <c r="K988" s="46">
        <f t="shared" si="244"/>
        <v>28653.967927107064</v>
      </c>
      <c r="L988" s="46">
        <f t="shared" si="245"/>
        <v>25421.660569476087</v>
      </c>
      <c r="M988" s="338">
        <f t="shared" si="246"/>
        <v>0</v>
      </c>
      <c r="N988" s="43" t="s">
        <v>668</v>
      </c>
      <c r="O988" s="339">
        <v>85176239</v>
      </c>
      <c r="P988" s="340">
        <f>IFERROR(VLOOKUP(O988,NCM!$A$3:$D$99,COLUMN(head_porNCM_IPI)-COLUMN(head_porNCM_NCM)+1,FALSE),"")</f>
        <v>9.7500000000000003E-2</v>
      </c>
      <c r="Q988" s="43" t="s">
        <v>1865</v>
      </c>
      <c r="R988" s="78" t="s">
        <v>210</v>
      </c>
      <c r="S988" s="341"/>
      <c r="T988" s="28" t="s">
        <v>52</v>
      </c>
      <c r="U988" s="28" t="s">
        <v>2354</v>
      </c>
      <c r="V988" s="548">
        <v>44910</v>
      </c>
      <c r="W988" s="43"/>
      <c r="X988" s="342">
        <f t="shared" si="247"/>
        <v>5731.111980531442</v>
      </c>
      <c r="Y988" s="342">
        <f t="shared" si="248"/>
        <v>3104.3523227878613</v>
      </c>
      <c r="Z988" s="46">
        <f t="shared" si="249"/>
        <v>525.35193154871558</v>
      </c>
      <c r="AA988" s="46">
        <f t="shared" si="250"/>
        <v>2419.8028362243867</v>
      </c>
      <c r="AB988" s="43"/>
      <c r="AC988" s="44">
        <v>34943.86332574032</v>
      </c>
      <c r="AD988" s="31">
        <v>0.18</v>
      </c>
      <c r="AE988" s="31">
        <v>9.7500000000000003E-2</v>
      </c>
      <c r="AF988" s="31">
        <v>0</v>
      </c>
      <c r="AG988" s="28" t="s">
        <v>53</v>
      </c>
      <c r="AH988" s="46">
        <f t="shared" si="251"/>
        <v>38350.89</v>
      </c>
      <c r="AI988" s="43"/>
      <c r="AJ988" s="28" t="s">
        <v>263</v>
      </c>
      <c r="AK988" s="337">
        <v>5.23</v>
      </c>
      <c r="AL988" s="43"/>
      <c r="AM988" s="44">
        <f t="shared" si="252"/>
        <v>0</v>
      </c>
      <c r="AN988" s="43"/>
      <c r="AO988" s="28">
        <f t="shared" si="253"/>
        <v>0</v>
      </c>
      <c r="AP988" s="43"/>
      <c r="AQ988" s="323">
        <f t="shared" si="254"/>
        <v>0</v>
      </c>
      <c r="AR988" s="43"/>
      <c r="AS988" s="44">
        <f t="shared" si="255"/>
        <v>38350.89</v>
      </c>
    </row>
    <row r="989" spans="1:45" x14ac:dyDescent="0.25">
      <c r="A989" s="28"/>
      <c r="B989" s="43"/>
      <c r="C989" s="43"/>
      <c r="D989" s="43"/>
      <c r="E989" s="43" t="s">
        <v>2262</v>
      </c>
      <c r="F989" s="43" t="s">
        <v>2731</v>
      </c>
      <c r="G989" s="46">
        <f t="shared" si="242"/>
        <v>12023.889557522125</v>
      </c>
      <c r="H989" s="46">
        <f t="shared" si="243"/>
        <v>10865.337699115045</v>
      </c>
      <c r="I989" s="28" t="s">
        <v>262</v>
      </c>
      <c r="J989" s="337">
        <v>1</v>
      </c>
      <c r="K989" s="46">
        <f t="shared" si="244"/>
        <v>12023.889557522125</v>
      </c>
      <c r="L989" s="46">
        <f t="shared" si="245"/>
        <v>10865.337699115045</v>
      </c>
      <c r="M989" s="338">
        <f t="shared" si="246"/>
        <v>0</v>
      </c>
      <c r="N989" s="43" t="s">
        <v>668</v>
      </c>
      <c r="O989" s="339">
        <v>85285900</v>
      </c>
      <c r="P989" s="340">
        <f>IFERROR(VLOOKUP(O989,NCM!$A$3:$D$99,COLUMN(head_porNCM_IPI)-COLUMN(head_porNCM_NCM)+1,FALSE),"")</f>
        <v>0.13</v>
      </c>
      <c r="Q989" s="43" t="s">
        <v>1865</v>
      </c>
      <c r="R989" s="78" t="s">
        <v>210</v>
      </c>
      <c r="S989" s="341"/>
      <c r="T989" s="28" t="s">
        <v>52</v>
      </c>
      <c r="U989" s="28" t="s">
        <v>2291</v>
      </c>
      <c r="V989" s="548">
        <v>44735</v>
      </c>
      <c r="W989" s="43"/>
      <c r="X989" s="342">
        <f t="shared" si="247"/>
        <v>443.35875949565366</v>
      </c>
      <c r="Y989" s="342">
        <f t="shared" si="248"/>
        <v>1440.9159683608723</v>
      </c>
      <c r="Z989" s="46">
        <f t="shared" si="249"/>
        <v>182.88548829195713</v>
      </c>
      <c r="AA989" s="46">
        <f t="shared" si="250"/>
        <v>842.38164304174188</v>
      </c>
      <c r="AB989" s="43"/>
      <c r="AC989" s="44">
        <v>12524.884955752214</v>
      </c>
      <c r="AD989" s="31">
        <v>0.04</v>
      </c>
      <c r="AE989" s="31">
        <v>0.13</v>
      </c>
      <c r="AF989" s="31">
        <v>0</v>
      </c>
      <c r="AG989" s="28" t="s">
        <v>53</v>
      </c>
      <c r="AH989" s="46">
        <f t="shared" si="251"/>
        <v>14153.12</v>
      </c>
      <c r="AI989" s="43"/>
      <c r="AJ989" s="28" t="s">
        <v>263</v>
      </c>
      <c r="AK989" s="337">
        <v>5.23</v>
      </c>
      <c r="AL989" s="43"/>
      <c r="AM989" s="44">
        <f t="shared" si="252"/>
        <v>0</v>
      </c>
      <c r="AN989" s="43"/>
      <c r="AO989" s="28">
        <f t="shared" si="253"/>
        <v>0</v>
      </c>
      <c r="AP989" s="43"/>
      <c r="AQ989" s="323">
        <f t="shared" si="254"/>
        <v>0</v>
      </c>
      <c r="AR989" s="43"/>
      <c r="AS989" s="44">
        <f t="shared" si="255"/>
        <v>14153.12</v>
      </c>
    </row>
    <row r="990" spans="1:45" x14ac:dyDescent="0.25">
      <c r="A990" s="28"/>
      <c r="B990" s="43"/>
      <c r="C990" s="43"/>
      <c r="D990" s="43"/>
      <c r="E990" s="43" t="s">
        <v>2263</v>
      </c>
      <c r="F990" s="43" t="s">
        <v>2732</v>
      </c>
      <c r="G990" s="46">
        <f t="shared" si="242"/>
        <v>4727.7047835990888</v>
      </c>
      <c r="H990" s="46">
        <f t="shared" si="243"/>
        <v>4272.1707289293854</v>
      </c>
      <c r="I990" s="28" t="s">
        <v>262</v>
      </c>
      <c r="J990" s="337">
        <v>1</v>
      </c>
      <c r="K990" s="46">
        <f t="shared" si="244"/>
        <v>4727.7047835990888</v>
      </c>
      <c r="L990" s="46">
        <f t="shared" si="245"/>
        <v>4272.1707289293854</v>
      </c>
      <c r="M990" s="338">
        <f t="shared" si="246"/>
        <v>0</v>
      </c>
      <c r="N990" s="43" t="s">
        <v>668</v>
      </c>
      <c r="O990" s="339">
        <v>84716052</v>
      </c>
      <c r="P990" s="340">
        <f>IFERROR(VLOOKUP(O990,NCM!$A$3:$D$99,COLUMN(head_porNCM_IPI)-COLUMN(head_porNCM_NCM)+1,FALSE),"")</f>
        <v>9.7500000000000003E-2</v>
      </c>
      <c r="Q990" s="43" t="s">
        <v>1865</v>
      </c>
      <c r="R990" s="78" t="s">
        <v>210</v>
      </c>
      <c r="S990" s="341"/>
      <c r="T990" s="28" t="s">
        <v>52</v>
      </c>
      <c r="U990" s="28" t="s">
        <v>2291</v>
      </c>
      <c r="V990" s="548">
        <v>44735</v>
      </c>
      <c r="W990" s="43"/>
      <c r="X990" s="342">
        <f t="shared" si="247"/>
        <v>179.48765313588041</v>
      </c>
      <c r="Y990" s="342">
        <f t="shared" si="248"/>
        <v>437.50115451870806</v>
      </c>
      <c r="Z990" s="46">
        <f t="shared" si="249"/>
        <v>74.038656918550672</v>
      </c>
      <c r="AA990" s="46">
        <f t="shared" si="250"/>
        <v>341.02654095817275</v>
      </c>
      <c r="AB990" s="43"/>
      <c r="AC990" s="44">
        <v>4924.6924829157178</v>
      </c>
      <c r="AD990" s="31">
        <v>0.04</v>
      </c>
      <c r="AE990" s="31">
        <v>9.7500000000000003E-2</v>
      </c>
      <c r="AF990" s="31">
        <v>0</v>
      </c>
      <c r="AG990" s="28" t="s">
        <v>53</v>
      </c>
      <c r="AH990" s="46">
        <f t="shared" si="251"/>
        <v>5404.85</v>
      </c>
      <c r="AI990" s="43"/>
      <c r="AJ990" s="28" t="s">
        <v>263</v>
      </c>
      <c r="AK990" s="337">
        <v>5.23</v>
      </c>
      <c r="AL990" s="43"/>
      <c r="AM990" s="44">
        <f t="shared" si="252"/>
        <v>0</v>
      </c>
      <c r="AN990" s="43"/>
      <c r="AO990" s="28">
        <f t="shared" si="253"/>
        <v>0</v>
      </c>
      <c r="AP990" s="43"/>
      <c r="AQ990" s="323">
        <f t="shared" si="254"/>
        <v>0</v>
      </c>
      <c r="AR990" s="43"/>
      <c r="AS990" s="44">
        <f t="shared" si="255"/>
        <v>5404.85</v>
      </c>
    </row>
    <row r="991" spans="1:45" x14ac:dyDescent="0.25">
      <c r="A991" s="28"/>
      <c r="B991" s="43"/>
      <c r="C991" s="43"/>
      <c r="D991" s="43"/>
      <c r="E991" s="43" t="s">
        <v>2264</v>
      </c>
      <c r="F991" s="43" t="s">
        <v>2733</v>
      </c>
      <c r="G991" s="46">
        <f t="shared" si="242"/>
        <v>47442.186537530266</v>
      </c>
      <c r="H991" s="46">
        <f t="shared" si="243"/>
        <v>42870.934188861989</v>
      </c>
      <c r="I991" s="28" t="s">
        <v>262</v>
      </c>
      <c r="J991" s="337">
        <v>1</v>
      </c>
      <c r="K991" s="46">
        <f t="shared" si="244"/>
        <v>47442.186537530266</v>
      </c>
      <c r="L991" s="46">
        <f t="shared" si="245"/>
        <v>42870.934188861989</v>
      </c>
      <c r="M991" s="338">
        <f t="shared" si="246"/>
        <v>0</v>
      </c>
      <c r="N991" s="43" t="s">
        <v>35</v>
      </c>
      <c r="O991" s="339">
        <v>85364900</v>
      </c>
      <c r="P991" s="340">
        <f>IFERROR(VLOOKUP(O991,NCM!$A$3:$D$99,COLUMN(head_porNCM_IPI)-COLUMN(head_porNCM_NCM)+1,FALSE),"")</f>
        <v>3.2500000000000001E-2</v>
      </c>
      <c r="Q991" s="43" t="s">
        <v>1865</v>
      </c>
      <c r="R991" s="78" t="s">
        <v>210</v>
      </c>
      <c r="S991" s="341"/>
      <c r="T991" s="28" t="s">
        <v>52</v>
      </c>
      <c r="U991" s="28" t="s">
        <v>2291</v>
      </c>
      <c r="V991" s="548">
        <v>44735</v>
      </c>
      <c r="W991" s="43"/>
      <c r="X991" s="342">
        <f t="shared" si="247"/>
        <v>1914.5353727816898</v>
      </c>
      <c r="Y991" s="342">
        <f t="shared" si="248"/>
        <v>1555.559990385118</v>
      </c>
      <c r="Z991" s="46">
        <f t="shared" si="249"/>
        <v>789.74584127244714</v>
      </c>
      <c r="AA991" s="46">
        <f t="shared" si="250"/>
        <v>3637.6172082852104</v>
      </c>
      <c r="AB991" s="43"/>
      <c r="AC991" s="44">
        <v>49418.944309927363</v>
      </c>
      <c r="AD991" s="31">
        <v>0.04</v>
      </c>
      <c r="AE991" s="31">
        <v>3.2500000000000001E-2</v>
      </c>
      <c r="AF991" s="31">
        <v>0</v>
      </c>
      <c r="AG991" s="28" t="s">
        <v>53</v>
      </c>
      <c r="AH991" s="46">
        <f t="shared" si="251"/>
        <v>51025.06</v>
      </c>
      <c r="AI991" s="43"/>
      <c r="AJ991" s="28" t="s">
        <v>263</v>
      </c>
      <c r="AK991" s="337">
        <v>5.23</v>
      </c>
      <c r="AL991" s="43"/>
      <c r="AM991" s="44">
        <f t="shared" si="252"/>
        <v>0</v>
      </c>
      <c r="AN991" s="43"/>
      <c r="AO991" s="28">
        <f t="shared" si="253"/>
        <v>0</v>
      </c>
      <c r="AP991" s="43"/>
      <c r="AQ991" s="323">
        <f t="shared" si="254"/>
        <v>0</v>
      </c>
      <c r="AR991" s="43"/>
      <c r="AS991" s="44">
        <f t="shared" si="255"/>
        <v>51025.06</v>
      </c>
    </row>
    <row r="992" spans="1:45" x14ac:dyDescent="0.25">
      <c r="A992" s="28"/>
      <c r="B992" s="43"/>
      <c r="C992" s="43"/>
      <c r="D992" s="43"/>
      <c r="E992" s="43" t="s">
        <v>2265</v>
      </c>
      <c r="F992" s="43" t="s">
        <v>2734</v>
      </c>
      <c r="G992" s="46">
        <f t="shared" si="242"/>
        <v>24924.556707021791</v>
      </c>
      <c r="H992" s="46">
        <f t="shared" si="243"/>
        <v>22522.971815980633</v>
      </c>
      <c r="I992" s="28" t="s">
        <v>262</v>
      </c>
      <c r="J992" s="337">
        <v>1</v>
      </c>
      <c r="K992" s="46">
        <f t="shared" si="244"/>
        <v>24924.556707021791</v>
      </c>
      <c r="L992" s="46">
        <f t="shared" si="245"/>
        <v>22522.971815980633</v>
      </c>
      <c r="M992" s="338">
        <f t="shared" si="246"/>
        <v>0</v>
      </c>
      <c r="N992" s="43" t="s">
        <v>35</v>
      </c>
      <c r="O992" s="339">
        <v>85364900</v>
      </c>
      <c r="P992" s="340">
        <f>IFERROR(VLOOKUP(O992,NCM!$A$3:$D$99,COLUMN(head_porNCM_IPI)-COLUMN(head_porNCM_NCM)+1,FALSE),"")</f>
        <v>3.2500000000000001E-2</v>
      </c>
      <c r="Q992" s="43" t="s">
        <v>1865</v>
      </c>
      <c r="R992" s="78" t="s">
        <v>210</v>
      </c>
      <c r="S992" s="341"/>
      <c r="T992" s="28" t="s">
        <v>52</v>
      </c>
      <c r="U992" s="28" t="s">
        <v>2291</v>
      </c>
      <c r="V992" s="548">
        <v>44735</v>
      </c>
      <c r="W992" s="43"/>
      <c r="X992" s="342">
        <f t="shared" si="247"/>
        <v>1005.8336039960369</v>
      </c>
      <c r="Y992" s="342">
        <f t="shared" si="248"/>
        <v>817.23980324677905</v>
      </c>
      <c r="Z992" s="46">
        <f t="shared" si="249"/>
        <v>414.90636164836519</v>
      </c>
      <c r="AA992" s="46">
        <f t="shared" si="250"/>
        <v>1911.08384759247</v>
      </c>
      <c r="AB992" s="43"/>
      <c r="AC992" s="44">
        <v>25963.0799031477</v>
      </c>
      <c r="AD992" s="31">
        <v>0.04</v>
      </c>
      <c r="AE992" s="31">
        <v>3.2500000000000001E-2</v>
      </c>
      <c r="AF992" s="31">
        <v>0</v>
      </c>
      <c r="AG992" s="28" t="s">
        <v>53</v>
      </c>
      <c r="AH992" s="46">
        <f t="shared" si="251"/>
        <v>26806.880000000001</v>
      </c>
      <c r="AI992" s="43"/>
      <c r="AJ992" s="28" t="s">
        <v>263</v>
      </c>
      <c r="AK992" s="337">
        <v>5.23</v>
      </c>
      <c r="AL992" s="43"/>
      <c r="AM992" s="44">
        <f t="shared" si="252"/>
        <v>0</v>
      </c>
      <c r="AN992" s="43"/>
      <c r="AO992" s="28">
        <f t="shared" si="253"/>
        <v>0</v>
      </c>
      <c r="AP992" s="43"/>
      <c r="AQ992" s="323">
        <f t="shared" si="254"/>
        <v>0</v>
      </c>
      <c r="AR992" s="43"/>
      <c r="AS992" s="44">
        <f t="shared" si="255"/>
        <v>26806.880000000001</v>
      </c>
    </row>
    <row r="993" spans="1:45" x14ac:dyDescent="0.25">
      <c r="A993" s="28"/>
      <c r="B993" s="43"/>
      <c r="C993" s="43"/>
      <c r="D993" s="43" t="s">
        <v>2266</v>
      </c>
      <c r="E993" s="43"/>
      <c r="F993" s="43"/>
      <c r="G993" s="46">
        <f t="shared" si="242"/>
        <v>0</v>
      </c>
      <c r="H993" s="46">
        <f t="shared" si="243"/>
        <v>0</v>
      </c>
      <c r="I993" s="28"/>
      <c r="J993" s="337"/>
      <c r="K993" s="46" t="str">
        <f t="shared" si="244"/>
        <v/>
      </c>
      <c r="L993" s="46" t="str">
        <f t="shared" si="245"/>
        <v/>
      </c>
      <c r="M993" s="338">
        <f t="shared" si="246"/>
        <v>0</v>
      </c>
      <c r="N993" s="43"/>
      <c r="O993" s="339"/>
      <c r="P993" s="340" t="str">
        <f>IFERROR(VLOOKUP(O993,NCM!$A$3:$D$99,COLUMN(head_porNCM_IPI)-COLUMN(head_porNCM_NCM)+1,FALSE),"")</f>
        <v/>
      </c>
      <c r="Q993" s="43"/>
      <c r="R993" s="78"/>
      <c r="S993" s="341"/>
      <c r="T993" s="28"/>
      <c r="U993" s="28"/>
      <c r="V993" s="28"/>
      <c r="W993" s="43"/>
      <c r="X993" s="342">
        <f t="shared" si="247"/>
        <v>0</v>
      </c>
      <c r="Y993" s="342">
        <f t="shared" si="248"/>
        <v>0</v>
      </c>
      <c r="Z993" s="46">
        <f t="shared" si="249"/>
        <v>0</v>
      </c>
      <c r="AA993" s="46">
        <f t="shared" si="250"/>
        <v>0</v>
      </c>
      <c r="AB993" s="43"/>
      <c r="AC993" s="44">
        <v>0</v>
      </c>
      <c r="AD993" s="31"/>
      <c r="AE993" s="31"/>
      <c r="AF993" s="31"/>
      <c r="AG993" s="28"/>
      <c r="AH993" s="46">
        <f t="shared" si="251"/>
        <v>0</v>
      </c>
      <c r="AI993" s="43"/>
      <c r="AJ993" s="28"/>
      <c r="AK993" s="337"/>
      <c r="AL993" s="43"/>
      <c r="AM993" s="44">
        <f t="shared" si="252"/>
        <v>0</v>
      </c>
      <c r="AN993" s="43"/>
      <c r="AO993" s="28">
        <f t="shared" si="253"/>
        <v>0</v>
      </c>
      <c r="AP993" s="43"/>
      <c r="AQ993" s="323">
        <f t="shared" si="254"/>
        <v>0</v>
      </c>
      <c r="AR993" s="43"/>
      <c r="AS993" s="44">
        <f t="shared" si="255"/>
        <v>0</v>
      </c>
    </row>
    <row r="994" spans="1:45" x14ac:dyDescent="0.25">
      <c r="A994" s="28"/>
      <c r="B994" s="43"/>
      <c r="C994" s="43"/>
      <c r="D994" s="43"/>
      <c r="E994" s="43" t="s">
        <v>2267</v>
      </c>
      <c r="F994" s="43" t="s">
        <v>2268</v>
      </c>
      <c r="G994" s="46">
        <f t="shared" si="242"/>
        <v>75000</v>
      </c>
      <c r="H994" s="46">
        <f t="shared" si="243"/>
        <v>68062.5</v>
      </c>
      <c r="I994" s="28" t="s">
        <v>262</v>
      </c>
      <c r="J994" s="337">
        <v>1</v>
      </c>
      <c r="K994" s="46">
        <f t="shared" si="244"/>
        <v>75000</v>
      </c>
      <c r="L994" s="46">
        <f t="shared" si="245"/>
        <v>68062.5</v>
      </c>
      <c r="M994" s="338">
        <f t="shared" si="246"/>
        <v>0</v>
      </c>
      <c r="N994" s="43" t="s">
        <v>784</v>
      </c>
      <c r="O994" s="339" t="s">
        <v>167</v>
      </c>
      <c r="P994" s="340" t="str">
        <f>IFERROR(VLOOKUP(O994,NCM!$A$3:$D$99,COLUMN(head_porNCM_IPI)-COLUMN(head_porNCM_NCM)+1,FALSE),"")</f>
        <v/>
      </c>
      <c r="Q994" s="43" t="s">
        <v>2292</v>
      </c>
      <c r="R994" s="78" t="s">
        <v>209</v>
      </c>
      <c r="S994" s="341"/>
      <c r="T994" s="28" t="s">
        <v>53</v>
      </c>
      <c r="U994" s="28" t="s">
        <v>2293</v>
      </c>
      <c r="V994" s="548">
        <v>44769</v>
      </c>
      <c r="W994" s="43"/>
      <c r="X994" s="342">
        <f t="shared" si="247"/>
        <v>0</v>
      </c>
      <c r="Y994" s="342">
        <f t="shared" si="248"/>
        <v>0</v>
      </c>
      <c r="Z994" s="46">
        <f t="shared" si="249"/>
        <v>1237.5</v>
      </c>
      <c r="AA994" s="46">
        <f t="shared" si="250"/>
        <v>5700</v>
      </c>
      <c r="AB994" s="43"/>
      <c r="AC994" s="44">
        <v>75000</v>
      </c>
      <c r="AD994" s="31">
        <v>0</v>
      </c>
      <c r="AE994" s="31">
        <v>0</v>
      </c>
      <c r="AF994" s="31">
        <v>0.03</v>
      </c>
      <c r="AG994" s="28" t="s">
        <v>53</v>
      </c>
      <c r="AH994" s="46">
        <f t="shared" si="251"/>
        <v>75000</v>
      </c>
      <c r="AI994" s="43"/>
      <c r="AJ994" s="28"/>
      <c r="AK994" s="337"/>
      <c r="AL994" s="43"/>
      <c r="AM994" s="44">
        <f t="shared" si="252"/>
        <v>0</v>
      </c>
      <c r="AN994" s="43"/>
      <c r="AO994" s="28">
        <f t="shared" si="253"/>
        <v>0</v>
      </c>
      <c r="AP994" s="43"/>
      <c r="AQ994" s="323">
        <f t="shared" si="254"/>
        <v>0</v>
      </c>
      <c r="AR994" s="43"/>
      <c r="AS994" s="44">
        <f t="shared" si="255"/>
        <v>75000</v>
      </c>
    </row>
    <row r="995" spans="1:45" x14ac:dyDescent="0.25">
      <c r="A995" s="28"/>
      <c r="B995" s="43"/>
      <c r="C995" s="43"/>
      <c r="D995" s="43"/>
      <c r="E995" s="43" t="s">
        <v>2269</v>
      </c>
      <c r="F995" s="43" t="s">
        <v>2270</v>
      </c>
      <c r="G995" s="46">
        <f t="shared" si="242"/>
        <v>100000</v>
      </c>
      <c r="H995" s="46">
        <f t="shared" si="243"/>
        <v>90750.000000000015</v>
      </c>
      <c r="I995" s="28" t="s">
        <v>262</v>
      </c>
      <c r="J995" s="337">
        <v>1</v>
      </c>
      <c r="K995" s="46">
        <f t="shared" si="244"/>
        <v>100000</v>
      </c>
      <c r="L995" s="46">
        <f t="shared" si="245"/>
        <v>90750.000000000015</v>
      </c>
      <c r="M995" s="338">
        <f t="shared" si="246"/>
        <v>0</v>
      </c>
      <c r="N995" s="43" t="s">
        <v>784</v>
      </c>
      <c r="O995" s="339" t="s">
        <v>167</v>
      </c>
      <c r="P995" s="340" t="str">
        <f>IFERROR(VLOOKUP(O995,NCM!$A$3:$D$99,COLUMN(head_porNCM_IPI)-COLUMN(head_porNCM_NCM)+1,FALSE),"")</f>
        <v/>
      </c>
      <c r="Q995" s="43" t="s">
        <v>2292</v>
      </c>
      <c r="R995" s="78" t="s">
        <v>209</v>
      </c>
      <c r="S995" s="341"/>
      <c r="T995" s="28" t="s">
        <v>53</v>
      </c>
      <c r="U995" s="28" t="s">
        <v>2293</v>
      </c>
      <c r="V995" s="548">
        <v>44769</v>
      </c>
      <c r="W995" s="43"/>
      <c r="X995" s="342">
        <f t="shared" si="247"/>
        <v>0</v>
      </c>
      <c r="Y995" s="342">
        <f t="shared" si="248"/>
        <v>0</v>
      </c>
      <c r="Z995" s="46">
        <f t="shared" si="249"/>
        <v>1650</v>
      </c>
      <c r="AA995" s="46">
        <f t="shared" si="250"/>
        <v>7600</v>
      </c>
      <c r="AB995" s="43"/>
      <c r="AC995" s="44">
        <v>100000</v>
      </c>
      <c r="AD995" s="31">
        <v>0</v>
      </c>
      <c r="AE995" s="31">
        <v>0</v>
      </c>
      <c r="AF995" s="31">
        <v>0.03</v>
      </c>
      <c r="AG995" s="28" t="s">
        <v>53</v>
      </c>
      <c r="AH995" s="46">
        <f t="shared" si="251"/>
        <v>100000</v>
      </c>
      <c r="AI995" s="43"/>
      <c r="AJ995" s="28"/>
      <c r="AK995" s="337"/>
      <c r="AL995" s="43"/>
      <c r="AM995" s="44">
        <f t="shared" si="252"/>
        <v>0</v>
      </c>
      <c r="AN995" s="43"/>
      <c r="AO995" s="28">
        <f t="shared" si="253"/>
        <v>0</v>
      </c>
      <c r="AP995" s="43"/>
      <c r="AQ995" s="323">
        <f t="shared" si="254"/>
        <v>0</v>
      </c>
      <c r="AR995" s="43"/>
      <c r="AS995" s="44">
        <f t="shared" si="255"/>
        <v>100000</v>
      </c>
    </row>
    <row r="996" spans="1:45" x14ac:dyDescent="0.25">
      <c r="A996" s="28"/>
      <c r="B996" s="43"/>
      <c r="C996" s="43"/>
      <c r="D996" s="43" t="s">
        <v>834</v>
      </c>
      <c r="E996" s="43"/>
      <c r="F996" s="43"/>
      <c r="G996" s="46">
        <f t="shared" si="242"/>
        <v>0</v>
      </c>
      <c r="H996" s="46">
        <f t="shared" si="243"/>
        <v>0</v>
      </c>
      <c r="I996" s="28"/>
      <c r="J996" s="337"/>
      <c r="K996" s="46" t="str">
        <f t="shared" si="244"/>
        <v/>
      </c>
      <c r="L996" s="46" t="str">
        <f t="shared" si="245"/>
        <v/>
      </c>
      <c r="M996" s="338">
        <f t="shared" si="246"/>
        <v>0</v>
      </c>
      <c r="N996" s="43"/>
      <c r="O996" s="339"/>
      <c r="P996" s="340" t="str">
        <f>IFERROR(VLOOKUP(O996,NCM!$A$3:$D$99,COLUMN(head_porNCM_IPI)-COLUMN(head_porNCM_NCM)+1,FALSE),"")</f>
        <v/>
      </c>
      <c r="Q996" s="43"/>
      <c r="R996" s="78"/>
      <c r="S996" s="341"/>
      <c r="T996" s="28"/>
      <c r="U996" s="28"/>
      <c r="V996" s="28"/>
      <c r="W996" s="43"/>
      <c r="X996" s="342">
        <f t="shared" si="247"/>
        <v>0</v>
      </c>
      <c r="Y996" s="342">
        <f t="shared" si="248"/>
        <v>0</v>
      </c>
      <c r="Z996" s="46">
        <f t="shared" si="249"/>
        <v>0</v>
      </c>
      <c r="AA996" s="46">
        <f t="shared" si="250"/>
        <v>0</v>
      </c>
      <c r="AB996" s="43"/>
      <c r="AC996" s="44">
        <v>0</v>
      </c>
      <c r="AD996" s="31"/>
      <c r="AE996" s="31"/>
      <c r="AF996" s="31"/>
      <c r="AG996" s="28"/>
      <c r="AH996" s="46">
        <f t="shared" si="251"/>
        <v>0</v>
      </c>
      <c r="AI996" s="43"/>
      <c r="AJ996" s="28"/>
      <c r="AK996" s="337"/>
      <c r="AL996" s="43"/>
      <c r="AM996" s="44">
        <f t="shared" si="252"/>
        <v>0</v>
      </c>
      <c r="AN996" s="43"/>
      <c r="AO996" s="28">
        <f t="shared" si="253"/>
        <v>0</v>
      </c>
      <c r="AP996" s="43"/>
      <c r="AQ996" s="323">
        <f t="shared" si="254"/>
        <v>0</v>
      </c>
      <c r="AR996" s="43"/>
      <c r="AS996" s="44">
        <f t="shared" si="255"/>
        <v>0</v>
      </c>
    </row>
    <row r="997" spans="1:45" x14ac:dyDescent="0.25">
      <c r="A997" s="28"/>
      <c r="B997" s="43"/>
      <c r="C997" s="43"/>
      <c r="D997" s="43"/>
      <c r="E997" s="43" t="s">
        <v>2346</v>
      </c>
      <c r="F997" s="43" t="s">
        <v>2347</v>
      </c>
      <c r="G997" s="46">
        <f t="shared" si="242"/>
        <v>20082.051282051289</v>
      </c>
      <c r="H997" s="46">
        <f t="shared" si="243"/>
        <v>18224.461538461546</v>
      </c>
      <c r="I997" s="28" t="s">
        <v>262</v>
      </c>
      <c r="J997" s="337">
        <v>1</v>
      </c>
      <c r="K997" s="46">
        <f t="shared" si="244"/>
        <v>20082.051282051289</v>
      </c>
      <c r="L997" s="46">
        <f t="shared" si="245"/>
        <v>18224.461538461546</v>
      </c>
      <c r="M997" s="338">
        <f t="shared" si="246"/>
        <v>0</v>
      </c>
      <c r="N997" s="43" t="s">
        <v>156</v>
      </c>
      <c r="O997" s="339" t="s">
        <v>167</v>
      </c>
      <c r="P997" s="340" t="str">
        <f>IFERROR(VLOOKUP(O997,NCM!$A$3:$D$99,COLUMN(head_porNCM_IPI)-COLUMN(head_porNCM_NCM)+1,FALSE),"")</f>
        <v/>
      </c>
      <c r="Q997" s="43" t="s">
        <v>1903</v>
      </c>
      <c r="R997" s="78" t="s">
        <v>209</v>
      </c>
      <c r="S997" s="341"/>
      <c r="T997" s="28" t="s">
        <v>53</v>
      </c>
      <c r="U997" s="28"/>
      <c r="V997" s="28"/>
      <c r="W997" s="43"/>
      <c r="X997" s="342">
        <f t="shared" si="247"/>
        <v>0</v>
      </c>
      <c r="Y997" s="342">
        <f t="shared" si="248"/>
        <v>0</v>
      </c>
      <c r="Z997" s="46">
        <f t="shared" si="249"/>
        <v>331.35384615384629</v>
      </c>
      <c r="AA997" s="46">
        <f t="shared" si="250"/>
        <v>1526.2358974358979</v>
      </c>
      <c r="AB997" s="43"/>
      <c r="AC997" s="44">
        <v>20082.051282051289</v>
      </c>
      <c r="AD997" s="31">
        <v>0</v>
      </c>
      <c r="AE997" s="31">
        <v>0</v>
      </c>
      <c r="AF997" s="31">
        <v>0.03</v>
      </c>
      <c r="AG997" s="28" t="s">
        <v>53</v>
      </c>
      <c r="AH997" s="46">
        <f t="shared" si="251"/>
        <v>20082.051282051289</v>
      </c>
      <c r="AI997" s="43"/>
      <c r="AJ997" s="28"/>
      <c r="AK997" s="337"/>
      <c r="AL997" s="43"/>
      <c r="AM997" s="44">
        <f t="shared" si="252"/>
        <v>0</v>
      </c>
      <c r="AN997" s="43"/>
      <c r="AO997" s="28">
        <f t="shared" si="253"/>
        <v>0</v>
      </c>
      <c r="AP997" s="43"/>
      <c r="AQ997" s="323">
        <f t="shared" si="254"/>
        <v>0</v>
      </c>
      <c r="AR997" s="43"/>
      <c r="AS997" s="44">
        <f t="shared" si="255"/>
        <v>20082.051282051289</v>
      </c>
    </row>
    <row r="998" spans="1:45" x14ac:dyDescent="0.25">
      <c r="A998" s="28"/>
      <c r="B998" s="43"/>
      <c r="C998" s="43"/>
      <c r="D998" s="43"/>
      <c r="E998" s="43" t="s">
        <v>2348</v>
      </c>
      <c r="F998" s="43" t="s">
        <v>2735</v>
      </c>
      <c r="G998" s="46">
        <f t="shared" si="242"/>
        <v>20082.051282051289</v>
      </c>
      <c r="H998" s="46">
        <f t="shared" si="243"/>
        <v>18224.461538461546</v>
      </c>
      <c r="I998" s="28" t="s">
        <v>262</v>
      </c>
      <c r="J998" s="337">
        <v>1</v>
      </c>
      <c r="K998" s="46">
        <f t="shared" si="244"/>
        <v>20082.051282051289</v>
      </c>
      <c r="L998" s="46">
        <f t="shared" si="245"/>
        <v>18224.461538461546</v>
      </c>
      <c r="M998" s="338">
        <f t="shared" si="246"/>
        <v>0</v>
      </c>
      <c r="N998" s="43" t="s">
        <v>156</v>
      </c>
      <c r="O998" s="339" t="s">
        <v>167</v>
      </c>
      <c r="P998" s="340" t="str">
        <f>IFERROR(VLOOKUP(O998,NCM!$A$3:$D$99,COLUMN(head_porNCM_IPI)-COLUMN(head_porNCM_NCM)+1,FALSE),"")</f>
        <v/>
      </c>
      <c r="Q998" s="43" t="s">
        <v>1903</v>
      </c>
      <c r="R998" s="78" t="s">
        <v>209</v>
      </c>
      <c r="S998" s="341"/>
      <c r="T998" s="28" t="s">
        <v>53</v>
      </c>
      <c r="U998" s="28"/>
      <c r="V998" s="28"/>
      <c r="W998" s="43"/>
      <c r="X998" s="342">
        <f t="shared" si="247"/>
        <v>0</v>
      </c>
      <c r="Y998" s="342">
        <f t="shared" si="248"/>
        <v>0</v>
      </c>
      <c r="Z998" s="46">
        <f t="shared" si="249"/>
        <v>331.35384615384629</v>
      </c>
      <c r="AA998" s="46">
        <f t="shared" si="250"/>
        <v>1526.2358974358979</v>
      </c>
      <c r="AB998" s="43"/>
      <c r="AC998" s="44">
        <v>20082.051282051289</v>
      </c>
      <c r="AD998" s="31">
        <v>0</v>
      </c>
      <c r="AE998" s="31">
        <v>0</v>
      </c>
      <c r="AF998" s="31">
        <v>0.03</v>
      </c>
      <c r="AG998" s="28" t="s">
        <v>53</v>
      </c>
      <c r="AH998" s="46">
        <f t="shared" si="251"/>
        <v>20082.051282051289</v>
      </c>
      <c r="AI998" s="43"/>
      <c r="AJ998" s="28"/>
      <c r="AK998" s="337"/>
      <c r="AL998" s="43"/>
      <c r="AM998" s="44">
        <f t="shared" si="252"/>
        <v>0</v>
      </c>
      <c r="AN998" s="43"/>
      <c r="AO998" s="28">
        <f t="shared" si="253"/>
        <v>0</v>
      </c>
      <c r="AP998" s="43"/>
      <c r="AQ998" s="323">
        <f t="shared" si="254"/>
        <v>0</v>
      </c>
      <c r="AR998" s="43"/>
      <c r="AS998" s="44">
        <f t="shared" si="255"/>
        <v>20082.051282051289</v>
      </c>
    </row>
    <row r="999" spans="1:45" x14ac:dyDescent="0.25">
      <c r="A999" s="28"/>
      <c r="B999" s="43"/>
      <c r="C999" s="43"/>
      <c r="D999" s="43"/>
      <c r="E999" s="43" t="s">
        <v>2349</v>
      </c>
      <c r="F999" s="43" t="s">
        <v>2350</v>
      </c>
      <c r="G999" s="46">
        <f t="shared" si="242"/>
        <v>20082.051282051289</v>
      </c>
      <c r="H999" s="46">
        <f t="shared" si="243"/>
        <v>18224.461538461546</v>
      </c>
      <c r="I999" s="28" t="s">
        <v>262</v>
      </c>
      <c r="J999" s="337">
        <v>1</v>
      </c>
      <c r="K999" s="46">
        <f t="shared" si="244"/>
        <v>20082.051282051289</v>
      </c>
      <c r="L999" s="46">
        <f t="shared" si="245"/>
        <v>18224.461538461546</v>
      </c>
      <c r="M999" s="338">
        <f t="shared" si="246"/>
        <v>0</v>
      </c>
      <c r="N999" s="43" t="s">
        <v>156</v>
      </c>
      <c r="O999" s="339" t="s">
        <v>167</v>
      </c>
      <c r="P999" s="340" t="str">
        <f>IFERROR(VLOOKUP(O999,NCM!$A$3:$D$99,COLUMN(head_porNCM_IPI)-COLUMN(head_porNCM_NCM)+1,FALSE),"")</f>
        <v/>
      </c>
      <c r="Q999" s="43" t="s">
        <v>1903</v>
      </c>
      <c r="R999" s="78" t="s">
        <v>209</v>
      </c>
      <c r="S999" s="341"/>
      <c r="T999" s="28" t="s">
        <v>53</v>
      </c>
      <c r="U999" s="28"/>
      <c r="V999" s="28"/>
      <c r="W999" s="43"/>
      <c r="X999" s="342">
        <f t="shared" si="247"/>
        <v>0</v>
      </c>
      <c r="Y999" s="342">
        <f t="shared" si="248"/>
        <v>0</v>
      </c>
      <c r="Z999" s="46">
        <f t="shared" si="249"/>
        <v>331.35384615384629</v>
      </c>
      <c r="AA999" s="46">
        <f t="shared" si="250"/>
        <v>1526.2358974358979</v>
      </c>
      <c r="AB999" s="43"/>
      <c r="AC999" s="44">
        <v>20082.051282051289</v>
      </c>
      <c r="AD999" s="31">
        <v>0</v>
      </c>
      <c r="AE999" s="31">
        <v>0</v>
      </c>
      <c r="AF999" s="31">
        <v>0.03</v>
      </c>
      <c r="AG999" s="28" t="s">
        <v>53</v>
      </c>
      <c r="AH999" s="46">
        <f t="shared" si="251"/>
        <v>20082.051282051289</v>
      </c>
      <c r="AI999" s="43"/>
      <c r="AJ999" s="28"/>
      <c r="AK999" s="337"/>
      <c r="AL999" s="43"/>
      <c r="AM999" s="44">
        <f t="shared" si="252"/>
        <v>0</v>
      </c>
      <c r="AN999" s="43"/>
      <c r="AO999" s="28">
        <f t="shared" si="253"/>
        <v>0</v>
      </c>
      <c r="AP999" s="43"/>
      <c r="AQ999" s="323">
        <f t="shared" si="254"/>
        <v>0</v>
      </c>
      <c r="AR999" s="43"/>
      <c r="AS999" s="44">
        <f t="shared" si="255"/>
        <v>20082.051282051289</v>
      </c>
    </row>
    <row r="1000" spans="1:45" x14ac:dyDescent="0.25">
      <c r="A1000" s="28"/>
      <c r="B1000" s="43"/>
      <c r="C1000" s="43"/>
      <c r="D1000" s="43"/>
      <c r="E1000" s="43" t="s">
        <v>1866</v>
      </c>
      <c r="F1000" s="43" t="s">
        <v>1867</v>
      </c>
      <c r="G1000" s="46">
        <f t="shared" si="242"/>
        <v>50000</v>
      </c>
      <c r="H1000" s="46">
        <f t="shared" si="243"/>
        <v>45375.000000000007</v>
      </c>
      <c r="I1000" s="28" t="s">
        <v>262</v>
      </c>
      <c r="J1000" s="337">
        <v>1</v>
      </c>
      <c r="K1000" s="46">
        <f t="shared" si="244"/>
        <v>50000</v>
      </c>
      <c r="L1000" s="46">
        <f t="shared" si="245"/>
        <v>45375.000000000007</v>
      </c>
      <c r="M1000" s="338">
        <f t="shared" si="246"/>
        <v>0</v>
      </c>
      <c r="N1000" s="43" t="s">
        <v>35</v>
      </c>
      <c r="O1000" s="339" t="s">
        <v>167</v>
      </c>
      <c r="P1000" s="340" t="str">
        <f>IFERROR(VLOOKUP(O1000,NCM!$A$3:$D$99,COLUMN(head_porNCM_IPI)-COLUMN(head_porNCM_NCM)+1,FALSE),"")</f>
        <v/>
      </c>
      <c r="Q1000" s="43" t="s">
        <v>1903</v>
      </c>
      <c r="R1000" s="78" t="s">
        <v>209</v>
      </c>
      <c r="S1000" s="341"/>
      <c r="T1000" s="28" t="s">
        <v>53</v>
      </c>
      <c r="U1000" s="28"/>
      <c r="V1000" s="28"/>
      <c r="W1000" s="43"/>
      <c r="X1000" s="342">
        <f t="shared" si="247"/>
        <v>0</v>
      </c>
      <c r="Y1000" s="342">
        <f t="shared" si="248"/>
        <v>0</v>
      </c>
      <c r="Z1000" s="46">
        <f t="shared" si="249"/>
        <v>825</v>
      </c>
      <c r="AA1000" s="46">
        <f t="shared" si="250"/>
        <v>3800</v>
      </c>
      <c r="AB1000" s="43"/>
      <c r="AC1000" s="44">
        <v>50000</v>
      </c>
      <c r="AD1000" s="31">
        <v>0</v>
      </c>
      <c r="AE1000" s="31">
        <v>0</v>
      </c>
      <c r="AF1000" s="31">
        <v>0.03</v>
      </c>
      <c r="AG1000" s="28" t="s">
        <v>53</v>
      </c>
      <c r="AH1000" s="46">
        <f t="shared" si="251"/>
        <v>50000</v>
      </c>
      <c r="AI1000" s="43"/>
      <c r="AJ1000" s="28"/>
      <c r="AK1000" s="337"/>
      <c r="AL1000" s="43"/>
      <c r="AM1000" s="44">
        <f t="shared" si="252"/>
        <v>0</v>
      </c>
      <c r="AN1000" s="43"/>
      <c r="AO1000" s="28">
        <f t="shared" si="253"/>
        <v>0</v>
      </c>
      <c r="AP1000" s="43"/>
      <c r="AQ1000" s="323">
        <f t="shared" si="254"/>
        <v>0</v>
      </c>
      <c r="AR1000" s="43"/>
      <c r="AS1000" s="44">
        <f t="shared" si="255"/>
        <v>50000</v>
      </c>
    </row>
    <row r="1001" spans="1:45" x14ac:dyDescent="0.25">
      <c r="A1001" s="28"/>
      <c r="B1001" s="43"/>
      <c r="C1001" s="43"/>
      <c r="D1001" s="43"/>
      <c r="E1001" s="43" t="s">
        <v>1868</v>
      </c>
      <c r="F1001" s="43" t="s">
        <v>1869</v>
      </c>
      <c r="G1001" s="46">
        <f t="shared" si="242"/>
        <v>100000</v>
      </c>
      <c r="H1001" s="46">
        <f t="shared" si="243"/>
        <v>90750.000000000015</v>
      </c>
      <c r="I1001" s="28" t="s">
        <v>262</v>
      </c>
      <c r="J1001" s="337">
        <v>1</v>
      </c>
      <c r="K1001" s="46">
        <f t="shared" si="244"/>
        <v>100000</v>
      </c>
      <c r="L1001" s="46">
        <f t="shared" si="245"/>
        <v>90750.000000000015</v>
      </c>
      <c r="M1001" s="338">
        <f t="shared" si="246"/>
        <v>0</v>
      </c>
      <c r="N1001" s="43" t="s">
        <v>35</v>
      </c>
      <c r="O1001" s="339" t="s">
        <v>167</v>
      </c>
      <c r="P1001" s="340" t="str">
        <f>IFERROR(VLOOKUP(O1001,NCM!$A$3:$D$99,COLUMN(head_porNCM_IPI)-COLUMN(head_porNCM_NCM)+1,FALSE),"")</f>
        <v/>
      </c>
      <c r="Q1001" s="43" t="s">
        <v>1903</v>
      </c>
      <c r="R1001" s="78" t="s">
        <v>209</v>
      </c>
      <c r="S1001" s="341"/>
      <c r="T1001" s="28" t="s">
        <v>53</v>
      </c>
      <c r="U1001" s="28"/>
      <c r="V1001" s="28"/>
      <c r="W1001" s="43"/>
      <c r="X1001" s="342">
        <f t="shared" si="247"/>
        <v>0</v>
      </c>
      <c r="Y1001" s="342">
        <f t="shared" si="248"/>
        <v>0</v>
      </c>
      <c r="Z1001" s="46">
        <f t="shared" si="249"/>
        <v>1650</v>
      </c>
      <c r="AA1001" s="46">
        <f t="shared" si="250"/>
        <v>7600</v>
      </c>
      <c r="AB1001" s="43"/>
      <c r="AC1001" s="44">
        <v>100000</v>
      </c>
      <c r="AD1001" s="31">
        <v>0</v>
      </c>
      <c r="AE1001" s="31">
        <v>0</v>
      </c>
      <c r="AF1001" s="31">
        <v>0.03</v>
      </c>
      <c r="AG1001" s="28" t="s">
        <v>53</v>
      </c>
      <c r="AH1001" s="46">
        <f t="shared" si="251"/>
        <v>100000</v>
      </c>
      <c r="AI1001" s="43"/>
      <c r="AJ1001" s="28"/>
      <c r="AK1001" s="337"/>
      <c r="AL1001" s="43"/>
      <c r="AM1001" s="44">
        <f t="shared" si="252"/>
        <v>0</v>
      </c>
      <c r="AN1001" s="43"/>
      <c r="AO1001" s="28">
        <f t="shared" si="253"/>
        <v>0</v>
      </c>
      <c r="AP1001" s="43"/>
      <c r="AQ1001" s="323">
        <f t="shared" si="254"/>
        <v>0</v>
      </c>
      <c r="AR1001" s="43"/>
      <c r="AS1001" s="44">
        <f t="shared" si="255"/>
        <v>100000</v>
      </c>
    </row>
    <row r="1002" spans="1:45" x14ac:dyDescent="0.25">
      <c r="A1002" s="28"/>
      <c r="B1002" s="43"/>
      <c r="C1002" s="43"/>
      <c r="D1002" s="43"/>
      <c r="E1002" s="43" t="s">
        <v>1870</v>
      </c>
      <c r="F1002" s="43" t="s">
        <v>2736</v>
      </c>
      <c r="G1002" s="46">
        <f t="shared" si="242"/>
        <v>29283.190883190888</v>
      </c>
      <c r="H1002" s="46">
        <f t="shared" si="243"/>
        <v>26574.495726495734</v>
      </c>
      <c r="I1002" s="28" t="s">
        <v>262</v>
      </c>
      <c r="J1002" s="337">
        <v>1</v>
      </c>
      <c r="K1002" s="46">
        <f t="shared" si="244"/>
        <v>29283.190883190888</v>
      </c>
      <c r="L1002" s="46">
        <f t="shared" si="245"/>
        <v>26574.495726495734</v>
      </c>
      <c r="M1002" s="338">
        <f t="shared" si="246"/>
        <v>0</v>
      </c>
      <c r="N1002" s="43" t="s">
        <v>156</v>
      </c>
      <c r="O1002" s="339" t="s">
        <v>167</v>
      </c>
      <c r="P1002" s="340" t="str">
        <f>IFERROR(VLOOKUP(O1002,NCM!$A$3:$D$99,COLUMN(head_porNCM_IPI)-COLUMN(head_porNCM_NCM)+1,FALSE),"")</f>
        <v/>
      </c>
      <c r="Q1002" s="43" t="s">
        <v>1903</v>
      </c>
      <c r="R1002" s="78" t="s">
        <v>209</v>
      </c>
      <c r="S1002" s="341"/>
      <c r="T1002" s="28" t="s">
        <v>53</v>
      </c>
      <c r="U1002" s="28"/>
      <c r="V1002" s="28"/>
      <c r="W1002" s="43"/>
      <c r="X1002" s="342">
        <f t="shared" si="247"/>
        <v>0</v>
      </c>
      <c r="Y1002" s="342">
        <f t="shared" si="248"/>
        <v>0</v>
      </c>
      <c r="Z1002" s="46">
        <f t="shared" si="249"/>
        <v>483.17264957264968</v>
      </c>
      <c r="AA1002" s="46">
        <f t="shared" si="250"/>
        <v>2225.5225071225072</v>
      </c>
      <c r="AB1002" s="43"/>
      <c r="AC1002" s="44">
        <v>29283.190883190888</v>
      </c>
      <c r="AD1002" s="31">
        <v>0</v>
      </c>
      <c r="AE1002" s="31">
        <v>0</v>
      </c>
      <c r="AF1002" s="31">
        <v>0.03</v>
      </c>
      <c r="AG1002" s="28" t="s">
        <v>53</v>
      </c>
      <c r="AH1002" s="46">
        <f t="shared" si="251"/>
        <v>29283.190883190888</v>
      </c>
      <c r="AI1002" s="43"/>
      <c r="AJ1002" s="28"/>
      <c r="AK1002" s="337"/>
      <c r="AL1002" s="43"/>
      <c r="AM1002" s="44">
        <f t="shared" si="252"/>
        <v>0</v>
      </c>
      <c r="AN1002" s="43"/>
      <c r="AO1002" s="28">
        <f t="shared" si="253"/>
        <v>0</v>
      </c>
      <c r="AP1002" s="43"/>
      <c r="AQ1002" s="323">
        <f t="shared" si="254"/>
        <v>0</v>
      </c>
      <c r="AR1002" s="43"/>
      <c r="AS1002" s="44">
        <f t="shared" si="255"/>
        <v>29283.190883190888</v>
      </c>
    </row>
    <row r="1003" spans="1:45" x14ac:dyDescent="0.25">
      <c r="A1003" s="28"/>
      <c r="B1003" s="43"/>
      <c r="C1003" s="43"/>
      <c r="D1003" s="43"/>
      <c r="E1003" s="43" t="s">
        <v>1871</v>
      </c>
      <c r="F1003" s="43" t="s">
        <v>2737</v>
      </c>
      <c r="G1003" s="46">
        <f t="shared" si="242"/>
        <v>53835.294117647056</v>
      </c>
      <c r="H1003" s="46">
        <f t="shared" si="243"/>
        <v>48855.529411764706</v>
      </c>
      <c r="I1003" s="28" t="s">
        <v>262</v>
      </c>
      <c r="J1003" s="337">
        <v>1</v>
      </c>
      <c r="K1003" s="46">
        <f t="shared" si="244"/>
        <v>53835.294117647056</v>
      </c>
      <c r="L1003" s="46">
        <f t="shared" si="245"/>
        <v>48855.529411764706</v>
      </c>
      <c r="M1003" s="338">
        <f t="shared" si="246"/>
        <v>0</v>
      </c>
      <c r="N1003" s="43" t="s">
        <v>156</v>
      </c>
      <c r="O1003" s="339" t="s">
        <v>167</v>
      </c>
      <c r="P1003" s="340" t="str">
        <f>IFERROR(VLOOKUP(O1003,NCM!$A$3:$D$99,COLUMN(head_porNCM_IPI)-COLUMN(head_porNCM_NCM)+1,FALSE),"")</f>
        <v/>
      </c>
      <c r="Q1003" s="43" t="s">
        <v>1903</v>
      </c>
      <c r="R1003" s="78" t="s">
        <v>209</v>
      </c>
      <c r="S1003" s="341"/>
      <c r="T1003" s="28" t="s">
        <v>53</v>
      </c>
      <c r="U1003" s="28"/>
      <c r="V1003" s="28"/>
      <c r="W1003" s="43"/>
      <c r="X1003" s="342">
        <f t="shared" si="247"/>
        <v>0</v>
      </c>
      <c r="Y1003" s="342">
        <f t="shared" si="248"/>
        <v>0</v>
      </c>
      <c r="Z1003" s="46">
        <f t="shared" si="249"/>
        <v>888.28235294117644</v>
      </c>
      <c r="AA1003" s="46">
        <f t="shared" si="250"/>
        <v>4091.482352941176</v>
      </c>
      <c r="AB1003" s="43"/>
      <c r="AC1003" s="44">
        <v>53835.294117647056</v>
      </c>
      <c r="AD1003" s="31">
        <v>0</v>
      </c>
      <c r="AE1003" s="31">
        <v>0</v>
      </c>
      <c r="AF1003" s="31">
        <v>0.03</v>
      </c>
      <c r="AG1003" s="28" t="s">
        <v>53</v>
      </c>
      <c r="AH1003" s="46">
        <f t="shared" si="251"/>
        <v>53835.294117647056</v>
      </c>
      <c r="AI1003" s="43"/>
      <c r="AJ1003" s="28"/>
      <c r="AK1003" s="337"/>
      <c r="AL1003" s="43"/>
      <c r="AM1003" s="44">
        <f t="shared" si="252"/>
        <v>0</v>
      </c>
      <c r="AN1003" s="43"/>
      <c r="AO1003" s="28">
        <f t="shared" si="253"/>
        <v>0</v>
      </c>
      <c r="AP1003" s="43"/>
      <c r="AQ1003" s="323">
        <f t="shared" si="254"/>
        <v>0</v>
      </c>
      <c r="AR1003" s="43"/>
      <c r="AS1003" s="44">
        <f t="shared" si="255"/>
        <v>53835.294117647056</v>
      </c>
    </row>
    <row r="1004" spans="1:45" x14ac:dyDescent="0.25">
      <c r="A1004" s="28"/>
      <c r="B1004" s="43"/>
      <c r="C1004" s="43"/>
      <c r="D1004" s="43"/>
      <c r="E1004" s="43" t="s">
        <v>2271</v>
      </c>
      <c r="F1004" s="43" t="s">
        <v>1872</v>
      </c>
      <c r="G1004" s="46">
        <f t="shared" si="242"/>
        <v>29283.190883190888</v>
      </c>
      <c r="H1004" s="46">
        <f t="shared" si="243"/>
        <v>26574.495726495734</v>
      </c>
      <c r="I1004" s="28" t="s">
        <v>262</v>
      </c>
      <c r="J1004" s="337">
        <v>1</v>
      </c>
      <c r="K1004" s="46">
        <f t="shared" si="244"/>
        <v>29283.190883190888</v>
      </c>
      <c r="L1004" s="46">
        <f t="shared" si="245"/>
        <v>26574.495726495734</v>
      </c>
      <c r="M1004" s="338">
        <f t="shared" si="246"/>
        <v>0</v>
      </c>
      <c r="N1004" s="43" t="s">
        <v>156</v>
      </c>
      <c r="O1004" s="339" t="s">
        <v>167</v>
      </c>
      <c r="P1004" s="340" t="str">
        <f>IFERROR(VLOOKUP(O1004,NCM!$A$3:$D$99,COLUMN(head_porNCM_IPI)-COLUMN(head_porNCM_NCM)+1,FALSE),"")</f>
        <v/>
      </c>
      <c r="Q1004" s="43" t="s">
        <v>1903</v>
      </c>
      <c r="R1004" s="78" t="s">
        <v>209</v>
      </c>
      <c r="S1004" s="341"/>
      <c r="T1004" s="28" t="s">
        <v>53</v>
      </c>
      <c r="U1004" s="28"/>
      <c r="V1004" s="28"/>
      <c r="W1004" s="43"/>
      <c r="X1004" s="342">
        <f t="shared" si="247"/>
        <v>0</v>
      </c>
      <c r="Y1004" s="342">
        <f t="shared" si="248"/>
        <v>0</v>
      </c>
      <c r="Z1004" s="46">
        <f t="shared" si="249"/>
        <v>483.17264957264968</v>
      </c>
      <c r="AA1004" s="46">
        <f t="shared" si="250"/>
        <v>2225.5225071225072</v>
      </c>
      <c r="AB1004" s="43"/>
      <c r="AC1004" s="44">
        <v>29283.190883190888</v>
      </c>
      <c r="AD1004" s="31">
        <v>0</v>
      </c>
      <c r="AE1004" s="31">
        <v>0</v>
      </c>
      <c r="AF1004" s="31">
        <v>0.03</v>
      </c>
      <c r="AG1004" s="28" t="s">
        <v>53</v>
      </c>
      <c r="AH1004" s="46">
        <f t="shared" si="251"/>
        <v>29283.190883190888</v>
      </c>
      <c r="AI1004" s="43"/>
      <c r="AJ1004" s="28"/>
      <c r="AK1004" s="337"/>
      <c r="AL1004" s="43"/>
      <c r="AM1004" s="44">
        <f t="shared" si="252"/>
        <v>0</v>
      </c>
      <c r="AN1004" s="43"/>
      <c r="AO1004" s="28">
        <f t="shared" si="253"/>
        <v>0</v>
      </c>
      <c r="AP1004" s="43"/>
      <c r="AQ1004" s="323">
        <f t="shared" si="254"/>
        <v>0</v>
      </c>
      <c r="AR1004" s="43"/>
      <c r="AS1004" s="44">
        <f t="shared" si="255"/>
        <v>29283.190883190888</v>
      </c>
    </row>
    <row r="1005" spans="1:45" x14ac:dyDescent="0.25">
      <c r="A1005" s="28"/>
      <c r="B1005" s="43"/>
      <c r="C1005" s="43"/>
      <c r="D1005" s="43"/>
      <c r="E1005" s="43" t="s">
        <v>1873</v>
      </c>
      <c r="F1005" s="43" t="s">
        <v>1874</v>
      </c>
      <c r="G1005" s="46">
        <f t="shared" si="242"/>
        <v>53835.294117647056</v>
      </c>
      <c r="H1005" s="46">
        <f t="shared" si="243"/>
        <v>48855.529411764706</v>
      </c>
      <c r="I1005" s="28" t="s">
        <v>262</v>
      </c>
      <c r="J1005" s="337">
        <v>1</v>
      </c>
      <c r="K1005" s="46">
        <f t="shared" si="244"/>
        <v>53835.294117647056</v>
      </c>
      <c r="L1005" s="46">
        <f t="shared" si="245"/>
        <v>48855.529411764706</v>
      </c>
      <c r="M1005" s="338">
        <f t="shared" si="246"/>
        <v>0</v>
      </c>
      <c r="N1005" s="43" t="s">
        <v>156</v>
      </c>
      <c r="O1005" s="339" t="s">
        <v>167</v>
      </c>
      <c r="P1005" s="340" t="str">
        <f>IFERROR(VLOOKUP(O1005,NCM!$A$3:$D$99,COLUMN(head_porNCM_IPI)-COLUMN(head_porNCM_NCM)+1,FALSE),"")</f>
        <v/>
      </c>
      <c r="Q1005" s="43" t="s">
        <v>1903</v>
      </c>
      <c r="R1005" s="78" t="s">
        <v>209</v>
      </c>
      <c r="S1005" s="341"/>
      <c r="T1005" s="28" t="s">
        <v>53</v>
      </c>
      <c r="U1005" s="28"/>
      <c r="V1005" s="28"/>
      <c r="W1005" s="43"/>
      <c r="X1005" s="342">
        <f t="shared" si="247"/>
        <v>0</v>
      </c>
      <c r="Y1005" s="342">
        <f t="shared" si="248"/>
        <v>0</v>
      </c>
      <c r="Z1005" s="46">
        <f t="shared" si="249"/>
        <v>888.28235294117644</v>
      </c>
      <c r="AA1005" s="46">
        <f t="shared" si="250"/>
        <v>4091.482352941176</v>
      </c>
      <c r="AB1005" s="43"/>
      <c r="AC1005" s="44">
        <v>53835.294117647056</v>
      </c>
      <c r="AD1005" s="31">
        <v>0</v>
      </c>
      <c r="AE1005" s="31">
        <v>0</v>
      </c>
      <c r="AF1005" s="31">
        <v>0.03</v>
      </c>
      <c r="AG1005" s="28" t="s">
        <v>53</v>
      </c>
      <c r="AH1005" s="46">
        <f t="shared" si="251"/>
        <v>53835.294117647056</v>
      </c>
      <c r="AI1005" s="43"/>
      <c r="AJ1005" s="28"/>
      <c r="AK1005" s="337"/>
      <c r="AL1005" s="43"/>
      <c r="AM1005" s="44">
        <f t="shared" si="252"/>
        <v>0</v>
      </c>
      <c r="AN1005" s="43"/>
      <c r="AO1005" s="28">
        <f t="shared" si="253"/>
        <v>0</v>
      </c>
      <c r="AP1005" s="43"/>
      <c r="AQ1005" s="323">
        <f t="shared" si="254"/>
        <v>0</v>
      </c>
      <c r="AR1005" s="43"/>
      <c r="AS1005" s="44">
        <f t="shared" si="255"/>
        <v>53835.294117647056</v>
      </c>
    </row>
    <row r="1006" spans="1:45" x14ac:dyDescent="0.25">
      <c r="A1006" s="28"/>
      <c r="B1006" s="43"/>
      <c r="C1006" s="43"/>
      <c r="D1006" s="43"/>
      <c r="E1006" s="43"/>
      <c r="F1006" s="43"/>
      <c r="G1006" s="46">
        <f t="shared" si="242"/>
        <v>0</v>
      </c>
      <c r="H1006" s="46">
        <f t="shared" si="243"/>
        <v>0</v>
      </c>
      <c r="I1006" s="28"/>
      <c r="J1006" s="337"/>
      <c r="K1006" s="46" t="str">
        <f t="shared" si="244"/>
        <v/>
      </c>
      <c r="L1006" s="46" t="str">
        <f t="shared" si="245"/>
        <v/>
      </c>
      <c r="M1006" s="338">
        <f t="shared" si="246"/>
        <v>0</v>
      </c>
      <c r="N1006" s="43"/>
      <c r="O1006" s="339"/>
      <c r="P1006" s="340" t="str">
        <f>IFERROR(VLOOKUP(O1006,NCM!$A$3:$D$99,COLUMN(head_porNCM_IPI)-COLUMN(head_porNCM_NCM)+1,FALSE),"")</f>
        <v/>
      </c>
      <c r="Q1006" s="43"/>
      <c r="R1006" s="78"/>
      <c r="S1006" s="341"/>
      <c r="T1006" s="28" t="s">
        <v>53</v>
      </c>
      <c r="U1006" s="28"/>
      <c r="V1006" s="28"/>
      <c r="W1006" s="43"/>
      <c r="X1006" s="342">
        <f t="shared" si="247"/>
        <v>0</v>
      </c>
      <c r="Y1006" s="342">
        <f t="shared" si="248"/>
        <v>0</v>
      </c>
      <c r="Z1006" s="46">
        <f t="shared" si="249"/>
        <v>0</v>
      </c>
      <c r="AA1006" s="46">
        <f t="shared" si="250"/>
        <v>0</v>
      </c>
      <c r="AB1006" s="43"/>
      <c r="AC1006" s="44"/>
      <c r="AD1006" s="31"/>
      <c r="AE1006" s="31"/>
      <c r="AF1006" s="31"/>
      <c r="AG1006" s="28" t="s">
        <v>53</v>
      </c>
      <c r="AH1006" s="46">
        <f t="shared" si="251"/>
        <v>0</v>
      </c>
      <c r="AI1006" s="43"/>
      <c r="AJ1006" s="28"/>
      <c r="AK1006" s="337"/>
      <c r="AL1006" s="43"/>
      <c r="AM1006" s="44">
        <f t="shared" si="252"/>
        <v>0</v>
      </c>
      <c r="AN1006" s="43"/>
      <c r="AO1006" s="28">
        <f t="shared" si="253"/>
        <v>0</v>
      </c>
      <c r="AP1006" s="43"/>
      <c r="AQ1006" s="323">
        <f t="shared" si="254"/>
        <v>0</v>
      </c>
      <c r="AR1006" s="43"/>
      <c r="AS1006" s="44">
        <f t="shared" si="255"/>
        <v>0</v>
      </c>
    </row>
    <row r="1007" spans="1:45" s="351" customFormat="1" x14ac:dyDescent="0.25">
      <c r="A1007" s="345" t="s">
        <v>66</v>
      </c>
      <c r="B1007" s="343"/>
      <c r="C1007" s="343" t="s">
        <v>367</v>
      </c>
      <c r="D1007" s="343"/>
      <c r="E1007" s="343"/>
      <c r="F1007" s="343"/>
      <c r="G1007" s="344"/>
      <c r="H1007" s="344"/>
      <c r="I1007" s="343"/>
      <c r="J1007" s="343"/>
      <c r="K1007" s="343"/>
      <c r="L1007" s="343"/>
      <c r="M1007" s="343"/>
      <c r="N1007" s="343"/>
      <c r="O1007" s="343"/>
      <c r="P1007" s="343"/>
      <c r="Q1007" s="343"/>
      <c r="R1007" s="343"/>
      <c r="S1007" s="343"/>
      <c r="T1007" s="343"/>
      <c r="U1007" s="345"/>
      <c r="V1007" s="345"/>
      <c r="W1007" s="343"/>
      <c r="X1007" s="343"/>
      <c r="Y1007" s="343"/>
      <c r="Z1007" s="343"/>
      <c r="AA1007" s="343"/>
      <c r="AB1007" s="343"/>
      <c r="AC1007" s="343"/>
      <c r="AD1007" s="343"/>
      <c r="AE1007" s="343"/>
      <c r="AF1007" s="343"/>
      <c r="AG1007" s="343"/>
      <c r="AH1007" s="343"/>
      <c r="AI1007" s="343"/>
      <c r="AJ1007" s="343"/>
      <c r="AK1007" s="343"/>
      <c r="AL1007" s="343"/>
      <c r="AM1007" s="344"/>
      <c r="AN1007" s="343"/>
      <c r="AO1007" s="345"/>
      <c r="AP1007" s="343"/>
      <c r="AQ1007" s="343"/>
      <c r="AR1007" s="343"/>
      <c r="AS1007" s="343"/>
    </row>
    <row r="1008" spans="1:45" outlineLevel="1" x14ac:dyDescent="0.25">
      <c r="A1008" s="28">
        <v>1</v>
      </c>
      <c r="B1008" s="43"/>
      <c r="C1008" s="43"/>
      <c r="D1008" s="43"/>
      <c r="E1008" s="43" t="str">
        <f t="shared" ref="E1008:E1071" si="256">HLOOKUP(A1008,std_tbl3,2,FALSE)</f>
        <v>LT 500kV</v>
      </c>
      <c r="F1008" s="43" t="str">
        <f t="shared" ref="F1008:F1071" si="257">HLOOKUP(A1008,std_tbl3,ROW(row_std_descr)-ROW(row_std_head)+2,FALSE)</f>
        <v>LT 500kV composto por: 2x painel; 1x RDP (4TC/4TP); 2x relé de distância (4TC/4TP/40BI/30BO); 4x bloco de testes.</v>
      </c>
      <c r="G1008" s="46">
        <f t="shared" ref="G1008:G1267" si="258">AC1008*(1-AD1008)</f>
        <v>0</v>
      </c>
      <c r="H1008" s="46">
        <f t="shared" ref="H1008:H1267" si="259">AC1008*(1-AD1008-pis_naocum-cofins_naocum)</f>
        <v>0</v>
      </c>
      <c r="I1008" s="28"/>
      <c r="J1008" s="337"/>
      <c r="K1008" s="46" t="str">
        <f t="shared" ref="K1008:K1267" si="260">IFERROR(G1008*J1008*VLOOKUP(I1008,tbl_cambio,2,FALSE),"")</f>
        <v/>
      </c>
      <c r="L1008" s="46" t="str">
        <f t="shared" ref="L1008:L1267" si="261">IFERROR(H1008*J1008*VLOOKUP(I1008,tbl_cambio,2,FALSE),"")</f>
        <v/>
      </c>
      <c r="M1008" s="338">
        <f t="shared" ref="M1008:M1267" si="262">SUMIF(col_item,"="&amp;E1008,col_qtd)</f>
        <v>0</v>
      </c>
      <c r="N1008" s="43"/>
      <c r="O1008" s="339" t="e">
        <f t="shared" ref="O1008:O1267" si="263">std_ncm</f>
        <v>#N/A</v>
      </c>
      <c r="P1008" s="340" t="str">
        <f>IFERROR(VLOOKUP(O1008,NCM!$A$3:$D$99,COLUMN(head_porNCM_IPI)-COLUMN(head_porNCM_NCM)+1,FALSE),"")</f>
        <v/>
      </c>
      <c r="Q1008" s="43"/>
      <c r="R1008" s="78"/>
      <c r="S1008" s="341"/>
      <c r="T1008" s="28" t="s">
        <v>53</v>
      </c>
      <c r="U1008" s="28"/>
      <c r="V1008" s="28"/>
      <c r="W1008" s="43"/>
      <c r="X1008" s="342">
        <f t="shared" ref="X1008:X1267" si="264">(AC1008-Y1008)*AD1008</f>
        <v>0</v>
      </c>
      <c r="Y1008" s="342">
        <f t="shared" ref="Y1008:Y1267" si="265">AC1008-AC1008/(1+AE1008)</f>
        <v>0</v>
      </c>
      <c r="Z1008" s="46">
        <f t="shared" ref="Z1008:Z1267" si="266">(AC1008-Y1008)*pis_naocum</f>
        <v>0</v>
      </c>
      <c r="AA1008" s="46">
        <f t="shared" ref="AA1008:AA1267" si="267">(AC1008-Y1008)*cofins_naocum</f>
        <v>0</v>
      </c>
      <c r="AB1008" s="43"/>
      <c r="AC1008" s="44"/>
      <c r="AD1008" s="31"/>
      <c r="AE1008" s="31"/>
      <c r="AF1008" s="31"/>
      <c r="AG1008" s="28" t="s">
        <v>53</v>
      </c>
      <c r="AH1008" s="46">
        <f t="shared" ref="AH1008:AH1071" si="268">AC1008*(1+AE1008)</f>
        <v>0</v>
      </c>
      <c r="AI1008" s="43"/>
      <c r="AJ1008" s="28"/>
      <c r="AK1008" s="337"/>
      <c r="AL1008" s="43"/>
      <c r="AM1008" s="44">
        <f t="shared" ref="AM1008:AM1071" si="269">IF(AND(AJ1008&lt;&gt;"",AK1008&gt;0),AQ1008*(VLOOKUP(AJ1008,tbl_cambio,2,FALSE)/AK1008-1),0)</f>
        <v>0</v>
      </c>
      <c r="AN1008" s="43"/>
      <c r="AO1008" s="28">
        <f t="shared" ref="AO1008:AO1071" si="270">IF(T1008="Sim",ROUNDUP(M1008*sobress_pc,0),0)</f>
        <v>0</v>
      </c>
      <c r="AP1008" s="43"/>
      <c r="AQ1008" s="323">
        <f t="shared" ref="AQ1008:AQ1071" si="271">SUMIFS(col_custoTotal,col_fatdir,"Não",col_item,E1008)</f>
        <v>0</v>
      </c>
      <c r="AR1008" s="43"/>
      <c r="AS1008" s="44"/>
    </row>
    <row r="1009" spans="1:45" outlineLevel="1" x14ac:dyDescent="0.25">
      <c r="A1009" s="28">
        <v>2</v>
      </c>
      <c r="B1009" s="43"/>
      <c r="C1009" s="43"/>
      <c r="D1009" s="43"/>
      <c r="E1009" s="43" t="str">
        <f t="shared" si="256"/>
        <v>LT+RL 500kV</v>
      </c>
      <c r="F1009" s="43" t="str">
        <f t="shared" si="257"/>
        <v>LT+RL 500kV composto por: 2x painel; 1x RDP (8TC/8TP); 2x relé de distância (4TC/4TP/40BI/30BO); 2x relé diferencial de reator (4TC/4TP/10BI/15BO); 1x UAC (4TC/4TP/35BI/20BO); 10x bloco de testes.</v>
      </c>
      <c r="G1009" s="46">
        <f t="shared" si="258"/>
        <v>0</v>
      </c>
      <c r="H1009" s="46">
        <f t="shared" si="259"/>
        <v>0</v>
      </c>
      <c r="I1009" s="28"/>
      <c r="J1009" s="337"/>
      <c r="K1009" s="46" t="str">
        <f t="shared" si="260"/>
        <v/>
      </c>
      <c r="L1009" s="46" t="str">
        <f t="shared" si="261"/>
        <v/>
      </c>
      <c r="M1009" s="338">
        <f t="shared" si="262"/>
        <v>0</v>
      </c>
      <c r="N1009" s="43"/>
      <c r="O1009" s="339" t="e">
        <f t="shared" si="263"/>
        <v>#N/A</v>
      </c>
      <c r="P1009" s="340" t="str">
        <f>IFERROR(VLOOKUP(O1009,NCM!$A$3:$D$99,COLUMN(head_porNCM_IPI)-COLUMN(head_porNCM_NCM)+1,FALSE),"")</f>
        <v/>
      </c>
      <c r="Q1009" s="43"/>
      <c r="R1009" s="78"/>
      <c r="S1009" s="341"/>
      <c r="T1009" s="28" t="s">
        <v>53</v>
      </c>
      <c r="U1009" s="28"/>
      <c r="V1009" s="28"/>
      <c r="W1009" s="43"/>
      <c r="X1009" s="342">
        <f t="shared" si="264"/>
        <v>0</v>
      </c>
      <c r="Y1009" s="342">
        <f t="shared" si="265"/>
        <v>0</v>
      </c>
      <c r="Z1009" s="46">
        <f t="shared" si="266"/>
        <v>0</v>
      </c>
      <c r="AA1009" s="46">
        <f t="shared" si="267"/>
        <v>0</v>
      </c>
      <c r="AB1009" s="43"/>
      <c r="AC1009" s="44"/>
      <c r="AD1009" s="31"/>
      <c r="AE1009" s="31"/>
      <c r="AF1009" s="31"/>
      <c r="AG1009" s="28" t="s">
        <v>53</v>
      </c>
      <c r="AH1009" s="46">
        <f t="shared" si="268"/>
        <v>0</v>
      </c>
      <c r="AI1009" s="43"/>
      <c r="AJ1009" s="28"/>
      <c r="AK1009" s="337"/>
      <c r="AL1009" s="43"/>
      <c r="AM1009" s="44">
        <f t="shared" si="269"/>
        <v>0</v>
      </c>
      <c r="AN1009" s="43"/>
      <c r="AO1009" s="28">
        <f t="shared" si="270"/>
        <v>0</v>
      </c>
      <c r="AP1009" s="43"/>
      <c r="AQ1009" s="323">
        <f t="shared" si="271"/>
        <v>0</v>
      </c>
      <c r="AR1009" s="43"/>
      <c r="AS1009" s="44"/>
    </row>
    <row r="1010" spans="1:45" outlineLevel="1" x14ac:dyDescent="0.25">
      <c r="A1010" s="28">
        <v>3</v>
      </c>
      <c r="B1010" s="43"/>
      <c r="C1010" s="43"/>
      <c r="D1010" s="43"/>
      <c r="E1010" s="43" t="str">
        <f t="shared" si="256"/>
        <v>LT+CS 500kV</v>
      </c>
      <c r="F1010" s="43" t="str">
        <f t="shared" si="257"/>
        <v>LT+CS 500kV composto por: 2x painel; 1x RDP (4TC/4TP); 2x relé de distância (4TC/4TP/40BI/30BO); 1x UAC (4TC/4TP/70BI/30BO); 4x bloco de testes.</v>
      </c>
      <c r="G1010" s="46">
        <f t="shared" si="258"/>
        <v>0</v>
      </c>
      <c r="H1010" s="46">
        <f t="shared" si="259"/>
        <v>0</v>
      </c>
      <c r="I1010" s="28"/>
      <c r="J1010" s="337"/>
      <c r="K1010" s="46" t="str">
        <f t="shared" si="260"/>
        <v/>
      </c>
      <c r="L1010" s="46" t="str">
        <f t="shared" si="261"/>
        <v/>
      </c>
      <c r="M1010" s="338">
        <f t="shared" si="262"/>
        <v>0</v>
      </c>
      <c r="N1010" s="43"/>
      <c r="O1010" s="339" t="e">
        <f t="shared" si="263"/>
        <v>#N/A</v>
      </c>
      <c r="P1010" s="340" t="str">
        <f>IFERROR(VLOOKUP(O1010,NCM!$A$3:$D$99,COLUMN(head_porNCM_IPI)-COLUMN(head_porNCM_NCM)+1,FALSE),"")</f>
        <v/>
      </c>
      <c r="Q1010" s="43"/>
      <c r="R1010" s="78"/>
      <c r="S1010" s="341"/>
      <c r="T1010" s="28" t="s">
        <v>53</v>
      </c>
      <c r="U1010" s="28"/>
      <c r="V1010" s="28"/>
      <c r="W1010" s="43"/>
      <c r="X1010" s="342">
        <f t="shared" si="264"/>
        <v>0</v>
      </c>
      <c r="Y1010" s="342">
        <f t="shared" si="265"/>
        <v>0</v>
      </c>
      <c r="Z1010" s="46">
        <f t="shared" si="266"/>
        <v>0</v>
      </c>
      <c r="AA1010" s="46">
        <f t="shared" si="267"/>
        <v>0</v>
      </c>
      <c r="AB1010" s="43"/>
      <c r="AC1010" s="44"/>
      <c r="AD1010" s="31"/>
      <c r="AE1010" s="31"/>
      <c r="AF1010" s="31"/>
      <c r="AG1010" s="28" t="s">
        <v>53</v>
      </c>
      <c r="AH1010" s="46">
        <f t="shared" si="268"/>
        <v>0</v>
      </c>
      <c r="AI1010" s="43"/>
      <c r="AJ1010" s="28"/>
      <c r="AK1010" s="337"/>
      <c r="AL1010" s="43"/>
      <c r="AM1010" s="44">
        <f t="shared" si="269"/>
        <v>0</v>
      </c>
      <c r="AN1010" s="43"/>
      <c r="AO1010" s="28">
        <f t="shared" si="270"/>
        <v>0</v>
      </c>
      <c r="AP1010" s="43"/>
      <c r="AQ1010" s="323">
        <f t="shared" si="271"/>
        <v>0</v>
      </c>
      <c r="AR1010" s="43"/>
      <c r="AS1010" s="44"/>
    </row>
    <row r="1011" spans="1:45" outlineLevel="1" x14ac:dyDescent="0.25">
      <c r="A1011" s="28">
        <v>4</v>
      </c>
      <c r="B1011" s="43"/>
      <c r="C1011" s="43"/>
      <c r="D1011" s="43"/>
      <c r="E1011" s="43" t="str">
        <f t="shared" si="256"/>
        <v>LT+RL+CS 500kV</v>
      </c>
      <c r="F1011" s="43" t="str">
        <f t="shared" si="257"/>
        <v>LT+RL+CS 500kV composto por: 2x painel; 1x RDP (8TC/8TP); 2x relé de distância (4TC/4TP/40BI/30BO); 2x relé diferencial de reator (4TC/4TP/10BI/15BO); 1x UAC (4TC/4TP/35BI/20BO); 1x UAC (4TC/4TP/70BI/30BO); 10x bloco de testes.</v>
      </c>
      <c r="G1011" s="46">
        <f t="shared" si="258"/>
        <v>0</v>
      </c>
      <c r="H1011" s="46">
        <f t="shared" si="259"/>
        <v>0</v>
      </c>
      <c r="I1011" s="28"/>
      <c r="J1011" s="337"/>
      <c r="K1011" s="46" t="str">
        <f t="shared" si="260"/>
        <v/>
      </c>
      <c r="L1011" s="46" t="str">
        <f t="shared" si="261"/>
        <v/>
      </c>
      <c r="M1011" s="338">
        <f t="shared" si="262"/>
        <v>0</v>
      </c>
      <c r="N1011" s="43"/>
      <c r="O1011" s="339" t="e">
        <f t="shared" si="263"/>
        <v>#N/A</v>
      </c>
      <c r="P1011" s="340" t="str">
        <f>IFERROR(VLOOKUP(O1011,NCM!$A$3:$D$99,COLUMN(head_porNCM_IPI)-COLUMN(head_porNCM_NCM)+1,FALSE),"")</f>
        <v/>
      </c>
      <c r="Q1011" s="43"/>
      <c r="R1011" s="78"/>
      <c r="S1011" s="341"/>
      <c r="T1011" s="28" t="s">
        <v>53</v>
      </c>
      <c r="U1011" s="28"/>
      <c r="V1011" s="28"/>
      <c r="W1011" s="43"/>
      <c r="X1011" s="342">
        <f t="shared" si="264"/>
        <v>0</v>
      </c>
      <c r="Y1011" s="342">
        <f t="shared" si="265"/>
        <v>0</v>
      </c>
      <c r="Z1011" s="46">
        <f t="shared" si="266"/>
        <v>0</v>
      </c>
      <c r="AA1011" s="46">
        <f t="shared" si="267"/>
        <v>0</v>
      </c>
      <c r="AB1011" s="43"/>
      <c r="AC1011" s="44"/>
      <c r="AD1011" s="31"/>
      <c r="AE1011" s="31"/>
      <c r="AF1011" s="31"/>
      <c r="AG1011" s="28" t="s">
        <v>53</v>
      </c>
      <c r="AH1011" s="46">
        <f t="shared" si="268"/>
        <v>0</v>
      </c>
      <c r="AI1011" s="43"/>
      <c r="AJ1011" s="28"/>
      <c r="AK1011" s="337"/>
      <c r="AL1011" s="43"/>
      <c r="AM1011" s="44">
        <f t="shared" si="269"/>
        <v>0</v>
      </c>
      <c r="AN1011" s="43"/>
      <c r="AO1011" s="28">
        <f t="shared" si="270"/>
        <v>0</v>
      </c>
      <c r="AP1011" s="43"/>
      <c r="AQ1011" s="323">
        <f t="shared" si="271"/>
        <v>0</v>
      </c>
      <c r="AR1011" s="43"/>
      <c r="AS1011" s="44"/>
    </row>
    <row r="1012" spans="1:45" outlineLevel="1" x14ac:dyDescent="0.25">
      <c r="A1012" s="28">
        <v>5</v>
      </c>
      <c r="B1012" s="43"/>
      <c r="C1012" s="43"/>
      <c r="D1012" s="43"/>
      <c r="E1012" s="43" t="str">
        <f t="shared" si="256"/>
        <v>DJC 500kV</v>
      </c>
      <c r="F1012" s="43" t="str">
        <f t="shared" si="257"/>
        <v>DJC 500kV composto por: 1x painel; 2x relé falha disjuntor (4TC/4TP/30BI/20BO); 1x bloco de testes.</v>
      </c>
      <c r="G1012" s="46">
        <f t="shared" si="258"/>
        <v>0</v>
      </c>
      <c r="H1012" s="46">
        <f t="shared" si="259"/>
        <v>0</v>
      </c>
      <c r="I1012" s="28"/>
      <c r="J1012" s="337"/>
      <c r="K1012" s="46" t="str">
        <f t="shared" si="260"/>
        <v/>
      </c>
      <c r="L1012" s="46" t="str">
        <f t="shared" si="261"/>
        <v/>
      </c>
      <c r="M1012" s="338">
        <f t="shared" si="262"/>
        <v>0</v>
      </c>
      <c r="N1012" s="43"/>
      <c r="O1012" s="339" t="e">
        <f t="shared" si="263"/>
        <v>#N/A</v>
      </c>
      <c r="P1012" s="340" t="str">
        <f>IFERROR(VLOOKUP(O1012,NCM!$A$3:$D$99,COLUMN(head_porNCM_IPI)-COLUMN(head_porNCM_NCM)+1,FALSE),"")</f>
        <v/>
      </c>
      <c r="Q1012" s="43"/>
      <c r="R1012" s="78"/>
      <c r="S1012" s="341"/>
      <c r="T1012" s="28" t="s">
        <v>53</v>
      </c>
      <c r="U1012" s="28"/>
      <c r="V1012" s="28"/>
      <c r="W1012" s="43"/>
      <c r="X1012" s="342">
        <f t="shared" si="264"/>
        <v>0</v>
      </c>
      <c r="Y1012" s="342">
        <f t="shared" si="265"/>
        <v>0</v>
      </c>
      <c r="Z1012" s="46">
        <f t="shared" si="266"/>
        <v>0</v>
      </c>
      <c r="AA1012" s="46">
        <f t="shared" si="267"/>
        <v>0</v>
      </c>
      <c r="AB1012" s="43"/>
      <c r="AC1012" s="44"/>
      <c r="AD1012" s="31"/>
      <c r="AE1012" s="31"/>
      <c r="AF1012" s="31"/>
      <c r="AG1012" s="28" t="s">
        <v>53</v>
      </c>
      <c r="AH1012" s="46">
        <f t="shared" si="268"/>
        <v>0</v>
      </c>
      <c r="AI1012" s="43"/>
      <c r="AJ1012" s="28"/>
      <c r="AK1012" s="337"/>
      <c r="AL1012" s="43"/>
      <c r="AM1012" s="44">
        <f t="shared" si="269"/>
        <v>0</v>
      </c>
      <c r="AN1012" s="43"/>
      <c r="AO1012" s="28">
        <f t="shared" si="270"/>
        <v>0</v>
      </c>
      <c r="AP1012" s="43"/>
      <c r="AQ1012" s="323">
        <f t="shared" si="271"/>
        <v>0</v>
      </c>
      <c r="AR1012" s="43"/>
      <c r="AS1012" s="44"/>
    </row>
    <row r="1013" spans="1:45" outlineLevel="1" x14ac:dyDescent="0.25">
      <c r="A1013" s="28">
        <v>6</v>
      </c>
      <c r="B1013" s="43"/>
      <c r="C1013" s="43"/>
      <c r="D1013" s="43"/>
      <c r="E1013" s="43" t="str">
        <f t="shared" si="256"/>
        <v>TR 500kV</v>
      </c>
      <c r="F1013" s="43" t="str">
        <f t="shared" si="257"/>
        <v>TR 500kV composto por: 2x painel; 1x RDP (12TC/12TP); 2x relé diferencial de transformador (12TC/4TP/10BI/15BO); 1x UAC (4TC/4TP/150BI/40BO); 15x bloco de testes.</v>
      </c>
      <c r="G1013" s="46">
        <f t="shared" si="258"/>
        <v>0</v>
      </c>
      <c r="H1013" s="46">
        <f t="shared" si="259"/>
        <v>0</v>
      </c>
      <c r="I1013" s="28"/>
      <c r="J1013" s="337"/>
      <c r="K1013" s="46" t="str">
        <f t="shared" si="260"/>
        <v/>
      </c>
      <c r="L1013" s="46" t="str">
        <f t="shared" si="261"/>
        <v/>
      </c>
      <c r="M1013" s="338">
        <f t="shared" si="262"/>
        <v>0</v>
      </c>
      <c r="N1013" s="43"/>
      <c r="O1013" s="339" t="e">
        <f t="shared" si="263"/>
        <v>#N/A</v>
      </c>
      <c r="P1013" s="340" t="str">
        <f>IFERROR(VLOOKUP(O1013,NCM!$A$3:$D$99,COLUMN(head_porNCM_IPI)-COLUMN(head_porNCM_NCM)+1,FALSE),"")</f>
        <v/>
      </c>
      <c r="Q1013" s="43"/>
      <c r="R1013" s="78"/>
      <c r="S1013" s="341"/>
      <c r="T1013" s="28" t="s">
        <v>53</v>
      </c>
      <c r="U1013" s="28"/>
      <c r="V1013" s="28"/>
      <c r="W1013" s="43"/>
      <c r="X1013" s="342">
        <f t="shared" si="264"/>
        <v>0</v>
      </c>
      <c r="Y1013" s="342">
        <f t="shared" si="265"/>
        <v>0</v>
      </c>
      <c r="Z1013" s="46">
        <f t="shared" si="266"/>
        <v>0</v>
      </c>
      <c r="AA1013" s="46">
        <f t="shared" si="267"/>
        <v>0</v>
      </c>
      <c r="AB1013" s="43"/>
      <c r="AC1013" s="44"/>
      <c r="AD1013" s="31"/>
      <c r="AE1013" s="31"/>
      <c r="AF1013" s="31"/>
      <c r="AG1013" s="28" t="s">
        <v>53</v>
      </c>
      <c r="AH1013" s="46">
        <f t="shared" si="268"/>
        <v>0</v>
      </c>
      <c r="AI1013" s="43"/>
      <c r="AJ1013" s="28"/>
      <c r="AK1013" s="337"/>
      <c r="AL1013" s="43"/>
      <c r="AM1013" s="44">
        <f t="shared" si="269"/>
        <v>0</v>
      </c>
      <c r="AN1013" s="43"/>
      <c r="AO1013" s="28">
        <f t="shared" si="270"/>
        <v>0</v>
      </c>
      <c r="AP1013" s="43"/>
      <c r="AQ1013" s="323">
        <f t="shared" si="271"/>
        <v>0</v>
      </c>
      <c r="AR1013" s="43"/>
      <c r="AS1013" s="44"/>
    </row>
    <row r="1014" spans="1:45" outlineLevel="1" x14ac:dyDescent="0.25">
      <c r="A1014" s="28">
        <v>7</v>
      </c>
      <c r="B1014" s="43"/>
      <c r="C1014" s="43"/>
      <c r="D1014" s="43"/>
      <c r="E1014" s="43" t="str">
        <f t="shared" si="256"/>
        <v>87B 500kV 4 bays</v>
      </c>
      <c r="F1014" s="43" t="str">
        <f t="shared" si="257"/>
        <v>87B 500kV 4 bays composto por: 2x painel; 2x relé diferencial de barras concentrador (até 4 bays, 16TC/40BI/20BO); 8x bloco de testes.</v>
      </c>
      <c r="G1014" s="46">
        <f t="shared" si="258"/>
        <v>0</v>
      </c>
      <c r="H1014" s="46">
        <f t="shared" si="259"/>
        <v>0</v>
      </c>
      <c r="I1014" s="28"/>
      <c r="J1014" s="337"/>
      <c r="K1014" s="46" t="str">
        <f t="shared" si="260"/>
        <v/>
      </c>
      <c r="L1014" s="46" t="str">
        <f t="shared" si="261"/>
        <v/>
      </c>
      <c r="M1014" s="338">
        <f t="shared" si="262"/>
        <v>0</v>
      </c>
      <c r="N1014" s="43"/>
      <c r="O1014" s="339" t="e">
        <f t="shared" si="263"/>
        <v>#N/A</v>
      </c>
      <c r="P1014" s="340" t="str">
        <f>IFERROR(VLOOKUP(O1014,NCM!$A$3:$D$99,COLUMN(head_porNCM_IPI)-COLUMN(head_porNCM_NCM)+1,FALSE),"")</f>
        <v/>
      </c>
      <c r="Q1014" s="43"/>
      <c r="R1014" s="78"/>
      <c r="S1014" s="341"/>
      <c r="T1014" s="28" t="s">
        <v>53</v>
      </c>
      <c r="U1014" s="28"/>
      <c r="V1014" s="28"/>
      <c r="W1014" s="43"/>
      <c r="X1014" s="342">
        <f t="shared" si="264"/>
        <v>0</v>
      </c>
      <c r="Y1014" s="342">
        <f t="shared" si="265"/>
        <v>0</v>
      </c>
      <c r="Z1014" s="46">
        <f t="shared" si="266"/>
        <v>0</v>
      </c>
      <c r="AA1014" s="46">
        <f t="shared" si="267"/>
        <v>0</v>
      </c>
      <c r="AB1014" s="43"/>
      <c r="AC1014" s="44"/>
      <c r="AD1014" s="31"/>
      <c r="AE1014" s="31"/>
      <c r="AF1014" s="31"/>
      <c r="AG1014" s="28" t="s">
        <v>53</v>
      </c>
      <c r="AH1014" s="46">
        <f t="shared" si="268"/>
        <v>0</v>
      </c>
      <c r="AI1014" s="43"/>
      <c r="AJ1014" s="28"/>
      <c r="AK1014" s="337"/>
      <c r="AL1014" s="43"/>
      <c r="AM1014" s="44">
        <f t="shared" si="269"/>
        <v>0</v>
      </c>
      <c r="AN1014" s="43"/>
      <c r="AO1014" s="28">
        <f t="shared" si="270"/>
        <v>0</v>
      </c>
      <c r="AP1014" s="43"/>
      <c r="AQ1014" s="323">
        <f t="shared" si="271"/>
        <v>0</v>
      </c>
      <c r="AR1014" s="43"/>
      <c r="AS1014" s="44"/>
    </row>
    <row r="1015" spans="1:45" outlineLevel="1" x14ac:dyDescent="0.25">
      <c r="A1015" s="28">
        <v>8</v>
      </c>
      <c r="B1015" s="43"/>
      <c r="C1015" s="43"/>
      <c r="D1015" s="43"/>
      <c r="E1015" s="43" t="str">
        <f t="shared" si="256"/>
        <v>87B 500kV 6 bays</v>
      </c>
      <c r="F1015" s="43" t="str">
        <f t="shared" si="257"/>
        <v>87B 500kV 6 bays composto por: 2x painel; 2x relé diferencial de barras concentrador (até 6 bays, 24TC/60BI/30BO); 12x bloco de testes.</v>
      </c>
      <c r="G1015" s="46">
        <f t="shared" si="258"/>
        <v>0</v>
      </c>
      <c r="H1015" s="46">
        <f t="shared" si="259"/>
        <v>0</v>
      </c>
      <c r="I1015" s="28"/>
      <c r="J1015" s="337"/>
      <c r="K1015" s="46" t="str">
        <f t="shared" si="260"/>
        <v/>
      </c>
      <c r="L1015" s="46" t="str">
        <f t="shared" si="261"/>
        <v/>
      </c>
      <c r="M1015" s="338">
        <f t="shared" si="262"/>
        <v>0</v>
      </c>
      <c r="N1015" s="43"/>
      <c r="O1015" s="339" t="e">
        <f t="shared" si="263"/>
        <v>#N/A</v>
      </c>
      <c r="P1015" s="340" t="str">
        <f>IFERROR(VLOOKUP(O1015,NCM!$A$3:$D$99,COLUMN(head_porNCM_IPI)-COLUMN(head_porNCM_NCM)+1,FALSE),"")</f>
        <v/>
      </c>
      <c r="Q1015" s="43"/>
      <c r="R1015" s="78"/>
      <c r="S1015" s="341"/>
      <c r="T1015" s="28" t="s">
        <v>53</v>
      </c>
      <c r="U1015" s="28"/>
      <c r="V1015" s="28"/>
      <c r="W1015" s="43"/>
      <c r="X1015" s="342">
        <f t="shared" si="264"/>
        <v>0</v>
      </c>
      <c r="Y1015" s="342">
        <f t="shared" si="265"/>
        <v>0</v>
      </c>
      <c r="Z1015" s="46">
        <f t="shared" si="266"/>
        <v>0</v>
      </c>
      <c r="AA1015" s="46">
        <f t="shared" si="267"/>
        <v>0</v>
      </c>
      <c r="AB1015" s="43"/>
      <c r="AC1015" s="44"/>
      <c r="AD1015" s="31"/>
      <c r="AE1015" s="31"/>
      <c r="AF1015" s="31"/>
      <c r="AG1015" s="28" t="s">
        <v>53</v>
      </c>
      <c r="AH1015" s="46">
        <f t="shared" si="268"/>
        <v>0</v>
      </c>
      <c r="AI1015" s="43"/>
      <c r="AJ1015" s="28"/>
      <c r="AK1015" s="337"/>
      <c r="AL1015" s="43"/>
      <c r="AM1015" s="44">
        <f t="shared" si="269"/>
        <v>0</v>
      </c>
      <c r="AN1015" s="43"/>
      <c r="AO1015" s="28">
        <f t="shared" si="270"/>
        <v>0</v>
      </c>
      <c r="AP1015" s="43"/>
      <c r="AQ1015" s="323">
        <f t="shared" si="271"/>
        <v>0</v>
      </c>
      <c r="AR1015" s="43"/>
      <c r="AS1015" s="44"/>
    </row>
    <row r="1016" spans="1:45" outlineLevel="1" x14ac:dyDescent="0.25">
      <c r="A1016" s="28">
        <v>9</v>
      </c>
      <c r="B1016" s="43"/>
      <c r="C1016" s="43"/>
      <c r="D1016" s="43"/>
      <c r="E1016" s="43" t="str">
        <f t="shared" si="256"/>
        <v>87B 500kV 8 bays</v>
      </c>
      <c r="F1016" s="43" t="str">
        <f t="shared" si="257"/>
        <v>87B 500kV 8 bays composto por: 2x painel; 2x relé diferencial de barras concentrador (até 8 bays, 32TC/80BI/40BO); 16x bloco de testes.</v>
      </c>
      <c r="G1016" s="46">
        <f t="shared" si="258"/>
        <v>0</v>
      </c>
      <c r="H1016" s="46">
        <f t="shared" si="259"/>
        <v>0</v>
      </c>
      <c r="I1016" s="28"/>
      <c r="J1016" s="337"/>
      <c r="K1016" s="46" t="str">
        <f t="shared" si="260"/>
        <v/>
      </c>
      <c r="L1016" s="46" t="str">
        <f t="shared" si="261"/>
        <v/>
      </c>
      <c r="M1016" s="338">
        <f t="shared" si="262"/>
        <v>0</v>
      </c>
      <c r="N1016" s="43"/>
      <c r="O1016" s="339" t="e">
        <f t="shared" si="263"/>
        <v>#N/A</v>
      </c>
      <c r="P1016" s="340" t="str">
        <f>IFERROR(VLOOKUP(O1016,NCM!$A$3:$D$99,COLUMN(head_porNCM_IPI)-COLUMN(head_porNCM_NCM)+1,FALSE),"")</f>
        <v/>
      </c>
      <c r="Q1016" s="43"/>
      <c r="R1016" s="78"/>
      <c r="S1016" s="341"/>
      <c r="T1016" s="28" t="s">
        <v>53</v>
      </c>
      <c r="U1016" s="28"/>
      <c r="V1016" s="28"/>
      <c r="W1016" s="43"/>
      <c r="X1016" s="342">
        <f t="shared" si="264"/>
        <v>0</v>
      </c>
      <c r="Y1016" s="342">
        <f t="shared" si="265"/>
        <v>0</v>
      </c>
      <c r="Z1016" s="46">
        <f t="shared" si="266"/>
        <v>0</v>
      </c>
      <c r="AA1016" s="46">
        <f t="shared" si="267"/>
        <v>0</v>
      </c>
      <c r="AB1016" s="43"/>
      <c r="AC1016" s="44"/>
      <c r="AD1016" s="31"/>
      <c r="AE1016" s="31"/>
      <c r="AF1016" s="31"/>
      <c r="AG1016" s="28" t="s">
        <v>53</v>
      </c>
      <c r="AH1016" s="46">
        <f t="shared" si="268"/>
        <v>0</v>
      </c>
      <c r="AI1016" s="43"/>
      <c r="AJ1016" s="28"/>
      <c r="AK1016" s="337"/>
      <c r="AL1016" s="43"/>
      <c r="AM1016" s="44">
        <f t="shared" si="269"/>
        <v>0</v>
      </c>
      <c r="AN1016" s="43"/>
      <c r="AO1016" s="28">
        <f t="shared" si="270"/>
        <v>0</v>
      </c>
      <c r="AP1016" s="43"/>
      <c r="AQ1016" s="323">
        <f t="shared" si="271"/>
        <v>0</v>
      </c>
      <c r="AR1016" s="43"/>
      <c r="AS1016" s="44"/>
    </row>
    <row r="1017" spans="1:45" outlineLevel="1" x14ac:dyDescent="0.25">
      <c r="A1017" s="28">
        <v>10</v>
      </c>
      <c r="B1017" s="43"/>
      <c r="C1017" s="43"/>
      <c r="D1017" s="43"/>
      <c r="E1017" s="43" t="str">
        <f t="shared" si="256"/>
        <v>Reator de Barra 500kV</v>
      </c>
      <c r="F1017" s="43" t="str">
        <f t="shared" si="257"/>
        <v>Reator de Barra 500kV composto por: 2x painel; 1x RDP (4TC/4TP); 2x relé diferencial de reator (4TC/4TP/10BI/15BO); 1x UAC (4TC/4TP/35BI/20BO); 7x bloco de testes.</v>
      </c>
      <c r="G1017" s="46">
        <f t="shared" si="258"/>
        <v>0</v>
      </c>
      <c r="H1017" s="46">
        <f t="shared" si="259"/>
        <v>0</v>
      </c>
      <c r="I1017" s="28"/>
      <c r="J1017" s="337"/>
      <c r="K1017" s="46" t="str">
        <f t="shared" si="260"/>
        <v/>
      </c>
      <c r="L1017" s="46" t="str">
        <f t="shared" si="261"/>
        <v/>
      </c>
      <c r="M1017" s="338">
        <f t="shared" si="262"/>
        <v>0</v>
      </c>
      <c r="N1017" s="43"/>
      <c r="O1017" s="339" t="e">
        <f t="shared" si="263"/>
        <v>#N/A</v>
      </c>
      <c r="P1017" s="340" t="str">
        <f>IFERROR(VLOOKUP(O1017,NCM!$A$3:$D$99,COLUMN(head_porNCM_IPI)-COLUMN(head_porNCM_NCM)+1,FALSE),"")</f>
        <v/>
      </c>
      <c r="Q1017" s="43"/>
      <c r="R1017" s="78"/>
      <c r="S1017" s="341"/>
      <c r="T1017" s="28" t="s">
        <v>53</v>
      </c>
      <c r="U1017" s="28"/>
      <c r="V1017" s="28"/>
      <c r="W1017" s="43"/>
      <c r="X1017" s="342">
        <f t="shared" si="264"/>
        <v>0</v>
      </c>
      <c r="Y1017" s="342">
        <f t="shared" si="265"/>
        <v>0</v>
      </c>
      <c r="Z1017" s="46">
        <f t="shared" si="266"/>
        <v>0</v>
      </c>
      <c r="AA1017" s="46">
        <f t="shared" si="267"/>
        <v>0</v>
      </c>
      <c r="AB1017" s="43"/>
      <c r="AC1017" s="44"/>
      <c r="AD1017" s="31"/>
      <c r="AE1017" s="31"/>
      <c r="AF1017" s="31"/>
      <c r="AG1017" s="28" t="s">
        <v>53</v>
      </c>
      <c r="AH1017" s="46">
        <f t="shared" si="268"/>
        <v>0</v>
      </c>
      <c r="AI1017" s="43"/>
      <c r="AJ1017" s="28"/>
      <c r="AK1017" s="337"/>
      <c r="AL1017" s="43"/>
      <c r="AM1017" s="44">
        <f t="shared" si="269"/>
        <v>0</v>
      </c>
      <c r="AN1017" s="43"/>
      <c r="AO1017" s="28">
        <f t="shared" si="270"/>
        <v>0</v>
      </c>
      <c r="AP1017" s="43"/>
      <c r="AQ1017" s="323">
        <f t="shared" si="271"/>
        <v>0</v>
      </c>
      <c r="AR1017" s="43"/>
      <c r="AS1017" s="44"/>
    </row>
    <row r="1018" spans="1:45" outlineLevel="1" x14ac:dyDescent="0.25">
      <c r="A1018" s="28">
        <v>11</v>
      </c>
      <c r="B1018" s="43"/>
      <c r="C1018" s="43"/>
      <c r="D1018" s="43"/>
      <c r="E1018" s="43" t="str">
        <f t="shared" si="256"/>
        <v>LT 230kV</v>
      </c>
      <c r="F1018" s="43" t="str">
        <f t="shared" si="257"/>
        <v>LT 230kV composto por: 2x painel; 1x RDP (4TC/4TP); 2x relé de distância (4TC/4TP/40BI/30BO); 4x bloco de testes.</v>
      </c>
      <c r="G1018" s="46">
        <f t="shared" si="258"/>
        <v>0</v>
      </c>
      <c r="H1018" s="46">
        <f t="shared" si="259"/>
        <v>0</v>
      </c>
      <c r="I1018" s="28"/>
      <c r="J1018" s="337"/>
      <c r="K1018" s="46" t="str">
        <f t="shared" si="260"/>
        <v/>
      </c>
      <c r="L1018" s="46" t="str">
        <f t="shared" si="261"/>
        <v/>
      </c>
      <c r="M1018" s="338">
        <f t="shared" si="262"/>
        <v>0</v>
      </c>
      <c r="N1018" s="43"/>
      <c r="O1018" s="339" t="e">
        <f t="shared" si="263"/>
        <v>#N/A</v>
      </c>
      <c r="P1018" s="340" t="str">
        <f>IFERROR(VLOOKUP(O1018,NCM!$A$3:$D$99,COLUMN(head_porNCM_IPI)-COLUMN(head_porNCM_NCM)+1,FALSE),"")</f>
        <v/>
      </c>
      <c r="Q1018" s="43"/>
      <c r="R1018" s="78"/>
      <c r="S1018" s="341"/>
      <c r="T1018" s="28" t="s">
        <v>53</v>
      </c>
      <c r="U1018" s="28"/>
      <c r="V1018" s="28"/>
      <c r="W1018" s="43"/>
      <c r="X1018" s="342">
        <f t="shared" si="264"/>
        <v>0</v>
      </c>
      <c r="Y1018" s="342">
        <f t="shared" si="265"/>
        <v>0</v>
      </c>
      <c r="Z1018" s="46">
        <f t="shared" si="266"/>
        <v>0</v>
      </c>
      <c r="AA1018" s="46">
        <f t="shared" si="267"/>
        <v>0</v>
      </c>
      <c r="AB1018" s="43"/>
      <c r="AC1018" s="44"/>
      <c r="AD1018" s="31"/>
      <c r="AE1018" s="31"/>
      <c r="AF1018" s="31"/>
      <c r="AG1018" s="28" t="s">
        <v>53</v>
      </c>
      <c r="AH1018" s="46">
        <f t="shared" si="268"/>
        <v>0</v>
      </c>
      <c r="AI1018" s="43"/>
      <c r="AJ1018" s="28"/>
      <c r="AK1018" s="337"/>
      <c r="AL1018" s="43"/>
      <c r="AM1018" s="44">
        <f t="shared" si="269"/>
        <v>0</v>
      </c>
      <c r="AN1018" s="43"/>
      <c r="AO1018" s="28">
        <f t="shared" si="270"/>
        <v>0</v>
      </c>
      <c r="AP1018" s="43"/>
      <c r="AQ1018" s="323">
        <f t="shared" si="271"/>
        <v>0</v>
      </c>
      <c r="AR1018" s="43"/>
      <c r="AS1018" s="44"/>
    </row>
    <row r="1019" spans="1:45" outlineLevel="1" x14ac:dyDescent="0.25">
      <c r="A1019" s="28">
        <v>12</v>
      </c>
      <c r="B1019" s="43"/>
      <c r="C1019" s="43"/>
      <c r="D1019" s="43"/>
      <c r="E1019" s="43" t="str">
        <f t="shared" si="256"/>
        <v>LT+RL 230kV</v>
      </c>
      <c r="F1019" s="43" t="str">
        <f t="shared" si="257"/>
        <v>LT+RL 230kV composto por: 2x painel; 1x RDP (8TC/8TP); 2x relé de distância (4TC/4TP/40BI/30BO); 2x relé diferencial de reator (4TC/4TP/10BI/15BO); 1x UAC (4TC/4TP/35BI/20BO); 8x bloco de testes.</v>
      </c>
      <c r="G1019" s="46">
        <f t="shared" ref="G1019:G1082" si="272">AC1019*(1-AD1019)</f>
        <v>0</v>
      </c>
      <c r="H1019" s="46">
        <f t="shared" ref="H1019:H1082" si="273">AC1019*(1-AD1019-pis_naocum-cofins_naocum)</f>
        <v>0</v>
      </c>
      <c r="I1019" s="28"/>
      <c r="J1019" s="337"/>
      <c r="K1019" s="46" t="str">
        <f t="shared" ref="K1019:K1082" si="274">IFERROR(G1019*J1019*VLOOKUP(I1019,tbl_cambio,2,FALSE),"")</f>
        <v/>
      </c>
      <c r="L1019" s="46" t="str">
        <f t="shared" ref="L1019:L1082" si="275">IFERROR(H1019*J1019*VLOOKUP(I1019,tbl_cambio,2,FALSE),"")</f>
        <v/>
      </c>
      <c r="M1019" s="338">
        <f t="shared" ref="M1019:M1082" si="276">SUMIF(col_item,"="&amp;E1019,col_qtd)</f>
        <v>0</v>
      </c>
      <c r="N1019" s="43"/>
      <c r="O1019" s="339" t="e">
        <f t="shared" si="263"/>
        <v>#N/A</v>
      </c>
      <c r="P1019" s="340" t="str">
        <f>IFERROR(VLOOKUP(O1019,NCM!$A$3:$D$99,COLUMN(head_porNCM_IPI)-COLUMN(head_porNCM_NCM)+1,FALSE),"")</f>
        <v/>
      </c>
      <c r="Q1019" s="43"/>
      <c r="R1019" s="78"/>
      <c r="S1019" s="341"/>
      <c r="T1019" s="28" t="s">
        <v>53</v>
      </c>
      <c r="U1019" s="28"/>
      <c r="V1019" s="28"/>
      <c r="W1019" s="43"/>
      <c r="X1019" s="342">
        <f t="shared" ref="X1019:X1082" si="277">(AC1019-Y1019)*AD1019</f>
        <v>0</v>
      </c>
      <c r="Y1019" s="342">
        <f t="shared" ref="Y1019:Y1082" si="278">AC1019-AC1019/(1+AE1019)</f>
        <v>0</v>
      </c>
      <c r="Z1019" s="46">
        <f t="shared" ref="Z1019:Z1082" si="279">(AC1019-Y1019)*pis_naocum</f>
        <v>0</v>
      </c>
      <c r="AA1019" s="46">
        <f t="shared" ref="AA1019:AA1082" si="280">(AC1019-Y1019)*cofins_naocum</f>
        <v>0</v>
      </c>
      <c r="AB1019" s="43"/>
      <c r="AC1019" s="44"/>
      <c r="AD1019" s="31"/>
      <c r="AE1019" s="31"/>
      <c r="AF1019" s="31"/>
      <c r="AG1019" s="28" t="s">
        <v>53</v>
      </c>
      <c r="AH1019" s="46">
        <f t="shared" si="268"/>
        <v>0</v>
      </c>
      <c r="AI1019" s="43"/>
      <c r="AJ1019" s="28"/>
      <c r="AK1019" s="337"/>
      <c r="AL1019" s="43"/>
      <c r="AM1019" s="44">
        <f t="shared" si="269"/>
        <v>0</v>
      </c>
      <c r="AN1019" s="43"/>
      <c r="AO1019" s="28">
        <f t="shared" si="270"/>
        <v>0</v>
      </c>
      <c r="AP1019" s="43"/>
      <c r="AQ1019" s="323">
        <f t="shared" si="271"/>
        <v>0</v>
      </c>
      <c r="AR1019" s="43"/>
      <c r="AS1019" s="44"/>
    </row>
    <row r="1020" spans="1:45" outlineLevel="1" x14ac:dyDescent="0.25">
      <c r="A1020" s="28">
        <v>13</v>
      </c>
      <c r="B1020" s="43"/>
      <c r="C1020" s="43"/>
      <c r="D1020" s="43"/>
      <c r="E1020" s="43" t="str">
        <f t="shared" si="256"/>
        <v>TIE 230kV</v>
      </c>
      <c r="F1020" s="43" t="str">
        <f t="shared" si="257"/>
        <v>TIE 230kV composto por: 1x painel; 1x UAC (4TC/4TP/70BI/30BO).</v>
      </c>
      <c r="G1020" s="46">
        <f t="shared" si="272"/>
        <v>0</v>
      </c>
      <c r="H1020" s="46">
        <f t="shared" si="273"/>
        <v>0</v>
      </c>
      <c r="I1020" s="28"/>
      <c r="J1020" s="337"/>
      <c r="K1020" s="46" t="str">
        <f t="shared" si="274"/>
        <v/>
      </c>
      <c r="L1020" s="46" t="str">
        <f t="shared" si="275"/>
        <v/>
      </c>
      <c r="M1020" s="338">
        <f t="shared" si="276"/>
        <v>0</v>
      </c>
      <c r="N1020" s="43"/>
      <c r="O1020" s="339" t="e">
        <f t="shared" si="263"/>
        <v>#N/A</v>
      </c>
      <c r="P1020" s="340" t="str">
        <f>IFERROR(VLOOKUP(O1020,NCM!$A$3:$D$99,COLUMN(head_porNCM_IPI)-COLUMN(head_porNCM_NCM)+1,FALSE),"")</f>
        <v/>
      </c>
      <c r="Q1020" s="43"/>
      <c r="R1020" s="78"/>
      <c r="S1020" s="341"/>
      <c r="T1020" s="28" t="s">
        <v>53</v>
      </c>
      <c r="U1020" s="28"/>
      <c r="V1020" s="28"/>
      <c r="W1020" s="43"/>
      <c r="X1020" s="342">
        <f t="shared" si="277"/>
        <v>0</v>
      </c>
      <c r="Y1020" s="342">
        <f t="shared" si="278"/>
        <v>0</v>
      </c>
      <c r="Z1020" s="46">
        <f t="shared" si="279"/>
        <v>0</v>
      </c>
      <c r="AA1020" s="46">
        <f t="shared" si="280"/>
        <v>0</v>
      </c>
      <c r="AB1020" s="43"/>
      <c r="AC1020" s="44"/>
      <c r="AD1020" s="31"/>
      <c r="AE1020" s="31"/>
      <c r="AF1020" s="31"/>
      <c r="AG1020" s="28" t="s">
        <v>53</v>
      </c>
      <c r="AH1020" s="46">
        <f t="shared" si="268"/>
        <v>0</v>
      </c>
      <c r="AI1020" s="43"/>
      <c r="AJ1020" s="28"/>
      <c r="AK1020" s="337"/>
      <c r="AL1020" s="43"/>
      <c r="AM1020" s="44">
        <f t="shared" si="269"/>
        <v>0</v>
      </c>
      <c r="AN1020" s="43"/>
      <c r="AO1020" s="28">
        <f t="shared" si="270"/>
        <v>0</v>
      </c>
      <c r="AP1020" s="43"/>
      <c r="AQ1020" s="323">
        <f t="shared" si="271"/>
        <v>0</v>
      </c>
      <c r="AR1020" s="43"/>
      <c r="AS1020" s="44"/>
    </row>
    <row r="1021" spans="1:45" outlineLevel="1" x14ac:dyDescent="0.25">
      <c r="A1021" s="28">
        <v>14</v>
      </c>
      <c r="B1021" s="43"/>
      <c r="C1021" s="43"/>
      <c r="D1021" s="43"/>
      <c r="E1021" s="43" t="str">
        <f t="shared" si="256"/>
        <v>TR 230kV</v>
      </c>
      <c r="F1021" s="43" t="str">
        <f t="shared" si="257"/>
        <v>TR 230kV composto por: 2x painel; 1x RDP (12TC/12TP); 2x relé diferencial de transformador (12TC/4TP/10BI/15BO); 1x UAC (4TC/4TP/100BI/30BO); 10x bloco de testes.</v>
      </c>
      <c r="G1021" s="46">
        <f t="shared" si="272"/>
        <v>0</v>
      </c>
      <c r="H1021" s="46">
        <f t="shared" si="273"/>
        <v>0</v>
      </c>
      <c r="I1021" s="28"/>
      <c r="J1021" s="337"/>
      <c r="K1021" s="46" t="str">
        <f t="shared" si="274"/>
        <v/>
      </c>
      <c r="L1021" s="46" t="str">
        <f t="shared" si="275"/>
        <v/>
      </c>
      <c r="M1021" s="338">
        <f t="shared" si="276"/>
        <v>0</v>
      </c>
      <c r="N1021" s="43"/>
      <c r="O1021" s="339" t="e">
        <f t="shared" si="263"/>
        <v>#N/A</v>
      </c>
      <c r="P1021" s="340" t="str">
        <f>IFERROR(VLOOKUP(O1021,NCM!$A$3:$D$99,COLUMN(head_porNCM_IPI)-COLUMN(head_porNCM_NCM)+1,FALSE),"")</f>
        <v/>
      </c>
      <c r="Q1021" s="43"/>
      <c r="R1021" s="78"/>
      <c r="S1021" s="341"/>
      <c r="T1021" s="28" t="s">
        <v>53</v>
      </c>
      <c r="U1021" s="28"/>
      <c r="V1021" s="28"/>
      <c r="W1021" s="43"/>
      <c r="X1021" s="342">
        <f t="shared" si="277"/>
        <v>0</v>
      </c>
      <c r="Y1021" s="342">
        <f t="shared" si="278"/>
        <v>0</v>
      </c>
      <c r="Z1021" s="46">
        <f t="shared" si="279"/>
        <v>0</v>
      </c>
      <c r="AA1021" s="46">
        <f t="shared" si="280"/>
        <v>0</v>
      </c>
      <c r="AB1021" s="43"/>
      <c r="AC1021" s="44"/>
      <c r="AD1021" s="31"/>
      <c r="AE1021" s="31"/>
      <c r="AF1021" s="31"/>
      <c r="AG1021" s="28" t="s">
        <v>53</v>
      </c>
      <c r="AH1021" s="46">
        <f t="shared" si="268"/>
        <v>0</v>
      </c>
      <c r="AI1021" s="43"/>
      <c r="AJ1021" s="28"/>
      <c r="AK1021" s="337"/>
      <c r="AL1021" s="43"/>
      <c r="AM1021" s="44">
        <f t="shared" si="269"/>
        <v>0</v>
      </c>
      <c r="AN1021" s="43"/>
      <c r="AO1021" s="28">
        <f t="shared" si="270"/>
        <v>0</v>
      </c>
      <c r="AP1021" s="43"/>
      <c r="AQ1021" s="323">
        <f t="shared" si="271"/>
        <v>0</v>
      </c>
      <c r="AR1021" s="43"/>
      <c r="AS1021" s="44"/>
    </row>
    <row r="1022" spans="1:45" outlineLevel="1" x14ac:dyDescent="0.25">
      <c r="A1022" s="28">
        <v>15</v>
      </c>
      <c r="B1022" s="43"/>
      <c r="C1022" s="43"/>
      <c r="D1022" s="43"/>
      <c r="E1022" s="43" t="str">
        <f t="shared" si="256"/>
        <v>Reator de Barra 230kV</v>
      </c>
      <c r="F1022" s="43" t="str">
        <f t="shared" si="257"/>
        <v>Reator de Barra 230kV composto por: 2x painel; 1x RDP (4TC/4TP); 2x relé diferencial de reator (4TC/4TP/10BI/15BO); 1x UAC (4TC/4TP/35BI/20BO); 4x bloco de testes.</v>
      </c>
      <c r="G1022" s="46">
        <f t="shared" si="272"/>
        <v>0</v>
      </c>
      <c r="H1022" s="46">
        <f t="shared" si="273"/>
        <v>0</v>
      </c>
      <c r="I1022" s="28"/>
      <c r="J1022" s="337"/>
      <c r="K1022" s="46" t="str">
        <f t="shared" si="274"/>
        <v/>
      </c>
      <c r="L1022" s="46" t="str">
        <f t="shared" si="275"/>
        <v/>
      </c>
      <c r="M1022" s="338">
        <f t="shared" si="276"/>
        <v>0</v>
      </c>
      <c r="N1022" s="43"/>
      <c r="O1022" s="339" t="e">
        <f t="shared" si="263"/>
        <v>#N/A</v>
      </c>
      <c r="P1022" s="340" t="str">
        <f>IFERROR(VLOOKUP(O1022,NCM!$A$3:$D$99,COLUMN(head_porNCM_IPI)-COLUMN(head_porNCM_NCM)+1,FALSE),"")</f>
        <v/>
      </c>
      <c r="Q1022" s="43"/>
      <c r="R1022" s="78"/>
      <c r="S1022" s="341"/>
      <c r="T1022" s="28" t="s">
        <v>53</v>
      </c>
      <c r="U1022" s="28"/>
      <c r="V1022" s="28"/>
      <c r="W1022" s="43"/>
      <c r="X1022" s="342">
        <f t="shared" si="277"/>
        <v>0</v>
      </c>
      <c r="Y1022" s="342">
        <f t="shared" si="278"/>
        <v>0</v>
      </c>
      <c r="Z1022" s="46">
        <f t="shared" si="279"/>
        <v>0</v>
      </c>
      <c r="AA1022" s="46">
        <f t="shared" si="280"/>
        <v>0</v>
      </c>
      <c r="AB1022" s="43"/>
      <c r="AC1022" s="44"/>
      <c r="AD1022" s="31"/>
      <c r="AE1022" s="31"/>
      <c r="AF1022" s="31"/>
      <c r="AG1022" s="28" t="s">
        <v>53</v>
      </c>
      <c r="AH1022" s="46">
        <f t="shared" si="268"/>
        <v>0</v>
      </c>
      <c r="AI1022" s="43"/>
      <c r="AJ1022" s="28"/>
      <c r="AK1022" s="337"/>
      <c r="AL1022" s="43"/>
      <c r="AM1022" s="44">
        <f t="shared" si="269"/>
        <v>0</v>
      </c>
      <c r="AN1022" s="43"/>
      <c r="AO1022" s="28">
        <f t="shared" si="270"/>
        <v>0</v>
      </c>
      <c r="AP1022" s="43"/>
      <c r="AQ1022" s="323">
        <f t="shared" si="271"/>
        <v>0</v>
      </c>
      <c r="AR1022" s="43"/>
      <c r="AS1022" s="44"/>
    </row>
    <row r="1023" spans="1:45" outlineLevel="1" x14ac:dyDescent="0.25">
      <c r="A1023" s="28">
        <v>16</v>
      </c>
      <c r="B1023" s="43"/>
      <c r="C1023" s="43"/>
      <c r="D1023" s="43"/>
      <c r="E1023" s="43" t="str">
        <f t="shared" si="256"/>
        <v>87B 230kV 4 bays</v>
      </c>
      <c r="F1023" s="43" t="str">
        <f t="shared" si="257"/>
        <v>87B 230kV 4 bays composto por: 2x painel; 2x relé diferencial de barras concentrador (até 4 bays, 16TC/40BI/20BO); 8x bloco de testes.</v>
      </c>
      <c r="G1023" s="46">
        <f t="shared" si="272"/>
        <v>0</v>
      </c>
      <c r="H1023" s="46">
        <f t="shared" si="273"/>
        <v>0</v>
      </c>
      <c r="I1023" s="28"/>
      <c r="J1023" s="337"/>
      <c r="K1023" s="46" t="str">
        <f t="shared" si="274"/>
        <v/>
      </c>
      <c r="L1023" s="46" t="str">
        <f t="shared" si="275"/>
        <v/>
      </c>
      <c r="M1023" s="338">
        <f t="shared" si="276"/>
        <v>0</v>
      </c>
      <c r="N1023" s="43"/>
      <c r="O1023" s="339" t="e">
        <f t="shared" si="263"/>
        <v>#N/A</v>
      </c>
      <c r="P1023" s="340" t="str">
        <f>IFERROR(VLOOKUP(O1023,NCM!$A$3:$D$99,COLUMN(head_porNCM_IPI)-COLUMN(head_porNCM_NCM)+1,FALSE),"")</f>
        <v/>
      </c>
      <c r="Q1023" s="43"/>
      <c r="R1023" s="78"/>
      <c r="S1023" s="341"/>
      <c r="T1023" s="28" t="s">
        <v>53</v>
      </c>
      <c r="U1023" s="28"/>
      <c r="V1023" s="28"/>
      <c r="W1023" s="43"/>
      <c r="X1023" s="342">
        <f t="shared" si="277"/>
        <v>0</v>
      </c>
      <c r="Y1023" s="342">
        <f t="shared" si="278"/>
        <v>0</v>
      </c>
      <c r="Z1023" s="46">
        <f t="shared" si="279"/>
        <v>0</v>
      </c>
      <c r="AA1023" s="46">
        <f t="shared" si="280"/>
        <v>0</v>
      </c>
      <c r="AB1023" s="43"/>
      <c r="AC1023" s="44"/>
      <c r="AD1023" s="31"/>
      <c r="AE1023" s="31"/>
      <c r="AF1023" s="31"/>
      <c r="AG1023" s="28" t="s">
        <v>53</v>
      </c>
      <c r="AH1023" s="46">
        <f t="shared" si="268"/>
        <v>0</v>
      </c>
      <c r="AI1023" s="43"/>
      <c r="AJ1023" s="28"/>
      <c r="AK1023" s="337"/>
      <c r="AL1023" s="43"/>
      <c r="AM1023" s="44">
        <f t="shared" si="269"/>
        <v>0</v>
      </c>
      <c r="AN1023" s="43"/>
      <c r="AO1023" s="28">
        <f t="shared" si="270"/>
        <v>0</v>
      </c>
      <c r="AP1023" s="43"/>
      <c r="AQ1023" s="323">
        <f t="shared" si="271"/>
        <v>0</v>
      </c>
      <c r="AR1023" s="43"/>
      <c r="AS1023" s="44"/>
    </row>
    <row r="1024" spans="1:45" outlineLevel="1" x14ac:dyDescent="0.25">
      <c r="A1024" s="28">
        <v>17</v>
      </c>
      <c r="B1024" s="43"/>
      <c r="C1024" s="43"/>
      <c r="D1024" s="43"/>
      <c r="E1024" s="43" t="str">
        <f t="shared" si="256"/>
        <v>87B 230kV 5 bays</v>
      </c>
      <c r="F1024" s="43" t="str">
        <f t="shared" si="257"/>
        <v>87B 230kV 5 bays composto por: 2x painel; 2x relé diferencial de barras concentrador (até 5 bays, 20TC/50BI/25BO); 10x bloco de testes.</v>
      </c>
      <c r="G1024" s="46">
        <f t="shared" si="272"/>
        <v>0</v>
      </c>
      <c r="H1024" s="46">
        <f t="shared" si="273"/>
        <v>0</v>
      </c>
      <c r="I1024" s="28"/>
      <c r="J1024" s="337"/>
      <c r="K1024" s="46" t="str">
        <f t="shared" si="274"/>
        <v/>
      </c>
      <c r="L1024" s="46" t="str">
        <f t="shared" si="275"/>
        <v/>
      </c>
      <c r="M1024" s="338">
        <f t="shared" si="276"/>
        <v>0</v>
      </c>
      <c r="N1024" s="43"/>
      <c r="O1024" s="339" t="e">
        <f t="shared" si="263"/>
        <v>#N/A</v>
      </c>
      <c r="P1024" s="340" t="str">
        <f>IFERROR(VLOOKUP(O1024,NCM!$A$3:$D$99,COLUMN(head_porNCM_IPI)-COLUMN(head_porNCM_NCM)+1,FALSE),"")</f>
        <v/>
      </c>
      <c r="Q1024" s="43"/>
      <c r="R1024" s="78"/>
      <c r="S1024" s="341"/>
      <c r="T1024" s="28" t="s">
        <v>53</v>
      </c>
      <c r="U1024" s="28"/>
      <c r="V1024" s="28"/>
      <c r="W1024" s="43"/>
      <c r="X1024" s="342">
        <f t="shared" si="277"/>
        <v>0</v>
      </c>
      <c r="Y1024" s="342">
        <f t="shared" si="278"/>
        <v>0</v>
      </c>
      <c r="Z1024" s="46">
        <f t="shared" si="279"/>
        <v>0</v>
      </c>
      <c r="AA1024" s="46">
        <f t="shared" si="280"/>
        <v>0</v>
      </c>
      <c r="AB1024" s="43"/>
      <c r="AC1024" s="44"/>
      <c r="AD1024" s="31"/>
      <c r="AE1024" s="31"/>
      <c r="AF1024" s="31"/>
      <c r="AG1024" s="28" t="s">
        <v>53</v>
      </c>
      <c r="AH1024" s="46">
        <f t="shared" si="268"/>
        <v>0</v>
      </c>
      <c r="AI1024" s="43"/>
      <c r="AJ1024" s="28"/>
      <c r="AK1024" s="337"/>
      <c r="AL1024" s="43"/>
      <c r="AM1024" s="44">
        <f t="shared" si="269"/>
        <v>0</v>
      </c>
      <c r="AN1024" s="43"/>
      <c r="AO1024" s="28">
        <f t="shared" si="270"/>
        <v>0</v>
      </c>
      <c r="AP1024" s="43"/>
      <c r="AQ1024" s="323">
        <f t="shared" si="271"/>
        <v>0</v>
      </c>
      <c r="AR1024" s="43"/>
      <c r="AS1024" s="44"/>
    </row>
    <row r="1025" spans="1:45" outlineLevel="1" x14ac:dyDescent="0.25">
      <c r="A1025" s="28">
        <v>18</v>
      </c>
      <c r="B1025" s="43"/>
      <c r="C1025" s="43"/>
      <c r="D1025" s="43"/>
      <c r="E1025" s="43" t="str">
        <f t="shared" si="256"/>
        <v>87B 230kV 6 bays</v>
      </c>
      <c r="F1025" s="43" t="str">
        <f t="shared" si="257"/>
        <v>87B 230kV 6 bays composto por: 2x painel; 2x relé diferencial de barras concentrador (até 6 bays, 24TC/60BI/30BO); 12x bloco de testes.</v>
      </c>
      <c r="G1025" s="46">
        <f t="shared" si="272"/>
        <v>0</v>
      </c>
      <c r="H1025" s="46">
        <f t="shared" si="273"/>
        <v>0</v>
      </c>
      <c r="I1025" s="28"/>
      <c r="J1025" s="337"/>
      <c r="K1025" s="46" t="str">
        <f t="shared" si="274"/>
        <v/>
      </c>
      <c r="L1025" s="46" t="str">
        <f t="shared" si="275"/>
        <v/>
      </c>
      <c r="M1025" s="338">
        <f t="shared" si="276"/>
        <v>0</v>
      </c>
      <c r="N1025" s="43"/>
      <c r="O1025" s="339" t="e">
        <f t="shared" si="263"/>
        <v>#N/A</v>
      </c>
      <c r="P1025" s="340" t="str">
        <f>IFERROR(VLOOKUP(O1025,NCM!$A$3:$D$99,COLUMN(head_porNCM_IPI)-COLUMN(head_porNCM_NCM)+1,FALSE),"")</f>
        <v/>
      </c>
      <c r="Q1025" s="43"/>
      <c r="R1025" s="78"/>
      <c r="S1025" s="341"/>
      <c r="T1025" s="28" t="s">
        <v>53</v>
      </c>
      <c r="U1025" s="28"/>
      <c r="V1025" s="28"/>
      <c r="W1025" s="43"/>
      <c r="X1025" s="342">
        <f t="shared" si="277"/>
        <v>0</v>
      </c>
      <c r="Y1025" s="342">
        <f t="shared" si="278"/>
        <v>0</v>
      </c>
      <c r="Z1025" s="46">
        <f t="shared" si="279"/>
        <v>0</v>
      </c>
      <c r="AA1025" s="46">
        <f t="shared" si="280"/>
        <v>0</v>
      </c>
      <c r="AB1025" s="43"/>
      <c r="AC1025" s="44"/>
      <c r="AD1025" s="31"/>
      <c r="AE1025" s="31"/>
      <c r="AF1025" s="31"/>
      <c r="AG1025" s="28" t="s">
        <v>53</v>
      </c>
      <c r="AH1025" s="46">
        <f t="shared" si="268"/>
        <v>0</v>
      </c>
      <c r="AI1025" s="43"/>
      <c r="AJ1025" s="28"/>
      <c r="AK1025" s="337"/>
      <c r="AL1025" s="43"/>
      <c r="AM1025" s="44">
        <f t="shared" si="269"/>
        <v>0</v>
      </c>
      <c r="AN1025" s="43"/>
      <c r="AO1025" s="28">
        <f t="shared" si="270"/>
        <v>0</v>
      </c>
      <c r="AP1025" s="43"/>
      <c r="AQ1025" s="323">
        <f t="shared" si="271"/>
        <v>0</v>
      </c>
      <c r="AR1025" s="43"/>
      <c r="AS1025" s="44"/>
    </row>
    <row r="1026" spans="1:45" outlineLevel="1" x14ac:dyDescent="0.25">
      <c r="A1026" s="28">
        <v>19</v>
      </c>
      <c r="B1026" s="43"/>
      <c r="C1026" s="43"/>
      <c r="D1026" s="43"/>
      <c r="E1026" s="43" t="str">
        <f t="shared" si="256"/>
        <v>87B 230kV 8 bays</v>
      </c>
      <c r="F1026" s="43" t="str">
        <f t="shared" si="257"/>
        <v>87B 230kV 8 bays composto por: 2x painel; 2x relé diferencial de barras concentrador (até 8 bays, 32TC/80BI/40BO); 16x bloco de testes.</v>
      </c>
      <c r="G1026" s="46">
        <f t="shared" si="272"/>
        <v>0</v>
      </c>
      <c r="H1026" s="46">
        <f t="shared" si="273"/>
        <v>0</v>
      </c>
      <c r="I1026" s="28"/>
      <c r="J1026" s="337"/>
      <c r="K1026" s="46" t="str">
        <f t="shared" si="274"/>
        <v/>
      </c>
      <c r="L1026" s="46" t="str">
        <f t="shared" si="275"/>
        <v/>
      </c>
      <c r="M1026" s="338">
        <f t="shared" si="276"/>
        <v>0</v>
      </c>
      <c r="N1026" s="43"/>
      <c r="O1026" s="339" t="e">
        <f t="shared" si="263"/>
        <v>#N/A</v>
      </c>
      <c r="P1026" s="340" t="str">
        <f>IFERROR(VLOOKUP(O1026,NCM!$A$3:$D$99,COLUMN(head_porNCM_IPI)-COLUMN(head_porNCM_NCM)+1,FALSE),"")</f>
        <v/>
      </c>
      <c r="Q1026" s="43"/>
      <c r="R1026" s="78"/>
      <c r="S1026" s="341"/>
      <c r="T1026" s="28" t="s">
        <v>53</v>
      </c>
      <c r="U1026" s="28"/>
      <c r="V1026" s="28"/>
      <c r="W1026" s="43"/>
      <c r="X1026" s="342">
        <f t="shared" si="277"/>
        <v>0</v>
      </c>
      <c r="Y1026" s="342">
        <f t="shared" si="278"/>
        <v>0</v>
      </c>
      <c r="Z1026" s="46">
        <f t="shared" si="279"/>
        <v>0</v>
      </c>
      <c r="AA1026" s="46">
        <f t="shared" si="280"/>
        <v>0</v>
      </c>
      <c r="AB1026" s="43"/>
      <c r="AC1026" s="44"/>
      <c r="AD1026" s="31"/>
      <c r="AE1026" s="31"/>
      <c r="AF1026" s="31"/>
      <c r="AG1026" s="28" t="s">
        <v>53</v>
      </c>
      <c r="AH1026" s="46">
        <f t="shared" si="268"/>
        <v>0</v>
      </c>
      <c r="AI1026" s="43"/>
      <c r="AJ1026" s="28"/>
      <c r="AK1026" s="337"/>
      <c r="AL1026" s="43"/>
      <c r="AM1026" s="44">
        <f t="shared" si="269"/>
        <v>0</v>
      </c>
      <c r="AN1026" s="43"/>
      <c r="AO1026" s="28">
        <f t="shared" si="270"/>
        <v>0</v>
      </c>
      <c r="AP1026" s="43"/>
      <c r="AQ1026" s="323">
        <f t="shared" si="271"/>
        <v>0</v>
      </c>
      <c r="AR1026" s="43"/>
      <c r="AS1026" s="44"/>
    </row>
    <row r="1027" spans="1:45" outlineLevel="1" x14ac:dyDescent="0.25">
      <c r="A1027" s="28">
        <v>20</v>
      </c>
      <c r="B1027" s="43"/>
      <c r="C1027" s="43"/>
      <c r="D1027" s="43"/>
      <c r="E1027" s="43" t="str">
        <f t="shared" si="256"/>
        <v>87B 230kV 10 bays</v>
      </c>
      <c r="F1027" s="43" t="str">
        <f t="shared" si="257"/>
        <v>87B 230kV 10 bays composto por: 2x painel; 2x relé diferencial de barras concentrador (até 10 bays, 40TC/100BI/50BO); 20x bloco de testes.</v>
      </c>
      <c r="G1027" s="46">
        <f t="shared" si="272"/>
        <v>0</v>
      </c>
      <c r="H1027" s="46">
        <f t="shared" si="273"/>
        <v>0</v>
      </c>
      <c r="I1027" s="28"/>
      <c r="J1027" s="337"/>
      <c r="K1027" s="46" t="str">
        <f t="shared" si="274"/>
        <v/>
      </c>
      <c r="L1027" s="46" t="str">
        <f t="shared" si="275"/>
        <v/>
      </c>
      <c r="M1027" s="338">
        <f t="shared" si="276"/>
        <v>0</v>
      </c>
      <c r="N1027" s="43"/>
      <c r="O1027" s="339" t="e">
        <f t="shared" si="263"/>
        <v>#N/A</v>
      </c>
      <c r="P1027" s="340" t="str">
        <f>IFERROR(VLOOKUP(O1027,NCM!$A$3:$D$99,COLUMN(head_porNCM_IPI)-COLUMN(head_porNCM_NCM)+1,FALSE),"")</f>
        <v/>
      </c>
      <c r="Q1027" s="43"/>
      <c r="R1027" s="78"/>
      <c r="S1027" s="341"/>
      <c r="T1027" s="28" t="s">
        <v>53</v>
      </c>
      <c r="U1027" s="28"/>
      <c r="V1027" s="28"/>
      <c r="W1027" s="43"/>
      <c r="X1027" s="342">
        <f t="shared" si="277"/>
        <v>0</v>
      </c>
      <c r="Y1027" s="342">
        <f t="shared" si="278"/>
        <v>0</v>
      </c>
      <c r="Z1027" s="46">
        <f t="shared" si="279"/>
        <v>0</v>
      </c>
      <c r="AA1027" s="46">
        <f t="shared" si="280"/>
        <v>0</v>
      </c>
      <c r="AB1027" s="43"/>
      <c r="AC1027" s="44"/>
      <c r="AD1027" s="31"/>
      <c r="AE1027" s="31"/>
      <c r="AF1027" s="31"/>
      <c r="AG1027" s="28" t="s">
        <v>53</v>
      </c>
      <c r="AH1027" s="46">
        <f t="shared" si="268"/>
        <v>0</v>
      </c>
      <c r="AI1027" s="43"/>
      <c r="AJ1027" s="28"/>
      <c r="AK1027" s="337"/>
      <c r="AL1027" s="43"/>
      <c r="AM1027" s="44">
        <f t="shared" si="269"/>
        <v>0</v>
      </c>
      <c r="AN1027" s="43"/>
      <c r="AO1027" s="28">
        <f t="shared" si="270"/>
        <v>0</v>
      </c>
      <c r="AP1027" s="43"/>
      <c r="AQ1027" s="323">
        <f t="shared" si="271"/>
        <v>0</v>
      </c>
      <c r="AR1027" s="43"/>
      <c r="AS1027" s="44"/>
    </row>
    <row r="1028" spans="1:45" outlineLevel="1" x14ac:dyDescent="0.25">
      <c r="A1028" s="28">
        <v>21</v>
      </c>
      <c r="B1028" s="43"/>
      <c r="C1028" s="43"/>
      <c r="D1028" s="43"/>
      <c r="E1028" s="43" t="str">
        <f t="shared" si="256"/>
        <v>LT 138kV</v>
      </c>
      <c r="F1028" s="43" t="str">
        <f t="shared" si="257"/>
        <v>LT 138kV composto por: 1x painel; 1x RDP (4TC/4TP); 2x relé de distância (4TC/4TP/40BI/30BO); 4x bloco de testes.</v>
      </c>
      <c r="G1028" s="46">
        <f t="shared" si="272"/>
        <v>0</v>
      </c>
      <c r="H1028" s="46">
        <f t="shared" si="273"/>
        <v>0</v>
      </c>
      <c r="I1028" s="28"/>
      <c r="J1028" s="337"/>
      <c r="K1028" s="46" t="str">
        <f t="shared" si="274"/>
        <v/>
      </c>
      <c r="L1028" s="46" t="str">
        <f t="shared" si="275"/>
        <v/>
      </c>
      <c r="M1028" s="338">
        <f t="shared" si="276"/>
        <v>0</v>
      </c>
      <c r="N1028" s="43"/>
      <c r="O1028" s="339" t="e">
        <f t="shared" si="263"/>
        <v>#N/A</v>
      </c>
      <c r="P1028" s="340" t="str">
        <f>IFERROR(VLOOKUP(O1028,NCM!$A$3:$D$99,COLUMN(head_porNCM_IPI)-COLUMN(head_porNCM_NCM)+1,FALSE),"")</f>
        <v/>
      </c>
      <c r="Q1028" s="43"/>
      <c r="R1028" s="78"/>
      <c r="S1028" s="341"/>
      <c r="T1028" s="28" t="s">
        <v>53</v>
      </c>
      <c r="U1028" s="28"/>
      <c r="V1028" s="28"/>
      <c r="W1028" s="43"/>
      <c r="X1028" s="342">
        <f t="shared" si="277"/>
        <v>0</v>
      </c>
      <c r="Y1028" s="342">
        <f t="shared" si="278"/>
        <v>0</v>
      </c>
      <c r="Z1028" s="46">
        <f t="shared" si="279"/>
        <v>0</v>
      </c>
      <c r="AA1028" s="46">
        <f t="shared" si="280"/>
        <v>0</v>
      </c>
      <c r="AB1028" s="43"/>
      <c r="AC1028" s="44"/>
      <c r="AD1028" s="31"/>
      <c r="AE1028" s="31"/>
      <c r="AF1028" s="31"/>
      <c r="AG1028" s="28" t="s">
        <v>53</v>
      </c>
      <c r="AH1028" s="46">
        <f t="shared" si="268"/>
        <v>0</v>
      </c>
      <c r="AI1028" s="43"/>
      <c r="AJ1028" s="28"/>
      <c r="AK1028" s="337"/>
      <c r="AL1028" s="43"/>
      <c r="AM1028" s="44">
        <f t="shared" si="269"/>
        <v>0</v>
      </c>
      <c r="AN1028" s="43"/>
      <c r="AO1028" s="28">
        <f t="shared" si="270"/>
        <v>0</v>
      </c>
      <c r="AP1028" s="43"/>
      <c r="AQ1028" s="323">
        <f t="shared" si="271"/>
        <v>0</v>
      </c>
      <c r="AR1028" s="43"/>
      <c r="AS1028" s="44"/>
    </row>
    <row r="1029" spans="1:45" outlineLevel="1" x14ac:dyDescent="0.25">
      <c r="A1029" s="28">
        <v>22</v>
      </c>
      <c r="B1029" s="43"/>
      <c r="C1029" s="43"/>
      <c r="D1029" s="43"/>
      <c r="E1029" s="43" t="str">
        <f t="shared" si="256"/>
        <v>TIE 138kV</v>
      </c>
      <c r="F1029" s="43" t="str">
        <f t="shared" si="257"/>
        <v>TIE 138kV composto por: 1x painel; 1x UAC (4TC/4TP/35BI/20BO).</v>
      </c>
      <c r="G1029" s="46">
        <f t="shared" si="272"/>
        <v>0</v>
      </c>
      <c r="H1029" s="46">
        <f t="shared" si="273"/>
        <v>0</v>
      </c>
      <c r="I1029" s="28"/>
      <c r="J1029" s="337"/>
      <c r="K1029" s="46" t="str">
        <f t="shared" si="274"/>
        <v/>
      </c>
      <c r="L1029" s="46" t="str">
        <f t="shared" si="275"/>
        <v/>
      </c>
      <c r="M1029" s="338">
        <f t="shared" si="276"/>
        <v>0</v>
      </c>
      <c r="N1029" s="43"/>
      <c r="O1029" s="339" t="e">
        <f t="shared" si="263"/>
        <v>#N/A</v>
      </c>
      <c r="P1029" s="340" t="str">
        <f>IFERROR(VLOOKUP(O1029,NCM!$A$3:$D$99,COLUMN(head_porNCM_IPI)-COLUMN(head_porNCM_NCM)+1,FALSE),"")</f>
        <v/>
      </c>
      <c r="Q1029" s="43"/>
      <c r="R1029" s="78"/>
      <c r="S1029" s="341"/>
      <c r="T1029" s="28" t="s">
        <v>53</v>
      </c>
      <c r="U1029" s="28"/>
      <c r="V1029" s="28"/>
      <c r="W1029" s="43"/>
      <c r="X1029" s="342">
        <f t="shared" si="277"/>
        <v>0</v>
      </c>
      <c r="Y1029" s="342">
        <f t="shared" si="278"/>
        <v>0</v>
      </c>
      <c r="Z1029" s="46">
        <f t="shared" si="279"/>
        <v>0</v>
      </c>
      <c r="AA1029" s="46">
        <f t="shared" si="280"/>
        <v>0</v>
      </c>
      <c r="AB1029" s="43"/>
      <c r="AC1029" s="44"/>
      <c r="AD1029" s="31"/>
      <c r="AE1029" s="31"/>
      <c r="AF1029" s="31"/>
      <c r="AG1029" s="28" t="s">
        <v>53</v>
      </c>
      <c r="AH1029" s="46">
        <f t="shared" si="268"/>
        <v>0</v>
      </c>
      <c r="AI1029" s="43"/>
      <c r="AJ1029" s="28"/>
      <c r="AK1029" s="337"/>
      <c r="AL1029" s="43"/>
      <c r="AM1029" s="44">
        <f t="shared" si="269"/>
        <v>0</v>
      </c>
      <c r="AN1029" s="43"/>
      <c r="AO1029" s="28">
        <f t="shared" si="270"/>
        <v>0</v>
      </c>
      <c r="AP1029" s="43"/>
      <c r="AQ1029" s="323">
        <f t="shared" si="271"/>
        <v>0</v>
      </c>
      <c r="AR1029" s="43"/>
      <c r="AS1029" s="44"/>
    </row>
    <row r="1030" spans="1:45" outlineLevel="1" x14ac:dyDescent="0.25">
      <c r="A1030" s="28">
        <v>23</v>
      </c>
      <c r="B1030" s="43"/>
      <c r="C1030" s="43"/>
      <c r="D1030" s="43"/>
      <c r="E1030" s="43" t="str">
        <f t="shared" si="256"/>
        <v>TR 138kV</v>
      </c>
      <c r="F1030" s="43" t="str">
        <f t="shared" si="257"/>
        <v>TR 138kV composto por: 2x painel; 1x RDP (8TC/8TP); 2x relé diferencial de transformador (12TC/4TP/10BI/15BO); 1x UAC (4TC/4TP/70BI/30BO); 10x bloco de testes.</v>
      </c>
      <c r="G1030" s="46">
        <f t="shared" si="272"/>
        <v>0</v>
      </c>
      <c r="H1030" s="46">
        <f t="shared" si="273"/>
        <v>0</v>
      </c>
      <c r="I1030" s="28"/>
      <c r="J1030" s="337"/>
      <c r="K1030" s="46" t="str">
        <f t="shared" si="274"/>
        <v/>
      </c>
      <c r="L1030" s="46" t="str">
        <f t="shared" si="275"/>
        <v/>
      </c>
      <c r="M1030" s="338">
        <f t="shared" si="276"/>
        <v>0</v>
      </c>
      <c r="N1030" s="43"/>
      <c r="O1030" s="339" t="e">
        <f t="shared" si="263"/>
        <v>#N/A</v>
      </c>
      <c r="P1030" s="340" t="str">
        <f>IFERROR(VLOOKUP(O1030,NCM!$A$3:$D$99,COLUMN(head_porNCM_IPI)-COLUMN(head_porNCM_NCM)+1,FALSE),"")</f>
        <v/>
      </c>
      <c r="Q1030" s="43"/>
      <c r="R1030" s="78"/>
      <c r="S1030" s="341"/>
      <c r="T1030" s="28" t="s">
        <v>53</v>
      </c>
      <c r="U1030" s="28"/>
      <c r="V1030" s="28"/>
      <c r="W1030" s="43"/>
      <c r="X1030" s="342">
        <f t="shared" si="277"/>
        <v>0</v>
      </c>
      <c r="Y1030" s="342">
        <f t="shared" si="278"/>
        <v>0</v>
      </c>
      <c r="Z1030" s="46">
        <f t="shared" si="279"/>
        <v>0</v>
      </c>
      <c r="AA1030" s="46">
        <f t="shared" si="280"/>
        <v>0</v>
      </c>
      <c r="AB1030" s="43"/>
      <c r="AC1030" s="44"/>
      <c r="AD1030" s="31"/>
      <c r="AE1030" s="31"/>
      <c r="AF1030" s="31"/>
      <c r="AG1030" s="28" t="s">
        <v>53</v>
      </c>
      <c r="AH1030" s="46">
        <f t="shared" si="268"/>
        <v>0</v>
      </c>
      <c r="AI1030" s="43"/>
      <c r="AJ1030" s="28"/>
      <c r="AK1030" s="337"/>
      <c r="AL1030" s="43"/>
      <c r="AM1030" s="44">
        <f t="shared" si="269"/>
        <v>0</v>
      </c>
      <c r="AN1030" s="43"/>
      <c r="AO1030" s="28">
        <f t="shared" si="270"/>
        <v>0</v>
      </c>
      <c r="AP1030" s="43"/>
      <c r="AQ1030" s="323">
        <f t="shared" si="271"/>
        <v>0</v>
      </c>
      <c r="AR1030" s="43"/>
      <c r="AS1030" s="44"/>
    </row>
    <row r="1031" spans="1:45" outlineLevel="1" x14ac:dyDescent="0.25">
      <c r="A1031" s="28">
        <v>24</v>
      </c>
      <c r="B1031" s="43"/>
      <c r="C1031" s="43"/>
      <c r="D1031" s="43"/>
      <c r="E1031" s="43" t="str">
        <f t="shared" si="256"/>
        <v>87B 138kV 4 bays</v>
      </c>
      <c r="F1031" s="43" t="str">
        <f t="shared" si="257"/>
        <v>87B 138kV 4 bays composto por: 2x painel; 2x relé diferencial de barras concentrador (até 4 bays, 16TC/40BI/20BO); 4x bloco de testes.</v>
      </c>
      <c r="G1031" s="46">
        <f t="shared" si="272"/>
        <v>0</v>
      </c>
      <c r="H1031" s="46">
        <f t="shared" si="273"/>
        <v>0</v>
      </c>
      <c r="I1031" s="28"/>
      <c r="J1031" s="337"/>
      <c r="K1031" s="46" t="str">
        <f t="shared" si="274"/>
        <v/>
      </c>
      <c r="L1031" s="46" t="str">
        <f t="shared" si="275"/>
        <v/>
      </c>
      <c r="M1031" s="338">
        <f t="shared" si="276"/>
        <v>0</v>
      </c>
      <c r="N1031" s="43"/>
      <c r="O1031" s="339" t="e">
        <f t="shared" si="263"/>
        <v>#N/A</v>
      </c>
      <c r="P1031" s="340" t="str">
        <f>IFERROR(VLOOKUP(O1031,NCM!$A$3:$D$99,COLUMN(head_porNCM_IPI)-COLUMN(head_porNCM_NCM)+1,FALSE),"")</f>
        <v/>
      </c>
      <c r="Q1031" s="43"/>
      <c r="R1031" s="78"/>
      <c r="S1031" s="341"/>
      <c r="T1031" s="28" t="s">
        <v>53</v>
      </c>
      <c r="U1031" s="28"/>
      <c r="V1031" s="28"/>
      <c r="W1031" s="43"/>
      <c r="X1031" s="342">
        <f t="shared" si="277"/>
        <v>0</v>
      </c>
      <c r="Y1031" s="342">
        <f t="shared" si="278"/>
        <v>0</v>
      </c>
      <c r="Z1031" s="46">
        <f t="shared" si="279"/>
        <v>0</v>
      </c>
      <c r="AA1031" s="46">
        <f t="shared" si="280"/>
        <v>0</v>
      </c>
      <c r="AB1031" s="43"/>
      <c r="AC1031" s="44"/>
      <c r="AD1031" s="31"/>
      <c r="AE1031" s="31"/>
      <c r="AF1031" s="31"/>
      <c r="AG1031" s="28" t="s">
        <v>53</v>
      </c>
      <c r="AH1031" s="46">
        <f t="shared" si="268"/>
        <v>0</v>
      </c>
      <c r="AI1031" s="43"/>
      <c r="AJ1031" s="28"/>
      <c r="AK1031" s="337"/>
      <c r="AL1031" s="43"/>
      <c r="AM1031" s="44">
        <f t="shared" si="269"/>
        <v>0</v>
      </c>
      <c r="AN1031" s="43"/>
      <c r="AO1031" s="28">
        <f t="shared" si="270"/>
        <v>0</v>
      </c>
      <c r="AP1031" s="43"/>
      <c r="AQ1031" s="323">
        <f t="shared" si="271"/>
        <v>0</v>
      </c>
      <c r="AR1031" s="43"/>
      <c r="AS1031" s="44"/>
    </row>
    <row r="1032" spans="1:45" outlineLevel="1" x14ac:dyDescent="0.25">
      <c r="A1032" s="28">
        <v>25</v>
      </c>
      <c r="B1032" s="43"/>
      <c r="C1032" s="43"/>
      <c r="D1032" s="43"/>
      <c r="E1032" s="43" t="str">
        <f t="shared" si="256"/>
        <v>87B 138kV 5 bays</v>
      </c>
      <c r="F1032" s="43" t="str">
        <f t="shared" si="257"/>
        <v>87B 138kV 5 bays composto por: 2x painel; 2x relé diferencial de barras concentrador (até 5 bays, 20TC/50BI/25BO); 5x bloco de testes.</v>
      </c>
      <c r="G1032" s="46">
        <f t="shared" si="272"/>
        <v>0</v>
      </c>
      <c r="H1032" s="46">
        <f t="shared" si="273"/>
        <v>0</v>
      </c>
      <c r="I1032" s="28"/>
      <c r="J1032" s="337"/>
      <c r="K1032" s="46" t="str">
        <f t="shared" si="274"/>
        <v/>
      </c>
      <c r="L1032" s="46" t="str">
        <f t="shared" si="275"/>
        <v/>
      </c>
      <c r="M1032" s="338">
        <f t="shared" si="276"/>
        <v>0</v>
      </c>
      <c r="N1032" s="43"/>
      <c r="O1032" s="339" t="e">
        <f t="shared" si="263"/>
        <v>#N/A</v>
      </c>
      <c r="P1032" s="340" t="str">
        <f>IFERROR(VLOOKUP(O1032,NCM!$A$3:$D$99,COLUMN(head_porNCM_IPI)-COLUMN(head_porNCM_NCM)+1,FALSE),"")</f>
        <v/>
      </c>
      <c r="Q1032" s="43"/>
      <c r="R1032" s="78"/>
      <c r="S1032" s="341"/>
      <c r="T1032" s="28" t="s">
        <v>53</v>
      </c>
      <c r="U1032" s="28"/>
      <c r="V1032" s="28"/>
      <c r="W1032" s="43"/>
      <c r="X1032" s="342">
        <f t="shared" si="277"/>
        <v>0</v>
      </c>
      <c r="Y1032" s="342">
        <f t="shared" si="278"/>
        <v>0</v>
      </c>
      <c r="Z1032" s="46">
        <f t="shared" si="279"/>
        <v>0</v>
      </c>
      <c r="AA1032" s="46">
        <f t="shared" si="280"/>
        <v>0</v>
      </c>
      <c r="AB1032" s="43"/>
      <c r="AC1032" s="44"/>
      <c r="AD1032" s="31"/>
      <c r="AE1032" s="31"/>
      <c r="AF1032" s="31"/>
      <c r="AG1032" s="28" t="s">
        <v>53</v>
      </c>
      <c r="AH1032" s="46">
        <f t="shared" si="268"/>
        <v>0</v>
      </c>
      <c r="AI1032" s="43"/>
      <c r="AJ1032" s="28"/>
      <c r="AK1032" s="337"/>
      <c r="AL1032" s="43"/>
      <c r="AM1032" s="44">
        <f t="shared" si="269"/>
        <v>0</v>
      </c>
      <c r="AN1032" s="43"/>
      <c r="AO1032" s="28">
        <f t="shared" si="270"/>
        <v>0</v>
      </c>
      <c r="AP1032" s="43"/>
      <c r="AQ1032" s="323">
        <f t="shared" si="271"/>
        <v>0</v>
      </c>
      <c r="AR1032" s="43"/>
      <c r="AS1032" s="44"/>
    </row>
    <row r="1033" spans="1:45" outlineLevel="1" x14ac:dyDescent="0.25">
      <c r="A1033" s="28">
        <v>26</v>
      </c>
      <c r="B1033" s="43"/>
      <c r="C1033" s="43"/>
      <c r="D1033" s="43"/>
      <c r="E1033" s="43" t="str">
        <f t="shared" si="256"/>
        <v>87B 138kV 6 bays</v>
      </c>
      <c r="F1033" s="43" t="str">
        <f t="shared" si="257"/>
        <v>87B 138kV 6 bays composto por: 2x painel; 2x relé diferencial de barras concentrador (até 6 bays, 24TC/60BI/30BO); 6x bloco de testes.</v>
      </c>
      <c r="G1033" s="46">
        <f t="shared" si="272"/>
        <v>0</v>
      </c>
      <c r="H1033" s="46">
        <f t="shared" si="273"/>
        <v>0</v>
      </c>
      <c r="I1033" s="28"/>
      <c r="J1033" s="337"/>
      <c r="K1033" s="46" t="str">
        <f t="shared" si="274"/>
        <v/>
      </c>
      <c r="L1033" s="46" t="str">
        <f t="shared" si="275"/>
        <v/>
      </c>
      <c r="M1033" s="338">
        <f t="shared" si="276"/>
        <v>0</v>
      </c>
      <c r="N1033" s="43"/>
      <c r="O1033" s="339" t="e">
        <f t="shared" si="263"/>
        <v>#N/A</v>
      </c>
      <c r="P1033" s="340" t="str">
        <f>IFERROR(VLOOKUP(O1033,NCM!$A$3:$D$99,COLUMN(head_porNCM_IPI)-COLUMN(head_porNCM_NCM)+1,FALSE),"")</f>
        <v/>
      </c>
      <c r="Q1033" s="43"/>
      <c r="R1033" s="78"/>
      <c r="S1033" s="341"/>
      <c r="T1033" s="28" t="s">
        <v>53</v>
      </c>
      <c r="U1033" s="28"/>
      <c r="V1033" s="28"/>
      <c r="W1033" s="43"/>
      <c r="X1033" s="342">
        <f t="shared" si="277"/>
        <v>0</v>
      </c>
      <c r="Y1033" s="342">
        <f t="shared" si="278"/>
        <v>0</v>
      </c>
      <c r="Z1033" s="46">
        <f t="shared" si="279"/>
        <v>0</v>
      </c>
      <c r="AA1033" s="46">
        <f t="shared" si="280"/>
        <v>0</v>
      </c>
      <c r="AB1033" s="43"/>
      <c r="AC1033" s="44"/>
      <c r="AD1033" s="31"/>
      <c r="AE1033" s="31"/>
      <c r="AF1033" s="31"/>
      <c r="AG1033" s="28" t="s">
        <v>53</v>
      </c>
      <c r="AH1033" s="46">
        <f t="shared" si="268"/>
        <v>0</v>
      </c>
      <c r="AI1033" s="43"/>
      <c r="AJ1033" s="28"/>
      <c r="AK1033" s="337"/>
      <c r="AL1033" s="43"/>
      <c r="AM1033" s="44">
        <f t="shared" si="269"/>
        <v>0</v>
      </c>
      <c r="AN1033" s="43"/>
      <c r="AO1033" s="28">
        <f t="shared" si="270"/>
        <v>0</v>
      </c>
      <c r="AP1033" s="43"/>
      <c r="AQ1033" s="323">
        <f t="shared" si="271"/>
        <v>0</v>
      </c>
      <c r="AR1033" s="43"/>
      <c r="AS1033" s="44"/>
    </row>
    <row r="1034" spans="1:45" outlineLevel="1" x14ac:dyDescent="0.25">
      <c r="A1034" s="28">
        <v>27</v>
      </c>
      <c r="B1034" s="43"/>
      <c r="C1034" s="43"/>
      <c r="D1034" s="43"/>
      <c r="E1034" s="43" t="str">
        <f t="shared" si="256"/>
        <v>87B 138kV 8 bays</v>
      </c>
      <c r="F1034" s="43" t="str">
        <f t="shared" si="257"/>
        <v>87B 138kV 8 bays composto por: 2x painel; 2x relé diferencial de barras concentrador (até 8 bays, 32TC/80BI/40BO); 8x bloco de testes.</v>
      </c>
      <c r="G1034" s="46">
        <f t="shared" si="272"/>
        <v>0</v>
      </c>
      <c r="H1034" s="46">
        <f t="shared" si="273"/>
        <v>0</v>
      </c>
      <c r="I1034" s="28"/>
      <c r="J1034" s="337"/>
      <c r="K1034" s="46" t="str">
        <f t="shared" si="274"/>
        <v/>
      </c>
      <c r="L1034" s="46" t="str">
        <f t="shared" si="275"/>
        <v/>
      </c>
      <c r="M1034" s="338">
        <f t="shared" si="276"/>
        <v>0</v>
      </c>
      <c r="N1034" s="43"/>
      <c r="O1034" s="339" t="e">
        <f t="shared" si="263"/>
        <v>#N/A</v>
      </c>
      <c r="P1034" s="340" t="str">
        <f>IFERROR(VLOOKUP(O1034,NCM!$A$3:$D$99,COLUMN(head_porNCM_IPI)-COLUMN(head_porNCM_NCM)+1,FALSE),"")</f>
        <v/>
      </c>
      <c r="Q1034" s="43"/>
      <c r="R1034" s="78"/>
      <c r="S1034" s="341"/>
      <c r="T1034" s="28" t="s">
        <v>53</v>
      </c>
      <c r="U1034" s="28"/>
      <c r="V1034" s="28"/>
      <c r="W1034" s="43"/>
      <c r="X1034" s="342">
        <f t="shared" si="277"/>
        <v>0</v>
      </c>
      <c r="Y1034" s="342">
        <f t="shared" si="278"/>
        <v>0</v>
      </c>
      <c r="Z1034" s="46">
        <f t="shared" si="279"/>
        <v>0</v>
      </c>
      <c r="AA1034" s="46">
        <f t="shared" si="280"/>
        <v>0</v>
      </c>
      <c r="AB1034" s="43"/>
      <c r="AC1034" s="44"/>
      <c r="AD1034" s="31"/>
      <c r="AE1034" s="31"/>
      <c r="AF1034" s="31"/>
      <c r="AG1034" s="28" t="s">
        <v>53</v>
      </c>
      <c r="AH1034" s="46">
        <f t="shared" si="268"/>
        <v>0</v>
      </c>
      <c r="AI1034" s="43"/>
      <c r="AJ1034" s="28"/>
      <c r="AK1034" s="337"/>
      <c r="AL1034" s="43"/>
      <c r="AM1034" s="44">
        <f t="shared" si="269"/>
        <v>0</v>
      </c>
      <c r="AN1034" s="43"/>
      <c r="AO1034" s="28">
        <f t="shared" si="270"/>
        <v>0</v>
      </c>
      <c r="AP1034" s="43"/>
      <c r="AQ1034" s="323">
        <f t="shared" si="271"/>
        <v>0</v>
      </c>
      <c r="AR1034" s="43"/>
      <c r="AS1034" s="44"/>
    </row>
    <row r="1035" spans="1:45" outlineLevel="1" x14ac:dyDescent="0.25">
      <c r="A1035" s="28">
        <v>28</v>
      </c>
      <c r="B1035" s="43"/>
      <c r="C1035" s="43"/>
      <c r="D1035" s="43"/>
      <c r="E1035" s="43" t="str">
        <f t="shared" si="256"/>
        <v>87B 138kV 10 bays</v>
      </c>
      <c r="F1035" s="43" t="str">
        <f t="shared" si="257"/>
        <v>87B 138kV 10 bays composto por: 2x painel; 2x relé diferencial de barras concentrador (até 10 bays, 40TC/100BI/50BO); 10x bloco de testes.</v>
      </c>
      <c r="G1035" s="46">
        <f t="shared" si="272"/>
        <v>0</v>
      </c>
      <c r="H1035" s="46">
        <f t="shared" si="273"/>
        <v>0</v>
      </c>
      <c r="I1035" s="28"/>
      <c r="J1035" s="337"/>
      <c r="K1035" s="46" t="str">
        <f t="shared" si="274"/>
        <v/>
      </c>
      <c r="L1035" s="46" t="str">
        <f t="shared" si="275"/>
        <v/>
      </c>
      <c r="M1035" s="338">
        <f t="shared" si="276"/>
        <v>0</v>
      </c>
      <c r="N1035" s="43"/>
      <c r="O1035" s="339" t="e">
        <f t="shared" si="263"/>
        <v>#N/A</v>
      </c>
      <c r="P1035" s="340" t="str">
        <f>IFERROR(VLOOKUP(O1035,NCM!$A$3:$D$99,COLUMN(head_porNCM_IPI)-COLUMN(head_porNCM_NCM)+1,FALSE),"")</f>
        <v/>
      </c>
      <c r="Q1035" s="43"/>
      <c r="R1035" s="78"/>
      <c r="S1035" s="341"/>
      <c r="T1035" s="28" t="s">
        <v>53</v>
      </c>
      <c r="U1035" s="28"/>
      <c r="V1035" s="28"/>
      <c r="W1035" s="43"/>
      <c r="X1035" s="342">
        <f t="shared" si="277"/>
        <v>0</v>
      </c>
      <c r="Y1035" s="342">
        <f t="shared" si="278"/>
        <v>0</v>
      </c>
      <c r="Z1035" s="46">
        <f t="shared" si="279"/>
        <v>0</v>
      </c>
      <c r="AA1035" s="46">
        <f t="shared" si="280"/>
        <v>0</v>
      </c>
      <c r="AB1035" s="43"/>
      <c r="AC1035" s="44"/>
      <c r="AD1035" s="31"/>
      <c r="AE1035" s="31"/>
      <c r="AF1035" s="31"/>
      <c r="AG1035" s="28" t="s">
        <v>53</v>
      </c>
      <c r="AH1035" s="46">
        <f t="shared" si="268"/>
        <v>0</v>
      </c>
      <c r="AI1035" s="43"/>
      <c r="AJ1035" s="28"/>
      <c r="AK1035" s="337"/>
      <c r="AL1035" s="43"/>
      <c r="AM1035" s="44">
        <f t="shared" si="269"/>
        <v>0</v>
      </c>
      <c r="AN1035" s="43"/>
      <c r="AO1035" s="28">
        <f t="shared" si="270"/>
        <v>0</v>
      </c>
      <c r="AP1035" s="43"/>
      <c r="AQ1035" s="323">
        <f t="shared" si="271"/>
        <v>0</v>
      </c>
      <c r="AR1035" s="43"/>
      <c r="AS1035" s="44"/>
    </row>
    <row r="1036" spans="1:45" outlineLevel="1" x14ac:dyDescent="0.25">
      <c r="A1036" s="28">
        <v>29</v>
      </c>
      <c r="B1036" s="43"/>
      <c r="C1036" s="43"/>
      <c r="D1036" s="43"/>
      <c r="E1036" s="43" t="str">
        <f t="shared" si="256"/>
        <v>Banco de Capacitores 138kV</v>
      </c>
      <c r="F1036" s="43" t="str">
        <f t="shared" si="257"/>
        <v>Banco de Capacitores 138kV composto por: 1x painel; 1x RDP (4TC/4TP); 1x relé de sobrecorrente (4TC/4TP/20BI/10BO); 1x UAC (4TC/4TP/70BI/30BO); 1x bloco de testes.</v>
      </c>
      <c r="G1036" s="46">
        <f t="shared" si="272"/>
        <v>0</v>
      </c>
      <c r="H1036" s="46">
        <f t="shared" si="273"/>
        <v>0</v>
      </c>
      <c r="I1036" s="28"/>
      <c r="J1036" s="337"/>
      <c r="K1036" s="46" t="str">
        <f t="shared" si="274"/>
        <v/>
      </c>
      <c r="L1036" s="46" t="str">
        <f t="shared" si="275"/>
        <v/>
      </c>
      <c r="M1036" s="338">
        <f t="shared" si="276"/>
        <v>0</v>
      </c>
      <c r="N1036" s="43"/>
      <c r="O1036" s="339" t="e">
        <f t="shared" si="263"/>
        <v>#N/A</v>
      </c>
      <c r="P1036" s="340" t="str">
        <f>IFERROR(VLOOKUP(O1036,NCM!$A$3:$D$99,COLUMN(head_porNCM_IPI)-COLUMN(head_porNCM_NCM)+1,FALSE),"")</f>
        <v/>
      </c>
      <c r="Q1036" s="43"/>
      <c r="R1036" s="78"/>
      <c r="S1036" s="341"/>
      <c r="T1036" s="28" t="s">
        <v>53</v>
      </c>
      <c r="U1036" s="28"/>
      <c r="V1036" s="28"/>
      <c r="W1036" s="43"/>
      <c r="X1036" s="342">
        <f t="shared" si="277"/>
        <v>0</v>
      </c>
      <c r="Y1036" s="342">
        <f t="shared" si="278"/>
        <v>0</v>
      </c>
      <c r="Z1036" s="46">
        <f t="shared" si="279"/>
        <v>0</v>
      </c>
      <c r="AA1036" s="46">
        <f t="shared" si="280"/>
        <v>0</v>
      </c>
      <c r="AB1036" s="43"/>
      <c r="AC1036" s="44"/>
      <c r="AD1036" s="31"/>
      <c r="AE1036" s="31"/>
      <c r="AF1036" s="31"/>
      <c r="AG1036" s="28" t="s">
        <v>53</v>
      </c>
      <c r="AH1036" s="46">
        <f t="shared" si="268"/>
        <v>0</v>
      </c>
      <c r="AI1036" s="43"/>
      <c r="AJ1036" s="28"/>
      <c r="AK1036" s="337"/>
      <c r="AL1036" s="43"/>
      <c r="AM1036" s="44">
        <f t="shared" si="269"/>
        <v>0</v>
      </c>
      <c r="AN1036" s="43"/>
      <c r="AO1036" s="28">
        <f t="shared" si="270"/>
        <v>0</v>
      </c>
      <c r="AP1036" s="43"/>
      <c r="AQ1036" s="323">
        <f t="shared" si="271"/>
        <v>0</v>
      </c>
      <c r="AR1036" s="43"/>
      <c r="AS1036" s="44"/>
    </row>
    <row r="1037" spans="1:45" outlineLevel="1" x14ac:dyDescent="0.25">
      <c r="A1037" s="28">
        <v>30</v>
      </c>
      <c r="B1037" s="43"/>
      <c r="C1037" s="43"/>
      <c r="D1037" s="43"/>
      <c r="E1037" s="43" t="str">
        <f t="shared" si="256"/>
        <v>LT 69kV</v>
      </c>
      <c r="F1037" s="43" t="str">
        <f t="shared" si="257"/>
        <v>LT 69kV composto por: 1x painel; 1x relé de sobrecorrente (4TC/4TP/20BI/10BO); 1x UAC (4TC/4TP/70BI/30BO); 3x bloco de testes.</v>
      </c>
      <c r="G1037" s="46">
        <f t="shared" si="272"/>
        <v>0</v>
      </c>
      <c r="H1037" s="46">
        <f t="shared" si="273"/>
        <v>0</v>
      </c>
      <c r="I1037" s="28"/>
      <c r="J1037" s="337"/>
      <c r="K1037" s="46" t="str">
        <f t="shared" si="274"/>
        <v/>
      </c>
      <c r="L1037" s="46" t="str">
        <f t="shared" si="275"/>
        <v/>
      </c>
      <c r="M1037" s="338">
        <f t="shared" si="276"/>
        <v>0</v>
      </c>
      <c r="N1037" s="43"/>
      <c r="O1037" s="339" t="e">
        <f t="shared" si="263"/>
        <v>#N/A</v>
      </c>
      <c r="P1037" s="340" t="str">
        <f>IFERROR(VLOOKUP(O1037,NCM!$A$3:$D$99,COLUMN(head_porNCM_IPI)-COLUMN(head_porNCM_NCM)+1,FALSE),"")</f>
        <v/>
      </c>
      <c r="Q1037" s="43"/>
      <c r="R1037" s="78"/>
      <c r="S1037" s="341"/>
      <c r="T1037" s="28" t="s">
        <v>53</v>
      </c>
      <c r="U1037" s="28"/>
      <c r="V1037" s="28"/>
      <c r="W1037" s="43"/>
      <c r="X1037" s="342">
        <f t="shared" si="277"/>
        <v>0</v>
      </c>
      <c r="Y1037" s="342">
        <f t="shared" si="278"/>
        <v>0</v>
      </c>
      <c r="Z1037" s="46">
        <f t="shared" si="279"/>
        <v>0</v>
      </c>
      <c r="AA1037" s="46">
        <f t="shared" si="280"/>
        <v>0</v>
      </c>
      <c r="AB1037" s="43"/>
      <c r="AC1037" s="44"/>
      <c r="AD1037" s="31"/>
      <c r="AE1037" s="31"/>
      <c r="AF1037" s="31"/>
      <c r="AG1037" s="28" t="s">
        <v>53</v>
      </c>
      <c r="AH1037" s="46">
        <f t="shared" si="268"/>
        <v>0</v>
      </c>
      <c r="AI1037" s="43"/>
      <c r="AJ1037" s="28"/>
      <c r="AK1037" s="337"/>
      <c r="AL1037" s="43"/>
      <c r="AM1037" s="44">
        <f t="shared" si="269"/>
        <v>0</v>
      </c>
      <c r="AN1037" s="43"/>
      <c r="AO1037" s="28">
        <f t="shared" si="270"/>
        <v>0</v>
      </c>
      <c r="AP1037" s="43"/>
      <c r="AQ1037" s="323">
        <f t="shared" si="271"/>
        <v>0</v>
      </c>
      <c r="AR1037" s="43"/>
      <c r="AS1037" s="44"/>
    </row>
    <row r="1038" spans="1:45" outlineLevel="1" x14ac:dyDescent="0.25">
      <c r="A1038" s="28">
        <v>31</v>
      </c>
      <c r="B1038" s="43"/>
      <c r="C1038" s="43"/>
      <c r="D1038" s="43"/>
      <c r="E1038" s="43" t="str">
        <f t="shared" si="256"/>
        <v>TIE 69kV</v>
      </c>
      <c r="F1038" s="43" t="str">
        <f t="shared" si="257"/>
        <v>TIE 69kV composto por: 1x painel; 1x UAC (4TC/4TP/35BI/20BO).</v>
      </c>
      <c r="G1038" s="46">
        <f t="shared" si="272"/>
        <v>0</v>
      </c>
      <c r="H1038" s="46">
        <f t="shared" si="273"/>
        <v>0</v>
      </c>
      <c r="I1038" s="28"/>
      <c r="J1038" s="337"/>
      <c r="K1038" s="46" t="str">
        <f t="shared" si="274"/>
        <v/>
      </c>
      <c r="L1038" s="46" t="str">
        <f t="shared" si="275"/>
        <v/>
      </c>
      <c r="M1038" s="338">
        <f t="shared" si="276"/>
        <v>0</v>
      </c>
      <c r="N1038" s="43"/>
      <c r="O1038" s="339" t="e">
        <f t="shared" si="263"/>
        <v>#N/A</v>
      </c>
      <c r="P1038" s="340" t="str">
        <f>IFERROR(VLOOKUP(O1038,NCM!$A$3:$D$99,COLUMN(head_porNCM_IPI)-COLUMN(head_porNCM_NCM)+1,FALSE),"")</f>
        <v/>
      </c>
      <c r="Q1038" s="43"/>
      <c r="R1038" s="78"/>
      <c r="S1038" s="341"/>
      <c r="T1038" s="28" t="s">
        <v>53</v>
      </c>
      <c r="U1038" s="28"/>
      <c r="V1038" s="28"/>
      <c r="W1038" s="43"/>
      <c r="X1038" s="342">
        <f t="shared" si="277"/>
        <v>0</v>
      </c>
      <c r="Y1038" s="342">
        <f t="shared" si="278"/>
        <v>0</v>
      </c>
      <c r="Z1038" s="46">
        <f t="shared" si="279"/>
        <v>0</v>
      </c>
      <c r="AA1038" s="46">
        <f t="shared" si="280"/>
        <v>0</v>
      </c>
      <c r="AB1038" s="43"/>
      <c r="AC1038" s="44"/>
      <c r="AD1038" s="31"/>
      <c r="AE1038" s="31"/>
      <c r="AF1038" s="31"/>
      <c r="AG1038" s="28" t="s">
        <v>53</v>
      </c>
      <c r="AH1038" s="46">
        <f t="shared" si="268"/>
        <v>0</v>
      </c>
      <c r="AI1038" s="43"/>
      <c r="AJ1038" s="28"/>
      <c r="AK1038" s="337"/>
      <c r="AL1038" s="43"/>
      <c r="AM1038" s="44">
        <f t="shared" si="269"/>
        <v>0</v>
      </c>
      <c r="AN1038" s="43"/>
      <c r="AO1038" s="28">
        <f t="shared" si="270"/>
        <v>0</v>
      </c>
      <c r="AP1038" s="43"/>
      <c r="AQ1038" s="323">
        <f t="shared" si="271"/>
        <v>0</v>
      </c>
      <c r="AR1038" s="43"/>
      <c r="AS1038" s="44"/>
    </row>
    <row r="1039" spans="1:45" outlineLevel="1" x14ac:dyDescent="0.25">
      <c r="A1039" s="28">
        <v>32</v>
      </c>
      <c r="B1039" s="43"/>
      <c r="C1039" s="43"/>
      <c r="D1039" s="43"/>
      <c r="E1039" s="43" t="str">
        <f t="shared" si="256"/>
        <v>TR 69kV</v>
      </c>
      <c r="F1039" s="43" t="str">
        <f t="shared" si="257"/>
        <v>TR 69kV composto por: 1x painel; 2x relé diferencial de transformador (12TC/4TP/10BI/15BO); 1x UAC (4TC/4TP/70BI/30BO); 5x bloco de testes.</v>
      </c>
      <c r="G1039" s="46">
        <f t="shared" si="272"/>
        <v>0</v>
      </c>
      <c r="H1039" s="46">
        <f t="shared" si="273"/>
        <v>0</v>
      </c>
      <c r="I1039" s="28"/>
      <c r="J1039" s="337"/>
      <c r="K1039" s="46" t="str">
        <f t="shared" si="274"/>
        <v/>
      </c>
      <c r="L1039" s="46" t="str">
        <f t="shared" si="275"/>
        <v/>
      </c>
      <c r="M1039" s="338">
        <f t="shared" si="276"/>
        <v>0</v>
      </c>
      <c r="N1039" s="43"/>
      <c r="O1039" s="339" t="e">
        <f t="shared" si="263"/>
        <v>#N/A</v>
      </c>
      <c r="P1039" s="340" t="str">
        <f>IFERROR(VLOOKUP(O1039,NCM!$A$3:$D$99,COLUMN(head_porNCM_IPI)-COLUMN(head_porNCM_NCM)+1,FALSE),"")</f>
        <v/>
      </c>
      <c r="Q1039" s="43"/>
      <c r="R1039" s="78"/>
      <c r="S1039" s="341"/>
      <c r="T1039" s="28" t="s">
        <v>53</v>
      </c>
      <c r="U1039" s="28"/>
      <c r="V1039" s="28"/>
      <c r="W1039" s="43"/>
      <c r="X1039" s="342">
        <f t="shared" si="277"/>
        <v>0</v>
      </c>
      <c r="Y1039" s="342">
        <f t="shared" si="278"/>
        <v>0</v>
      </c>
      <c r="Z1039" s="46">
        <f t="shared" si="279"/>
        <v>0</v>
      </c>
      <c r="AA1039" s="46">
        <f t="shared" si="280"/>
        <v>0</v>
      </c>
      <c r="AB1039" s="43"/>
      <c r="AC1039" s="44"/>
      <c r="AD1039" s="31"/>
      <c r="AE1039" s="31"/>
      <c r="AF1039" s="31"/>
      <c r="AG1039" s="28" t="s">
        <v>53</v>
      </c>
      <c r="AH1039" s="46">
        <f t="shared" si="268"/>
        <v>0</v>
      </c>
      <c r="AI1039" s="43"/>
      <c r="AJ1039" s="28"/>
      <c r="AK1039" s="337"/>
      <c r="AL1039" s="43"/>
      <c r="AM1039" s="44">
        <f t="shared" si="269"/>
        <v>0</v>
      </c>
      <c r="AN1039" s="43"/>
      <c r="AO1039" s="28">
        <f t="shared" si="270"/>
        <v>0</v>
      </c>
      <c r="AP1039" s="43"/>
      <c r="AQ1039" s="323">
        <f t="shared" si="271"/>
        <v>0</v>
      </c>
      <c r="AR1039" s="43"/>
      <c r="AS1039" s="44"/>
    </row>
    <row r="1040" spans="1:45" outlineLevel="1" x14ac:dyDescent="0.25">
      <c r="A1040" s="28">
        <v>33</v>
      </c>
      <c r="B1040" s="43"/>
      <c r="C1040" s="43"/>
      <c r="D1040" s="43"/>
      <c r="E1040" s="43" t="str">
        <f t="shared" si="256"/>
        <v>TR Aterramento 69kV</v>
      </c>
      <c r="F1040" s="43" t="str">
        <f t="shared" si="257"/>
        <v>TR Aterramento 69kV composto por: 1x painel; 2x relé diferencial de transformador (12TC/4TP/10BI/15BO); 1x UAC (4TC/4TP/70BI/30BO); 2x bloco de testes.</v>
      </c>
      <c r="G1040" s="46">
        <f t="shared" si="272"/>
        <v>0</v>
      </c>
      <c r="H1040" s="46">
        <f t="shared" si="273"/>
        <v>0</v>
      </c>
      <c r="I1040" s="28"/>
      <c r="J1040" s="337"/>
      <c r="K1040" s="46" t="str">
        <f t="shared" si="274"/>
        <v/>
      </c>
      <c r="L1040" s="46" t="str">
        <f t="shared" si="275"/>
        <v/>
      </c>
      <c r="M1040" s="338">
        <f t="shared" si="276"/>
        <v>0</v>
      </c>
      <c r="N1040" s="43"/>
      <c r="O1040" s="339" t="e">
        <f t="shared" si="263"/>
        <v>#N/A</v>
      </c>
      <c r="P1040" s="340" t="str">
        <f>IFERROR(VLOOKUP(O1040,NCM!$A$3:$D$99,COLUMN(head_porNCM_IPI)-COLUMN(head_porNCM_NCM)+1,FALSE),"")</f>
        <v/>
      </c>
      <c r="Q1040" s="43"/>
      <c r="R1040" s="78"/>
      <c r="S1040" s="341"/>
      <c r="T1040" s="28" t="s">
        <v>53</v>
      </c>
      <c r="U1040" s="28"/>
      <c r="V1040" s="28"/>
      <c r="W1040" s="43"/>
      <c r="X1040" s="342">
        <f t="shared" si="277"/>
        <v>0</v>
      </c>
      <c r="Y1040" s="342">
        <f t="shared" si="278"/>
        <v>0</v>
      </c>
      <c r="Z1040" s="46">
        <f t="shared" si="279"/>
        <v>0</v>
      </c>
      <c r="AA1040" s="46">
        <f t="shared" si="280"/>
        <v>0</v>
      </c>
      <c r="AB1040" s="43"/>
      <c r="AC1040" s="44"/>
      <c r="AD1040" s="31"/>
      <c r="AE1040" s="31"/>
      <c r="AF1040" s="31"/>
      <c r="AG1040" s="28" t="s">
        <v>53</v>
      </c>
      <c r="AH1040" s="46">
        <f t="shared" si="268"/>
        <v>0</v>
      </c>
      <c r="AI1040" s="43"/>
      <c r="AJ1040" s="28"/>
      <c r="AK1040" s="337"/>
      <c r="AL1040" s="43"/>
      <c r="AM1040" s="44">
        <f t="shared" si="269"/>
        <v>0</v>
      </c>
      <c r="AN1040" s="43"/>
      <c r="AO1040" s="28">
        <f t="shared" si="270"/>
        <v>0</v>
      </c>
      <c r="AP1040" s="43"/>
      <c r="AQ1040" s="323">
        <f t="shared" si="271"/>
        <v>0</v>
      </c>
      <c r="AR1040" s="43"/>
      <c r="AS1040" s="44"/>
    </row>
    <row r="1041" spans="1:45" outlineLevel="1" x14ac:dyDescent="0.25">
      <c r="A1041" s="28">
        <v>34</v>
      </c>
      <c r="B1041" s="43"/>
      <c r="C1041" s="43"/>
      <c r="D1041" s="43"/>
      <c r="E1041" s="43" t="str">
        <f t="shared" si="256"/>
        <v>87B 69kV 4 bays</v>
      </c>
      <c r="F1041" s="43" t="str">
        <f t="shared" si="257"/>
        <v>87B 69kV 4 bays composto por: 1x painel; 1x relé diferencial de barras concentrador (até 4 bays, 16TC/40BI/20BO).</v>
      </c>
      <c r="G1041" s="46">
        <f t="shared" si="272"/>
        <v>0</v>
      </c>
      <c r="H1041" s="46">
        <f t="shared" si="273"/>
        <v>0</v>
      </c>
      <c r="I1041" s="28"/>
      <c r="J1041" s="337"/>
      <c r="K1041" s="46" t="str">
        <f t="shared" si="274"/>
        <v/>
      </c>
      <c r="L1041" s="46" t="str">
        <f t="shared" si="275"/>
        <v/>
      </c>
      <c r="M1041" s="338">
        <f t="shared" si="276"/>
        <v>0</v>
      </c>
      <c r="N1041" s="43"/>
      <c r="O1041" s="339" t="e">
        <f t="shared" si="263"/>
        <v>#N/A</v>
      </c>
      <c r="P1041" s="340" t="str">
        <f>IFERROR(VLOOKUP(O1041,NCM!$A$3:$D$99,COLUMN(head_porNCM_IPI)-COLUMN(head_porNCM_NCM)+1,FALSE),"")</f>
        <v/>
      </c>
      <c r="Q1041" s="43"/>
      <c r="R1041" s="78"/>
      <c r="S1041" s="341"/>
      <c r="T1041" s="28" t="s">
        <v>53</v>
      </c>
      <c r="U1041" s="28"/>
      <c r="V1041" s="28"/>
      <c r="W1041" s="43"/>
      <c r="X1041" s="342">
        <f t="shared" si="277"/>
        <v>0</v>
      </c>
      <c r="Y1041" s="342">
        <f t="shared" si="278"/>
        <v>0</v>
      </c>
      <c r="Z1041" s="46">
        <f t="shared" si="279"/>
        <v>0</v>
      </c>
      <c r="AA1041" s="46">
        <f t="shared" si="280"/>
        <v>0</v>
      </c>
      <c r="AB1041" s="43"/>
      <c r="AC1041" s="44"/>
      <c r="AD1041" s="31"/>
      <c r="AE1041" s="31"/>
      <c r="AF1041" s="31"/>
      <c r="AG1041" s="28" t="s">
        <v>53</v>
      </c>
      <c r="AH1041" s="46">
        <f t="shared" si="268"/>
        <v>0</v>
      </c>
      <c r="AI1041" s="43"/>
      <c r="AJ1041" s="28"/>
      <c r="AK1041" s="337"/>
      <c r="AL1041" s="43"/>
      <c r="AM1041" s="44">
        <f t="shared" si="269"/>
        <v>0</v>
      </c>
      <c r="AN1041" s="43"/>
      <c r="AO1041" s="28">
        <f t="shared" si="270"/>
        <v>0</v>
      </c>
      <c r="AP1041" s="43"/>
      <c r="AQ1041" s="323">
        <f t="shared" si="271"/>
        <v>0</v>
      </c>
      <c r="AR1041" s="43"/>
      <c r="AS1041" s="44"/>
    </row>
    <row r="1042" spans="1:45" outlineLevel="1" x14ac:dyDescent="0.25">
      <c r="A1042" s="28">
        <v>35</v>
      </c>
      <c r="B1042" s="43"/>
      <c r="C1042" s="43"/>
      <c r="D1042" s="43"/>
      <c r="E1042" s="43" t="str">
        <f t="shared" si="256"/>
        <v>87B 69kV 5 bays</v>
      </c>
      <c r="F1042" s="43" t="str">
        <f t="shared" si="257"/>
        <v>87B 69kV 5 bays composto por: 1x painel; 1x relé diferencial de barras concentrador (até 5 bays, 20TC/50BI/25BO).</v>
      </c>
      <c r="G1042" s="46">
        <f t="shared" si="272"/>
        <v>0</v>
      </c>
      <c r="H1042" s="46">
        <f t="shared" si="273"/>
        <v>0</v>
      </c>
      <c r="I1042" s="28"/>
      <c r="J1042" s="337"/>
      <c r="K1042" s="46" t="str">
        <f t="shared" si="274"/>
        <v/>
      </c>
      <c r="L1042" s="46" t="str">
        <f t="shared" si="275"/>
        <v/>
      </c>
      <c r="M1042" s="338">
        <f t="shared" si="276"/>
        <v>0</v>
      </c>
      <c r="N1042" s="43"/>
      <c r="O1042" s="339" t="e">
        <f t="shared" si="263"/>
        <v>#N/A</v>
      </c>
      <c r="P1042" s="340" t="str">
        <f>IFERROR(VLOOKUP(O1042,NCM!$A$3:$D$99,COLUMN(head_porNCM_IPI)-COLUMN(head_porNCM_NCM)+1,FALSE),"")</f>
        <v/>
      </c>
      <c r="Q1042" s="43"/>
      <c r="R1042" s="78"/>
      <c r="S1042" s="341"/>
      <c r="T1042" s="28" t="s">
        <v>53</v>
      </c>
      <c r="U1042" s="28"/>
      <c r="V1042" s="28"/>
      <c r="W1042" s="43"/>
      <c r="X1042" s="342">
        <f t="shared" si="277"/>
        <v>0</v>
      </c>
      <c r="Y1042" s="342">
        <f t="shared" si="278"/>
        <v>0</v>
      </c>
      <c r="Z1042" s="46">
        <f t="shared" si="279"/>
        <v>0</v>
      </c>
      <c r="AA1042" s="46">
        <f t="shared" si="280"/>
        <v>0</v>
      </c>
      <c r="AB1042" s="43"/>
      <c r="AC1042" s="44"/>
      <c r="AD1042" s="31"/>
      <c r="AE1042" s="31"/>
      <c r="AF1042" s="31"/>
      <c r="AG1042" s="28" t="s">
        <v>53</v>
      </c>
      <c r="AH1042" s="46">
        <f t="shared" si="268"/>
        <v>0</v>
      </c>
      <c r="AI1042" s="43"/>
      <c r="AJ1042" s="28"/>
      <c r="AK1042" s="337"/>
      <c r="AL1042" s="43"/>
      <c r="AM1042" s="44">
        <f t="shared" si="269"/>
        <v>0</v>
      </c>
      <c r="AN1042" s="43"/>
      <c r="AO1042" s="28">
        <f t="shared" si="270"/>
        <v>0</v>
      </c>
      <c r="AP1042" s="43"/>
      <c r="AQ1042" s="323">
        <f t="shared" si="271"/>
        <v>0</v>
      </c>
      <c r="AR1042" s="43"/>
      <c r="AS1042" s="44"/>
    </row>
    <row r="1043" spans="1:45" outlineLevel="1" x14ac:dyDescent="0.25">
      <c r="A1043" s="28">
        <v>36</v>
      </c>
      <c r="B1043" s="43"/>
      <c r="C1043" s="43"/>
      <c r="D1043" s="43"/>
      <c r="E1043" s="43" t="str">
        <f t="shared" si="256"/>
        <v>87B 69kV 6 bays</v>
      </c>
      <c r="F1043" s="43" t="str">
        <f t="shared" si="257"/>
        <v>87B 69kV 6 bays composto por: 1x painel; 1x relé diferencial de barras concentrador (até 6 bays, 24TC/60BI/30BO).</v>
      </c>
      <c r="G1043" s="46">
        <f t="shared" si="272"/>
        <v>0</v>
      </c>
      <c r="H1043" s="46">
        <f t="shared" si="273"/>
        <v>0</v>
      </c>
      <c r="I1043" s="28"/>
      <c r="J1043" s="337"/>
      <c r="K1043" s="46" t="str">
        <f t="shared" si="274"/>
        <v/>
      </c>
      <c r="L1043" s="46" t="str">
        <f t="shared" si="275"/>
        <v/>
      </c>
      <c r="M1043" s="338">
        <f t="shared" si="276"/>
        <v>0</v>
      </c>
      <c r="N1043" s="43"/>
      <c r="O1043" s="339" t="e">
        <f t="shared" si="263"/>
        <v>#N/A</v>
      </c>
      <c r="P1043" s="340" t="str">
        <f>IFERROR(VLOOKUP(O1043,NCM!$A$3:$D$99,COLUMN(head_porNCM_IPI)-COLUMN(head_porNCM_NCM)+1,FALSE),"")</f>
        <v/>
      </c>
      <c r="Q1043" s="43"/>
      <c r="R1043" s="78"/>
      <c r="S1043" s="341"/>
      <c r="T1043" s="28" t="s">
        <v>53</v>
      </c>
      <c r="U1043" s="28"/>
      <c r="V1043" s="28"/>
      <c r="W1043" s="43"/>
      <c r="X1043" s="342">
        <f t="shared" si="277"/>
        <v>0</v>
      </c>
      <c r="Y1043" s="342">
        <f t="shared" si="278"/>
        <v>0</v>
      </c>
      <c r="Z1043" s="46">
        <f t="shared" si="279"/>
        <v>0</v>
      </c>
      <c r="AA1043" s="46">
        <f t="shared" si="280"/>
        <v>0</v>
      </c>
      <c r="AB1043" s="43"/>
      <c r="AC1043" s="44"/>
      <c r="AD1043" s="31"/>
      <c r="AE1043" s="31"/>
      <c r="AF1043" s="31"/>
      <c r="AG1043" s="28" t="s">
        <v>53</v>
      </c>
      <c r="AH1043" s="46">
        <f t="shared" si="268"/>
        <v>0</v>
      </c>
      <c r="AI1043" s="43"/>
      <c r="AJ1043" s="28"/>
      <c r="AK1043" s="337"/>
      <c r="AL1043" s="43"/>
      <c r="AM1043" s="44">
        <f t="shared" si="269"/>
        <v>0</v>
      </c>
      <c r="AN1043" s="43"/>
      <c r="AO1043" s="28">
        <f t="shared" si="270"/>
        <v>0</v>
      </c>
      <c r="AP1043" s="43"/>
      <c r="AQ1043" s="323">
        <f t="shared" si="271"/>
        <v>0</v>
      </c>
      <c r="AR1043" s="43"/>
      <c r="AS1043" s="44"/>
    </row>
    <row r="1044" spans="1:45" outlineLevel="1" x14ac:dyDescent="0.25">
      <c r="A1044" s="28">
        <v>37</v>
      </c>
      <c r="B1044" s="43"/>
      <c r="C1044" s="43"/>
      <c r="D1044" s="43"/>
      <c r="E1044" s="43" t="str">
        <f t="shared" si="256"/>
        <v>87B 69kV 8 bays</v>
      </c>
      <c r="F1044" s="43" t="str">
        <f t="shared" si="257"/>
        <v>87B 69kV 8 bays composto por: 1x painel; 1x relé diferencial de barras concentrador (até 8 bays, 32TC/80BI/40BO).</v>
      </c>
      <c r="G1044" s="46">
        <f t="shared" si="272"/>
        <v>0</v>
      </c>
      <c r="H1044" s="46">
        <f t="shared" si="273"/>
        <v>0</v>
      </c>
      <c r="I1044" s="28"/>
      <c r="J1044" s="337"/>
      <c r="K1044" s="46" t="str">
        <f t="shared" si="274"/>
        <v/>
      </c>
      <c r="L1044" s="46" t="str">
        <f t="shared" si="275"/>
        <v/>
      </c>
      <c r="M1044" s="338">
        <f t="shared" si="276"/>
        <v>0</v>
      </c>
      <c r="N1044" s="43"/>
      <c r="O1044" s="339" t="e">
        <f t="shared" si="263"/>
        <v>#N/A</v>
      </c>
      <c r="P1044" s="340" t="str">
        <f>IFERROR(VLOOKUP(O1044,NCM!$A$3:$D$99,COLUMN(head_porNCM_IPI)-COLUMN(head_porNCM_NCM)+1,FALSE),"")</f>
        <v/>
      </c>
      <c r="Q1044" s="43"/>
      <c r="R1044" s="78"/>
      <c r="S1044" s="341"/>
      <c r="T1044" s="28" t="s">
        <v>53</v>
      </c>
      <c r="U1044" s="28"/>
      <c r="V1044" s="28"/>
      <c r="W1044" s="43"/>
      <c r="X1044" s="342">
        <f t="shared" si="277"/>
        <v>0</v>
      </c>
      <c r="Y1044" s="342">
        <f t="shared" si="278"/>
        <v>0</v>
      </c>
      <c r="Z1044" s="46">
        <f t="shared" si="279"/>
        <v>0</v>
      </c>
      <c r="AA1044" s="46">
        <f t="shared" si="280"/>
        <v>0</v>
      </c>
      <c r="AB1044" s="43"/>
      <c r="AC1044" s="44"/>
      <c r="AD1044" s="31"/>
      <c r="AE1044" s="31"/>
      <c r="AF1044" s="31"/>
      <c r="AG1044" s="28" t="s">
        <v>53</v>
      </c>
      <c r="AH1044" s="46">
        <f t="shared" si="268"/>
        <v>0</v>
      </c>
      <c r="AI1044" s="43"/>
      <c r="AJ1044" s="28"/>
      <c r="AK1044" s="337"/>
      <c r="AL1044" s="43"/>
      <c r="AM1044" s="44">
        <f t="shared" si="269"/>
        <v>0</v>
      </c>
      <c r="AN1044" s="43"/>
      <c r="AO1044" s="28">
        <f t="shared" si="270"/>
        <v>0</v>
      </c>
      <c r="AP1044" s="43"/>
      <c r="AQ1044" s="323">
        <f t="shared" si="271"/>
        <v>0</v>
      </c>
      <c r="AR1044" s="43"/>
      <c r="AS1044" s="44"/>
    </row>
    <row r="1045" spans="1:45" outlineLevel="1" x14ac:dyDescent="0.25">
      <c r="A1045" s="28">
        <v>38</v>
      </c>
      <c r="B1045" s="43"/>
      <c r="C1045" s="43"/>
      <c r="D1045" s="43"/>
      <c r="E1045" s="43" t="str">
        <f t="shared" si="256"/>
        <v>87B 69kV 10 bays</v>
      </c>
      <c r="F1045" s="43" t="str">
        <f t="shared" si="257"/>
        <v>87B 69kV 10 bays composto por: 1x painel; 1x relé diferencial de barras concentrador (até 10 bays, 40TC/100BI/50BO).</v>
      </c>
      <c r="G1045" s="46">
        <f t="shared" si="272"/>
        <v>0</v>
      </c>
      <c r="H1045" s="46">
        <f t="shared" si="273"/>
        <v>0</v>
      </c>
      <c r="I1045" s="28"/>
      <c r="J1045" s="337"/>
      <c r="K1045" s="46" t="str">
        <f t="shared" si="274"/>
        <v/>
      </c>
      <c r="L1045" s="46" t="str">
        <f t="shared" si="275"/>
        <v/>
      </c>
      <c r="M1045" s="338">
        <f t="shared" si="276"/>
        <v>0</v>
      </c>
      <c r="N1045" s="43"/>
      <c r="O1045" s="339" t="e">
        <f t="shared" si="263"/>
        <v>#N/A</v>
      </c>
      <c r="P1045" s="340" t="str">
        <f>IFERROR(VLOOKUP(O1045,NCM!$A$3:$D$99,COLUMN(head_porNCM_IPI)-COLUMN(head_porNCM_NCM)+1,FALSE),"")</f>
        <v/>
      </c>
      <c r="Q1045" s="43"/>
      <c r="R1045" s="78"/>
      <c r="S1045" s="341"/>
      <c r="T1045" s="28" t="s">
        <v>53</v>
      </c>
      <c r="U1045" s="28"/>
      <c r="V1045" s="28"/>
      <c r="W1045" s="43"/>
      <c r="X1045" s="342">
        <f t="shared" si="277"/>
        <v>0</v>
      </c>
      <c r="Y1045" s="342">
        <f t="shared" si="278"/>
        <v>0</v>
      </c>
      <c r="Z1045" s="46">
        <f t="shared" si="279"/>
        <v>0</v>
      </c>
      <c r="AA1045" s="46">
        <f t="shared" si="280"/>
        <v>0</v>
      </c>
      <c r="AB1045" s="43"/>
      <c r="AC1045" s="44"/>
      <c r="AD1045" s="31"/>
      <c r="AE1045" s="31"/>
      <c r="AF1045" s="31"/>
      <c r="AG1045" s="28" t="s">
        <v>53</v>
      </c>
      <c r="AH1045" s="46">
        <f t="shared" si="268"/>
        <v>0</v>
      </c>
      <c r="AI1045" s="43"/>
      <c r="AJ1045" s="28"/>
      <c r="AK1045" s="337"/>
      <c r="AL1045" s="43"/>
      <c r="AM1045" s="44">
        <f t="shared" si="269"/>
        <v>0</v>
      </c>
      <c r="AN1045" s="43"/>
      <c r="AO1045" s="28">
        <f t="shared" si="270"/>
        <v>0</v>
      </c>
      <c r="AP1045" s="43"/>
      <c r="AQ1045" s="323">
        <f t="shared" si="271"/>
        <v>0</v>
      </c>
      <c r="AR1045" s="43"/>
      <c r="AS1045" s="44"/>
    </row>
    <row r="1046" spans="1:45" outlineLevel="1" x14ac:dyDescent="0.25">
      <c r="A1046" s="28">
        <v>39</v>
      </c>
      <c r="B1046" s="43"/>
      <c r="C1046" s="43"/>
      <c r="D1046" s="43"/>
      <c r="E1046" s="43" t="str">
        <f t="shared" si="256"/>
        <v>Banco de Capacitores 69kV</v>
      </c>
      <c r="F1046" s="43" t="str">
        <f t="shared" si="257"/>
        <v>Banco de Capacitores 69kV composto por: 1x painel; 1x relé de sobrecorrente (4TC/4TP/20BI/10BO); 1x UAC (4TC/4TP/35BI/20BO); 1x bloco de testes.</v>
      </c>
      <c r="G1046" s="46">
        <f t="shared" si="272"/>
        <v>0</v>
      </c>
      <c r="H1046" s="46">
        <f t="shared" si="273"/>
        <v>0</v>
      </c>
      <c r="I1046" s="28"/>
      <c r="J1046" s="337"/>
      <c r="K1046" s="46" t="str">
        <f t="shared" si="274"/>
        <v/>
      </c>
      <c r="L1046" s="46" t="str">
        <f t="shared" si="275"/>
        <v/>
      </c>
      <c r="M1046" s="338">
        <f t="shared" si="276"/>
        <v>0</v>
      </c>
      <c r="N1046" s="43"/>
      <c r="O1046" s="339" t="e">
        <f t="shared" si="263"/>
        <v>#N/A</v>
      </c>
      <c r="P1046" s="340" t="str">
        <f>IFERROR(VLOOKUP(O1046,NCM!$A$3:$D$99,COLUMN(head_porNCM_IPI)-COLUMN(head_porNCM_NCM)+1,FALSE),"")</f>
        <v/>
      </c>
      <c r="Q1046" s="43"/>
      <c r="R1046" s="78"/>
      <c r="S1046" s="341"/>
      <c r="T1046" s="28" t="s">
        <v>53</v>
      </c>
      <c r="U1046" s="28"/>
      <c r="V1046" s="28"/>
      <c r="W1046" s="43"/>
      <c r="X1046" s="342">
        <f t="shared" si="277"/>
        <v>0</v>
      </c>
      <c r="Y1046" s="342">
        <f t="shared" si="278"/>
        <v>0</v>
      </c>
      <c r="Z1046" s="46">
        <f t="shared" si="279"/>
        <v>0</v>
      </c>
      <c r="AA1046" s="46">
        <f t="shared" si="280"/>
        <v>0</v>
      </c>
      <c r="AB1046" s="43"/>
      <c r="AC1046" s="44"/>
      <c r="AD1046" s="31"/>
      <c r="AE1046" s="31"/>
      <c r="AF1046" s="31"/>
      <c r="AG1046" s="28" t="s">
        <v>53</v>
      </c>
      <c r="AH1046" s="46">
        <f t="shared" si="268"/>
        <v>0</v>
      </c>
      <c r="AI1046" s="43"/>
      <c r="AJ1046" s="28"/>
      <c r="AK1046" s="337"/>
      <c r="AL1046" s="43"/>
      <c r="AM1046" s="44">
        <f t="shared" si="269"/>
        <v>0</v>
      </c>
      <c r="AN1046" s="43"/>
      <c r="AO1046" s="28">
        <f t="shared" si="270"/>
        <v>0</v>
      </c>
      <c r="AP1046" s="43"/>
      <c r="AQ1046" s="323">
        <f t="shared" si="271"/>
        <v>0</v>
      </c>
      <c r="AR1046" s="43"/>
      <c r="AS1046" s="44"/>
    </row>
    <row r="1047" spans="1:45" outlineLevel="1" x14ac:dyDescent="0.25">
      <c r="A1047" s="28">
        <v>40</v>
      </c>
      <c r="B1047" s="43"/>
      <c r="C1047" s="43"/>
      <c r="D1047" s="43"/>
      <c r="E1047" s="43" t="str">
        <f t="shared" si="256"/>
        <v>Compensador Estático</v>
      </c>
      <c r="F1047" s="43" t="str">
        <f t="shared" si="257"/>
        <v>Compensador Estático composto por: 1x painel; 1x UAC (4TC/4TP/70BI/30BO); 1x bloco de testes.</v>
      </c>
      <c r="G1047" s="46">
        <f t="shared" si="272"/>
        <v>0</v>
      </c>
      <c r="H1047" s="46">
        <f t="shared" si="273"/>
        <v>0</v>
      </c>
      <c r="I1047" s="28"/>
      <c r="J1047" s="337"/>
      <c r="K1047" s="46" t="str">
        <f t="shared" si="274"/>
        <v/>
      </c>
      <c r="L1047" s="46" t="str">
        <f t="shared" si="275"/>
        <v/>
      </c>
      <c r="M1047" s="338">
        <f t="shared" si="276"/>
        <v>0</v>
      </c>
      <c r="N1047" s="43"/>
      <c r="O1047" s="339" t="e">
        <f t="shared" si="263"/>
        <v>#N/A</v>
      </c>
      <c r="P1047" s="340" t="str">
        <f>IFERROR(VLOOKUP(O1047,NCM!$A$3:$D$99,COLUMN(head_porNCM_IPI)-COLUMN(head_porNCM_NCM)+1,FALSE),"")</f>
        <v/>
      </c>
      <c r="Q1047" s="43"/>
      <c r="R1047" s="78"/>
      <c r="S1047" s="341"/>
      <c r="T1047" s="28" t="s">
        <v>53</v>
      </c>
      <c r="U1047" s="28"/>
      <c r="V1047" s="28"/>
      <c r="W1047" s="43"/>
      <c r="X1047" s="342">
        <f t="shared" si="277"/>
        <v>0</v>
      </c>
      <c r="Y1047" s="342">
        <f t="shared" si="278"/>
        <v>0</v>
      </c>
      <c r="Z1047" s="46">
        <f t="shared" si="279"/>
        <v>0</v>
      </c>
      <c r="AA1047" s="46">
        <f t="shared" si="280"/>
        <v>0</v>
      </c>
      <c r="AB1047" s="43"/>
      <c r="AC1047" s="44"/>
      <c r="AD1047" s="31"/>
      <c r="AE1047" s="31"/>
      <c r="AF1047" s="31"/>
      <c r="AG1047" s="28" t="s">
        <v>53</v>
      </c>
      <c r="AH1047" s="46">
        <f t="shared" si="268"/>
        <v>0</v>
      </c>
      <c r="AI1047" s="43"/>
      <c r="AJ1047" s="28"/>
      <c r="AK1047" s="337"/>
      <c r="AL1047" s="43"/>
      <c r="AM1047" s="44">
        <f t="shared" si="269"/>
        <v>0</v>
      </c>
      <c r="AN1047" s="43"/>
      <c r="AO1047" s="28">
        <f t="shared" si="270"/>
        <v>0</v>
      </c>
      <c r="AP1047" s="43"/>
      <c r="AQ1047" s="323">
        <f t="shared" si="271"/>
        <v>0</v>
      </c>
      <c r="AR1047" s="43"/>
      <c r="AS1047" s="44"/>
    </row>
    <row r="1048" spans="1:45" outlineLevel="1" x14ac:dyDescent="0.25">
      <c r="A1048" s="28">
        <v>41</v>
      </c>
      <c r="B1048" s="43"/>
      <c r="C1048" s="43"/>
      <c r="D1048" s="43"/>
      <c r="E1048" s="43" t="str">
        <f t="shared" si="256"/>
        <v>SEP</v>
      </c>
      <c r="F1048" s="43" t="str">
        <f t="shared" si="257"/>
        <v>SEP composto por: 1x painel; 1x UAC (4TC/4TP/70BI/30BO).</v>
      </c>
      <c r="G1048" s="46">
        <f t="shared" si="272"/>
        <v>0</v>
      </c>
      <c r="H1048" s="46">
        <f t="shared" si="273"/>
        <v>0</v>
      </c>
      <c r="I1048" s="28"/>
      <c r="J1048" s="337"/>
      <c r="K1048" s="46" t="str">
        <f t="shared" si="274"/>
        <v/>
      </c>
      <c r="L1048" s="46" t="str">
        <f t="shared" si="275"/>
        <v/>
      </c>
      <c r="M1048" s="338">
        <f t="shared" si="276"/>
        <v>0</v>
      </c>
      <c r="N1048" s="43"/>
      <c r="O1048" s="339" t="e">
        <f t="shared" si="263"/>
        <v>#N/A</v>
      </c>
      <c r="P1048" s="340" t="str">
        <f>IFERROR(VLOOKUP(O1048,NCM!$A$3:$D$99,COLUMN(head_porNCM_IPI)-COLUMN(head_porNCM_NCM)+1,FALSE),"")</f>
        <v/>
      </c>
      <c r="Q1048" s="43"/>
      <c r="R1048" s="78"/>
      <c r="S1048" s="341"/>
      <c r="T1048" s="28" t="s">
        <v>53</v>
      </c>
      <c r="U1048" s="28"/>
      <c r="V1048" s="28"/>
      <c r="W1048" s="43"/>
      <c r="X1048" s="342">
        <f t="shared" si="277"/>
        <v>0</v>
      </c>
      <c r="Y1048" s="342">
        <f t="shared" si="278"/>
        <v>0</v>
      </c>
      <c r="Z1048" s="46">
        <f t="shared" si="279"/>
        <v>0</v>
      </c>
      <c r="AA1048" s="46">
        <f t="shared" si="280"/>
        <v>0</v>
      </c>
      <c r="AB1048" s="43"/>
      <c r="AC1048" s="44"/>
      <c r="AD1048" s="31"/>
      <c r="AE1048" s="31"/>
      <c r="AF1048" s="31"/>
      <c r="AG1048" s="28" t="s">
        <v>53</v>
      </c>
      <c r="AH1048" s="46">
        <f t="shared" si="268"/>
        <v>0</v>
      </c>
      <c r="AI1048" s="43"/>
      <c r="AJ1048" s="28"/>
      <c r="AK1048" s="337"/>
      <c r="AL1048" s="43"/>
      <c r="AM1048" s="44">
        <f t="shared" si="269"/>
        <v>0</v>
      </c>
      <c r="AN1048" s="43"/>
      <c r="AO1048" s="28">
        <f t="shared" si="270"/>
        <v>0</v>
      </c>
      <c r="AP1048" s="43"/>
      <c r="AQ1048" s="323">
        <f t="shared" si="271"/>
        <v>0</v>
      </c>
      <c r="AR1048" s="43"/>
      <c r="AS1048" s="44"/>
    </row>
    <row r="1049" spans="1:45" outlineLevel="1" x14ac:dyDescent="0.25">
      <c r="A1049" s="28">
        <v>42</v>
      </c>
      <c r="B1049" s="43"/>
      <c r="C1049" s="43"/>
      <c r="D1049" s="43"/>
      <c r="E1049" s="43" t="str">
        <f t="shared" si="256"/>
        <v>Supervisão de Serviços Auxiliares</v>
      </c>
      <c r="F1049" s="43" t="str">
        <f t="shared" si="257"/>
        <v>Supervisão de Serviços Auxiliares composto por: 1x painel; 2x UAC (8TC/8TP/80BI/20BO/12mA).</v>
      </c>
      <c r="G1049" s="46">
        <f t="shared" si="272"/>
        <v>0</v>
      </c>
      <c r="H1049" s="46">
        <f t="shared" si="273"/>
        <v>0</v>
      </c>
      <c r="I1049" s="28"/>
      <c r="J1049" s="337"/>
      <c r="K1049" s="46" t="str">
        <f t="shared" si="274"/>
        <v/>
      </c>
      <c r="L1049" s="46" t="str">
        <f t="shared" si="275"/>
        <v/>
      </c>
      <c r="M1049" s="338">
        <f t="shared" si="276"/>
        <v>0</v>
      </c>
      <c r="N1049" s="43"/>
      <c r="O1049" s="339" t="e">
        <f t="shared" si="263"/>
        <v>#N/A</v>
      </c>
      <c r="P1049" s="340" t="str">
        <f>IFERROR(VLOOKUP(O1049,NCM!$A$3:$D$99,COLUMN(head_porNCM_IPI)-COLUMN(head_porNCM_NCM)+1,FALSE),"")</f>
        <v/>
      </c>
      <c r="Q1049" s="43"/>
      <c r="R1049" s="78"/>
      <c r="S1049" s="341"/>
      <c r="T1049" s="28" t="s">
        <v>53</v>
      </c>
      <c r="U1049" s="28"/>
      <c r="V1049" s="28"/>
      <c r="W1049" s="43"/>
      <c r="X1049" s="342">
        <f t="shared" si="277"/>
        <v>0</v>
      </c>
      <c r="Y1049" s="342">
        <f t="shared" si="278"/>
        <v>0</v>
      </c>
      <c r="Z1049" s="46">
        <f t="shared" si="279"/>
        <v>0</v>
      </c>
      <c r="AA1049" s="46">
        <f t="shared" si="280"/>
        <v>0</v>
      </c>
      <c r="AB1049" s="43"/>
      <c r="AC1049" s="44"/>
      <c r="AD1049" s="31"/>
      <c r="AE1049" s="31"/>
      <c r="AF1049" s="31"/>
      <c r="AG1049" s="28" t="s">
        <v>53</v>
      </c>
      <c r="AH1049" s="46">
        <f t="shared" si="268"/>
        <v>0</v>
      </c>
      <c r="AI1049" s="43"/>
      <c r="AJ1049" s="28"/>
      <c r="AK1049" s="337"/>
      <c r="AL1049" s="43"/>
      <c r="AM1049" s="44">
        <f t="shared" si="269"/>
        <v>0</v>
      </c>
      <c r="AN1049" s="43"/>
      <c r="AO1049" s="28">
        <f t="shared" si="270"/>
        <v>0</v>
      </c>
      <c r="AP1049" s="43"/>
      <c r="AQ1049" s="323">
        <f t="shared" si="271"/>
        <v>0</v>
      </c>
      <c r="AR1049" s="43"/>
      <c r="AS1049" s="44"/>
    </row>
    <row r="1050" spans="1:45" outlineLevel="1" x14ac:dyDescent="0.25">
      <c r="A1050" s="28">
        <v>43</v>
      </c>
      <c r="B1050" s="43"/>
      <c r="C1050" s="43"/>
      <c r="D1050" s="43"/>
      <c r="E1050" s="43" t="str">
        <f t="shared" si="256"/>
        <v>SAGE</v>
      </c>
      <c r="F1050" s="43" t="str">
        <f t="shared" si="257"/>
        <v>SAGE composto por: 2x painel; 2x licença SAGE; 2x driver IEC61850; 2x computador industrial (ventilação forçada, 1x SSD MLC 120GB, Intel Core i5 quad-core, 8GB DDR4); 2x monitor 21.5''; 1x KVM; 2x switch (fonte redundante, 8 FO-MM, 4 RJ45); 1x GPS (2 saídas SNTP eth).</v>
      </c>
      <c r="G1050" s="46">
        <f t="shared" si="272"/>
        <v>0</v>
      </c>
      <c r="H1050" s="46">
        <f t="shared" si="273"/>
        <v>0</v>
      </c>
      <c r="I1050" s="28"/>
      <c r="J1050" s="337"/>
      <c r="K1050" s="46" t="str">
        <f t="shared" si="274"/>
        <v/>
      </c>
      <c r="L1050" s="46" t="str">
        <f t="shared" si="275"/>
        <v/>
      </c>
      <c r="M1050" s="338">
        <f t="shared" si="276"/>
        <v>0</v>
      </c>
      <c r="N1050" s="43"/>
      <c r="O1050" s="339" t="e">
        <f t="shared" si="263"/>
        <v>#N/A</v>
      </c>
      <c r="P1050" s="340" t="str">
        <f>IFERROR(VLOOKUP(O1050,NCM!$A$3:$D$99,COLUMN(head_porNCM_IPI)-COLUMN(head_porNCM_NCM)+1,FALSE),"")</f>
        <v/>
      </c>
      <c r="Q1050" s="43"/>
      <c r="R1050" s="78"/>
      <c r="S1050" s="341"/>
      <c r="T1050" s="28" t="s">
        <v>53</v>
      </c>
      <c r="U1050" s="28"/>
      <c r="V1050" s="28"/>
      <c r="W1050" s="43"/>
      <c r="X1050" s="342">
        <f t="shared" si="277"/>
        <v>0</v>
      </c>
      <c r="Y1050" s="342">
        <f t="shared" si="278"/>
        <v>0</v>
      </c>
      <c r="Z1050" s="46">
        <f t="shared" si="279"/>
        <v>0</v>
      </c>
      <c r="AA1050" s="46">
        <f t="shared" si="280"/>
        <v>0</v>
      </c>
      <c r="AB1050" s="43"/>
      <c r="AC1050" s="44"/>
      <c r="AD1050" s="31"/>
      <c r="AE1050" s="31"/>
      <c r="AF1050" s="31"/>
      <c r="AG1050" s="28" t="s">
        <v>53</v>
      </c>
      <c r="AH1050" s="46">
        <f t="shared" si="268"/>
        <v>0</v>
      </c>
      <c r="AI1050" s="43"/>
      <c r="AJ1050" s="28"/>
      <c r="AK1050" s="337"/>
      <c r="AL1050" s="43"/>
      <c r="AM1050" s="44">
        <f t="shared" si="269"/>
        <v>0</v>
      </c>
      <c r="AN1050" s="43"/>
      <c r="AO1050" s="28">
        <f t="shared" si="270"/>
        <v>0</v>
      </c>
      <c r="AP1050" s="43"/>
      <c r="AQ1050" s="323">
        <f t="shared" si="271"/>
        <v>0</v>
      </c>
      <c r="AR1050" s="43"/>
      <c r="AS1050" s="44"/>
    </row>
    <row r="1051" spans="1:45" outlineLevel="1" x14ac:dyDescent="0.25">
      <c r="A1051" s="28">
        <v>44</v>
      </c>
      <c r="B1051" s="43"/>
      <c r="C1051" s="43"/>
      <c r="D1051" s="43"/>
      <c r="E1051" s="43" t="str">
        <f t="shared" si="256"/>
        <v>ELIPSE</v>
      </c>
      <c r="F1051" s="43" t="str">
        <f t="shared" si="257"/>
        <v>ELIPSE composto por: 1x painel; 2x licença Elipse Power HMI; 2x driver IEC61850; 2x driver IEC104; 2x driver modbus master; 2x driver DNP 3.0 master; 1x software de edição do Elipse Power; 2x computador industrial (ventilação forçada, 1x SSD MLC 120GB, Intel Core i5 quad-core, 8GB DDR4); 2x monitor 21.5''; 1x KVM; 2x switch (fonte redundante, 8 FO-MM, 4 RJ45); 1x GPS (2 saídas SNTP eth).</v>
      </c>
      <c r="G1051" s="46">
        <f t="shared" si="272"/>
        <v>0</v>
      </c>
      <c r="H1051" s="46">
        <f t="shared" si="273"/>
        <v>0</v>
      </c>
      <c r="I1051" s="28"/>
      <c r="J1051" s="337"/>
      <c r="K1051" s="46" t="str">
        <f t="shared" si="274"/>
        <v/>
      </c>
      <c r="L1051" s="46" t="str">
        <f t="shared" si="275"/>
        <v/>
      </c>
      <c r="M1051" s="338">
        <f t="shared" si="276"/>
        <v>0</v>
      </c>
      <c r="N1051" s="43"/>
      <c r="O1051" s="339" t="e">
        <f t="shared" si="263"/>
        <v>#N/A</v>
      </c>
      <c r="P1051" s="340" t="str">
        <f>IFERROR(VLOOKUP(O1051,NCM!$A$3:$D$99,COLUMN(head_porNCM_IPI)-COLUMN(head_porNCM_NCM)+1,FALSE),"")</f>
        <v/>
      </c>
      <c r="Q1051" s="43"/>
      <c r="R1051" s="78"/>
      <c r="S1051" s="341"/>
      <c r="T1051" s="28" t="s">
        <v>53</v>
      </c>
      <c r="U1051" s="28"/>
      <c r="V1051" s="28"/>
      <c r="W1051" s="43"/>
      <c r="X1051" s="342">
        <f t="shared" si="277"/>
        <v>0</v>
      </c>
      <c r="Y1051" s="342">
        <f t="shared" si="278"/>
        <v>0</v>
      </c>
      <c r="Z1051" s="46">
        <f t="shared" si="279"/>
        <v>0</v>
      </c>
      <c r="AA1051" s="46">
        <f t="shared" si="280"/>
        <v>0</v>
      </c>
      <c r="AB1051" s="43"/>
      <c r="AC1051" s="44"/>
      <c r="AD1051" s="31"/>
      <c r="AE1051" s="31"/>
      <c r="AF1051" s="31"/>
      <c r="AG1051" s="28" t="s">
        <v>53</v>
      </c>
      <c r="AH1051" s="46">
        <f t="shared" si="268"/>
        <v>0</v>
      </c>
      <c r="AI1051" s="43"/>
      <c r="AJ1051" s="28"/>
      <c r="AK1051" s="337"/>
      <c r="AL1051" s="43"/>
      <c r="AM1051" s="44">
        <f t="shared" si="269"/>
        <v>0</v>
      </c>
      <c r="AN1051" s="43"/>
      <c r="AO1051" s="28">
        <f t="shared" si="270"/>
        <v>0</v>
      </c>
      <c r="AP1051" s="43"/>
      <c r="AQ1051" s="323">
        <f t="shared" si="271"/>
        <v>0</v>
      </c>
      <c r="AR1051" s="43"/>
      <c r="AS1051" s="44"/>
    </row>
    <row r="1052" spans="1:45" outlineLevel="1" x14ac:dyDescent="0.25">
      <c r="A1052" s="28">
        <v>45</v>
      </c>
      <c r="B1052" s="43"/>
      <c r="C1052" s="43"/>
      <c r="D1052" s="43"/>
      <c r="E1052" s="43" t="str">
        <f t="shared" si="256"/>
        <v>Estação de Engenharia Oscilografia</v>
      </c>
      <c r="F1052" s="43" t="str">
        <f t="shared" si="257"/>
        <v>Estação de Engenharia Oscilografia composto por: 1x painel; 1x computador industrial (ventilação forçada, 1x SSD MLC 120GB, Intel Core i5 quad-core, 8GB DDR4); 1x monitor 21.5''; 1x software de parametrização e engenharia.</v>
      </c>
      <c r="G1052" s="46">
        <f t="shared" si="272"/>
        <v>0</v>
      </c>
      <c r="H1052" s="46">
        <f t="shared" si="273"/>
        <v>0</v>
      </c>
      <c r="I1052" s="28"/>
      <c r="J1052" s="337"/>
      <c r="K1052" s="46" t="str">
        <f t="shared" si="274"/>
        <v/>
      </c>
      <c r="L1052" s="46" t="str">
        <f t="shared" si="275"/>
        <v/>
      </c>
      <c r="M1052" s="338">
        <f t="shared" si="276"/>
        <v>0</v>
      </c>
      <c r="N1052" s="43"/>
      <c r="O1052" s="339" t="e">
        <f t="shared" si="263"/>
        <v>#N/A</v>
      </c>
      <c r="P1052" s="340" t="str">
        <f>IFERROR(VLOOKUP(O1052,NCM!$A$3:$D$99,COLUMN(head_porNCM_IPI)-COLUMN(head_porNCM_NCM)+1,FALSE),"")</f>
        <v/>
      </c>
      <c r="Q1052" s="43"/>
      <c r="R1052" s="78"/>
      <c r="S1052" s="341"/>
      <c r="T1052" s="28" t="s">
        <v>53</v>
      </c>
      <c r="U1052" s="28"/>
      <c r="V1052" s="28"/>
      <c r="W1052" s="43"/>
      <c r="X1052" s="342">
        <f t="shared" si="277"/>
        <v>0</v>
      </c>
      <c r="Y1052" s="342">
        <f t="shared" si="278"/>
        <v>0</v>
      </c>
      <c r="Z1052" s="46">
        <f t="shared" si="279"/>
        <v>0</v>
      </c>
      <c r="AA1052" s="46">
        <f t="shared" si="280"/>
        <v>0</v>
      </c>
      <c r="AB1052" s="43"/>
      <c r="AC1052" s="44"/>
      <c r="AD1052" s="31"/>
      <c r="AE1052" s="31"/>
      <c r="AF1052" s="31"/>
      <c r="AG1052" s="28" t="s">
        <v>53</v>
      </c>
      <c r="AH1052" s="46">
        <f t="shared" si="268"/>
        <v>0</v>
      </c>
      <c r="AI1052" s="43"/>
      <c r="AJ1052" s="28"/>
      <c r="AK1052" s="337"/>
      <c r="AL1052" s="43"/>
      <c r="AM1052" s="44">
        <f t="shared" si="269"/>
        <v>0</v>
      </c>
      <c r="AN1052" s="43"/>
      <c r="AO1052" s="28">
        <f t="shared" si="270"/>
        <v>0</v>
      </c>
      <c r="AP1052" s="43"/>
      <c r="AQ1052" s="323">
        <f t="shared" si="271"/>
        <v>0</v>
      </c>
      <c r="AR1052" s="43"/>
      <c r="AS1052" s="44"/>
    </row>
    <row r="1053" spans="1:45" outlineLevel="1" x14ac:dyDescent="0.25">
      <c r="A1053" s="28">
        <v>46</v>
      </c>
      <c r="B1053" s="43"/>
      <c r="C1053" s="43"/>
      <c r="D1053" s="43"/>
      <c r="E1053" s="43" t="str">
        <f t="shared" si="256"/>
        <v>Interface (c/ UAC)</v>
      </c>
      <c r="F1053" s="43" t="str">
        <f t="shared" si="257"/>
        <v>Interface (c/ UAC) composto por: 1x painel; 1x UAC (4TC/4TP/100BI/30BO).</v>
      </c>
      <c r="G1053" s="46">
        <f t="shared" si="272"/>
        <v>0</v>
      </c>
      <c r="H1053" s="46">
        <f t="shared" si="273"/>
        <v>0</v>
      </c>
      <c r="I1053" s="28"/>
      <c r="J1053" s="337"/>
      <c r="K1053" s="46" t="str">
        <f t="shared" si="274"/>
        <v/>
      </c>
      <c r="L1053" s="46" t="str">
        <f t="shared" si="275"/>
        <v/>
      </c>
      <c r="M1053" s="338">
        <f t="shared" si="276"/>
        <v>0</v>
      </c>
      <c r="N1053" s="43"/>
      <c r="O1053" s="339" t="e">
        <f t="shared" si="263"/>
        <v>#N/A</v>
      </c>
      <c r="P1053" s="340" t="str">
        <f>IFERROR(VLOOKUP(O1053,NCM!$A$3:$D$99,COLUMN(head_porNCM_IPI)-COLUMN(head_porNCM_NCM)+1,FALSE),"")</f>
        <v/>
      </c>
      <c r="Q1053" s="43"/>
      <c r="R1053" s="78"/>
      <c r="S1053" s="341"/>
      <c r="T1053" s="28" t="s">
        <v>53</v>
      </c>
      <c r="U1053" s="28"/>
      <c r="V1053" s="28"/>
      <c r="W1053" s="43"/>
      <c r="X1053" s="342">
        <f t="shared" si="277"/>
        <v>0</v>
      </c>
      <c r="Y1053" s="342">
        <f t="shared" si="278"/>
        <v>0</v>
      </c>
      <c r="Z1053" s="46">
        <f t="shared" si="279"/>
        <v>0</v>
      </c>
      <c r="AA1053" s="46">
        <f t="shared" si="280"/>
        <v>0</v>
      </c>
      <c r="AB1053" s="43"/>
      <c r="AC1053" s="44"/>
      <c r="AD1053" s="31"/>
      <c r="AE1053" s="31"/>
      <c r="AF1053" s="31"/>
      <c r="AG1053" s="28" t="s">
        <v>53</v>
      </c>
      <c r="AH1053" s="46">
        <f t="shared" si="268"/>
        <v>0</v>
      </c>
      <c r="AI1053" s="43"/>
      <c r="AJ1053" s="28"/>
      <c r="AK1053" s="337"/>
      <c r="AL1053" s="43"/>
      <c r="AM1053" s="44">
        <f t="shared" si="269"/>
        <v>0</v>
      </c>
      <c r="AN1053" s="43"/>
      <c r="AO1053" s="28">
        <f t="shared" si="270"/>
        <v>0</v>
      </c>
      <c r="AP1053" s="43"/>
      <c r="AQ1053" s="323">
        <f t="shared" si="271"/>
        <v>0</v>
      </c>
      <c r="AR1053" s="43"/>
      <c r="AS1053" s="44"/>
    </row>
    <row r="1054" spans="1:45" outlineLevel="1" x14ac:dyDescent="0.25">
      <c r="A1054" s="28">
        <v>47</v>
      </c>
      <c r="B1054" s="43"/>
      <c r="C1054" s="43"/>
      <c r="D1054" s="43"/>
      <c r="E1054" s="43" t="str">
        <f t="shared" si="256"/>
        <v>Interface (bornes)</v>
      </c>
      <c r="F1054" s="43" t="str">
        <f t="shared" si="257"/>
        <v>Interface (bornes) composto por: 1x painel.</v>
      </c>
      <c r="G1054" s="46">
        <f t="shared" si="272"/>
        <v>0</v>
      </c>
      <c r="H1054" s="46">
        <f t="shared" si="273"/>
        <v>0</v>
      </c>
      <c r="I1054" s="28"/>
      <c r="J1054" s="337"/>
      <c r="K1054" s="46" t="str">
        <f t="shared" si="274"/>
        <v/>
      </c>
      <c r="L1054" s="46" t="str">
        <f t="shared" si="275"/>
        <v/>
      </c>
      <c r="M1054" s="338">
        <f t="shared" si="276"/>
        <v>0</v>
      </c>
      <c r="N1054" s="43"/>
      <c r="O1054" s="339" t="e">
        <f t="shared" si="263"/>
        <v>#N/A</v>
      </c>
      <c r="P1054" s="340" t="str">
        <f>IFERROR(VLOOKUP(O1054,NCM!$A$3:$D$99,COLUMN(head_porNCM_IPI)-COLUMN(head_porNCM_NCM)+1,FALSE),"")</f>
        <v/>
      </c>
      <c r="Q1054" s="43"/>
      <c r="R1054" s="78"/>
      <c r="S1054" s="341"/>
      <c r="T1054" s="28" t="s">
        <v>53</v>
      </c>
      <c r="U1054" s="28"/>
      <c r="V1054" s="28"/>
      <c r="W1054" s="43"/>
      <c r="X1054" s="342">
        <f t="shared" si="277"/>
        <v>0</v>
      </c>
      <c r="Y1054" s="342">
        <f t="shared" si="278"/>
        <v>0</v>
      </c>
      <c r="Z1054" s="46">
        <f t="shared" si="279"/>
        <v>0</v>
      </c>
      <c r="AA1054" s="46">
        <f t="shared" si="280"/>
        <v>0</v>
      </c>
      <c r="AB1054" s="43"/>
      <c r="AC1054" s="44"/>
      <c r="AD1054" s="31"/>
      <c r="AE1054" s="31"/>
      <c r="AF1054" s="31"/>
      <c r="AG1054" s="28" t="s">
        <v>53</v>
      </c>
      <c r="AH1054" s="46">
        <f t="shared" si="268"/>
        <v>0</v>
      </c>
      <c r="AI1054" s="43"/>
      <c r="AJ1054" s="28"/>
      <c r="AK1054" s="337"/>
      <c r="AL1054" s="43"/>
      <c r="AM1054" s="44">
        <f t="shared" si="269"/>
        <v>0</v>
      </c>
      <c r="AN1054" s="43"/>
      <c r="AO1054" s="28">
        <f t="shared" si="270"/>
        <v>0</v>
      </c>
      <c r="AP1054" s="43"/>
      <c r="AQ1054" s="323">
        <f t="shared" si="271"/>
        <v>0</v>
      </c>
      <c r="AR1054" s="43"/>
      <c r="AS1054" s="44"/>
    </row>
    <row r="1055" spans="1:45" outlineLevel="1" x14ac:dyDescent="0.25">
      <c r="A1055" s="28">
        <v>48</v>
      </c>
      <c r="B1055" s="43"/>
      <c r="C1055" s="43"/>
      <c r="D1055" s="43"/>
      <c r="E1055" s="43" t="str">
        <f t="shared" si="256"/>
        <v>Faturamento (2 med.)</v>
      </c>
      <c r="F1055" s="43" t="str">
        <f t="shared" si="257"/>
        <v>Faturamento (2 med.) composto por: 1x painel; 2x medidor de faturamento; 1x switch não gerenciável; 1x roteador.</v>
      </c>
      <c r="G1055" s="46">
        <f t="shared" si="272"/>
        <v>0</v>
      </c>
      <c r="H1055" s="46">
        <f t="shared" si="273"/>
        <v>0</v>
      </c>
      <c r="I1055" s="28"/>
      <c r="J1055" s="337"/>
      <c r="K1055" s="46" t="str">
        <f t="shared" si="274"/>
        <v/>
      </c>
      <c r="L1055" s="46" t="str">
        <f t="shared" si="275"/>
        <v/>
      </c>
      <c r="M1055" s="338">
        <f t="shared" si="276"/>
        <v>0</v>
      </c>
      <c r="N1055" s="43"/>
      <c r="O1055" s="339" t="e">
        <f t="shared" si="263"/>
        <v>#N/A</v>
      </c>
      <c r="P1055" s="340" t="str">
        <f>IFERROR(VLOOKUP(O1055,NCM!$A$3:$D$99,COLUMN(head_porNCM_IPI)-COLUMN(head_porNCM_NCM)+1,FALSE),"")</f>
        <v/>
      </c>
      <c r="Q1055" s="43"/>
      <c r="R1055" s="78"/>
      <c r="S1055" s="341"/>
      <c r="T1055" s="28" t="s">
        <v>53</v>
      </c>
      <c r="U1055" s="28"/>
      <c r="V1055" s="28"/>
      <c r="W1055" s="43"/>
      <c r="X1055" s="342">
        <f t="shared" si="277"/>
        <v>0</v>
      </c>
      <c r="Y1055" s="342">
        <f t="shared" si="278"/>
        <v>0</v>
      </c>
      <c r="Z1055" s="46">
        <f t="shared" si="279"/>
        <v>0</v>
      </c>
      <c r="AA1055" s="46">
        <f t="shared" si="280"/>
        <v>0</v>
      </c>
      <c r="AB1055" s="43"/>
      <c r="AC1055" s="44"/>
      <c r="AD1055" s="31"/>
      <c r="AE1055" s="31"/>
      <c r="AF1055" s="31"/>
      <c r="AG1055" s="28" t="s">
        <v>53</v>
      </c>
      <c r="AH1055" s="46">
        <f t="shared" si="268"/>
        <v>0</v>
      </c>
      <c r="AI1055" s="43"/>
      <c r="AJ1055" s="28"/>
      <c r="AK1055" s="337"/>
      <c r="AL1055" s="43"/>
      <c r="AM1055" s="44">
        <f t="shared" si="269"/>
        <v>0</v>
      </c>
      <c r="AN1055" s="43"/>
      <c r="AO1055" s="28">
        <f t="shared" si="270"/>
        <v>0</v>
      </c>
      <c r="AP1055" s="43"/>
      <c r="AQ1055" s="323">
        <f t="shared" si="271"/>
        <v>0</v>
      </c>
      <c r="AR1055" s="43"/>
      <c r="AS1055" s="44"/>
    </row>
    <row r="1056" spans="1:45" outlineLevel="1" x14ac:dyDescent="0.25">
      <c r="A1056" s="28">
        <v>49</v>
      </c>
      <c r="B1056" s="43"/>
      <c r="C1056" s="43"/>
      <c r="D1056" s="43"/>
      <c r="E1056" s="43" t="str">
        <f t="shared" si="256"/>
        <v>Faturamento (4 med.)</v>
      </c>
      <c r="F1056" s="43" t="str">
        <f t="shared" si="257"/>
        <v>Faturamento (4 med.) composto por: 1x painel; 4x medidor de faturamento; 1x switch não gerenciável; 1x roteador.</v>
      </c>
      <c r="G1056" s="46">
        <f t="shared" si="272"/>
        <v>0</v>
      </c>
      <c r="H1056" s="46">
        <f t="shared" si="273"/>
        <v>0</v>
      </c>
      <c r="I1056" s="28"/>
      <c r="J1056" s="337"/>
      <c r="K1056" s="46" t="str">
        <f t="shared" si="274"/>
        <v/>
      </c>
      <c r="L1056" s="46" t="str">
        <f t="shared" si="275"/>
        <v/>
      </c>
      <c r="M1056" s="338">
        <f t="shared" si="276"/>
        <v>0</v>
      </c>
      <c r="N1056" s="43"/>
      <c r="O1056" s="339" t="e">
        <f t="shared" si="263"/>
        <v>#N/A</v>
      </c>
      <c r="P1056" s="340" t="str">
        <f>IFERROR(VLOOKUP(O1056,NCM!$A$3:$D$99,COLUMN(head_porNCM_IPI)-COLUMN(head_porNCM_NCM)+1,FALSE),"")</f>
        <v/>
      </c>
      <c r="Q1056" s="43"/>
      <c r="R1056" s="78"/>
      <c r="S1056" s="341"/>
      <c r="T1056" s="28" t="s">
        <v>53</v>
      </c>
      <c r="U1056" s="28"/>
      <c r="V1056" s="28"/>
      <c r="W1056" s="43"/>
      <c r="X1056" s="342">
        <f t="shared" si="277"/>
        <v>0</v>
      </c>
      <c r="Y1056" s="342">
        <f t="shared" si="278"/>
        <v>0</v>
      </c>
      <c r="Z1056" s="46">
        <f t="shared" si="279"/>
        <v>0</v>
      </c>
      <c r="AA1056" s="46">
        <f t="shared" si="280"/>
        <v>0</v>
      </c>
      <c r="AB1056" s="43"/>
      <c r="AC1056" s="44"/>
      <c r="AD1056" s="31"/>
      <c r="AE1056" s="31"/>
      <c r="AF1056" s="31"/>
      <c r="AG1056" s="28" t="s">
        <v>53</v>
      </c>
      <c r="AH1056" s="46">
        <f t="shared" si="268"/>
        <v>0</v>
      </c>
      <c r="AI1056" s="43"/>
      <c r="AJ1056" s="28"/>
      <c r="AK1056" s="337"/>
      <c r="AL1056" s="43"/>
      <c r="AM1056" s="44">
        <f t="shared" si="269"/>
        <v>0</v>
      </c>
      <c r="AN1056" s="43"/>
      <c r="AO1056" s="28">
        <f t="shared" si="270"/>
        <v>0</v>
      </c>
      <c r="AP1056" s="43"/>
      <c r="AQ1056" s="323">
        <f t="shared" si="271"/>
        <v>0</v>
      </c>
      <c r="AR1056" s="43"/>
      <c r="AS1056" s="44"/>
    </row>
    <row r="1057" spans="1:45" outlineLevel="1" x14ac:dyDescent="0.25">
      <c r="A1057" s="28">
        <v>50</v>
      </c>
      <c r="B1057" s="43"/>
      <c r="C1057" s="43"/>
      <c r="D1057" s="43"/>
      <c r="E1057" s="43" t="str">
        <f t="shared" si="256"/>
        <v>Faturamento (6 med.)</v>
      </c>
      <c r="F1057" s="43" t="str">
        <f t="shared" si="257"/>
        <v>Faturamento (6 med.) composto por: 1x painel; 6x medidor de faturamento; 1x switch não gerenciável; 1x roteador.</v>
      </c>
      <c r="G1057" s="46">
        <f t="shared" si="272"/>
        <v>0</v>
      </c>
      <c r="H1057" s="46">
        <f t="shared" si="273"/>
        <v>0</v>
      </c>
      <c r="I1057" s="28"/>
      <c r="J1057" s="337"/>
      <c r="K1057" s="46" t="str">
        <f t="shared" si="274"/>
        <v/>
      </c>
      <c r="L1057" s="46" t="str">
        <f t="shared" si="275"/>
        <v/>
      </c>
      <c r="M1057" s="338">
        <f t="shared" si="276"/>
        <v>0</v>
      </c>
      <c r="N1057" s="43"/>
      <c r="O1057" s="339" t="e">
        <f t="shared" si="263"/>
        <v>#N/A</v>
      </c>
      <c r="P1057" s="340" t="str">
        <f>IFERROR(VLOOKUP(O1057,NCM!$A$3:$D$99,COLUMN(head_porNCM_IPI)-COLUMN(head_porNCM_NCM)+1,FALSE),"")</f>
        <v/>
      </c>
      <c r="Q1057" s="43"/>
      <c r="R1057" s="78"/>
      <c r="S1057" s="341"/>
      <c r="T1057" s="28" t="s">
        <v>53</v>
      </c>
      <c r="U1057" s="28"/>
      <c r="V1057" s="28"/>
      <c r="W1057" s="43"/>
      <c r="X1057" s="342">
        <f t="shared" si="277"/>
        <v>0</v>
      </c>
      <c r="Y1057" s="342">
        <f t="shared" si="278"/>
        <v>0</v>
      </c>
      <c r="Z1057" s="46">
        <f t="shared" si="279"/>
        <v>0</v>
      </c>
      <c r="AA1057" s="46">
        <f t="shared" si="280"/>
        <v>0</v>
      </c>
      <c r="AB1057" s="43"/>
      <c r="AC1057" s="44"/>
      <c r="AD1057" s="31"/>
      <c r="AE1057" s="31"/>
      <c r="AF1057" s="31"/>
      <c r="AG1057" s="28" t="s">
        <v>53</v>
      </c>
      <c r="AH1057" s="46">
        <f t="shared" si="268"/>
        <v>0</v>
      </c>
      <c r="AI1057" s="43"/>
      <c r="AJ1057" s="28"/>
      <c r="AK1057" s="337"/>
      <c r="AL1057" s="43"/>
      <c r="AM1057" s="44">
        <f t="shared" si="269"/>
        <v>0</v>
      </c>
      <c r="AN1057" s="43"/>
      <c r="AO1057" s="28">
        <f t="shared" si="270"/>
        <v>0</v>
      </c>
      <c r="AP1057" s="43"/>
      <c r="AQ1057" s="323">
        <f t="shared" si="271"/>
        <v>0</v>
      </c>
      <c r="AR1057" s="43"/>
      <c r="AS1057" s="44"/>
    </row>
    <row r="1058" spans="1:45" outlineLevel="1" x14ac:dyDescent="0.25">
      <c r="A1058" s="28">
        <v>51</v>
      </c>
      <c r="B1058" s="43"/>
      <c r="C1058" s="43"/>
      <c r="D1058" s="43"/>
      <c r="E1058" s="43" t="str">
        <f t="shared" si="256"/>
        <v>Faturamento (8 med.)</v>
      </c>
      <c r="F1058" s="43" t="str">
        <f t="shared" si="257"/>
        <v>Faturamento (8 med.) composto por: 1x painel; 8x medidor de faturamento; 1x switch não gerenciável; 1x roteador.</v>
      </c>
      <c r="G1058" s="46">
        <f t="shared" si="272"/>
        <v>0</v>
      </c>
      <c r="H1058" s="46">
        <f t="shared" si="273"/>
        <v>0</v>
      </c>
      <c r="I1058" s="28"/>
      <c r="J1058" s="337"/>
      <c r="K1058" s="46" t="str">
        <f t="shared" si="274"/>
        <v/>
      </c>
      <c r="L1058" s="46" t="str">
        <f t="shared" si="275"/>
        <v/>
      </c>
      <c r="M1058" s="338">
        <f t="shared" si="276"/>
        <v>0</v>
      </c>
      <c r="N1058" s="43"/>
      <c r="O1058" s="339" t="e">
        <f t="shared" si="263"/>
        <v>#N/A</v>
      </c>
      <c r="P1058" s="340" t="str">
        <f>IFERROR(VLOOKUP(O1058,NCM!$A$3:$D$99,COLUMN(head_porNCM_IPI)-COLUMN(head_porNCM_NCM)+1,FALSE),"")</f>
        <v/>
      </c>
      <c r="Q1058" s="43"/>
      <c r="R1058" s="78"/>
      <c r="S1058" s="341"/>
      <c r="T1058" s="28" t="s">
        <v>53</v>
      </c>
      <c r="U1058" s="28"/>
      <c r="V1058" s="28"/>
      <c r="W1058" s="43"/>
      <c r="X1058" s="342">
        <f t="shared" si="277"/>
        <v>0</v>
      </c>
      <c r="Y1058" s="342">
        <f t="shared" si="278"/>
        <v>0</v>
      </c>
      <c r="Z1058" s="46">
        <f t="shared" si="279"/>
        <v>0</v>
      </c>
      <c r="AA1058" s="46">
        <f t="shared" si="280"/>
        <v>0</v>
      </c>
      <c r="AB1058" s="43"/>
      <c r="AC1058" s="44"/>
      <c r="AD1058" s="31"/>
      <c r="AE1058" s="31"/>
      <c r="AF1058" s="31"/>
      <c r="AG1058" s="28" t="s">
        <v>53</v>
      </c>
      <c r="AH1058" s="46">
        <f t="shared" si="268"/>
        <v>0</v>
      </c>
      <c r="AI1058" s="43"/>
      <c r="AJ1058" s="28"/>
      <c r="AK1058" s="337"/>
      <c r="AL1058" s="43"/>
      <c r="AM1058" s="44">
        <f t="shared" si="269"/>
        <v>0</v>
      </c>
      <c r="AN1058" s="43"/>
      <c r="AO1058" s="28">
        <f t="shared" si="270"/>
        <v>0</v>
      </c>
      <c r="AP1058" s="43"/>
      <c r="AQ1058" s="323">
        <f t="shared" si="271"/>
        <v>0</v>
      </c>
      <c r="AR1058" s="43"/>
      <c r="AS1058" s="44"/>
    </row>
    <row r="1059" spans="1:45" outlineLevel="1" x14ac:dyDescent="0.25">
      <c r="A1059" s="28">
        <v>52</v>
      </c>
      <c r="B1059" s="43"/>
      <c r="C1059" s="43"/>
      <c r="D1059" s="43"/>
      <c r="E1059" s="43" t="str">
        <f t="shared" si="256"/>
        <v>Alimentador MT</v>
      </c>
      <c r="F1059" s="43" t="str">
        <f t="shared" si="257"/>
        <v>Alimentador MT composto por: 1x relé de sobrecorrente (4TC/4TP/20BI/10BO).</v>
      </c>
      <c r="G1059" s="46">
        <f t="shared" si="272"/>
        <v>0</v>
      </c>
      <c r="H1059" s="46">
        <f t="shared" si="273"/>
        <v>0</v>
      </c>
      <c r="I1059" s="28"/>
      <c r="J1059" s="337"/>
      <c r="K1059" s="46" t="str">
        <f t="shared" si="274"/>
        <v/>
      </c>
      <c r="L1059" s="46" t="str">
        <f t="shared" si="275"/>
        <v/>
      </c>
      <c r="M1059" s="338">
        <f t="shared" si="276"/>
        <v>0</v>
      </c>
      <c r="N1059" s="43"/>
      <c r="O1059" s="339" t="e">
        <f t="shared" si="263"/>
        <v>#N/A</v>
      </c>
      <c r="P1059" s="340" t="str">
        <f>IFERROR(VLOOKUP(O1059,NCM!$A$3:$D$99,COLUMN(head_porNCM_IPI)-COLUMN(head_porNCM_NCM)+1,FALSE),"")</f>
        <v/>
      </c>
      <c r="Q1059" s="43"/>
      <c r="R1059" s="78"/>
      <c r="S1059" s="341"/>
      <c r="T1059" s="28" t="s">
        <v>53</v>
      </c>
      <c r="U1059" s="28"/>
      <c r="V1059" s="28"/>
      <c r="W1059" s="43"/>
      <c r="X1059" s="342">
        <f t="shared" si="277"/>
        <v>0</v>
      </c>
      <c r="Y1059" s="342">
        <f t="shared" si="278"/>
        <v>0</v>
      </c>
      <c r="Z1059" s="46">
        <f t="shared" si="279"/>
        <v>0</v>
      </c>
      <c r="AA1059" s="46">
        <f t="shared" si="280"/>
        <v>0</v>
      </c>
      <c r="AB1059" s="43"/>
      <c r="AC1059" s="44"/>
      <c r="AD1059" s="31"/>
      <c r="AE1059" s="31"/>
      <c r="AF1059" s="31"/>
      <c r="AG1059" s="28" t="s">
        <v>53</v>
      </c>
      <c r="AH1059" s="46">
        <f t="shared" si="268"/>
        <v>0</v>
      </c>
      <c r="AI1059" s="43"/>
      <c r="AJ1059" s="28"/>
      <c r="AK1059" s="337"/>
      <c r="AL1059" s="43"/>
      <c r="AM1059" s="44">
        <f t="shared" si="269"/>
        <v>0</v>
      </c>
      <c r="AN1059" s="43"/>
      <c r="AO1059" s="28">
        <f t="shared" si="270"/>
        <v>0</v>
      </c>
      <c r="AP1059" s="43"/>
      <c r="AQ1059" s="323">
        <f t="shared" si="271"/>
        <v>0</v>
      </c>
      <c r="AR1059" s="43"/>
      <c r="AS1059" s="44"/>
    </row>
    <row r="1060" spans="1:45" outlineLevel="1" x14ac:dyDescent="0.25">
      <c r="A1060" s="28">
        <v>53</v>
      </c>
      <c r="B1060" s="43"/>
      <c r="C1060" s="43"/>
      <c r="D1060" s="43"/>
      <c r="E1060" s="43" t="str">
        <f t="shared" si="256"/>
        <v>Serviço Auxiliar CA</v>
      </c>
      <c r="F1060" s="43" t="str">
        <f t="shared" si="257"/>
        <v>Serviço Auxiliar CA composto por: 1x painel de serviços auxiliares 220/127 VCA.</v>
      </c>
      <c r="G1060" s="46">
        <f t="shared" si="272"/>
        <v>0</v>
      </c>
      <c r="H1060" s="46">
        <f t="shared" si="273"/>
        <v>0</v>
      </c>
      <c r="I1060" s="28"/>
      <c r="J1060" s="337"/>
      <c r="K1060" s="46" t="str">
        <f t="shared" si="274"/>
        <v/>
      </c>
      <c r="L1060" s="46" t="str">
        <f t="shared" si="275"/>
        <v/>
      </c>
      <c r="M1060" s="338">
        <f t="shared" si="276"/>
        <v>0</v>
      </c>
      <c r="N1060" s="43"/>
      <c r="O1060" s="339" t="e">
        <f t="shared" si="263"/>
        <v>#N/A</v>
      </c>
      <c r="P1060" s="340" t="str">
        <f>IFERROR(VLOOKUP(O1060,NCM!$A$3:$D$99,COLUMN(head_porNCM_IPI)-COLUMN(head_porNCM_NCM)+1,FALSE),"")</f>
        <v/>
      </c>
      <c r="Q1060" s="43"/>
      <c r="R1060" s="78"/>
      <c r="S1060" s="341"/>
      <c r="T1060" s="28" t="s">
        <v>53</v>
      </c>
      <c r="U1060" s="28"/>
      <c r="V1060" s="28"/>
      <c r="W1060" s="43"/>
      <c r="X1060" s="342">
        <f t="shared" si="277"/>
        <v>0</v>
      </c>
      <c r="Y1060" s="342">
        <f t="shared" si="278"/>
        <v>0</v>
      </c>
      <c r="Z1060" s="46">
        <f t="shared" si="279"/>
        <v>0</v>
      </c>
      <c r="AA1060" s="46">
        <f t="shared" si="280"/>
        <v>0</v>
      </c>
      <c r="AB1060" s="43"/>
      <c r="AC1060" s="44"/>
      <c r="AD1060" s="31"/>
      <c r="AE1060" s="31"/>
      <c r="AF1060" s="31"/>
      <c r="AG1060" s="28" t="s">
        <v>53</v>
      </c>
      <c r="AH1060" s="46">
        <f t="shared" si="268"/>
        <v>0</v>
      </c>
      <c r="AI1060" s="43"/>
      <c r="AJ1060" s="28"/>
      <c r="AK1060" s="337"/>
      <c r="AL1060" s="43"/>
      <c r="AM1060" s="44">
        <f t="shared" si="269"/>
        <v>0</v>
      </c>
      <c r="AN1060" s="43"/>
      <c r="AO1060" s="28">
        <f t="shared" si="270"/>
        <v>0</v>
      </c>
      <c r="AP1060" s="43"/>
      <c r="AQ1060" s="323">
        <f t="shared" si="271"/>
        <v>0</v>
      </c>
      <c r="AR1060" s="43"/>
      <c r="AS1060" s="44"/>
    </row>
    <row r="1061" spans="1:45" outlineLevel="1" x14ac:dyDescent="0.25">
      <c r="A1061" s="28">
        <v>54</v>
      </c>
      <c r="B1061" s="43"/>
      <c r="C1061" s="43"/>
      <c r="D1061" s="43"/>
      <c r="E1061" s="43" t="str">
        <f t="shared" si="256"/>
        <v>Serviço Auxiliar CC</v>
      </c>
      <c r="F1061" s="43" t="str">
        <f t="shared" si="257"/>
        <v>Serviço Auxiliar CC composto por: 1x painel de serviços auxiliares 125 VCC.</v>
      </c>
      <c r="G1061" s="46">
        <f t="shared" si="272"/>
        <v>0</v>
      </c>
      <c r="H1061" s="46">
        <f t="shared" si="273"/>
        <v>0</v>
      </c>
      <c r="I1061" s="28"/>
      <c r="J1061" s="337"/>
      <c r="K1061" s="46" t="str">
        <f t="shared" si="274"/>
        <v/>
      </c>
      <c r="L1061" s="46" t="str">
        <f t="shared" si="275"/>
        <v/>
      </c>
      <c r="M1061" s="338">
        <f t="shared" si="276"/>
        <v>0</v>
      </c>
      <c r="N1061" s="43"/>
      <c r="O1061" s="339" t="e">
        <f t="shared" si="263"/>
        <v>#N/A</v>
      </c>
      <c r="P1061" s="340" t="str">
        <f>IFERROR(VLOOKUP(O1061,NCM!$A$3:$D$99,COLUMN(head_porNCM_IPI)-COLUMN(head_porNCM_NCM)+1,FALSE),"")</f>
        <v/>
      </c>
      <c r="Q1061" s="43"/>
      <c r="R1061" s="78"/>
      <c r="S1061" s="341"/>
      <c r="T1061" s="28" t="s">
        <v>53</v>
      </c>
      <c r="U1061" s="28"/>
      <c r="V1061" s="28"/>
      <c r="W1061" s="43"/>
      <c r="X1061" s="342">
        <f t="shared" si="277"/>
        <v>0</v>
      </c>
      <c r="Y1061" s="342">
        <f t="shared" si="278"/>
        <v>0</v>
      </c>
      <c r="Z1061" s="46">
        <f t="shared" si="279"/>
        <v>0</v>
      </c>
      <c r="AA1061" s="46">
        <f t="shared" si="280"/>
        <v>0</v>
      </c>
      <c r="AB1061" s="43"/>
      <c r="AC1061" s="44"/>
      <c r="AD1061" s="31"/>
      <c r="AE1061" s="31"/>
      <c r="AF1061" s="31"/>
      <c r="AG1061" s="28" t="s">
        <v>53</v>
      </c>
      <c r="AH1061" s="46">
        <f t="shared" si="268"/>
        <v>0</v>
      </c>
      <c r="AI1061" s="43"/>
      <c r="AJ1061" s="28"/>
      <c r="AK1061" s="337"/>
      <c r="AL1061" s="43"/>
      <c r="AM1061" s="44">
        <f t="shared" si="269"/>
        <v>0</v>
      </c>
      <c r="AN1061" s="43"/>
      <c r="AO1061" s="28">
        <f t="shared" si="270"/>
        <v>0</v>
      </c>
      <c r="AP1061" s="43"/>
      <c r="AQ1061" s="323">
        <f t="shared" si="271"/>
        <v>0</v>
      </c>
      <c r="AR1061" s="43"/>
      <c r="AS1061" s="44"/>
    </row>
    <row r="1062" spans="1:45" outlineLevel="1" x14ac:dyDescent="0.25">
      <c r="A1062" s="28">
        <v>55</v>
      </c>
      <c r="B1062" s="43"/>
      <c r="C1062" s="43"/>
      <c r="D1062" s="43"/>
      <c r="E1062" s="43" t="str">
        <f t="shared" si="256"/>
        <v>Padrão 55</v>
      </c>
      <c r="F1062" s="43" t="str">
        <f t="shared" si="257"/>
        <v>Vazio</v>
      </c>
      <c r="G1062" s="46">
        <f t="shared" si="272"/>
        <v>0</v>
      </c>
      <c r="H1062" s="46">
        <f t="shared" si="273"/>
        <v>0</v>
      </c>
      <c r="I1062" s="28"/>
      <c r="J1062" s="337"/>
      <c r="K1062" s="46" t="str">
        <f t="shared" si="274"/>
        <v/>
      </c>
      <c r="L1062" s="46" t="str">
        <f t="shared" si="275"/>
        <v/>
      </c>
      <c r="M1062" s="338">
        <f t="shared" si="276"/>
        <v>0</v>
      </c>
      <c r="N1062" s="43"/>
      <c r="O1062" s="339" t="e">
        <f t="shared" si="263"/>
        <v>#N/A</v>
      </c>
      <c r="P1062" s="340" t="str">
        <f>IFERROR(VLOOKUP(O1062,NCM!$A$3:$D$99,COLUMN(head_porNCM_IPI)-COLUMN(head_porNCM_NCM)+1,FALSE),"")</f>
        <v/>
      </c>
      <c r="Q1062" s="43"/>
      <c r="R1062" s="78"/>
      <c r="S1062" s="341"/>
      <c r="T1062" s="28" t="s">
        <v>53</v>
      </c>
      <c r="U1062" s="28"/>
      <c r="V1062" s="28"/>
      <c r="W1062" s="43"/>
      <c r="X1062" s="342">
        <f t="shared" si="277"/>
        <v>0</v>
      </c>
      <c r="Y1062" s="342">
        <f t="shared" si="278"/>
        <v>0</v>
      </c>
      <c r="Z1062" s="46">
        <f t="shared" si="279"/>
        <v>0</v>
      </c>
      <c r="AA1062" s="46">
        <f t="shared" si="280"/>
        <v>0</v>
      </c>
      <c r="AB1062" s="43"/>
      <c r="AC1062" s="44"/>
      <c r="AD1062" s="31"/>
      <c r="AE1062" s="31"/>
      <c r="AF1062" s="31"/>
      <c r="AG1062" s="28" t="s">
        <v>53</v>
      </c>
      <c r="AH1062" s="46">
        <f t="shared" si="268"/>
        <v>0</v>
      </c>
      <c r="AI1062" s="43"/>
      <c r="AJ1062" s="28"/>
      <c r="AK1062" s="337"/>
      <c r="AL1062" s="43"/>
      <c r="AM1062" s="44">
        <f t="shared" si="269"/>
        <v>0</v>
      </c>
      <c r="AN1062" s="43"/>
      <c r="AO1062" s="28">
        <f t="shared" si="270"/>
        <v>0</v>
      </c>
      <c r="AP1062" s="43"/>
      <c r="AQ1062" s="323">
        <f t="shared" si="271"/>
        <v>0</v>
      </c>
      <c r="AR1062" s="43"/>
      <c r="AS1062" s="44"/>
    </row>
    <row r="1063" spans="1:45" outlineLevel="1" x14ac:dyDescent="0.25">
      <c r="A1063" s="28">
        <v>56</v>
      </c>
      <c r="B1063" s="43"/>
      <c r="C1063" s="43"/>
      <c r="D1063" s="43"/>
      <c r="E1063" s="43" t="str">
        <f t="shared" si="256"/>
        <v>Padrão 56</v>
      </c>
      <c r="F1063" s="43" t="str">
        <f t="shared" si="257"/>
        <v>Vazio</v>
      </c>
      <c r="G1063" s="46">
        <f t="shared" si="272"/>
        <v>0</v>
      </c>
      <c r="H1063" s="46">
        <f t="shared" si="273"/>
        <v>0</v>
      </c>
      <c r="I1063" s="28"/>
      <c r="J1063" s="337"/>
      <c r="K1063" s="46" t="str">
        <f t="shared" si="274"/>
        <v/>
      </c>
      <c r="L1063" s="46" t="str">
        <f t="shared" si="275"/>
        <v/>
      </c>
      <c r="M1063" s="338">
        <f t="shared" si="276"/>
        <v>0</v>
      </c>
      <c r="N1063" s="43"/>
      <c r="O1063" s="339" t="e">
        <f t="shared" si="263"/>
        <v>#N/A</v>
      </c>
      <c r="P1063" s="340" t="str">
        <f>IFERROR(VLOOKUP(O1063,NCM!$A$3:$D$99,COLUMN(head_porNCM_IPI)-COLUMN(head_porNCM_NCM)+1,FALSE),"")</f>
        <v/>
      </c>
      <c r="Q1063" s="43"/>
      <c r="R1063" s="78"/>
      <c r="S1063" s="341"/>
      <c r="T1063" s="28" t="s">
        <v>53</v>
      </c>
      <c r="U1063" s="28"/>
      <c r="V1063" s="28"/>
      <c r="W1063" s="43"/>
      <c r="X1063" s="342">
        <f t="shared" si="277"/>
        <v>0</v>
      </c>
      <c r="Y1063" s="342">
        <f t="shared" si="278"/>
        <v>0</v>
      </c>
      <c r="Z1063" s="46">
        <f t="shared" si="279"/>
        <v>0</v>
      </c>
      <c r="AA1063" s="46">
        <f t="shared" si="280"/>
        <v>0</v>
      </c>
      <c r="AB1063" s="43"/>
      <c r="AC1063" s="44"/>
      <c r="AD1063" s="31"/>
      <c r="AE1063" s="31"/>
      <c r="AF1063" s="31"/>
      <c r="AG1063" s="28" t="s">
        <v>53</v>
      </c>
      <c r="AH1063" s="46">
        <f t="shared" si="268"/>
        <v>0</v>
      </c>
      <c r="AI1063" s="43"/>
      <c r="AJ1063" s="28"/>
      <c r="AK1063" s="337"/>
      <c r="AL1063" s="43"/>
      <c r="AM1063" s="44">
        <f t="shared" si="269"/>
        <v>0</v>
      </c>
      <c r="AN1063" s="43"/>
      <c r="AO1063" s="28">
        <f t="shared" si="270"/>
        <v>0</v>
      </c>
      <c r="AP1063" s="43"/>
      <c r="AQ1063" s="323">
        <f t="shared" si="271"/>
        <v>0</v>
      </c>
      <c r="AR1063" s="43"/>
      <c r="AS1063" s="44"/>
    </row>
    <row r="1064" spans="1:45" outlineLevel="1" x14ac:dyDescent="0.25">
      <c r="A1064" s="28">
        <v>57</v>
      </c>
      <c r="B1064" s="43"/>
      <c r="C1064" s="43"/>
      <c r="D1064" s="43"/>
      <c r="E1064" s="43" t="str">
        <f t="shared" si="256"/>
        <v>Padrão 57</v>
      </c>
      <c r="F1064" s="43" t="str">
        <f t="shared" si="257"/>
        <v>Vazio</v>
      </c>
      <c r="G1064" s="46">
        <f t="shared" si="272"/>
        <v>0</v>
      </c>
      <c r="H1064" s="46">
        <f t="shared" si="273"/>
        <v>0</v>
      </c>
      <c r="I1064" s="28"/>
      <c r="J1064" s="337"/>
      <c r="K1064" s="46" t="str">
        <f t="shared" si="274"/>
        <v/>
      </c>
      <c r="L1064" s="46" t="str">
        <f t="shared" si="275"/>
        <v/>
      </c>
      <c r="M1064" s="338">
        <f t="shared" si="276"/>
        <v>0</v>
      </c>
      <c r="N1064" s="43"/>
      <c r="O1064" s="339" t="e">
        <f t="shared" si="263"/>
        <v>#N/A</v>
      </c>
      <c r="P1064" s="340" t="str">
        <f>IFERROR(VLOOKUP(O1064,NCM!$A$3:$D$99,COLUMN(head_porNCM_IPI)-COLUMN(head_porNCM_NCM)+1,FALSE),"")</f>
        <v/>
      </c>
      <c r="Q1064" s="43"/>
      <c r="R1064" s="78"/>
      <c r="S1064" s="341"/>
      <c r="T1064" s="28" t="s">
        <v>53</v>
      </c>
      <c r="U1064" s="28"/>
      <c r="V1064" s="28"/>
      <c r="W1064" s="43"/>
      <c r="X1064" s="342">
        <f t="shared" si="277"/>
        <v>0</v>
      </c>
      <c r="Y1064" s="342">
        <f t="shared" si="278"/>
        <v>0</v>
      </c>
      <c r="Z1064" s="46">
        <f t="shared" si="279"/>
        <v>0</v>
      </c>
      <c r="AA1064" s="46">
        <f t="shared" si="280"/>
        <v>0</v>
      </c>
      <c r="AB1064" s="43"/>
      <c r="AC1064" s="44"/>
      <c r="AD1064" s="31"/>
      <c r="AE1064" s="31"/>
      <c r="AF1064" s="31"/>
      <c r="AG1064" s="28" t="s">
        <v>53</v>
      </c>
      <c r="AH1064" s="46">
        <f t="shared" si="268"/>
        <v>0</v>
      </c>
      <c r="AI1064" s="43"/>
      <c r="AJ1064" s="28"/>
      <c r="AK1064" s="337"/>
      <c r="AL1064" s="43"/>
      <c r="AM1064" s="44">
        <f t="shared" si="269"/>
        <v>0</v>
      </c>
      <c r="AN1064" s="43"/>
      <c r="AO1064" s="28">
        <f t="shared" si="270"/>
        <v>0</v>
      </c>
      <c r="AP1064" s="43"/>
      <c r="AQ1064" s="323">
        <f t="shared" si="271"/>
        <v>0</v>
      </c>
      <c r="AR1064" s="43"/>
      <c r="AS1064" s="44"/>
    </row>
    <row r="1065" spans="1:45" outlineLevel="1" x14ac:dyDescent="0.25">
      <c r="A1065" s="28">
        <v>58</v>
      </c>
      <c r="B1065" s="43"/>
      <c r="C1065" s="43"/>
      <c r="D1065" s="43"/>
      <c r="E1065" s="43" t="str">
        <f t="shared" si="256"/>
        <v>Padrão 58</v>
      </c>
      <c r="F1065" s="43" t="str">
        <f t="shared" si="257"/>
        <v>Vazio</v>
      </c>
      <c r="G1065" s="46">
        <f t="shared" si="272"/>
        <v>0</v>
      </c>
      <c r="H1065" s="46">
        <f t="shared" si="273"/>
        <v>0</v>
      </c>
      <c r="I1065" s="28"/>
      <c r="J1065" s="337"/>
      <c r="K1065" s="46" t="str">
        <f t="shared" si="274"/>
        <v/>
      </c>
      <c r="L1065" s="46" t="str">
        <f t="shared" si="275"/>
        <v/>
      </c>
      <c r="M1065" s="338">
        <f t="shared" si="276"/>
        <v>0</v>
      </c>
      <c r="N1065" s="43"/>
      <c r="O1065" s="339" t="e">
        <f t="shared" si="263"/>
        <v>#N/A</v>
      </c>
      <c r="P1065" s="340" t="str">
        <f>IFERROR(VLOOKUP(O1065,NCM!$A$3:$D$99,COLUMN(head_porNCM_IPI)-COLUMN(head_porNCM_NCM)+1,FALSE),"")</f>
        <v/>
      </c>
      <c r="Q1065" s="43"/>
      <c r="R1065" s="78"/>
      <c r="S1065" s="341"/>
      <c r="T1065" s="28" t="s">
        <v>53</v>
      </c>
      <c r="U1065" s="28"/>
      <c r="V1065" s="28"/>
      <c r="W1065" s="43"/>
      <c r="X1065" s="342">
        <f t="shared" si="277"/>
        <v>0</v>
      </c>
      <c r="Y1065" s="342">
        <f t="shared" si="278"/>
        <v>0</v>
      </c>
      <c r="Z1065" s="46">
        <f t="shared" si="279"/>
        <v>0</v>
      </c>
      <c r="AA1065" s="46">
        <f t="shared" si="280"/>
        <v>0</v>
      </c>
      <c r="AB1065" s="43"/>
      <c r="AC1065" s="44"/>
      <c r="AD1065" s="31"/>
      <c r="AE1065" s="31"/>
      <c r="AF1065" s="31"/>
      <c r="AG1065" s="28" t="s">
        <v>53</v>
      </c>
      <c r="AH1065" s="46">
        <f t="shared" si="268"/>
        <v>0</v>
      </c>
      <c r="AI1065" s="43"/>
      <c r="AJ1065" s="28"/>
      <c r="AK1065" s="337"/>
      <c r="AL1065" s="43"/>
      <c r="AM1065" s="44">
        <f t="shared" si="269"/>
        <v>0</v>
      </c>
      <c r="AN1065" s="43"/>
      <c r="AO1065" s="28">
        <f t="shared" si="270"/>
        <v>0</v>
      </c>
      <c r="AP1065" s="43"/>
      <c r="AQ1065" s="323">
        <f t="shared" si="271"/>
        <v>0</v>
      </c>
      <c r="AR1065" s="43"/>
      <c r="AS1065" s="44"/>
    </row>
    <row r="1066" spans="1:45" outlineLevel="1" x14ac:dyDescent="0.25">
      <c r="A1066" s="28">
        <v>59</v>
      </c>
      <c r="B1066" s="43"/>
      <c r="C1066" s="43"/>
      <c r="D1066" s="43"/>
      <c r="E1066" s="43" t="str">
        <f t="shared" si="256"/>
        <v>Padrão 59</v>
      </c>
      <c r="F1066" s="43" t="str">
        <f t="shared" si="257"/>
        <v>Vazio</v>
      </c>
      <c r="G1066" s="46">
        <f t="shared" si="272"/>
        <v>0</v>
      </c>
      <c r="H1066" s="46">
        <f t="shared" si="273"/>
        <v>0</v>
      </c>
      <c r="I1066" s="28"/>
      <c r="J1066" s="337"/>
      <c r="K1066" s="46" t="str">
        <f t="shared" si="274"/>
        <v/>
      </c>
      <c r="L1066" s="46" t="str">
        <f t="shared" si="275"/>
        <v/>
      </c>
      <c r="M1066" s="338">
        <f t="shared" si="276"/>
        <v>0</v>
      </c>
      <c r="N1066" s="43"/>
      <c r="O1066" s="339" t="e">
        <f t="shared" si="263"/>
        <v>#N/A</v>
      </c>
      <c r="P1066" s="340" t="str">
        <f>IFERROR(VLOOKUP(O1066,NCM!$A$3:$D$99,COLUMN(head_porNCM_IPI)-COLUMN(head_porNCM_NCM)+1,FALSE),"")</f>
        <v/>
      </c>
      <c r="Q1066" s="43"/>
      <c r="R1066" s="78"/>
      <c r="S1066" s="341"/>
      <c r="T1066" s="28" t="s">
        <v>53</v>
      </c>
      <c r="U1066" s="28"/>
      <c r="V1066" s="28"/>
      <c r="W1066" s="43"/>
      <c r="X1066" s="342">
        <f t="shared" si="277"/>
        <v>0</v>
      </c>
      <c r="Y1066" s="342">
        <f t="shared" si="278"/>
        <v>0</v>
      </c>
      <c r="Z1066" s="46">
        <f t="shared" si="279"/>
        <v>0</v>
      </c>
      <c r="AA1066" s="46">
        <f t="shared" si="280"/>
        <v>0</v>
      </c>
      <c r="AB1066" s="43"/>
      <c r="AC1066" s="44"/>
      <c r="AD1066" s="31"/>
      <c r="AE1066" s="31"/>
      <c r="AF1066" s="31"/>
      <c r="AG1066" s="28" t="s">
        <v>53</v>
      </c>
      <c r="AH1066" s="46">
        <f t="shared" si="268"/>
        <v>0</v>
      </c>
      <c r="AI1066" s="43"/>
      <c r="AJ1066" s="28"/>
      <c r="AK1066" s="337"/>
      <c r="AL1066" s="43"/>
      <c r="AM1066" s="44">
        <f t="shared" si="269"/>
        <v>0</v>
      </c>
      <c r="AN1066" s="43"/>
      <c r="AO1066" s="28">
        <f t="shared" si="270"/>
        <v>0</v>
      </c>
      <c r="AP1066" s="43"/>
      <c r="AQ1066" s="323">
        <f t="shared" si="271"/>
        <v>0</v>
      </c>
      <c r="AR1066" s="43"/>
      <c r="AS1066" s="44"/>
    </row>
    <row r="1067" spans="1:45" outlineLevel="1" x14ac:dyDescent="0.25">
      <c r="A1067" s="28">
        <v>60</v>
      </c>
      <c r="B1067" s="43"/>
      <c r="C1067" s="43"/>
      <c r="D1067" s="43"/>
      <c r="E1067" s="43" t="str">
        <f t="shared" si="256"/>
        <v>Padrão 60</v>
      </c>
      <c r="F1067" s="43" t="str">
        <f t="shared" si="257"/>
        <v>Vazio</v>
      </c>
      <c r="G1067" s="46">
        <f t="shared" si="272"/>
        <v>0</v>
      </c>
      <c r="H1067" s="46">
        <f t="shared" si="273"/>
        <v>0</v>
      </c>
      <c r="I1067" s="28"/>
      <c r="J1067" s="337"/>
      <c r="K1067" s="46" t="str">
        <f t="shared" si="274"/>
        <v/>
      </c>
      <c r="L1067" s="46" t="str">
        <f t="shared" si="275"/>
        <v/>
      </c>
      <c r="M1067" s="338">
        <f t="shared" si="276"/>
        <v>0</v>
      </c>
      <c r="N1067" s="43"/>
      <c r="O1067" s="339" t="e">
        <f t="shared" si="263"/>
        <v>#N/A</v>
      </c>
      <c r="P1067" s="340" t="str">
        <f>IFERROR(VLOOKUP(O1067,NCM!$A$3:$D$99,COLUMN(head_porNCM_IPI)-COLUMN(head_porNCM_NCM)+1,FALSE),"")</f>
        <v/>
      </c>
      <c r="Q1067" s="43"/>
      <c r="R1067" s="78"/>
      <c r="S1067" s="341"/>
      <c r="T1067" s="28" t="s">
        <v>53</v>
      </c>
      <c r="U1067" s="28"/>
      <c r="V1067" s="28"/>
      <c r="W1067" s="43"/>
      <c r="X1067" s="342">
        <f t="shared" si="277"/>
        <v>0</v>
      </c>
      <c r="Y1067" s="342">
        <f t="shared" si="278"/>
        <v>0</v>
      </c>
      <c r="Z1067" s="46">
        <f t="shared" si="279"/>
        <v>0</v>
      </c>
      <c r="AA1067" s="46">
        <f t="shared" si="280"/>
        <v>0</v>
      </c>
      <c r="AB1067" s="43"/>
      <c r="AC1067" s="44"/>
      <c r="AD1067" s="31"/>
      <c r="AE1067" s="31"/>
      <c r="AF1067" s="31"/>
      <c r="AG1067" s="28" t="s">
        <v>53</v>
      </c>
      <c r="AH1067" s="46">
        <f t="shared" si="268"/>
        <v>0</v>
      </c>
      <c r="AI1067" s="43"/>
      <c r="AJ1067" s="28"/>
      <c r="AK1067" s="337"/>
      <c r="AL1067" s="43"/>
      <c r="AM1067" s="44">
        <f t="shared" si="269"/>
        <v>0</v>
      </c>
      <c r="AN1067" s="43"/>
      <c r="AO1067" s="28">
        <f t="shared" si="270"/>
        <v>0</v>
      </c>
      <c r="AP1067" s="43"/>
      <c r="AQ1067" s="323">
        <f t="shared" si="271"/>
        <v>0</v>
      </c>
      <c r="AR1067" s="43"/>
      <c r="AS1067" s="44"/>
    </row>
    <row r="1068" spans="1:45" outlineLevel="1" x14ac:dyDescent="0.25">
      <c r="A1068" s="28">
        <v>61</v>
      </c>
      <c r="B1068" s="43"/>
      <c r="C1068" s="43"/>
      <c r="D1068" s="43"/>
      <c r="E1068" s="43" t="str">
        <f t="shared" si="256"/>
        <v>Padrão 61</v>
      </c>
      <c r="F1068" s="43" t="str">
        <f t="shared" si="257"/>
        <v>Vazio</v>
      </c>
      <c r="G1068" s="46">
        <f t="shared" si="272"/>
        <v>0</v>
      </c>
      <c r="H1068" s="46">
        <f t="shared" si="273"/>
        <v>0</v>
      </c>
      <c r="I1068" s="28"/>
      <c r="J1068" s="337"/>
      <c r="K1068" s="46" t="str">
        <f t="shared" si="274"/>
        <v/>
      </c>
      <c r="L1068" s="46" t="str">
        <f t="shared" si="275"/>
        <v/>
      </c>
      <c r="M1068" s="338">
        <f t="shared" si="276"/>
        <v>0</v>
      </c>
      <c r="N1068" s="43"/>
      <c r="O1068" s="339" t="e">
        <f t="shared" si="263"/>
        <v>#N/A</v>
      </c>
      <c r="P1068" s="340" t="str">
        <f>IFERROR(VLOOKUP(O1068,NCM!$A$3:$D$99,COLUMN(head_porNCM_IPI)-COLUMN(head_porNCM_NCM)+1,FALSE),"")</f>
        <v/>
      </c>
      <c r="Q1068" s="43"/>
      <c r="R1068" s="78"/>
      <c r="S1068" s="341"/>
      <c r="T1068" s="28" t="s">
        <v>53</v>
      </c>
      <c r="U1068" s="28"/>
      <c r="V1068" s="28"/>
      <c r="W1068" s="43"/>
      <c r="X1068" s="342">
        <f t="shared" si="277"/>
        <v>0</v>
      </c>
      <c r="Y1068" s="342">
        <f t="shared" si="278"/>
        <v>0</v>
      </c>
      <c r="Z1068" s="46">
        <f t="shared" si="279"/>
        <v>0</v>
      </c>
      <c r="AA1068" s="46">
        <f t="shared" si="280"/>
        <v>0</v>
      </c>
      <c r="AB1068" s="43"/>
      <c r="AC1068" s="44"/>
      <c r="AD1068" s="31"/>
      <c r="AE1068" s="31"/>
      <c r="AF1068" s="31"/>
      <c r="AG1068" s="28" t="s">
        <v>53</v>
      </c>
      <c r="AH1068" s="46">
        <f t="shared" si="268"/>
        <v>0</v>
      </c>
      <c r="AI1068" s="43"/>
      <c r="AJ1068" s="28"/>
      <c r="AK1068" s="337"/>
      <c r="AL1068" s="43"/>
      <c r="AM1068" s="44">
        <f t="shared" si="269"/>
        <v>0</v>
      </c>
      <c r="AN1068" s="43"/>
      <c r="AO1068" s="28">
        <f t="shared" si="270"/>
        <v>0</v>
      </c>
      <c r="AP1068" s="43"/>
      <c r="AQ1068" s="323">
        <f t="shared" si="271"/>
        <v>0</v>
      </c>
      <c r="AR1068" s="43"/>
      <c r="AS1068" s="44"/>
    </row>
    <row r="1069" spans="1:45" outlineLevel="1" x14ac:dyDescent="0.25">
      <c r="A1069" s="28">
        <v>62</v>
      </c>
      <c r="B1069" s="43"/>
      <c r="C1069" s="43"/>
      <c r="D1069" s="43"/>
      <c r="E1069" s="43" t="str">
        <f t="shared" si="256"/>
        <v>Padrão 62</v>
      </c>
      <c r="F1069" s="43" t="str">
        <f t="shared" si="257"/>
        <v>Vazio</v>
      </c>
      <c r="G1069" s="46">
        <f t="shared" si="272"/>
        <v>0</v>
      </c>
      <c r="H1069" s="46">
        <f t="shared" si="273"/>
        <v>0</v>
      </c>
      <c r="I1069" s="28"/>
      <c r="J1069" s="337"/>
      <c r="K1069" s="46" t="str">
        <f t="shared" si="274"/>
        <v/>
      </c>
      <c r="L1069" s="46" t="str">
        <f t="shared" si="275"/>
        <v/>
      </c>
      <c r="M1069" s="338">
        <f t="shared" si="276"/>
        <v>0</v>
      </c>
      <c r="N1069" s="43"/>
      <c r="O1069" s="339" t="e">
        <f t="shared" si="263"/>
        <v>#N/A</v>
      </c>
      <c r="P1069" s="340" t="str">
        <f>IFERROR(VLOOKUP(O1069,NCM!$A$3:$D$99,COLUMN(head_porNCM_IPI)-COLUMN(head_porNCM_NCM)+1,FALSE),"")</f>
        <v/>
      </c>
      <c r="Q1069" s="43"/>
      <c r="R1069" s="78"/>
      <c r="S1069" s="341"/>
      <c r="T1069" s="28" t="s">
        <v>53</v>
      </c>
      <c r="U1069" s="28"/>
      <c r="V1069" s="28"/>
      <c r="W1069" s="43"/>
      <c r="X1069" s="342">
        <f t="shared" si="277"/>
        <v>0</v>
      </c>
      <c r="Y1069" s="342">
        <f t="shared" si="278"/>
        <v>0</v>
      </c>
      <c r="Z1069" s="46">
        <f t="shared" si="279"/>
        <v>0</v>
      </c>
      <c r="AA1069" s="46">
        <f t="shared" si="280"/>
        <v>0</v>
      </c>
      <c r="AB1069" s="43"/>
      <c r="AC1069" s="44"/>
      <c r="AD1069" s="31"/>
      <c r="AE1069" s="31"/>
      <c r="AF1069" s="31"/>
      <c r="AG1069" s="28" t="s">
        <v>53</v>
      </c>
      <c r="AH1069" s="46">
        <f t="shared" si="268"/>
        <v>0</v>
      </c>
      <c r="AI1069" s="43"/>
      <c r="AJ1069" s="28"/>
      <c r="AK1069" s="337"/>
      <c r="AL1069" s="43"/>
      <c r="AM1069" s="44">
        <f t="shared" si="269"/>
        <v>0</v>
      </c>
      <c r="AN1069" s="43"/>
      <c r="AO1069" s="28">
        <f t="shared" si="270"/>
        <v>0</v>
      </c>
      <c r="AP1069" s="43"/>
      <c r="AQ1069" s="323">
        <f t="shared" si="271"/>
        <v>0</v>
      </c>
      <c r="AR1069" s="43"/>
      <c r="AS1069" s="44"/>
    </row>
    <row r="1070" spans="1:45" outlineLevel="1" x14ac:dyDescent="0.25">
      <c r="A1070" s="28">
        <v>63</v>
      </c>
      <c r="B1070" s="43"/>
      <c r="C1070" s="43"/>
      <c r="D1070" s="43"/>
      <c r="E1070" s="43" t="str">
        <f t="shared" si="256"/>
        <v>Padrão 63</v>
      </c>
      <c r="F1070" s="43" t="str">
        <f t="shared" si="257"/>
        <v>Vazio</v>
      </c>
      <c r="G1070" s="46">
        <f t="shared" si="272"/>
        <v>0</v>
      </c>
      <c r="H1070" s="46">
        <f t="shared" si="273"/>
        <v>0</v>
      </c>
      <c r="I1070" s="28"/>
      <c r="J1070" s="337"/>
      <c r="K1070" s="46" t="str">
        <f t="shared" si="274"/>
        <v/>
      </c>
      <c r="L1070" s="46" t="str">
        <f t="shared" si="275"/>
        <v/>
      </c>
      <c r="M1070" s="338">
        <f t="shared" si="276"/>
        <v>0</v>
      </c>
      <c r="N1070" s="43"/>
      <c r="O1070" s="339" t="e">
        <f t="shared" si="263"/>
        <v>#N/A</v>
      </c>
      <c r="P1070" s="340" t="str">
        <f>IFERROR(VLOOKUP(O1070,NCM!$A$3:$D$99,COLUMN(head_porNCM_IPI)-COLUMN(head_porNCM_NCM)+1,FALSE),"")</f>
        <v/>
      </c>
      <c r="Q1070" s="43"/>
      <c r="R1070" s="78"/>
      <c r="S1070" s="341"/>
      <c r="T1070" s="28" t="s">
        <v>53</v>
      </c>
      <c r="U1070" s="28"/>
      <c r="V1070" s="28"/>
      <c r="W1070" s="43"/>
      <c r="X1070" s="342">
        <f t="shared" si="277"/>
        <v>0</v>
      </c>
      <c r="Y1070" s="342">
        <f t="shared" si="278"/>
        <v>0</v>
      </c>
      <c r="Z1070" s="46">
        <f t="shared" si="279"/>
        <v>0</v>
      </c>
      <c r="AA1070" s="46">
        <f t="shared" si="280"/>
        <v>0</v>
      </c>
      <c r="AB1070" s="43"/>
      <c r="AC1070" s="44"/>
      <c r="AD1070" s="31"/>
      <c r="AE1070" s="31"/>
      <c r="AF1070" s="31"/>
      <c r="AG1070" s="28" t="s">
        <v>53</v>
      </c>
      <c r="AH1070" s="46">
        <f t="shared" si="268"/>
        <v>0</v>
      </c>
      <c r="AI1070" s="43"/>
      <c r="AJ1070" s="28"/>
      <c r="AK1070" s="337"/>
      <c r="AL1070" s="43"/>
      <c r="AM1070" s="44">
        <f t="shared" si="269"/>
        <v>0</v>
      </c>
      <c r="AN1070" s="43"/>
      <c r="AO1070" s="28">
        <f t="shared" si="270"/>
        <v>0</v>
      </c>
      <c r="AP1070" s="43"/>
      <c r="AQ1070" s="323">
        <f t="shared" si="271"/>
        <v>0</v>
      </c>
      <c r="AR1070" s="43"/>
      <c r="AS1070" s="44"/>
    </row>
    <row r="1071" spans="1:45" outlineLevel="1" x14ac:dyDescent="0.25">
      <c r="A1071" s="28">
        <v>64</v>
      </c>
      <c r="B1071" s="43"/>
      <c r="C1071" s="43"/>
      <c r="D1071" s="43"/>
      <c r="E1071" s="43" t="str">
        <f t="shared" si="256"/>
        <v>Padrão 64</v>
      </c>
      <c r="F1071" s="43" t="str">
        <f t="shared" si="257"/>
        <v>Vazio</v>
      </c>
      <c r="G1071" s="46">
        <f t="shared" si="272"/>
        <v>0</v>
      </c>
      <c r="H1071" s="46">
        <f t="shared" si="273"/>
        <v>0</v>
      </c>
      <c r="I1071" s="28"/>
      <c r="J1071" s="337"/>
      <c r="K1071" s="46" t="str">
        <f t="shared" si="274"/>
        <v/>
      </c>
      <c r="L1071" s="46" t="str">
        <f t="shared" si="275"/>
        <v/>
      </c>
      <c r="M1071" s="338">
        <f t="shared" si="276"/>
        <v>0</v>
      </c>
      <c r="N1071" s="43"/>
      <c r="O1071" s="339" t="e">
        <f t="shared" si="263"/>
        <v>#N/A</v>
      </c>
      <c r="P1071" s="340" t="str">
        <f>IFERROR(VLOOKUP(O1071,NCM!$A$3:$D$99,COLUMN(head_porNCM_IPI)-COLUMN(head_porNCM_NCM)+1,FALSE),"")</f>
        <v/>
      </c>
      <c r="Q1071" s="43"/>
      <c r="R1071" s="78"/>
      <c r="S1071" s="341"/>
      <c r="T1071" s="28" t="s">
        <v>53</v>
      </c>
      <c r="U1071" s="28"/>
      <c r="V1071" s="28"/>
      <c r="W1071" s="43"/>
      <c r="X1071" s="342">
        <f t="shared" si="277"/>
        <v>0</v>
      </c>
      <c r="Y1071" s="342">
        <f t="shared" si="278"/>
        <v>0</v>
      </c>
      <c r="Z1071" s="46">
        <f t="shared" si="279"/>
        <v>0</v>
      </c>
      <c r="AA1071" s="46">
        <f t="shared" si="280"/>
        <v>0</v>
      </c>
      <c r="AB1071" s="43"/>
      <c r="AC1071" s="44"/>
      <c r="AD1071" s="31"/>
      <c r="AE1071" s="31"/>
      <c r="AF1071" s="31"/>
      <c r="AG1071" s="28" t="s">
        <v>53</v>
      </c>
      <c r="AH1071" s="46">
        <f t="shared" si="268"/>
        <v>0</v>
      </c>
      <c r="AI1071" s="43"/>
      <c r="AJ1071" s="28"/>
      <c r="AK1071" s="337"/>
      <c r="AL1071" s="43"/>
      <c r="AM1071" s="44">
        <f t="shared" si="269"/>
        <v>0</v>
      </c>
      <c r="AN1071" s="43"/>
      <c r="AO1071" s="28">
        <f t="shared" si="270"/>
        <v>0</v>
      </c>
      <c r="AP1071" s="43"/>
      <c r="AQ1071" s="323">
        <f t="shared" si="271"/>
        <v>0</v>
      </c>
      <c r="AR1071" s="43"/>
      <c r="AS1071" s="44"/>
    </row>
    <row r="1072" spans="1:45" outlineLevel="1" x14ac:dyDescent="0.25">
      <c r="A1072" s="28">
        <v>65</v>
      </c>
      <c r="B1072" s="43"/>
      <c r="C1072" s="43"/>
      <c r="D1072" s="43"/>
      <c r="E1072" s="43" t="str">
        <f t="shared" ref="E1072:E1135" si="281">HLOOKUP(A1072,std_tbl3,2,FALSE)</f>
        <v>Padrão 65</v>
      </c>
      <c r="F1072" s="43" t="str">
        <f t="shared" ref="F1072:F1135" si="282">HLOOKUP(A1072,std_tbl3,ROW(row_std_descr)-ROW(row_std_head)+2,FALSE)</f>
        <v>Vazio</v>
      </c>
      <c r="G1072" s="46">
        <f t="shared" si="272"/>
        <v>0</v>
      </c>
      <c r="H1072" s="46">
        <f t="shared" si="273"/>
        <v>0</v>
      </c>
      <c r="I1072" s="28"/>
      <c r="J1072" s="337"/>
      <c r="K1072" s="46" t="str">
        <f t="shared" si="274"/>
        <v/>
      </c>
      <c r="L1072" s="46" t="str">
        <f t="shared" si="275"/>
        <v/>
      </c>
      <c r="M1072" s="338">
        <f t="shared" si="276"/>
        <v>0</v>
      </c>
      <c r="N1072" s="43"/>
      <c r="O1072" s="339" t="e">
        <f t="shared" si="263"/>
        <v>#N/A</v>
      </c>
      <c r="P1072" s="340" t="str">
        <f>IFERROR(VLOOKUP(O1072,NCM!$A$3:$D$99,COLUMN(head_porNCM_IPI)-COLUMN(head_porNCM_NCM)+1,FALSE),"")</f>
        <v/>
      </c>
      <c r="Q1072" s="43"/>
      <c r="R1072" s="78"/>
      <c r="S1072" s="341"/>
      <c r="T1072" s="28" t="s">
        <v>53</v>
      </c>
      <c r="U1072" s="28"/>
      <c r="V1072" s="28"/>
      <c r="W1072" s="43"/>
      <c r="X1072" s="342">
        <f t="shared" si="277"/>
        <v>0</v>
      </c>
      <c r="Y1072" s="342">
        <f t="shared" si="278"/>
        <v>0</v>
      </c>
      <c r="Z1072" s="46">
        <f t="shared" si="279"/>
        <v>0</v>
      </c>
      <c r="AA1072" s="46">
        <f t="shared" si="280"/>
        <v>0</v>
      </c>
      <c r="AB1072" s="43"/>
      <c r="AC1072" s="44"/>
      <c r="AD1072" s="31"/>
      <c r="AE1072" s="31"/>
      <c r="AF1072" s="31"/>
      <c r="AG1072" s="28" t="s">
        <v>53</v>
      </c>
      <c r="AH1072" s="46">
        <f t="shared" ref="AH1072:AH1135" si="283">AC1072*(1+AE1072)</f>
        <v>0</v>
      </c>
      <c r="AI1072" s="43"/>
      <c r="AJ1072" s="28"/>
      <c r="AK1072" s="337"/>
      <c r="AL1072" s="43"/>
      <c r="AM1072" s="44">
        <f t="shared" ref="AM1072:AM1135" si="284">IF(AND(AJ1072&lt;&gt;"",AK1072&gt;0),AQ1072*(VLOOKUP(AJ1072,tbl_cambio,2,FALSE)/AK1072-1),0)</f>
        <v>0</v>
      </c>
      <c r="AN1072" s="43"/>
      <c r="AO1072" s="28">
        <f t="shared" ref="AO1072:AO1135" si="285">IF(T1072="Sim",ROUNDUP(M1072*sobress_pc,0),0)</f>
        <v>0</v>
      </c>
      <c r="AP1072" s="43"/>
      <c r="AQ1072" s="323">
        <f t="shared" ref="AQ1072:AQ1135" si="286">SUMIFS(col_custoTotal,col_fatdir,"Não",col_item,E1072)</f>
        <v>0</v>
      </c>
      <c r="AR1072" s="43"/>
      <c r="AS1072" s="44"/>
    </row>
    <row r="1073" spans="1:45" outlineLevel="1" x14ac:dyDescent="0.25">
      <c r="A1073" s="28">
        <v>66</v>
      </c>
      <c r="B1073" s="43"/>
      <c r="C1073" s="43"/>
      <c r="D1073" s="43"/>
      <c r="E1073" s="43" t="str">
        <f t="shared" si="281"/>
        <v>Padrão 66</v>
      </c>
      <c r="F1073" s="43" t="str">
        <f t="shared" si="282"/>
        <v>Vazio</v>
      </c>
      <c r="G1073" s="46">
        <f t="shared" si="272"/>
        <v>0</v>
      </c>
      <c r="H1073" s="46">
        <f t="shared" si="273"/>
        <v>0</v>
      </c>
      <c r="I1073" s="28"/>
      <c r="J1073" s="337"/>
      <c r="K1073" s="46" t="str">
        <f t="shared" si="274"/>
        <v/>
      </c>
      <c r="L1073" s="46" t="str">
        <f t="shared" si="275"/>
        <v/>
      </c>
      <c r="M1073" s="338">
        <f t="shared" si="276"/>
        <v>0</v>
      </c>
      <c r="N1073" s="43"/>
      <c r="O1073" s="339" t="e">
        <f t="shared" si="263"/>
        <v>#N/A</v>
      </c>
      <c r="P1073" s="340" t="str">
        <f>IFERROR(VLOOKUP(O1073,NCM!$A$3:$D$99,COLUMN(head_porNCM_IPI)-COLUMN(head_porNCM_NCM)+1,FALSE),"")</f>
        <v/>
      </c>
      <c r="Q1073" s="43"/>
      <c r="R1073" s="78"/>
      <c r="S1073" s="341"/>
      <c r="T1073" s="28" t="s">
        <v>53</v>
      </c>
      <c r="U1073" s="28"/>
      <c r="V1073" s="28"/>
      <c r="W1073" s="43"/>
      <c r="X1073" s="342">
        <f t="shared" si="277"/>
        <v>0</v>
      </c>
      <c r="Y1073" s="342">
        <f t="shared" si="278"/>
        <v>0</v>
      </c>
      <c r="Z1073" s="46">
        <f t="shared" si="279"/>
        <v>0</v>
      </c>
      <c r="AA1073" s="46">
        <f t="shared" si="280"/>
        <v>0</v>
      </c>
      <c r="AB1073" s="43"/>
      <c r="AC1073" s="44"/>
      <c r="AD1073" s="31"/>
      <c r="AE1073" s="31"/>
      <c r="AF1073" s="31"/>
      <c r="AG1073" s="28" t="s">
        <v>53</v>
      </c>
      <c r="AH1073" s="46">
        <f t="shared" si="283"/>
        <v>0</v>
      </c>
      <c r="AI1073" s="43"/>
      <c r="AJ1073" s="28"/>
      <c r="AK1073" s="337"/>
      <c r="AL1073" s="43"/>
      <c r="AM1073" s="44">
        <f t="shared" si="284"/>
        <v>0</v>
      </c>
      <c r="AN1073" s="43"/>
      <c r="AO1073" s="28">
        <f t="shared" si="285"/>
        <v>0</v>
      </c>
      <c r="AP1073" s="43"/>
      <c r="AQ1073" s="323">
        <f t="shared" si="286"/>
        <v>0</v>
      </c>
      <c r="AR1073" s="43"/>
      <c r="AS1073" s="44"/>
    </row>
    <row r="1074" spans="1:45" outlineLevel="1" x14ac:dyDescent="0.25">
      <c r="A1074" s="28">
        <v>67</v>
      </c>
      <c r="B1074" s="43"/>
      <c r="C1074" s="43"/>
      <c r="D1074" s="43"/>
      <c r="E1074" s="43" t="str">
        <f t="shared" si="281"/>
        <v>Padrão 67</v>
      </c>
      <c r="F1074" s="43" t="str">
        <f t="shared" si="282"/>
        <v>Vazio</v>
      </c>
      <c r="G1074" s="46">
        <f t="shared" si="272"/>
        <v>0</v>
      </c>
      <c r="H1074" s="46">
        <f t="shared" si="273"/>
        <v>0</v>
      </c>
      <c r="I1074" s="28"/>
      <c r="J1074" s="337"/>
      <c r="K1074" s="46" t="str">
        <f t="shared" si="274"/>
        <v/>
      </c>
      <c r="L1074" s="46" t="str">
        <f t="shared" si="275"/>
        <v/>
      </c>
      <c r="M1074" s="338">
        <f t="shared" si="276"/>
        <v>0</v>
      </c>
      <c r="N1074" s="43"/>
      <c r="O1074" s="339" t="e">
        <f t="shared" si="263"/>
        <v>#N/A</v>
      </c>
      <c r="P1074" s="340" t="str">
        <f>IFERROR(VLOOKUP(O1074,NCM!$A$3:$D$99,COLUMN(head_porNCM_IPI)-COLUMN(head_porNCM_NCM)+1,FALSE),"")</f>
        <v/>
      </c>
      <c r="Q1074" s="43"/>
      <c r="R1074" s="78"/>
      <c r="S1074" s="341"/>
      <c r="T1074" s="28" t="s">
        <v>53</v>
      </c>
      <c r="U1074" s="28"/>
      <c r="V1074" s="28"/>
      <c r="W1074" s="43"/>
      <c r="X1074" s="342">
        <f t="shared" si="277"/>
        <v>0</v>
      </c>
      <c r="Y1074" s="342">
        <f t="shared" si="278"/>
        <v>0</v>
      </c>
      <c r="Z1074" s="46">
        <f t="shared" si="279"/>
        <v>0</v>
      </c>
      <c r="AA1074" s="46">
        <f t="shared" si="280"/>
        <v>0</v>
      </c>
      <c r="AB1074" s="43"/>
      <c r="AC1074" s="44"/>
      <c r="AD1074" s="31"/>
      <c r="AE1074" s="31"/>
      <c r="AF1074" s="31"/>
      <c r="AG1074" s="28" t="s">
        <v>53</v>
      </c>
      <c r="AH1074" s="46">
        <f t="shared" si="283"/>
        <v>0</v>
      </c>
      <c r="AI1074" s="43"/>
      <c r="AJ1074" s="28"/>
      <c r="AK1074" s="337"/>
      <c r="AL1074" s="43"/>
      <c r="AM1074" s="44">
        <f t="shared" si="284"/>
        <v>0</v>
      </c>
      <c r="AN1074" s="43"/>
      <c r="AO1074" s="28">
        <f t="shared" si="285"/>
        <v>0</v>
      </c>
      <c r="AP1074" s="43"/>
      <c r="AQ1074" s="323">
        <f t="shared" si="286"/>
        <v>0</v>
      </c>
      <c r="AR1074" s="43"/>
      <c r="AS1074" s="44"/>
    </row>
    <row r="1075" spans="1:45" outlineLevel="1" x14ac:dyDescent="0.25">
      <c r="A1075" s="28">
        <v>68</v>
      </c>
      <c r="B1075" s="43"/>
      <c r="C1075" s="43"/>
      <c r="D1075" s="43"/>
      <c r="E1075" s="43" t="str">
        <f t="shared" si="281"/>
        <v>Padrão 68</v>
      </c>
      <c r="F1075" s="43" t="str">
        <f t="shared" si="282"/>
        <v>Vazio</v>
      </c>
      <c r="G1075" s="46">
        <f t="shared" si="272"/>
        <v>0</v>
      </c>
      <c r="H1075" s="46">
        <f t="shared" si="273"/>
        <v>0</v>
      </c>
      <c r="I1075" s="28"/>
      <c r="J1075" s="337"/>
      <c r="K1075" s="46" t="str">
        <f t="shared" si="274"/>
        <v/>
      </c>
      <c r="L1075" s="46" t="str">
        <f t="shared" si="275"/>
        <v/>
      </c>
      <c r="M1075" s="338">
        <f t="shared" si="276"/>
        <v>0</v>
      </c>
      <c r="N1075" s="43"/>
      <c r="O1075" s="339" t="e">
        <f t="shared" si="263"/>
        <v>#N/A</v>
      </c>
      <c r="P1075" s="340" t="str">
        <f>IFERROR(VLOOKUP(O1075,NCM!$A$3:$D$99,COLUMN(head_porNCM_IPI)-COLUMN(head_porNCM_NCM)+1,FALSE),"")</f>
        <v/>
      </c>
      <c r="Q1075" s="43"/>
      <c r="R1075" s="78"/>
      <c r="S1075" s="341"/>
      <c r="T1075" s="28" t="s">
        <v>53</v>
      </c>
      <c r="U1075" s="28"/>
      <c r="V1075" s="28"/>
      <c r="W1075" s="43"/>
      <c r="X1075" s="342">
        <f t="shared" si="277"/>
        <v>0</v>
      </c>
      <c r="Y1075" s="342">
        <f t="shared" si="278"/>
        <v>0</v>
      </c>
      <c r="Z1075" s="46">
        <f t="shared" si="279"/>
        <v>0</v>
      </c>
      <c r="AA1075" s="46">
        <f t="shared" si="280"/>
        <v>0</v>
      </c>
      <c r="AB1075" s="43"/>
      <c r="AC1075" s="44"/>
      <c r="AD1075" s="31"/>
      <c r="AE1075" s="31"/>
      <c r="AF1075" s="31"/>
      <c r="AG1075" s="28" t="s">
        <v>53</v>
      </c>
      <c r="AH1075" s="46">
        <f t="shared" si="283"/>
        <v>0</v>
      </c>
      <c r="AI1075" s="43"/>
      <c r="AJ1075" s="28"/>
      <c r="AK1075" s="337"/>
      <c r="AL1075" s="43"/>
      <c r="AM1075" s="44">
        <f t="shared" si="284"/>
        <v>0</v>
      </c>
      <c r="AN1075" s="43"/>
      <c r="AO1075" s="28">
        <f t="shared" si="285"/>
        <v>0</v>
      </c>
      <c r="AP1075" s="43"/>
      <c r="AQ1075" s="323">
        <f t="shared" si="286"/>
        <v>0</v>
      </c>
      <c r="AR1075" s="43"/>
      <c r="AS1075" s="44"/>
    </row>
    <row r="1076" spans="1:45" outlineLevel="1" x14ac:dyDescent="0.25">
      <c r="A1076" s="28">
        <v>69</v>
      </c>
      <c r="B1076" s="43"/>
      <c r="C1076" s="43"/>
      <c r="D1076" s="43"/>
      <c r="E1076" s="43" t="str">
        <f t="shared" si="281"/>
        <v>Padrão 69</v>
      </c>
      <c r="F1076" s="43" t="str">
        <f t="shared" si="282"/>
        <v>Vazio</v>
      </c>
      <c r="G1076" s="46">
        <f t="shared" si="272"/>
        <v>0</v>
      </c>
      <c r="H1076" s="46">
        <f t="shared" si="273"/>
        <v>0</v>
      </c>
      <c r="I1076" s="28"/>
      <c r="J1076" s="337"/>
      <c r="K1076" s="46" t="str">
        <f t="shared" si="274"/>
        <v/>
      </c>
      <c r="L1076" s="46" t="str">
        <f t="shared" si="275"/>
        <v/>
      </c>
      <c r="M1076" s="338">
        <f t="shared" si="276"/>
        <v>0</v>
      </c>
      <c r="N1076" s="43"/>
      <c r="O1076" s="339" t="e">
        <f t="shared" si="263"/>
        <v>#N/A</v>
      </c>
      <c r="P1076" s="340" t="str">
        <f>IFERROR(VLOOKUP(O1076,NCM!$A$3:$D$99,COLUMN(head_porNCM_IPI)-COLUMN(head_porNCM_NCM)+1,FALSE),"")</f>
        <v/>
      </c>
      <c r="Q1076" s="43"/>
      <c r="R1076" s="78"/>
      <c r="S1076" s="341"/>
      <c r="T1076" s="28" t="s">
        <v>53</v>
      </c>
      <c r="U1076" s="28"/>
      <c r="V1076" s="28"/>
      <c r="W1076" s="43"/>
      <c r="X1076" s="342">
        <f t="shared" si="277"/>
        <v>0</v>
      </c>
      <c r="Y1076" s="342">
        <f t="shared" si="278"/>
        <v>0</v>
      </c>
      <c r="Z1076" s="46">
        <f t="shared" si="279"/>
        <v>0</v>
      </c>
      <c r="AA1076" s="46">
        <f t="shared" si="280"/>
        <v>0</v>
      </c>
      <c r="AB1076" s="43"/>
      <c r="AC1076" s="44"/>
      <c r="AD1076" s="31"/>
      <c r="AE1076" s="31"/>
      <c r="AF1076" s="31"/>
      <c r="AG1076" s="28" t="s">
        <v>53</v>
      </c>
      <c r="AH1076" s="46">
        <f t="shared" si="283"/>
        <v>0</v>
      </c>
      <c r="AI1076" s="43"/>
      <c r="AJ1076" s="28"/>
      <c r="AK1076" s="337"/>
      <c r="AL1076" s="43"/>
      <c r="AM1076" s="44">
        <f t="shared" si="284"/>
        <v>0</v>
      </c>
      <c r="AN1076" s="43"/>
      <c r="AO1076" s="28">
        <f t="shared" si="285"/>
        <v>0</v>
      </c>
      <c r="AP1076" s="43"/>
      <c r="AQ1076" s="323">
        <f t="shared" si="286"/>
        <v>0</v>
      </c>
      <c r="AR1076" s="43"/>
      <c r="AS1076" s="44"/>
    </row>
    <row r="1077" spans="1:45" outlineLevel="1" x14ac:dyDescent="0.25">
      <c r="A1077" s="28">
        <v>70</v>
      </c>
      <c r="B1077" s="43"/>
      <c r="C1077" s="43"/>
      <c r="D1077" s="43"/>
      <c r="E1077" s="43" t="str">
        <f t="shared" si="281"/>
        <v>Padrão 70</v>
      </c>
      <c r="F1077" s="43" t="str">
        <f t="shared" si="282"/>
        <v>Vazio</v>
      </c>
      <c r="G1077" s="46">
        <f t="shared" si="272"/>
        <v>0</v>
      </c>
      <c r="H1077" s="46">
        <f t="shared" si="273"/>
        <v>0</v>
      </c>
      <c r="I1077" s="28"/>
      <c r="J1077" s="337"/>
      <c r="K1077" s="46" t="str">
        <f t="shared" si="274"/>
        <v/>
      </c>
      <c r="L1077" s="46" t="str">
        <f t="shared" si="275"/>
        <v/>
      </c>
      <c r="M1077" s="338">
        <f t="shared" si="276"/>
        <v>0</v>
      </c>
      <c r="N1077" s="43"/>
      <c r="O1077" s="339" t="e">
        <f t="shared" si="263"/>
        <v>#N/A</v>
      </c>
      <c r="P1077" s="340" t="str">
        <f>IFERROR(VLOOKUP(O1077,NCM!$A$3:$D$99,COLUMN(head_porNCM_IPI)-COLUMN(head_porNCM_NCM)+1,FALSE),"")</f>
        <v/>
      </c>
      <c r="Q1077" s="43"/>
      <c r="R1077" s="78"/>
      <c r="S1077" s="341"/>
      <c r="T1077" s="28" t="s">
        <v>53</v>
      </c>
      <c r="U1077" s="28"/>
      <c r="V1077" s="28"/>
      <c r="W1077" s="43"/>
      <c r="X1077" s="342">
        <f t="shared" si="277"/>
        <v>0</v>
      </c>
      <c r="Y1077" s="342">
        <f t="shared" si="278"/>
        <v>0</v>
      </c>
      <c r="Z1077" s="46">
        <f t="shared" si="279"/>
        <v>0</v>
      </c>
      <c r="AA1077" s="46">
        <f t="shared" si="280"/>
        <v>0</v>
      </c>
      <c r="AB1077" s="43"/>
      <c r="AC1077" s="44"/>
      <c r="AD1077" s="31"/>
      <c r="AE1077" s="31"/>
      <c r="AF1077" s="31"/>
      <c r="AG1077" s="28" t="s">
        <v>53</v>
      </c>
      <c r="AH1077" s="46">
        <f t="shared" si="283"/>
        <v>0</v>
      </c>
      <c r="AI1077" s="43"/>
      <c r="AJ1077" s="28"/>
      <c r="AK1077" s="337"/>
      <c r="AL1077" s="43"/>
      <c r="AM1077" s="44">
        <f t="shared" si="284"/>
        <v>0</v>
      </c>
      <c r="AN1077" s="43"/>
      <c r="AO1077" s="28">
        <f t="shared" si="285"/>
        <v>0</v>
      </c>
      <c r="AP1077" s="43"/>
      <c r="AQ1077" s="323">
        <f t="shared" si="286"/>
        <v>0</v>
      </c>
      <c r="AR1077" s="43"/>
      <c r="AS1077" s="44"/>
    </row>
    <row r="1078" spans="1:45" outlineLevel="1" x14ac:dyDescent="0.25">
      <c r="A1078" s="28">
        <v>71</v>
      </c>
      <c r="B1078" s="43"/>
      <c r="C1078" s="43"/>
      <c r="D1078" s="43"/>
      <c r="E1078" s="43" t="str">
        <f t="shared" si="281"/>
        <v>Padrão 71</v>
      </c>
      <c r="F1078" s="43" t="str">
        <f t="shared" si="282"/>
        <v>Vazio</v>
      </c>
      <c r="G1078" s="46">
        <f t="shared" si="272"/>
        <v>0</v>
      </c>
      <c r="H1078" s="46">
        <f t="shared" si="273"/>
        <v>0</v>
      </c>
      <c r="I1078" s="28"/>
      <c r="J1078" s="337"/>
      <c r="K1078" s="46" t="str">
        <f t="shared" si="274"/>
        <v/>
      </c>
      <c r="L1078" s="46" t="str">
        <f t="shared" si="275"/>
        <v/>
      </c>
      <c r="M1078" s="338">
        <f t="shared" si="276"/>
        <v>0</v>
      </c>
      <c r="N1078" s="43"/>
      <c r="O1078" s="339" t="e">
        <f t="shared" si="263"/>
        <v>#N/A</v>
      </c>
      <c r="P1078" s="340" t="str">
        <f>IFERROR(VLOOKUP(O1078,NCM!$A$3:$D$99,COLUMN(head_porNCM_IPI)-COLUMN(head_porNCM_NCM)+1,FALSE),"")</f>
        <v/>
      </c>
      <c r="Q1078" s="43"/>
      <c r="R1078" s="78"/>
      <c r="S1078" s="341"/>
      <c r="T1078" s="28" t="s">
        <v>53</v>
      </c>
      <c r="U1078" s="28"/>
      <c r="V1078" s="28"/>
      <c r="W1078" s="43"/>
      <c r="X1078" s="342">
        <f t="shared" si="277"/>
        <v>0</v>
      </c>
      <c r="Y1078" s="342">
        <f t="shared" si="278"/>
        <v>0</v>
      </c>
      <c r="Z1078" s="46">
        <f t="shared" si="279"/>
        <v>0</v>
      </c>
      <c r="AA1078" s="46">
        <f t="shared" si="280"/>
        <v>0</v>
      </c>
      <c r="AB1078" s="43"/>
      <c r="AC1078" s="44"/>
      <c r="AD1078" s="31"/>
      <c r="AE1078" s="31"/>
      <c r="AF1078" s="31"/>
      <c r="AG1078" s="28" t="s">
        <v>53</v>
      </c>
      <c r="AH1078" s="46">
        <f t="shared" si="283"/>
        <v>0</v>
      </c>
      <c r="AI1078" s="43"/>
      <c r="AJ1078" s="28"/>
      <c r="AK1078" s="337"/>
      <c r="AL1078" s="43"/>
      <c r="AM1078" s="44">
        <f t="shared" si="284"/>
        <v>0</v>
      </c>
      <c r="AN1078" s="43"/>
      <c r="AO1078" s="28">
        <f t="shared" si="285"/>
        <v>0</v>
      </c>
      <c r="AP1078" s="43"/>
      <c r="AQ1078" s="323">
        <f t="shared" si="286"/>
        <v>0</v>
      </c>
      <c r="AR1078" s="43"/>
      <c r="AS1078" s="44"/>
    </row>
    <row r="1079" spans="1:45" outlineLevel="1" x14ac:dyDescent="0.25">
      <c r="A1079" s="28">
        <v>72</v>
      </c>
      <c r="B1079" s="43"/>
      <c r="C1079" s="43"/>
      <c r="D1079" s="43"/>
      <c r="E1079" s="43" t="str">
        <f t="shared" si="281"/>
        <v>Padrão 72</v>
      </c>
      <c r="F1079" s="43" t="str">
        <f t="shared" si="282"/>
        <v>Vazio</v>
      </c>
      <c r="G1079" s="46">
        <f t="shared" si="272"/>
        <v>0</v>
      </c>
      <c r="H1079" s="46">
        <f t="shared" si="273"/>
        <v>0</v>
      </c>
      <c r="I1079" s="28"/>
      <c r="J1079" s="337"/>
      <c r="K1079" s="46" t="str">
        <f t="shared" si="274"/>
        <v/>
      </c>
      <c r="L1079" s="46" t="str">
        <f t="shared" si="275"/>
        <v/>
      </c>
      <c r="M1079" s="338">
        <f t="shared" si="276"/>
        <v>0</v>
      </c>
      <c r="N1079" s="43"/>
      <c r="O1079" s="339" t="e">
        <f t="shared" si="263"/>
        <v>#N/A</v>
      </c>
      <c r="P1079" s="340" t="str">
        <f>IFERROR(VLOOKUP(O1079,NCM!$A$3:$D$99,COLUMN(head_porNCM_IPI)-COLUMN(head_porNCM_NCM)+1,FALSE),"")</f>
        <v/>
      </c>
      <c r="Q1079" s="43"/>
      <c r="R1079" s="78"/>
      <c r="S1079" s="341"/>
      <c r="T1079" s="28" t="s">
        <v>53</v>
      </c>
      <c r="U1079" s="28"/>
      <c r="V1079" s="28"/>
      <c r="W1079" s="43"/>
      <c r="X1079" s="342">
        <f t="shared" si="277"/>
        <v>0</v>
      </c>
      <c r="Y1079" s="342">
        <f t="shared" si="278"/>
        <v>0</v>
      </c>
      <c r="Z1079" s="46">
        <f t="shared" si="279"/>
        <v>0</v>
      </c>
      <c r="AA1079" s="46">
        <f t="shared" si="280"/>
        <v>0</v>
      </c>
      <c r="AB1079" s="43"/>
      <c r="AC1079" s="44"/>
      <c r="AD1079" s="31"/>
      <c r="AE1079" s="31"/>
      <c r="AF1079" s="31"/>
      <c r="AG1079" s="28" t="s">
        <v>53</v>
      </c>
      <c r="AH1079" s="46">
        <f t="shared" si="283"/>
        <v>0</v>
      </c>
      <c r="AI1079" s="43"/>
      <c r="AJ1079" s="28"/>
      <c r="AK1079" s="337"/>
      <c r="AL1079" s="43"/>
      <c r="AM1079" s="44">
        <f t="shared" si="284"/>
        <v>0</v>
      </c>
      <c r="AN1079" s="43"/>
      <c r="AO1079" s="28">
        <f t="shared" si="285"/>
        <v>0</v>
      </c>
      <c r="AP1079" s="43"/>
      <c r="AQ1079" s="323">
        <f t="shared" si="286"/>
        <v>0</v>
      </c>
      <c r="AR1079" s="43"/>
      <c r="AS1079" s="44"/>
    </row>
    <row r="1080" spans="1:45" outlineLevel="1" x14ac:dyDescent="0.25">
      <c r="A1080" s="28">
        <v>73</v>
      </c>
      <c r="B1080" s="43"/>
      <c r="C1080" s="43"/>
      <c r="D1080" s="43"/>
      <c r="E1080" s="43" t="str">
        <f t="shared" si="281"/>
        <v>Padrão 73</v>
      </c>
      <c r="F1080" s="43" t="str">
        <f t="shared" si="282"/>
        <v>Vazio</v>
      </c>
      <c r="G1080" s="46">
        <f t="shared" si="272"/>
        <v>0</v>
      </c>
      <c r="H1080" s="46">
        <f t="shared" si="273"/>
        <v>0</v>
      </c>
      <c r="I1080" s="28"/>
      <c r="J1080" s="337"/>
      <c r="K1080" s="46" t="str">
        <f t="shared" si="274"/>
        <v/>
      </c>
      <c r="L1080" s="46" t="str">
        <f t="shared" si="275"/>
        <v/>
      </c>
      <c r="M1080" s="338">
        <f t="shared" si="276"/>
        <v>0</v>
      </c>
      <c r="N1080" s="43"/>
      <c r="O1080" s="339" t="e">
        <f t="shared" si="263"/>
        <v>#N/A</v>
      </c>
      <c r="P1080" s="340" t="str">
        <f>IFERROR(VLOOKUP(O1080,NCM!$A$3:$D$99,COLUMN(head_porNCM_IPI)-COLUMN(head_porNCM_NCM)+1,FALSE),"")</f>
        <v/>
      </c>
      <c r="Q1080" s="43"/>
      <c r="R1080" s="78"/>
      <c r="S1080" s="341"/>
      <c r="T1080" s="28" t="s">
        <v>53</v>
      </c>
      <c r="U1080" s="28"/>
      <c r="V1080" s="28"/>
      <c r="W1080" s="43"/>
      <c r="X1080" s="342">
        <f t="shared" si="277"/>
        <v>0</v>
      </c>
      <c r="Y1080" s="342">
        <f t="shared" si="278"/>
        <v>0</v>
      </c>
      <c r="Z1080" s="46">
        <f t="shared" si="279"/>
        <v>0</v>
      </c>
      <c r="AA1080" s="46">
        <f t="shared" si="280"/>
        <v>0</v>
      </c>
      <c r="AB1080" s="43"/>
      <c r="AC1080" s="44"/>
      <c r="AD1080" s="31"/>
      <c r="AE1080" s="31"/>
      <c r="AF1080" s="31"/>
      <c r="AG1080" s="28" t="s">
        <v>53</v>
      </c>
      <c r="AH1080" s="46">
        <f t="shared" si="283"/>
        <v>0</v>
      </c>
      <c r="AI1080" s="43"/>
      <c r="AJ1080" s="28"/>
      <c r="AK1080" s="337"/>
      <c r="AL1080" s="43"/>
      <c r="AM1080" s="44">
        <f t="shared" si="284"/>
        <v>0</v>
      </c>
      <c r="AN1080" s="43"/>
      <c r="AO1080" s="28">
        <f t="shared" si="285"/>
        <v>0</v>
      </c>
      <c r="AP1080" s="43"/>
      <c r="AQ1080" s="323">
        <f t="shared" si="286"/>
        <v>0</v>
      </c>
      <c r="AR1080" s="43"/>
      <c r="AS1080" s="44"/>
    </row>
    <row r="1081" spans="1:45" outlineLevel="1" x14ac:dyDescent="0.25">
      <c r="A1081" s="28">
        <v>74</v>
      </c>
      <c r="B1081" s="43"/>
      <c r="C1081" s="43"/>
      <c r="D1081" s="43"/>
      <c r="E1081" s="43" t="str">
        <f t="shared" si="281"/>
        <v>Padrão 74</v>
      </c>
      <c r="F1081" s="43" t="str">
        <f t="shared" si="282"/>
        <v>Vazio</v>
      </c>
      <c r="G1081" s="46">
        <f t="shared" si="272"/>
        <v>0</v>
      </c>
      <c r="H1081" s="46">
        <f t="shared" si="273"/>
        <v>0</v>
      </c>
      <c r="I1081" s="28"/>
      <c r="J1081" s="337"/>
      <c r="K1081" s="46" t="str">
        <f t="shared" si="274"/>
        <v/>
      </c>
      <c r="L1081" s="46" t="str">
        <f t="shared" si="275"/>
        <v/>
      </c>
      <c r="M1081" s="338">
        <f t="shared" si="276"/>
        <v>0</v>
      </c>
      <c r="N1081" s="43"/>
      <c r="O1081" s="339" t="e">
        <f t="shared" si="263"/>
        <v>#N/A</v>
      </c>
      <c r="P1081" s="340" t="str">
        <f>IFERROR(VLOOKUP(O1081,NCM!$A$3:$D$99,COLUMN(head_porNCM_IPI)-COLUMN(head_porNCM_NCM)+1,FALSE),"")</f>
        <v/>
      </c>
      <c r="Q1081" s="43"/>
      <c r="R1081" s="78"/>
      <c r="S1081" s="341"/>
      <c r="T1081" s="28" t="s">
        <v>53</v>
      </c>
      <c r="U1081" s="28"/>
      <c r="V1081" s="28"/>
      <c r="W1081" s="43"/>
      <c r="X1081" s="342">
        <f t="shared" si="277"/>
        <v>0</v>
      </c>
      <c r="Y1081" s="342">
        <f t="shared" si="278"/>
        <v>0</v>
      </c>
      <c r="Z1081" s="46">
        <f t="shared" si="279"/>
        <v>0</v>
      </c>
      <c r="AA1081" s="46">
        <f t="shared" si="280"/>
        <v>0</v>
      </c>
      <c r="AB1081" s="43"/>
      <c r="AC1081" s="44"/>
      <c r="AD1081" s="31"/>
      <c r="AE1081" s="31"/>
      <c r="AF1081" s="31"/>
      <c r="AG1081" s="28" t="s">
        <v>53</v>
      </c>
      <c r="AH1081" s="46">
        <f t="shared" si="283"/>
        <v>0</v>
      </c>
      <c r="AI1081" s="43"/>
      <c r="AJ1081" s="28"/>
      <c r="AK1081" s="337"/>
      <c r="AL1081" s="43"/>
      <c r="AM1081" s="44">
        <f t="shared" si="284"/>
        <v>0</v>
      </c>
      <c r="AN1081" s="43"/>
      <c r="AO1081" s="28">
        <f t="shared" si="285"/>
        <v>0</v>
      </c>
      <c r="AP1081" s="43"/>
      <c r="AQ1081" s="323">
        <f t="shared" si="286"/>
        <v>0</v>
      </c>
      <c r="AR1081" s="43"/>
      <c r="AS1081" s="44"/>
    </row>
    <row r="1082" spans="1:45" outlineLevel="1" x14ac:dyDescent="0.25">
      <c r="A1082" s="28">
        <v>75</v>
      </c>
      <c r="B1082" s="43"/>
      <c r="C1082" s="43"/>
      <c r="D1082" s="43"/>
      <c r="E1082" s="43" t="str">
        <f t="shared" si="281"/>
        <v>Padrão 75</v>
      </c>
      <c r="F1082" s="43" t="str">
        <f t="shared" si="282"/>
        <v>Vazio</v>
      </c>
      <c r="G1082" s="46">
        <f t="shared" si="272"/>
        <v>0</v>
      </c>
      <c r="H1082" s="46">
        <f t="shared" si="273"/>
        <v>0</v>
      </c>
      <c r="I1082" s="28"/>
      <c r="J1082" s="337"/>
      <c r="K1082" s="46" t="str">
        <f t="shared" si="274"/>
        <v/>
      </c>
      <c r="L1082" s="46" t="str">
        <f t="shared" si="275"/>
        <v/>
      </c>
      <c r="M1082" s="338">
        <f t="shared" si="276"/>
        <v>0</v>
      </c>
      <c r="N1082" s="43"/>
      <c r="O1082" s="339" t="e">
        <f t="shared" si="263"/>
        <v>#N/A</v>
      </c>
      <c r="P1082" s="340" t="str">
        <f>IFERROR(VLOOKUP(O1082,NCM!$A$3:$D$99,COLUMN(head_porNCM_IPI)-COLUMN(head_porNCM_NCM)+1,FALSE),"")</f>
        <v/>
      </c>
      <c r="Q1082" s="43"/>
      <c r="R1082" s="78"/>
      <c r="S1082" s="341"/>
      <c r="T1082" s="28" t="s">
        <v>53</v>
      </c>
      <c r="U1082" s="28"/>
      <c r="V1082" s="28"/>
      <c r="W1082" s="43"/>
      <c r="X1082" s="342">
        <f t="shared" si="277"/>
        <v>0</v>
      </c>
      <c r="Y1082" s="342">
        <f t="shared" si="278"/>
        <v>0</v>
      </c>
      <c r="Z1082" s="46">
        <f t="shared" si="279"/>
        <v>0</v>
      </c>
      <c r="AA1082" s="46">
        <f t="shared" si="280"/>
        <v>0</v>
      </c>
      <c r="AB1082" s="43"/>
      <c r="AC1082" s="44"/>
      <c r="AD1082" s="31"/>
      <c r="AE1082" s="31"/>
      <c r="AF1082" s="31"/>
      <c r="AG1082" s="28" t="s">
        <v>53</v>
      </c>
      <c r="AH1082" s="46">
        <f t="shared" si="283"/>
        <v>0</v>
      </c>
      <c r="AI1082" s="43"/>
      <c r="AJ1082" s="28"/>
      <c r="AK1082" s="337"/>
      <c r="AL1082" s="43"/>
      <c r="AM1082" s="44">
        <f t="shared" si="284"/>
        <v>0</v>
      </c>
      <c r="AN1082" s="43"/>
      <c r="AO1082" s="28">
        <f t="shared" si="285"/>
        <v>0</v>
      </c>
      <c r="AP1082" s="43"/>
      <c r="AQ1082" s="323">
        <f t="shared" si="286"/>
        <v>0</v>
      </c>
      <c r="AR1082" s="43"/>
      <c r="AS1082" s="44"/>
    </row>
    <row r="1083" spans="1:45" outlineLevel="1" x14ac:dyDescent="0.25">
      <c r="A1083" s="28">
        <v>76</v>
      </c>
      <c r="B1083" s="43"/>
      <c r="C1083" s="43"/>
      <c r="D1083" s="43"/>
      <c r="E1083" s="43" t="str">
        <f t="shared" si="281"/>
        <v>Padrão 76</v>
      </c>
      <c r="F1083" s="43" t="str">
        <f t="shared" si="282"/>
        <v>Vazio</v>
      </c>
      <c r="G1083" s="46">
        <f t="shared" ref="G1083:G1245" si="287">AC1083*(1-AD1083)</f>
        <v>0</v>
      </c>
      <c r="H1083" s="46">
        <f t="shared" ref="H1083:H1245" si="288">AC1083*(1-AD1083-pis_naocum-cofins_naocum)</f>
        <v>0</v>
      </c>
      <c r="I1083" s="28"/>
      <c r="J1083" s="337"/>
      <c r="K1083" s="46" t="str">
        <f t="shared" ref="K1083:K1245" si="289">IFERROR(G1083*J1083*VLOOKUP(I1083,tbl_cambio,2,FALSE),"")</f>
        <v/>
      </c>
      <c r="L1083" s="46" t="str">
        <f t="shared" ref="L1083:L1245" si="290">IFERROR(H1083*J1083*VLOOKUP(I1083,tbl_cambio,2,FALSE),"")</f>
        <v/>
      </c>
      <c r="M1083" s="338">
        <f t="shared" ref="M1083:M1245" si="291">SUMIF(col_item,"="&amp;E1083,col_qtd)</f>
        <v>0</v>
      </c>
      <c r="N1083" s="43"/>
      <c r="O1083" s="339" t="e">
        <f t="shared" si="263"/>
        <v>#N/A</v>
      </c>
      <c r="P1083" s="340" t="str">
        <f>IFERROR(VLOOKUP(O1083,NCM!$A$3:$D$99,COLUMN(head_porNCM_IPI)-COLUMN(head_porNCM_NCM)+1,FALSE),"")</f>
        <v/>
      </c>
      <c r="Q1083" s="43"/>
      <c r="R1083" s="78"/>
      <c r="S1083" s="341"/>
      <c r="T1083" s="28" t="s">
        <v>53</v>
      </c>
      <c r="U1083" s="28"/>
      <c r="V1083" s="28"/>
      <c r="W1083" s="43"/>
      <c r="X1083" s="342">
        <f t="shared" ref="X1083:X1245" si="292">(AC1083-Y1083)*AD1083</f>
        <v>0</v>
      </c>
      <c r="Y1083" s="342">
        <f t="shared" ref="Y1083:Y1245" si="293">AC1083-AC1083/(1+AE1083)</f>
        <v>0</v>
      </c>
      <c r="Z1083" s="46">
        <f t="shared" ref="Z1083:Z1245" si="294">(AC1083-Y1083)*pis_naocum</f>
        <v>0</v>
      </c>
      <c r="AA1083" s="46">
        <f t="shared" ref="AA1083:AA1245" si="295">(AC1083-Y1083)*cofins_naocum</f>
        <v>0</v>
      </c>
      <c r="AB1083" s="43"/>
      <c r="AC1083" s="44"/>
      <c r="AD1083" s="31"/>
      <c r="AE1083" s="31"/>
      <c r="AF1083" s="31"/>
      <c r="AG1083" s="28" t="s">
        <v>53</v>
      </c>
      <c r="AH1083" s="46">
        <f t="shared" si="283"/>
        <v>0</v>
      </c>
      <c r="AI1083" s="43"/>
      <c r="AJ1083" s="28"/>
      <c r="AK1083" s="337"/>
      <c r="AL1083" s="43"/>
      <c r="AM1083" s="44">
        <f t="shared" si="284"/>
        <v>0</v>
      </c>
      <c r="AN1083" s="43"/>
      <c r="AO1083" s="28">
        <f t="shared" si="285"/>
        <v>0</v>
      </c>
      <c r="AP1083" s="43"/>
      <c r="AQ1083" s="323">
        <f t="shared" si="286"/>
        <v>0</v>
      </c>
      <c r="AR1083" s="43"/>
      <c r="AS1083" s="44"/>
    </row>
    <row r="1084" spans="1:45" outlineLevel="1" x14ac:dyDescent="0.25">
      <c r="A1084" s="28">
        <v>77</v>
      </c>
      <c r="B1084" s="43"/>
      <c r="C1084" s="43"/>
      <c r="D1084" s="43"/>
      <c r="E1084" s="43" t="str">
        <f t="shared" si="281"/>
        <v>Padrão 77</v>
      </c>
      <c r="F1084" s="43" t="str">
        <f t="shared" si="282"/>
        <v>Vazio</v>
      </c>
      <c r="G1084" s="46">
        <f t="shared" si="287"/>
        <v>0</v>
      </c>
      <c r="H1084" s="46">
        <f t="shared" si="288"/>
        <v>0</v>
      </c>
      <c r="I1084" s="28"/>
      <c r="J1084" s="337"/>
      <c r="K1084" s="46" t="str">
        <f t="shared" si="289"/>
        <v/>
      </c>
      <c r="L1084" s="46" t="str">
        <f t="shared" si="290"/>
        <v/>
      </c>
      <c r="M1084" s="338">
        <f t="shared" si="291"/>
        <v>0</v>
      </c>
      <c r="N1084" s="43"/>
      <c r="O1084" s="339" t="e">
        <f t="shared" si="263"/>
        <v>#N/A</v>
      </c>
      <c r="P1084" s="340" t="str">
        <f>IFERROR(VLOOKUP(O1084,NCM!$A$3:$D$99,COLUMN(head_porNCM_IPI)-COLUMN(head_porNCM_NCM)+1,FALSE),"")</f>
        <v/>
      </c>
      <c r="Q1084" s="43"/>
      <c r="R1084" s="78"/>
      <c r="S1084" s="341"/>
      <c r="T1084" s="28" t="s">
        <v>53</v>
      </c>
      <c r="U1084" s="28"/>
      <c r="V1084" s="28"/>
      <c r="W1084" s="43"/>
      <c r="X1084" s="342">
        <f t="shared" si="292"/>
        <v>0</v>
      </c>
      <c r="Y1084" s="342">
        <f t="shared" si="293"/>
        <v>0</v>
      </c>
      <c r="Z1084" s="46">
        <f t="shared" si="294"/>
        <v>0</v>
      </c>
      <c r="AA1084" s="46">
        <f t="shared" si="295"/>
        <v>0</v>
      </c>
      <c r="AB1084" s="43"/>
      <c r="AC1084" s="44"/>
      <c r="AD1084" s="31"/>
      <c r="AE1084" s="31"/>
      <c r="AF1084" s="31"/>
      <c r="AG1084" s="28" t="s">
        <v>53</v>
      </c>
      <c r="AH1084" s="46">
        <f t="shared" si="283"/>
        <v>0</v>
      </c>
      <c r="AI1084" s="43"/>
      <c r="AJ1084" s="28"/>
      <c r="AK1084" s="337"/>
      <c r="AL1084" s="43"/>
      <c r="AM1084" s="44">
        <f t="shared" si="284"/>
        <v>0</v>
      </c>
      <c r="AN1084" s="43"/>
      <c r="AO1084" s="28">
        <f t="shared" si="285"/>
        <v>0</v>
      </c>
      <c r="AP1084" s="43"/>
      <c r="AQ1084" s="323">
        <f t="shared" si="286"/>
        <v>0</v>
      </c>
      <c r="AR1084" s="43"/>
      <c r="AS1084" s="44"/>
    </row>
    <row r="1085" spans="1:45" outlineLevel="1" x14ac:dyDescent="0.25">
      <c r="A1085" s="28">
        <v>78</v>
      </c>
      <c r="B1085" s="43"/>
      <c r="C1085" s="43"/>
      <c r="D1085" s="43"/>
      <c r="E1085" s="43" t="str">
        <f t="shared" si="281"/>
        <v>Padrão 78</v>
      </c>
      <c r="F1085" s="43" t="str">
        <f t="shared" si="282"/>
        <v>Vazio</v>
      </c>
      <c r="G1085" s="46">
        <f t="shared" si="287"/>
        <v>0</v>
      </c>
      <c r="H1085" s="46">
        <f t="shared" si="288"/>
        <v>0</v>
      </c>
      <c r="I1085" s="28"/>
      <c r="J1085" s="337"/>
      <c r="K1085" s="46" t="str">
        <f t="shared" si="289"/>
        <v/>
      </c>
      <c r="L1085" s="46" t="str">
        <f t="shared" si="290"/>
        <v/>
      </c>
      <c r="M1085" s="338">
        <f t="shared" si="291"/>
        <v>0</v>
      </c>
      <c r="N1085" s="43"/>
      <c r="O1085" s="339" t="e">
        <f t="shared" si="263"/>
        <v>#N/A</v>
      </c>
      <c r="P1085" s="340" t="str">
        <f>IFERROR(VLOOKUP(O1085,NCM!$A$3:$D$99,COLUMN(head_porNCM_IPI)-COLUMN(head_porNCM_NCM)+1,FALSE),"")</f>
        <v/>
      </c>
      <c r="Q1085" s="43"/>
      <c r="R1085" s="78"/>
      <c r="S1085" s="341"/>
      <c r="T1085" s="28" t="s">
        <v>53</v>
      </c>
      <c r="U1085" s="28"/>
      <c r="V1085" s="28"/>
      <c r="W1085" s="43"/>
      <c r="X1085" s="342">
        <f t="shared" si="292"/>
        <v>0</v>
      </c>
      <c r="Y1085" s="342">
        <f t="shared" si="293"/>
        <v>0</v>
      </c>
      <c r="Z1085" s="46">
        <f t="shared" si="294"/>
        <v>0</v>
      </c>
      <c r="AA1085" s="46">
        <f t="shared" si="295"/>
        <v>0</v>
      </c>
      <c r="AB1085" s="43"/>
      <c r="AC1085" s="44"/>
      <c r="AD1085" s="31"/>
      <c r="AE1085" s="31"/>
      <c r="AF1085" s="31"/>
      <c r="AG1085" s="28" t="s">
        <v>53</v>
      </c>
      <c r="AH1085" s="46">
        <f t="shared" si="283"/>
        <v>0</v>
      </c>
      <c r="AI1085" s="43"/>
      <c r="AJ1085" s="28"/>
      <c r="AK1085" s="337"/>
      <c r="AL1085" s="43"/>
      <c r="AM1085" s="44">
        <f t="shared" si="284"/>
        <v>0</v>
      </c>
      <c r="AN1085" s="43"/>
      <c r="AO1085" s="28">
        <f t="shared" si="285"/>
        <v>0</v>
      </c>
      <c r="AP1085" s="43"/>
      <c r="AQ1085" s="323">
        <f t="shared" si="286"/>
        <v>0</v>
      </c>
      <c r="AR1085" s="43"/>
      <c r="AS1085" s="44"/>
    </row>
    <row r="1086" spans="1:45" outlineLevel="1" x14ac:dyDescent="0.25">
      <c r="A1086" s="28">
        <v>79</v>
      </c>
      <c r="B1086" s="43"/>
      <c r="C1086" s="43"/>
      <c r="D1086" s="43"/>
      <c r="E1086" s="43" t="str">
        <f t="shared" si="281"/>
        <v>Padrão 79</v>
      </c>
      <c r="F1086" s="43" t="str">
        <f t="shared" si="282"/>
        <v>Vazio</v>
      </c>
      <c r="G1086" s="46">
        <f t="shared" si="287"/>
        <v>0</v>
      </c>
      <c r="H1086" s="46">
        <f t="shared" si="288"/>
        <v>0</v>
      </c>
      <c r="I1086" s="28"/>
      <c r="J1086" s="337"/>
      <c r="K1086" s="46" t="str">
        <f t="shared" si="289"/>
        <v/>
      </c>
      <c r="L1086" s="46" t="str">
        <f t="shared" si="290"/>
        <v/>
      </c>
      <c r="M1086" s="338">
        <f t="shared" si="291"/>
        <v>0</v>
      </c>
      <c r="N1086" s="43"/>
      <c r="O1086" s="339" t="e">
        <f t="shared" si="263"/>
        <v>#N/A</v>
      </c>
      <c r="P1086" s="340" t="str">
        <f>IFERROR(VLOOKUP(O1086,NCM!$A$3:$D$99,COLUMN(head_porNCM_IPI)-COLUMN(head_porNCM_NCM)+1,FALSE),"")</f>
        <v/>
      </c>
      <c r="Q1086" s="43"/>
      <c r="R1086" s="78"/>
      <c r="S1086" s="341"/>
      <c r="T1086" s="28" t="s">
        <v>53</v>
      </c>
      <c r="U1086" s="28"/>
      <c r="V1086" s="28"/>
      <c r="W1086" s="43"/>
      <c r="X1086" s="342">
        <f t="shared" si="292"/>
        <v>0</v>
      </c>
      <c r="Y1086" s="342">
        <f t="shared" si="293"/>
        <v>0</v>
      </c>
      <c r="Z1086" s="46">
        <f t="shared" si="294"/>
        <v>0</v>
      </c>
      <c r="AA1086" s="46">
        <f t="shared" si="295"/>
        <v>0</v>
      </c>
      <c r="AB1086" s="43"/>
      <c r="AC1086" s="44"/>
      <c r="AD1086" s="31"/>
      <c r="AE1086" s="31"/>
      <c r="AF1086" s="31"/>
      <c r="AG1086" s="28" t="s">
        <v>53</v>
      </c>
      <c r="AH1086" s="46">
        <f t="shared" si="283"/>
        <v>0</v>
      </c>
      <c r="AI1086" s="43"/>
      <c r="AJ1086" s="28"/>
      <c r="AK1086" s="337"/>
      <c r="AL1086" s="43"/>
      <c r="AM1086" s="44">
        <f t="shared" si="284"/>
        <v>0</v>
      </c>
      <c r="AN1086" s="43"/>
      <c r="AO1086" s="28">
        <f t="shared" si="285"/>
        <v>0</v>
      </c>
      <c r="AP1086" s="43"/>
      <c r="AQ1086" s="323">
        <f t="shared" si="286"/>
        <v>0</v>
      </c>
      <c r="AR1086" s="43"/>
      <c r="AS1086" s="44"/>
    </row>
    <row r="1087" spans="1:45" outlineLevel="1" x14ac:dyDescent="0.25">
      <c r="A1087" s="28">
        <v>80</v>
      </c>
      <c r="B1087" s="43"/>
      <c r="C1087" s="43"/>
      <c r="D1087" s="43"/>
      <c r="E1087" s="43" t="str">
        <f t="shared" si="281"/>
        <v>Padrão 80</v>
      </c>
      <c r="F1087" s="43" t="str">
        <f t="shared" si="282"/>
        <v>Vazio</v>
      </c>
      <c r="G1087" s="46">
        <f t="shared" si="287"/>
        <v>0</v>
      </c>
      <c r="H1087" s="46">
        <f t="shared" si="288"/>
        <v>0</v>
      </c>
      <c r="I1087" s="28"/>
      <c r="J1087" s="337"/>
      <c r="K1087" s="46" t="str">
        <f t="shared" si="289"/>
        <v/>
      </c>
      <c r="L1087" s="46" t="str">
        <f t="shared" si="290"/>
        <v/>
      </c>
      <c r="M1087" s="338">
        <f t="shared" si="291"/>
        <v>0</v>
      </c>
      <c r="N1087" s="43"/>
      <c r="O1087" s="339" t="e">
        <f t="shared" si="263"/>
        <v>#N/A</v>
      </c>
      <c r="P1087" s="340" t="str">
        <f>IFERROR(VLOOKUP(O1087,NCM!$A$3:$D$99,COLUMN(head_porNCM_IPI)-COLUMN(head_porNCM_NCM)+1,FALSE),"")</f>
        <v/>
      </c>
      <c r="Q1087" s="43"/>
      <c r="R1087" s="78"/>
      <c r="S1087" s="341"/>
      <c r="T1087" s="28" t="s">
        <v>53</v>
      </c>
      <c r="U1087" s="28"/>
      <c r="V1087" s="28"/>
      <c r="W1087" s="43"/>
      <c r="X1087" s="342">
        <f t="shared" si="292"/>
        <v>0</v>
      </c>
      <c r="Y1087" s="342">
        <f t="shared" si="293"/>
        <v>0</v>
      </c>
      <c r="Z1087" s="46">
        <f t="shared" si="294"/>
        <v>0</v>
      </c>
      <c r="AA1087" s="46">
        <f t="shared" si="295"/>
        <v>0</v>
      </c>
      <c r="AB1087" s="43"/>
      <c r="AC1087" s="44"/>
      <c r="AD1087" s="31"/>
      <c r="AE1087" s="31"/>
      <c r="AF1087" s="31"/>
      <c r="AG1087" s="28" t="s">
        <v>53</v>
      </c>
      <c r="AH1087" s="46">
        <f t="shared" si="283"/>
        <v>0</v>
      </c>
      <c r="AI1087" s="43"/>
      <c r="AJ1087" s="28"/>
      <c r="AK1087" s="337"/>
      <c r="AL1087" s="43"/>
      <c r="AM1087" s="44">
        <f t="shared" si="284"/>
        <v>0</v>
      </c>
      <c r="AN1087" s="43"/>
      <c r="AO1087" s="28">
        <f t="shared" si="285"/>
        <v>0</v>
      </c>
      <c r="AP1087" s="43"/>
      <c r="AQ1087" s="323">
        <f t="shared" si="286"/>
        <v>0</v>
      </c>
      <c r="AR1087" s="43"/>
      <c r="AS1087" s="44"/>
    </row>
    <row r="1088" spans="1:45" outlineLevel="1" x14ac:dyDescent="0.25">
      <c r="A1088" s="28">
        <v>81</v>
      </c>
      <c r="B1088" s="43"/>
      <c r="C1088" s="43"/>
      <c r="D1088" s="43"/>
      <c r="E1088" s="43" t="str">
        <f t="shared" si="281"/>
        <v>Padrão 81</v>
      </c>
      <c r="F1088" s="43" t="str">
        <f t="shared" si="282"/>
        <v>Vazio</v>
      </c>
      <c r="G1088" s="46">
        <f t="shared" si="287"/>
        <v>0</v>
      </c>
      <c r="H1088" s="46">
        <f t="shared" si="288"/>
        <v>0</v>
      </c>
      <c r="I1088" s="28"/>
      <c r="J1088" s="337"/>
      <c r="K1088" s="46" t="str">
        <f t="shared" si="289"/>
        <v/>
      </c>
      <c r="L1088" s="46" t="str">
        <f t="shared" si="290"/>
        <v/>
      </c>
      <c r="M1088" s="338">
        <f t="shared" si="291"/>
        <v>0</v>
      </c>
      <c r="N1088" s="43"/>
      <c r="O1088" s="339" t="e">
        <f t="shared" si="263"/>
        <v>#N/A</v>
      </c>
      <c r="P1088" s="340" t="str">
        <f>IFERROR(VLOOKUP(O1088,NCM!$A$3:$D$99,COLUMN(head_porNCM_IPI)-COLUMN(head_porNCM_NCM)+1,FALSE),"")</f>
        <v/>
      </c>
      <c r="Q1088" s="43"/>
      <c r="R1088" s="78"/>
      <c r="S1088" s="341"/>
      <c r="T1088" s="28" t="s">
        <v>53</v>
      </c>
      <c r="U1088" s="28"/>
      <c r="V1088" s="28"/>
      <c r="W1088" s="43"/>
      <c r="X1088" s="342">
        <f t="shared" si="292"/>
        <v>0</v>
      </c>
      <c r="Y1088" s="342">
        <f t="shared" si="293"/>
        <v>0</v>
      </c>
      <c r="Z1088" s="46">
        <f t="shared" si="294"/>
        <v>0</v>
      </c>
      <c r="AA1088" s="46">
        <f t="shared" si="295"/>
        <v>0</v>
      </c>
      <c r="AB1088" s="43"/>
      <c r="AC1088" s="44"/>
      <c r="AD1088" s="31"/>
      <c r="AE1088" s="31"/>
      <c r="AF1088" s="31"/>
      <c r="AG1088" s="28" t="s">
        <v>53</v>
      </c>
      <c r="AH1088" s="46">
        <f t="shared" si="283"/>
        <v>0</v>
      </c>
      <c r="AI1088" s="43"/>
      <c r="AJ1088" s="28"/>
      <c r="AK1088" s="337"/>
      <c r="AL1088" s="43"/>
      <c r="AM1088" s="44">
        <f t="shared" si="284"/>
        <v>0</v>
      </c>
      <c r="AN1088" s="43"/>
      <c r="AO1088" s="28">
        <f t="shared" si="285"/>
        <v>0</v>
      </c>
      <c r="AP1088" s="43"/>
      <c r="AQ1088" s="323">
        <f t="shared" si="286"/>
        <v>0</v>
      </c>
      <c r="AR1088" s="43"/>
      <c r="AS1088" s="44"/>
    </row>
    <row r="1089" spans="1:45" outlineLevel="1" x14ac:dyDescent="0.25">
      <c r="A1089" s="28">
        <v>82</v>
      </c>
      <c r="B1089" s="43"/>
      <c r="C1089" s="43"/>
      <c r="D1089" s="43"/>
      <c r="E1089" s="43" t="str">
        <f t="shared" si="281"/>
        <v>Padrão 82</v>
      </c>
      <c r="F1089" s="43" t="str">
        <f t="shared" si="282"/>
        <v>Vazio</v>
      </c>
      <c r="G1089" s="46">
        <f t="shared" si="287"/>
        <v>0</v>
      </c>
      <c r="H1089" s="46">
        <f t="shared" si="288"/>
        <v>0</v>
      </c>
      <c r="I1089" s="28"/>
      <c r="J1089" s="337"/>
      <c r="K1089" s="46" t="str">
        <f t="shared" si="289"/>
        <v/>
      </c>
      <c r="L1089" s="46" t="str">
        <f t="shared" si="290"/>
        <v/>
      </c>
      <c r="M1089" s="338">
        <f t="shared" si="291"/>
        <v>0</v>
      </c>
      <c r="N1089" s="43"/>
      <c r="O1089" s="339" t="e">
        <f t="shared" si="263"/>
        <v>#N/A</v>
      </c>
      <c r="P1089" s="340" t="str">
        <f>IFERROR(VLOOKUP(O1089,NCM!$A$3:$D$99,COLUMN(head_porNCM_IPI)-COLUMN(head_porNCM_NCM)+1,FALSE),"")</f>
        <v/>
      </c>
      <c r="Q1089" s="43"/>
      <c r="R1089" s="78"/>
      <c r="S1089" s="341"/>
      <c r="T1089" s="28" t="s">
        <v>53</v>
      </c>
      <c r="U1089" s="28"/>
      <c r="V1089" s="28"/>
      <c r="W1089" s="43"/>
      <c r="X1089" s="342">
        <f t="shared" si="292"/>
        <v>0</v>
      </c>
      <c r="Y1089" s="342">
        <f t="shared" si="293"/>
        <v>0</v>
      </c>
      <c r="Z1089" s="46">
        <f t="shared" si="294"/>
        <v>0</v>
      </c>
      <c r="AA1089" s="46">
        <f t="shared" si="295"/>
        <v>0</v>
      </c>
      <c r="AB1089" s="43"/>
      <c r="AC1089" s="44"/>
      <c r="AD1089" s="31"/>
      <c r="AE1089" s="31"/>
      <c r="AF1089" s="31"/>
      <c r="AG1089" s="28" t="s">
        <v>53</v>
      </c>
      <c r="AH1089" s="46">
        <f t="shared" si="283"/>
        <v>0</v>
      </c>
      <c r="AI1089" s="43"/>
      <c r="AJ1089" s="28"/>
      <c r="AK1089" s="337"/>
      <c r="AL1089" s="43"/>
      <c r="AM1089" s="44">
        <f t="shared" si="284"/>
        <v>0</v>
      </c>
      <c r="AN1089" s="43"/>
      <c r="AO1089" s="28">
        <f t="shared" si="285"/>
        <v>0</v>
      </c>
      <c r="AP1089" s="43"/>
      <c r="AQ1089" s="323">
        <f t="shared" si="286"/>
        <v>0</v>
      </c>
      <c r="AR1089" s="43"/>
      <c r="AS1089" s="44"/>
    </row>
    <row r="1090" spans="1:45" outlineLevel="1" x14ac:dyDescent="0.25">
      <c r="A1090" s="28">
        <v>83</v>
      </c>
      <c r="B1090" s="43"/>
      <c r="C1090" s="43"/>
      <c r="D1090" s="43"/>
      <c r="E1090" s="43" t="str">
        <f t="shared" si="281"/>
        <v>Padrão 83</v>
      </c>
      <c r="F1090" s="43" t="str">
        <f t="shared" si="282"/>
        <v>Vazio</v>
      </c>
      <c r="G1090" s="46">
        <f t="shared" si="287"/>
        <v>0</v>
      </c>
      <c r="H1090" s="46">
        <f t="shared" si="288"/>
        <v>0</v>
      </c>
      <c r="I1090" s="28"/>
      <c r="J1090" s="337"/>
      <c r="K1090" s="46" t="str">
        <f t="shared" si="289"/>
        <v/>
      </c>
      <c r="L1090" s="46" t="str">
        <f t="shared" si="290"/>
        <v/>
      </c>
      <c r="M1090" s="338">
        <f t="shared" si="291"/>
        <v>0</v>
      </c>
      <c r="N1090" s="43"/>
      <c r="O1090" s="339" t="e">
        <f t="shared" si="263"/>
        <v>#N/A</v>
      </c>
      <c r="P1090" s="340" t="str">
        <f>IFERROR(VLOOKUP(O1090,NCM!$A$3:$D$99,COLUMN(head_porNCM_IPI)-COLUMN(head_porNCM_NCM)+1,FALSE),"")</f>
        <v/>
      </c>
      <c r="Q1090" s="43"/>
      <c r="R1090" s="78"/>
      <c r="S1090" s="341"/>
      <c r="T1090" s="28" t="s">
        <v>53</v>
      </c>
      <c r="U1090" s="28"/>
      <c r="V1090" s="28"/>
      <c r="W1090" s="43"/>
      <c r="X1090" s="342">
        <f t="shared" si="292"/>
        <v>0</v>
      </c>
      <c r="Y1090" s="342">
        <f t="shared" si="293"/>
        <v>0</v>
      </c>
      <c r="Z1090" s="46">
        <f t="shared" si="294"/>
        <v>0</v>
      </c>
      <c r="AA1090" s="46">
        <f t="shared" si="295"/>
        <v>0</v>
      </c>
      <c r="AB1090" s="43"/>
      <c r="AC1090" s="44"/>
      <c r="AD1090" s="31"/>
      <c r="AE1090" s="31"/>
      <c r="AF1090" s="31"/>
      <c r="AG1090" s="28" t="s">
        <v>53</v>
      </c>
      <c r="AH1090" s="46">
        <f t="shared" si="283"/>
        <v>0</v>
      </c>
      <c r="AI1090" s="43"/>
      <c r="AJ1090" s="28"/>
      <c r="AK1090" s="337"/>
      <c r="AL1090" s="43"/>
      <c r="AM1090" s="44">
        <f t="shared" si="284"/>
        <v>0</v>
      </c>
      <c r="AN1090" s="43"/>
      <c r="AO1090" s="28">
        <f t="shared" si="285"/>
        <v>0</v>
      </c>
      <c r="AP1090" s="43"/>
      <c r="AQ1090" s="323">
        <f t="shared" si="286"/>
        <v>0</v>
      </c>
      <c r="AR1090" s="43"/>
      <c r="AS1090" s="44"/>
    </row>
    <row r="1091" spans="1:45" outlineLevel="1" x14ac:dyDescent="0.25">
      <c r="A1091" s="28">
        <v>84</v>
      </c>
      <c r="B1091" s="43"/>
      <c r="C1091" s="43"/>
      <c r="D1091" s="43"/>
      <c r="E1091" s="43" t="str">
        <f t="shared" si="281"/>
        <v>Padrão 84</v>
      </c>
      <c r="F1091" s="43" t="str">
        <f t="shared" si="282"/>
        <v>Vazio</v>
      </c>
      <c r="G1091" s="46">
        <f t="shared" si="287"/>
        <v>0</v>
      </c>
      <c r="H1091" s="46">
        <f t="shared" si="288"/>
        <v>0</v>
      </c>
      <c r="I1091" s="28"/>
      <c r="J1091" s="337"/>
      <c r="K1091" s="46" t="str">
        <f t="shared" si="289"/>
        <v/>
      </c>
      <c r="L1091" s="46" t="str">
        <f t="shared" si="290"/>
        <v/>
      </c>
      <c r="M1091" s="338">
        <f t="shared" si="291"/>
        <v>0</v>
      </c>
      <c r="N1091" s="43"/>
      <c r="O1091" s="339" t="e">
        <f t="shared" si="263"/>
        <v>#N/A</v>
      </c>
      <c r="P1091" s="340" t="str">
        <f>IFERROR(VLOOKUP(O1091,NCM!$A$3:$D$99,COLUMN(head_porNCM_IPI)-COLUMN(head_porNCM_NCM)+1,FALSE),"")</f>
        <v/>
      </c>
      <c r="Q1091" s="43"/>
      <c r="R1091" s="78"/>
      <c r="S1091" s="341"/>
      <c r="T1091" s="28" t="s">
        <v>53</v>
      </c>
      <c r="U1091" s="28"/>
      <c r="V1091" s="28"/>
      <c r="W1091" s="43"/>
      <c r="X1091" s="342">
        <f t="shared" si="292"/>
        <v>0</v>
      </c>
      <c r="Y1091" s="342">
        <f t="shared" si="293"/>
        <v>0</v>
      </c>
      <c r="Z1091" s="46">
        <f t="shared" si="294"/>
        <v>0</v>
      </c>
      <c r="AA1091" s="46">
        <f t="shared" si="295"/>
        <v>0</v>
      </c>
      <c r="AB1091" s="43"/>
      <c r="AC1091" s="44"/>
      <c r="AD1091" s="31"/>
      <c r="AE1091" s="31"/>
      <c r="AF1091" s="31"/>
      <c r="AG1091" s="28" t="s">
        <v>53</v>
      </c>
      <c r="AH1091" s="46">
        <f t="shared" si="283"/>
        <v>0</v>
      </c>
      <c r="AI1091" s="43"/>
      <c r="AJ1091" s="28"/>
      <c r="AK1091" s="337"/>
      <c r="AL1091" s="43"/>
      <c r="AM1091" s="44">
        <f t="shared" si="284"/>
        <v>0</v>
      </c>
      <c r="AN1091" s="43"/>
      <c r="AO1091" s="28">
        <f t="shared" si="285"/>
        <v>0</v>
      </c>
      <c r="AP1091" s="43"/>
      <c r="AQ1091" s="323">
        <f t="shared" si="286"/>
        <v>0</v>
      </c>
      <c r="AR1091" s="43"/>
      <c r="AS1091" s="44"/>
    </row>
    <row r="1092" spans="1:45" outlineLevel="1" x14ac:dyDescent="0.25">
      <c r="A1092" s="28">
        <v>85</v>
      </c>
      <c r="B1092" s="43"/>
      <c r="C1092" s="43"/>
      <c r="D1092" s="43"/>
      <c r="E1092" s="43" t="str">
        <f t="shared" si="281"/>
        <v>Padrão 85</v>
      </c>
      <c r="F1092" s="43" t="str">
        <f t="shared" si="282"/>
        <v>Vazio</v>
      </c>
      <c r="G1092" s="46">
        <f t="shared" si="287"/>
        <v>0</v>
      </c>
      <c r="H1092" s="46">
        <f t="shared" si="288"/>
        <v>0</v>
      </c>
      <c r="I1092" s="28"/>
      <c r="J1092" s="337"/>
      <c r="K1092" s="46" t="str">
        <f t="shared" si="289"/>
        <v/>
      </c>
      <c r="L1092" s="46" t="str">
        <f t="shared" si="290"/>
        <v/>
      </c>
      <c r="M1092" s="338">
        <f t="shared" si="291"/>
        <v>0</v>
      </c>
      <c r="N1092" s="43"/>
      <c r="O1092" s="339" t="e">
        <f t="shared" si="263"/>
        <v>#N/A</v>
      </c>
      <c r="P1092" s="340" t="str">
        <f>IFERROR(VLOOKUP(O1092,NCM!$A$3:$D$99,COLUMN(head_porNCM_IPI)-COLUMN(head_porNCM_NCM)+1,FALSE),"")</f>
        <v/>
      </c>
      <c r="Q1092" s="43"/>
      <c r="R1092" s="78"/>
      <c r="S1092" s="341"/>
      <c r="T1092" s="28" t="s">
        <v>53</v>
      </c>
      <c r="U1092" s="28"/>
      <c r="V1092" s="28"/>
      <c r="W1092" s="43"/>
      <c r="X1092" s="342">
        <f t="shared" si="292"/>
        <v>0</v>
      </c>
      <c r="Y1092" s="342">
        <f t="shared" si="293"/>
        <v>0</v>
      </c>
      <c r="Z1092" s="46">
        <f t="shared" si="294"/>
        <v>0</v>
      </c>
      <c r="AA1092" s="46">
        <f t="shared" si="295"/>
        <v>0</v>
      </c>
      <c r="AB1092" s="43"/>
      <c r="AC1092" s="44"/>
      <c r="AD1092" s="31"/>
      <c r="AE1092" s="31"/>
      <c r="AF1092" s="31"/>
      <c r="AG1092" s="28" t="s">
        <v>53</v>
      </c>
      <c r="AH1092" s="46">
        <f t="shared" si="283"/>
        <v>0</v>
      </c>
      <c r="AI1092" s="43"/>
      <c r="AJ1092" s="28"/>
      <c r="AK1092" s="337"/>
      <c r="AL1092" s="43"/>
      <c r="AM1092" s="44">
        <f t="shared" si="284"/>
        <v>0</v>
      </c>
      <c r="AN1092" s="43"/>
      <c r="AO1092" s="28">
        <f t="shared" si="285"/>
        <v>0</v>
      </c>
      <c r="AP1092" s="43"/>
      <c r="AQ1092" s="323">
        <f t="shared" si="286"/>
        <v>0</v>
      </c>
      <c r="AR1092" s="43"/>
      <c r="AS1092" s="44"/>
    </row>
    <row r="1093" spans="1:45" outlineLevel="1" x14ac:dyDescent="0.25">
      <c r="A1093" s="28">
        <v>86</v>
      </c>
      <c r="B1093" s="43"/>
      <c r="C1093" s="43"/>
      <c r="D1093" s="43"/>
      <c r="E1093" s="43" t="str">
        <f t="shared" si="281"/>
        <v>Padrão 86</v>
      </c>
      <c r="F1093" s="43" t="str">
        <f t="shared" si="282"/>
        <v>Vazio</v>
      </c>
      <c r="G1093" s="46">
        <f t="shared" si="287"/>
        <v>0</v>
      </c>
      <c r="H1093" s="46">
        <f t="shared" si="288"/>
        <v>0</v>
      </c>
      <c r="I1093" s="28"/>
      <c r="J1093" s="337"/>
      <c r="K1093" s="46" t="str">
        <f t="shared" si="289"/>
        <v/>
      </c>
      <c r="L1093" s="46" t="str">
        <f t="shared" si="290"/>
        <v/>
      </c>
      <c r="M1093" s="338">
        <f t="shared" si="291"/>
        <v>0</v>
      </c>
      <c r="N1093" s="43"/>
      <c r="O1093" s="339" t="e">
        <f t="shared" si="263"/>
        <v>#N/A</v>
      </c>
      <c r="P1093" s="340" t="str">
        <f>IFERROR(VLOOKUP(O1093,NCM!$A$3:$D$99,COLUMN(head_porNCM_IPI)-COLUMN(head_porNCM_NCM)+1,FALSE),"")</f>
        <v/>
      </c>
      <c r="Q1093" s="43"/>
      <c r="R1093" s="78"/>
      <c r="S1093" s="341"/>
      <c r="T1093" s="28" t="s">
        <v>53</v>
      </c>
      <c r="U1093" s="28"/>
      <c r="V1093" s="28"/>
      <c r="W1093" s="43"/>
      <c r="X1093" s="342">
        <f t="shared" si="292"/>
        <v>0</v>
      </c>
      <c r="Y1093" s="342">
        <f t="shared" si="293"/>
        <v>0</v>
      </c>
      <c r="Z1093" s="46">
        <f t="shared" si="294"/>
        <v>0</v>
      </c>
      <c r="AA1093" s="46">
        <f t="shared" si="295"/>
        <v>0</v>
      </c>
      <c r="AB1093" s="43"/>
      <c r="AC1093" s="44"/>
      <c r="AD1093" s="31"/>
      <c r="AE1093" s="31"/>
      <c r="AF1093" s="31"/>
      <c r="AG1093" s="28" t="s">
        <v>53</v>
      </c>
      <c r="AH1093" s="46">
        <f t="shared" si="283"/>
        <v>0</v>
      </c>
      <c r="AI1093" s="43"/>
      <c r="AJ1093" s="28"/>
      <c r="AK1093" s="337"/>
      <c r="AL1093" s="43"/>
      <c r="AM1093" s="44">
        <f t="shared" si="284"/>
        <v>0</v>
      </c>
      <c r="AN1093" s="43"/>
      <c r="AO1093" s="28">
        <f t="shared" si="285"/>
        <v>0</v>
      </c>
      <c r="AP1093" s="43"/>
      <c r="AQ1093" s="323">
        <f t="shared" si="286"/>
        <v>0</v>
      </c>
      <c r="AR1093" s="43"/>
      <c r="AS1093" s="44"/>
    </row>
    <row r="1094" spans="1:45" outlineLevel="1" x14ac:dyDescent="0.25">
      <c r="A1094" s="28">
        <v>87</v>
      </c>
      <c r="B1094" s="43"/>
      <c r="C1094" s="43"/>
      <c r="D1094" s="43"/>
      <c r="E1094" s="43" t="str">
        <f t="shared" si="281"/>
        <v>Padrão 87</v>
      </c>
      <c r="F1094" s="43" t="str">
        <f t="shared" si="282"/>
        <v>Vazio</v>
      </c>
      <c r="G1094" s="46">
        <f t="shared" si="287"/>
        <v>0</v>
      </c>
      <c r="H1094" s="46">
        <f t="shared" si="288"/>
        <v>0</v>
      </c>
      <c r="I1094" s="28"/>
      <c r="J1094" s="337"/>
      <c r="K1094" s="46" t="str">
        <f t="shared" si="289"/>
        <v/>
      </c>
      <c r="L1094" s="46" t="str">
        <f t="shared" si="290"/>
        <v/>
      </c>
      <c r="M1094" s="338">
        <f t="shared" si="291"/>
        <v>0</v>
      </c>
      <c r="N1094" s="43"/>
      <c r="O1094" s="339" t="e">
        <f t="shared" si="263"/>
        <v>#N/A</v>
      </c>
      <c r="P1094" s="340" t="str">
        <f>IFERROR(VLOOKUP(O1094,NCM!$A$3:$D$99,COLUMN(head_porNCM_IPI)-COLUMN(head_porNCM_NCM)+1,FALSE),"")</f>
        <v/>
      </c>
      <c r="Q1094" s="43"/>
      <c r="R1094" s="78"/>
      <c r="S1094" s="341"/>
      <c r="T1094" s="28" t="s">
        <v>53</v>
      </c>
      <c r="U1094" s="28"/>
      <c r="V1094" s="28"/>
      <c r="W1094" s="43"/>
      <c r="X1094" s="342">
        <f t="shared" si="292"/>
        <v>0</v>
      </c>
      <c r="Y1094" s="342">
        <f t="shared" si="293"/>
        <v>0</v>
      </c>
      <c r="Z1094" s="46">
        <f t="shared" si="294"/>
        <v>0</v>
      </c>
      <c r="AA1094" s="46">
        <f t="shared" si="295"/>
        <v>0</v>
      </c>
      <c r="AB1094" s="43"/>
      <c r="AC1094" s="44"/>
      <c r="AD1094" s="31"/>
      <c r="AE1094" s="31"/>
      <c r="AF1094" s="31"/>
      <c r="AG1094" s="28" t="s">
        <v>53</v>
      </c>
      <c r="AH1094" s="46">
        <f t="shared" si="283"/>
        <v>0</v>
      </c>
      <c r="AI1094" s="43"/>
      <c r="AJ1094" s="28"/>
      <c r="AK1094" s="337"/>
      <c r="AL1094" s="43"/>
      <c r="AM1094" s="44">
        <f t="shared" si="284"/>
        <v>0</v>
      </c>
      <c r="AN1094" s="43"/>
      <c r="AO1094" s="28">
        <f t="shared" si="285"/>
        <v>0</v>
      </c>
      <c r="AP1094" s="43"/>
      <c r="AQ1094" s="323">
        <f t="shared" si="286"/>
        <v>0</v>
      </c>
      <c r="AR1094" s="43"/>
      <c r="AS1094" s="44"/>
    </row>
    <row r="1095" spans="1:45" outlineLevel="1" x14ac:dyDescent="0.25">
      <c r="A1095" s="28">
        <v>88</v>
      </c>
      <c r="B1095" s="43"/>
      <c r="C1095" s="43"/>
      <c r="D1095" s="43"/>
      <c r="E1095" s="43" t="str">
        <f t="shared" si="281"/>
        <v>Padrão 88</v>
      </c>
      <c r="F1095" s="43" t="str">
        <f t="shared" si="282"/>
        <v>Vazio</v>
      </c>
      <c r="G1095" s="46">
        <f t="shared" si="287"/>
        <v>0</v>
      </c>
      <c r="H1095" s="46">
        <f t="shared" si="288"/>
        <v>0</v>
      </c>
      <c r="I1095" s="28"/>
      <c r="J1095" s="337"/>
      <c r="K1095" s="46" t="str">
        <f t="shared" si="289"/>
        <v/>
      </c>
      <c r="L1095" s="46" t="str">
        <f t="shared" si="290"/>
        <v/>
      </c>
      <c r="M1095" s="338">
        <f t="shared" si="291"/>
        <v>0</v>
      </c>
      <c r="N1095" s="43"/>
      <c r="O1095" s="339" t="e">
        <f t="shared" si="263"/>
        <v>#N/A</v>
      </c>
      <c r="P1095" s="340" t="str">
        <f>IFERROR(VLOOKUP(O1095,NCM!$A$3:$D$99,COLUMN(head_porNCM_IPI)-COLUMN(head_porNCM_NCM)+1,FALSE),"")</f>
        <v/>
      </c>
      <c r="Q1095" s="43"/>
      <c r="R1095" s="78"/>
      <c r="S1095" s="341"/>
      <c r="T1095" s="28" t="s">
        <v>53</v>
      </c>
      <c r="U1095" s="28"/>
      <c r="V1095" s="28"/>
      <c r="W1095" s="43"/>
      <c r="X1095" s="342">
        <f t="shared" si="292"/>
        <v>0</v>
      </c>
      <c r="Y1095" s="342">
        <f t="shared" si="293"/>
        <v>0</v>
      </c>
      <c r="Z1095" s="46">
        <f t="shared" si="294"/>
        <v>0</v>
      </c>
      <c r="AA1095" s="46">
        <f t="shared" si="295"/>
        <v>0</v>
      </c>
      <c r="AB1095" s="43"/>
      <c r="AC1095" s="44"/>
      <c r="AD1095" s="31"/>
      <c r="AE1095" s="31"/>
      <c r="AF1095" s="31"/>
      <c r="AG1095" s="28" t="s">
        <v>53</v>
      </c>
      <c r="AH1095" s="46">
        <f t="shared" si="283"/>
        <v>0</v>
      </c>
      <c r="AI1095" s="43"/>
      <c r="AJ1095" s="28"/>
      <c r="AK1095" s="337"/>
      <c r="AL1095" s="43"/>
      <c r="AM1095" s="44">
        <f t="shared" si="284"/>
        <v>0</v>
      </c>
      <c r="AN1095" s="43"/>
      <c r="AO1095" s="28">
        <f t="shared" si="285"/>
        <v>0</v>
      </c>
      <c r="AP1095" s="43"/>
      <c r="AQ1095" s="323">
        <f t="shared" si="286"/>
        <v>0</v>
      </c>
      <c r="AR1095" s="43"/>
      <c r="AS1095" s="44"/>
    </row>
    <row r="1096" spans="1:45" outlineLevel="1" x14ac:dyDescent="0.25">
      <c r="A1096" s="28">
        <v>89</v>
      </c>
      <c r="B1096" s="43"/>
      <c r="C1096" s="43"/>
      <c r="D1096" s="43"/>
      <c r="E1096" s="43" t="str">
        <f t="shared" si="281"/>
        <v>Padrão 89</v>
      </c>
      <c r="F1096" s="43" t="str">
        <f t="shared" si="282"/>
        <v>Vazio</v>
      </c>
      <c r="G1096" s="46">
        <f t="shared" si="287"/>
        <v>0</v>
      </c>
      <c r="H1096" s="46">
        <f t="shared" si="288"/>
        <v>0</v>
      </c>
      <c r="I1096" s="28"/>
      <c r="J1096" s="337"/>
      <c r="K1096" s="46" t="str">
        <f t="shared" si="289"/>
        <v/>
      </c>
      <c r="L1096" s="46" t="str">
        <f t="shared" si="290"/>
        <v/>
      </c>
      <c r="M1096" s="338">
        <f t="shared" si="291"/>
        <v>0</v>
      </c>
      <c r="N1096" s="43"/>
      <c r="O1096" s="339" t="e">
        <f t="shared" si="263"/>
        <v>#N/A</v>
      </c>
      <c r="P1096" s="340" t="str">
        <f>IFERROR(VLOOKUP(O1096,NCM!$A$3:$D$99,COLUMN(head_porNCM_IPI)-COLUMN(head_porNCM_NCM)+1,FALSE),"")</f>
        <v/>
      </c>
      <c r="Q1096" s="43"/>
      <c r="R1096" s="78"/>
      <c r="S1096" s="341"/>
      <c r="T1096" s="28" t="s">
        <v>53</v>
      </c>
      <c r="U1096" s="28"/>
      <c r="V1096" s="28"/>
      <c r="W1096" s="43"/>
      <c r="X1096" s="342">
        <f t="shared" si="292"/>
        <v>0</v>
      </c>
      <c r="Y1096" s="342">
        <f t="shared" si="293"/>
        <v>0</v>
      </c>
      <c r="Z1096" s="46">
        <f t="shared" si="294"/>
        <v>0</v>
      </c>
      <c r="AA1096" s="46">
        <f t="shared" si="295"/>
        <v>0</v>
      </c>
      <c r="AB1096" s="43"/>
      <c r="AC1096" s="44"/>
      <c r="AD1096" s="31"/>
      <c r="AE1096" s="31"/>
      <c r="AF1096" s="31"/>
      <c r="AG1096" s="28" t="s">
        <v>53</v>
      </c>
      <c r="AH1096" s="46">
        <f t="shared" si="283"/>
        <v>0</v>
      </c>
      <c r="AI1096" s="43"/>
      <c r="AJ1096" s="28"/>
      <c r="AK1096" s="337"/>
      <c r="AL1096" s="43"/>
      <c r="AM1096" s="44">
        <f t="shared" si="284"/>
        <v>0</v>
      </c>
      <c r="AN1096" s="43"/>
      <c r="AO1096" s="28">
        <f t="shared" si="285"/>
        <v>0</v>
      </c>
      <c r="AP1096" s="43"/>
      <c r="AQ1096" s="323">
        <f t="shared" si="286"/>
        <v>0</v>
      </c>
      <c r="AR1096" s="43"/>
      <c r="AS1096" s="44"/>
    </row>
    <row r="1097" spans="1:45" outlineLevel="1" x14ac:dyDescent="0.25">
      <c r="A1097" s="28">
        <v>90</v>
      </c>
      <c r="B1097" s="43"/>
      <c r="C1097" s="43"/>
      <c r="D1097" s="43"/>
      <c r="E1097" s="43" t="str">
        <f t="shared" si="281"/>
        <v>Padrão 90</v>
      </c>
      <c r="F1097" s="43" t="str">
        <f t="shared" si="282"/>
        <v>Vazio</v>
      </c>
      <c r="G1097" s="46">
        <f t="shared" si="287"/>
        <v>0</v>
      </c>
      <c r="H1097" s="46">
        <f t="shared" si="288"/>
        <v>0</v>
      </c>
      <c r="I1097" s="28"/>
      <c r="J1097" s="337"/>
      <c r="K1097" s="46" t="str">
        <f t="shared" si="289"/>
        <v/>
      </c>
      <c r="L1097" s="46" t="str">
        <f t="shared" si="290"/>
        <v/>
      </c>
      <c r="M1097" s="338">
        <f t="shared" si="291"/>
        <v>0</v>
      </c>
      <c r="N1097" s="43"/>
      <c r="O1097" s="339" t="e">
        <f t="shared" si="263"/>
        <v>#N/A</v>
      </c>
      <c r="P1097" s="340" t="str">
        <f>IFERROR(VLOOKUP(O1097,NCM!$A$3:$D$99,COLUMN(head_porNCM_IPI)-COLUMN(head_porNCM_NCM)+1,FALSE),"")</f>
        <v/>
      </c>
      <c r="Q1097" s="43"/>
      <c r="R1097" s="78"/>
      <c r="S1097" s="341"/>
      <c r="T1097" s="28" t="s">
        <v>53</v>
      </c>
      <c r="U1097" s="28"/>
      <c r="V1097" s="28"/>
      <c r="W1097" s="43"/>
      <c r="X1097" s="342">
        <f t="shared" si="292"/>
        <v>0</v>
      </c>
      <c r="Y1097" s="342">
        <f t="shared" si="293"/>
        <v>0</v>
      </c>
      <c r="Z1097" s="46">
        <f t="shared" si="294"/>
        <v>0</v>
      </c>
      <c r="AA1097" s="46">
        <f t="shared" si="295"/>
        <v>0</v>
      </c>
      <c r="AB1097" s="43"/>
      <c r="AC1097" s="44"/>
      <c r="AD1097" s="31"/>
      <c r="AE1097" s="31"/>
      <c r="AF1097" s="31"/>
      <c r="AG1097" s="28" t="s">
        <v>53</v>
      </c>
      <c r="AH1097" s="46">
        <f t="shared" si="283"/>
        <v>0</v>
      </c>
      <c r="AI1097" s="43"/>
      <c r="AJ1097" s="28"/>
      <c r="AK1097" s="337"/>
      <c r="AL1097" s="43"/>
      <c r="AM1097" s="44">
        <f t="shared" si="284"/>
        <v>0</v>
      </c>
      <c r="AN1097" s="43"/>
      <c r="AO1097" s="28">
        <f t="shared" si="285"/>
        <v>0</v>
      </c>
      <c r="AP1097" s="43"/>
      <c r="AQ1097" s="323">
        <f t="shared" si="286"/>
        <v>0</v>
      </c>
      <c r="AR1097" s="43"/>
      <c r="AS1097" s="44"/>
    </row>
    <row r="1098" spans="1:45" outlineLevel="1" x14ac:dyDescent="0.25">
      <c r="A1098" s="28">
        <v>91</v>
      </c>
      <c r="B1098" s="43"/>
      <c r="C1098" s="43"/>
      <c r="D1098" s="43"/>
      <c r="E1098" s="43" t="str">
        <f t="shared" si="281"/>
        <v>Padrão 91</v>
      </c>
      <c r="F1098" s="43" t="str">
        <f t="shared" si="282"/>
        <v>Vazio</v>
      </c>
      <c r="G1098" s="46">
        <f t="shared" si="287"/>
        <v>0</v>
      </c>
      <c r="H1098" s="46">
        <f t="shared" si="288"/>
        <v>0</v>
      </c>
      <c r="I1098" s="28"/>
      <c r="J1098" s="337"/>
      <c r="K1098" s="46" t="str">
        <f t="shared" si="289"/>
        <v/>
      </c>
      <c r="L1098" s="46" t="str">
        <f t="shared" si="290"/>
        <v/>
      </c>
      <c r="M1098" s="338">
        <f t="shared" si="291"/>
        <v>0</v>
      </c>
      <c r="N1098" s="43"/>
      <c r="O1098" s="339" t="e">
        <f t="shared" si="263"/>
        <v>#N/A</v>
      </c>
      <c r="P1098" s="340" t="str">
        <f>IFERROR(VLOOKUP(O1098,NCM!$A$3:$D$99,COLUMN(head_porNCM_IPI)-COLUMN(head_porNCM_NCM)+1,FALSE),"")</f>
        <v/>
      </c>
      <c r="Q1098" s="43"/>
      <c r="R1098" s="78"/>
      <c r="S1098" s="341"/>
      <c r="T1098" s="28" t="s">
        <v>53</v>
      </c>
      <c r="U1098" s="28"/>
      <c r="V1098" s="28"/>
      <c r="W1098" s="43"/>
      <c r="X1098" s="342">
        <f t="shared" si="292"/>
        <v>0</v>
      </c>
      <c r="Y1098" s="342">
        <f t="shared" si="293"/>
        <v>0</v>
      </c>
      <c r="Z1098" s="46">
        <f t="shared" si="294"/>
        <v>0</v>
      </c>
      <c r="AA1098" s="46">
        <f t="shared" si="295"/>
        <v>0</v>
      </c>
      <c r="AB1098" s="43"/>
      <c r="AC1098" s="44"/>
      <c r="AD1098" s="31"/>
      <c r="AE1098" s="31"/>
      <c r="AF1098" s="31"/>
      <c r="AG1098" s="28" t="s">
        <v>53</v>
      </c>
      <c r="AH1098" s="46">
        <f t="shared" si="283"/>
        <v>0</v>
      </c>
      <c r="AI1098" s="43"/>
      <c r="AJ1098" s="28"/>
      <c r="AK1098" s="337"/>
      <c r="AL1098" s="43"/>
      <c r="AM1098" s="44">
        <f t="shared" si="284"/>
        <v>0</v>
      </c>
      <c r="AN1098" s="43"/>
      <c r="AO1098" s="28">
        <f t="shared" si="285"/>
        <v>0</v>
      </c>
      <c r="AP1098" s="43"/>
      <c r="AQ1098" s="323">
        <f t="shared" si="286"/>
        <v>0</v>
      </c>
      <c r="AR1098" s="43"/>
      <c r="AS1098" s="44"/>
    </row>
    <row r="1099" spans="1:45" outlineLevel="1" x14ac:dyDescent="0.25">
      <c r="A1099" s="28">
        <v>92</v>
      </c>
      <c r="B1099" s="43"/>
      <c r="C1099" s="43"/>
      <c r="D1099" s="43"/>
      <c r="E1099" s="43" t="str">
        <f t="shared" si="281"/>
        <v>Padrão 92</v>
      </c>
      <c r="F1099" s="43" t="str">
        <f t="shared" si="282"/>
        <v>Vazio</v>
      </c>
      <c r="G1099" s="46">
        <f t="shared" si="287"/>
        <v>0</v>
      </c>
      <c r="H1099" s="46">
        <f t="shared" si="288"/>
        <v>0</v>
      </c>
      <c r="I1099" s="28"/>
      <c r="J1099" s="337"/>
      <c r="K1099" s="46" t="str">
        <f t="shared" si="289"/>
        <v/>
      </c>
      <c r="L1099" s="46" t="str">
        <f t="shared" si="290"/>
        <v/>
      </c>
      <c r="M1099" s="338">
        <f t="shared" si="291"/>
        <v>0</v>
      </c>
      <c r="N1099" s="43"/>
      <c r="O1099" s="339" t="e">
        <f t="shared" si="263"/>
        <v>#N/A</v>
      </c>
      <c r="P1099" s="340" t="str">
        <f>IFERROR(VLOOKUP(O1099,NCM!$A$3:$D$99,COLUMN(head_porNCM_IPI)-COLUMN(head_porNCM_NCM)+1,FALSE),"")</f>
        <v/>
      </c>
      <c r="Q1099" s="43"/>
      <c r="R1099" s="78"/>
      <c r="S1099" s="341"/>
      <c r="T1099" s="28" t="s">
        <v>53</v>
      </c>
      <c r="U1099" s="28"/>
      <c r="V1099" s="28"/>
      <c r="W1099" s="43"/>
      <c r="X1099" s="342">
        <f t="shared" si="292"/>
        <v>0</v>
      </c>
      <c r="Y1099" s="342">
        <f t="shared" si="293"/>
        <v>0</v>
      </c>
      <c r="Z1099" s="46">
        <f t="shared" si="294"/>
        <v>0</v>
      </c>
      <c r="AA1099" s="46">
        <f t="shared" si="295"/>
        <v>0</v>
      </c>
      <c r="AB1099" s="43"/>
      <c r="AC1099" s="44"/>
      <c r="AD1099" s="31"/>
      <c r="AE1099" s="31"/>
      <c r="AF1099" s="31"/>
      <c r="AG1099" s="28" t="s">
        <v>53</v>
      </c>
      <c r="AH1099" s="46">
        <f t="shared" si="283"/>
        <v>0</v>
      </c>
      <c r="AI1099" s="43"/>
      <c r="AJ1099" s="28"/>
      <c r="AK1099" s="337"/>
      <c r="AL1099" s="43"/>
      <c r="AM1099" s="44">
        <f t="shared" si="284"/>
        <v>0</v>
      </c>
      <c r="AN1099" s="43"/>
      <c r="AO1099" s="28">
        <f t="shared" si="285"/>
        <v>0</v>
      </c>
      <c r="AP1099" s="43"/>
      <c r="AQ1099" s="323">
        <f t="shared" si="286"/>
        <v>0</v>
      </c>
      <c r="AR1099" s="43"/>
      <c r="AS1099" s="44"/>
    </row>
    <row r="1100" spans="1:45" outlineLevel="1" x14ac:dyDescent="0.25">
      <c r="A1100" s="28">
        <v>93</v>
      </c>
      <c r="B1100" s="43"/>
      <c r="C1100" s="43"/>
      <c r="D1100" s="43"/>
      <c r="E1100" s="43" t="str">
        <f t="shared" si="281"/>
        <v>Padrão 93</v>
      </c>
      <c r="F1100" s="43" t="str">
        <f t="shared" si="282"/>
        <v>Vazio</v>
      </c>
      <c r="G1100" s="46">
        <f t="shared" si="287"/>
        <v>0</v>
      </c>
      <c r="H1100" s="46">
        <f t="shared" si="288"/>
        <v>0</v>
      </c>
      <c r="I1100" s="28"/>
      <c r="J1100" s="337"/>
      <c r="K1100" s="46" t="str">
        <f t="shared" si="289"/>
        <v/>
      </c>
      <c r="L1100" s="46" t="str">
        <f t="shared" si="290"/>
        <v/>
      </c>
      <c r="M1100" s="338">
        <f t="shared" si="291"/>
        <v>0</v>
      </c>
      <c r="N1100" s="43"/>
      <c r="O1100" s="339" t="e">
        <f t="shared" si="263"/>
        <v>#N/A</v>
      </c>
      <c r="P1100" s="340" t="str">
        <f>IFERROR(VLOOKUP(O1100,NCM!$A$3:$D$99,COLUMN(head_porNCM_IPI)-COLUMN(head_porNCM_NCM)+1,FALSE),"")</f>
        <v/>
      </c>
      <c r="Q1100" s="43"/>
      <c r="R1100" s="78"/>
      <c r="S1100" s="341"/>
      <c r="T1100" s="28" t="s">
        <v>53</v>
      </c>
      <c r="U1100" s="28"/>
      <c r="V1100" s="28"/>
      <c r="W1100" s="43"/>
      <c r="X1100" s="342">
        <f t="shared" si="292"/>
        <v>0</v>
      </c>
      <c r="Y1100" s="342">
        <f t="shared" si="293"/>
        <v>0</v>
      </c>
      <c r="Z1100" s="46">
        <f t="shared" si="294"/>
        <v>0</v>
      </c>
      <c r="AA1100" s="46">
        <f t="shared" si="295"/>
        <v>0</v>
      </c>
      <c r="AB1100" s="43"/>
      <c r="AC1100" s="44"/>
      <c r="AD1100" s="31"/>
      <c r="AE1100" s="31"/>
      <c r="AF1100" s="31"/>
      <c r="AG1100" s="28" t="s">
        <v>53</v>
      </c>
      <c r="AH1100" s="46">
        <f t="shared" si="283"/>
        <v>0</v>
      </c>
      <c r="AI1100" s="43"/>
      <c r="AJ1100" s="28"/>
      <c r="AK1100" s="337"/>
      <c r="AL1100" s="43"/>
      <c r="AM1100" s="44">
        <f t="shared" si="284"/>
        <v>0</v>
      </c>
      <c r="AN1100" s="43"/>
      <c r="AO1100" s="28">
        <f t="shared" si="285"/>
        <v>0</v>
      </c>
      <c r="AP1100" s="43"/>
      <c r="AQ1100" s="323">
        <f t="shared" si="286"/>
        <v>0</v>
      </c>
      <c r="AR1100" s="43"/>
      <c r="AS1100" s="44"/>
    </row>
    <row r="1101" spans="1:45" outlineLevel="1" x14ac:dyDescent="0.25">
      <c r="A1101" s="28">
        <v>94</v>
      </c>
      <c r="B1101" s="43"/>
      <c r="C1101" s="43"/>
      <c r="D1101" s="43"/>
      <c r="E1101" s="43" t="str">
        <f t="shared" si="281"/>
        <v>Padrão 94</v>
      </c>
      <c r="F1101" s="43" t="str">
        <f t="shared" si="282"/>
        <v>Vazio</v>
      </c>
      <c r="G1101" s="46">
        <f t="shared" si="287"/>
        <v>0</v>
      </c>
      <c r="H1101" s="46">
        <f t="shared" si="288"/>
        <v>0</v>
      </c>
      <c r="I1101" s="28"/>
      <c r="J1101" s="337"/>
      <c r="K1101" s="46" t="str">
        <f t="shared" si="289"/>
        <v/>
      </c>
      <c r="L1101" s="46" t="str">
        <f t="shared" si="290"/>
        <v/>
      </c>
      <c r="M1101" s="338">
        <f t="shared" si="291"/>
        <v>0</v>
      </c>
      <c r="N1101" s="43"/>
      <c r="O1101" s="339" t="e">
        <f t="shared" si="263"/>
        <v>#N/A</v>
      </c>
      <c r="P1101" s="340" t="str">
        <f>IFERROR(VLOOKUP(O1101,NCM!$A$3:$D$99,COLUMN(head_porNCM_IPI)-COLUMN(head_porNCM_NCM)+1,FALSE),"")</f>
        <v/>
      </c>
      <c r="Q1101" s="43"/>
      <c r="R1101" s="78"/>
      <c r="S1101" s="341"/>
      <c r="T1101" s="28" t="s">
        <v>53</v>
      </c>
      <c r="U1101" s="28"/>
      <c r="V1101" s="28"/>
      <c r="W1101" s="43"/>
      <c r="X1101" s="342">
        <f t="shared" si="292"/>
        <v>0</v>
      </c>
      <c r="Y1101" s="342">
        <f t="shared" si="293"/>
        <v>0</v>
      </c>
      <c r="Z1101" s="46">
        <f t="shared" si="294"/>
        <v>0</v>
      </c>
      <c r="AA1101" s="46">
        <f t="shared" si="295"/>
        <v>0</v>
      </c>
      <c r="AB1101" s="43"/>
      <c r="AC1101" s="44"/>
      <c r="AD1101" s="31"/>
      <c r="AE1101" s="31"/>
      <c r="AF1101" s="31"/>
      <c r="AG1101" s="28" t="s">
        <v>53</v>
      </c>
      <c r="AH1101" s="46">
        <f t="shared" si="283"/>
        <v>0</v>
      </c>
      <c r="AI1101" s="43"/>
      <c r="AJ1101" s="28"/>
      <c r="AK1101" s="337"/>
      <c r="AL1101" s="43"/>
      <c r="AM1101" s="44">
        <f t="shared" si="284"/>
        <v>0</v>
      </c>
      <c r="AN1101" s="43"/>
      <c r="AO1101" s="28">
        <f t="shared" si="285"/>
        <v>0</v>
      </c>
      <c r="AP1101" s="43"/>
      <c r="AQ1101" s="323">
        <f t="shared" si="286"/>
        <v>0</v>
      </c>
      <c r="AR1101" s="43"/>
      <c r="AS1101" s="44"/>
    </row>
    <row r="1102" spans="1:45" outlineLevel="1" x14ac:dyDescent="0.25">
      <c r="A1102" s="28">
        <v>95</v>
      </c>
      <c r="B1102" s="43"/>
      <c r="C1102" s="43"/>
      <c r="D1102" s="43"/>
      <c r="E1102" s="43" t="str">
        <f t="shared" si="281"/>
        <v>Padrão 95</v>
      </c>
      <c r="F1102" s="43" t="str">
        <f t="shared" si="282"/>
        <v>Vazio</v>
      </c>
      <c r="G1102" s="46">
        <f t="shared" si="287"/>
        <v>0</v>
      </c>
      <c r="H1102" s="46">
        <f t="shared" si="288"/>
        <v>0</v>
      </c>
      <c r="I1102" s="28"/>
      <c r="J1102" s="337"/>
      <c r="K1102" s="46" t="str">
        <f t="shared" si="289"/>
        <v/>
      </c>
      <c r="L1102" s="46" t="str">
        <f t="shared" si="290"/>
        <v/>
      </c>
      <c r="M1102" s="338">
        <f t="shared" si="291"/>
        <v>0</v>
      </c>
      <c r="N1102" s="43"/>
      <c r="O1102" s="339" t="e">
        <f t="shared" si="263"/>
        <v>#N/A</v>
      </c>
      <c r="P1102" s="340" t="str">
        <f>IFERROR(VLOOKUP(O1102,NCM!$A$3:$D$99,COLUMN(head_porNCM_IPI)-COLUMN(head_porNCM_NCM)+1,FALSE),"")</f>
        <v/>
      </c>
      <c r="Q1102" s="43"/>
      <c r="R1102" s="78"/>
      <c r="S1102" s="341"/>
      <c r="T1102" s="28" t="s">
        <v>53</v>
      </c>
      <c r="U1102" s="28"/>
      <c r="V1102" s="28"/>
      <c r="W1102" s="43"/>
      <c r="X1102" s="342">
        <f t="shared" si="292"/>
        <v>0</v>
      </c>
      <c r="Y1102" s="342">
        <f t="shared" si="293"/>
        <v>0</v>
      </c>
      <c r="Z1102" s="46">
        <f t="shared" si="294"/>
        <v>0</v>
      </c>
      <c r="AA1102" s="46">
        <f t="shared" si="295"/>
        <v>0</v>
      </c>
      <c r="AB1102" s="43"/>
      <c r="AC1102" s="44"/>
      <c r="AD1102" s="31"/>
      <c r="AE1102" s="31"/>
      <c r="AF1102" s="31"/>
      <c r="AG1102" s="28" t="s">
        <v>53</v>
      </c>
      <c r="AH1102" s="46">
        <f t="shared" si="283"/>
        <v>0</v>
      </c>
      <c r="AI1102" s="43"/>
      <c r="AJ1102" s="28"/>
      <c r="AK1102" s="337"/>
      <c r="AL1102" s="43"/>
      <c r="AM1102" s="44">
        <f t="shared" si="284"/>
        <v>0</v>
      </c>
      <c r="AN1102" s="43"/>
      <c r="AO1102" s="28">
        <f t="shared" si="285"/>
        <v>0</v>
      </c>
      <c r="AP1102" s="43"/>
      <c r="AQ1102" s="323">
        <f t="shared" si="286"/>
        <v>0</v>
      </c>
      <c r="AR1102" s="43"/>
      <c r="AS1102" s="44"/>
    </row>
    <row r="1103" spans="1:45" outlineLevel="1" x14ac:dyDescent="0.25">
      <c r="A1103" s="28">
        <v>96</v>
      </c>
      <c r="B1103" s="43"/>
      <c r="C1103" s="43"/>
      <c r="D1103" s="43"/>
      <c r="E1103" s="43" t="str">
        <f t="shared" si="281"/>
        <v>Padrão 96</v>
      </c>
      <c r="F1103" s="43" t="str">
        <f t="shared" si="282"/>
        <v>Vazio</v>
      </c>
      <c r="G1103" s="46">
        <f t="shared" si="287"/>
        <v>0</v>
      </c>
      <c r="H1103" s="46">
        <f t="shared" si="288"/>
        <v>0</v>
      </c>
      <c r="I1103" s="28"/>
      <c r="J1103" s="337"/>
      <c r="K1103" s="46" t="str">
        <f t="shared" si="289"/>
        <v/>
      </c>
      <c r="L1103" s="46" t="str">
        <f t="shared" si="290"/>
        <v/>
      </c>
      <c r="M1103" s="338">
        <f t="shared" si="291"/>
        <v>0</v>
      </c>
      <c r="N1103" s="43"/>
      <c r="O1103" s="339" t="e">
        <f t="shared" si="263"/>
        <v>#N/A</v>
      </c>
      <c r="P1103" s="340" t="str">
        <f>IFERROR(VLOOKUP(O1103,NCM!$A$3:$D$99,COLUMN(head_porNCM_IPI)-COLUMN(head_porNCM_NCM)+1,FALSE),"")</f>
        <v/>
      </c>
      <c r="Q1103" s="43"/>
      <c r="R1103" s="78"/>
      <c r="S1103" s="341"/>
      <c r="T1103" s="28" t="s">
        <v>53</v>
      </c>
      <c r="U1103" s="28"/>
      <c r="V1103" s="28"/>
      <c r="W1103" s="43"/>
      <c r="X1103" s="342">
        <f t="shared" si="292"/>
        <v>0</v>
      </c>
      <c r="Y1103" s="342">
        <f t="shared" si="293"/>
        <v>0</v>
      </c>
      <c r="Z1103" s="46">
        <f t="shared" si="294"/>
        <v>0</v>
      </c>
      <c r="AA1103" s="46">
        <f t="shared" si="295"/>
        <v>0</v>
      </c>
      <c r="AB1103" s="43"/>
      <c r="AC1103" s="44"/>
      <c r="AD1103" s="31"/>
      <c r="AE1103" s="31"/>
      <c r="AF1103" s="31"/>
      <c r="AG1103" s="28" t="s">
        <v>53</v>
      </c>
      <c r="AH1103" s="46">
        <f t="shared" si="283"/>
        <v>0</v>
      </c>
      <c r="AI1103" s="43"/>
      <c r="AJ1103" s="28"/>
      <c r="AK1103" s="337"/>
      <c r="AL1103" s="43"/>
      <c r="AM1103" s="44">
        <f t="shared" si="284"/>
        <v>0</v>
      </c>
      <c r="AN1103" s="43"/>
      <c r="AO1103" s="28">
        <f t="shared" si="285"/>
        <v>0</v>
      </c>
      <c r="AP1103" s="43"/>
      <c r="AQ1103" s="323">
        <f t="shared" si="286"/>
        <v>0</v>
      </c>
      <c r="AR1103" s="43"/>
      <c r="AS1103" s="44"/>
    </row>
    <row r="1104" spans="1:45" outlineLevel="1" x14ac:dyDescent="0.25">
      <c r="A1104" s="28">
        <v>97</v>
      </c>
      <c r="B1104" s="43"/>
      <c r="C1104" s="43"/>
      <c r="D1104" s="43"/>
      <c r="E1104" s="43" t="str">
        <f t="shared" si="281"/>
        <v>Padrão 97</v>
      </c>
      <c r="F1104" s="43" t="str">
        <f t="shared" si="282"/>
        <v>Vazio</v>
      </c>
      <c r="G1104" s="46">
        <f t="shared" si="287"/>
        <v>0</v>
      </c>
      <c r="H1104" s="46">
        <f t="shared" si="288"/>
        <v>0</v>
      </c>
      <c r="I1104" s="28"/>
      <c r="J1104" s="337"/>
      <c r="K1104" s="46" t="str">
        <f t="shared" si="289"/>
        <v/>
      </c>
      <c r="L1104" s="46" t="str">
        <f t="shared" si="290"/>
        <v/>
      </c>
      <c r="M1104" s="338">
        <f t="shared" si="291"/>
        <v>0</v>
      </c>
      <c r="N1104" s="43"/>
      <c r="O1104" s="339" t="e">
        <f t="shared" si="263"/>
        <v>#N/A</v>
      </c>
      <c r="P1104" s="340" t="str">
        <f>IFERROR(VLOOKUP(O1104,NCM!$A$3:$D$99,COLUMN(head_porNCM_IPI)-COLUMN(head_porNCM_NCM)+1,FALSE),"")</f>
        <v/>
      </c>
      <c r="Q1104" s="43"/>
      <c r="R1104" s="78"/>
      <c r="S1104" s="341"/>
      <c r="T1104" s="28" t="s">
        <v>53</v>
      </c>
      <c r="U1104" s="28"/>
      <c r="V1104" s="28"/>
      <c r="W1104" s="43"/>
      <c r="X1104" s="342">
        <f t="shared" si="292"/>
        <v>0</v>
      </c>
      <c r="Y1104" s="342">
        <f t="shared" si="293"/>
        <v>0</v>
      </c>
      <c r="Z1104" s="46">
        <f t="shared" si="294"/>
        <v>0</v>
      </c>
      <c r="AA1104" s="46">
        <f t="shared" si="295"/>
        <v>0</v>
      </c>
      <c r="AB1104" s="43"/>
      <c r="AC1104" s="44"/>
      <c r="AD1104" s="31"/>
      <c r="AE1104" s="31"/>
      <c r="AF1104" s="31"/>
      <c r="AG1104" s="28" t="s">
        <v>53</v>
      </c>
      <c r="AH1104" s="46">
        <f t="shared" si="283"/>
        <v>0</v>
      </c>
      <c r="AI1104" s="43"/>
      <c r="AJ1104" s="28"/>
      <c r="AK1104" s="337"/>
      <c r="AL1104" s="43"/>
      <c r="AM1104" s="44">
        <f t="shared" si="284"/>
        <v>0</v>
      </c>
      <c r="AN1104" s="43"/>
      <c r="AO1104" s="28">
        <f t="shared" si="285"/>
        <v>0</v>
      </c>
      <c r="AP1104" s="43"/>
      <c r="AQ1104" s="323">
        <f t="shared" si="286"/>
        <v>0</v>
      </c>
      <c r="AR1104" s="43"/>
      <c r="AS1104" s="44"/>
    </row>
    <row r="1105" spans="1:45" outlineLevel="1" x14ac:dyDescent="0.25">
      <c r="A1105" s="28">
        <v>98</v>
      </c>
      <c r="B1105" s="43"/>
      <c r="C1105" s="43"/>
      <c r="D1105" s="43"/>
      <c r="E1105" s="43" t="str">
        <f t="shared" si="281"/>
        <v>Padrão 98</v>
      </c>
      <c r="F1105" s="43" t="str">
        <f t="shared" si="282"/>
        <v>Vazio</v>
      </c>
      <c r="G1105" s="46">
        <f t="shared" si="287"/>
        <v>0</v>
      </c>
      <c r="H1105" s="46">
        <f t="shared" si="288"/>
        <v>0</v>
      </c>
      <c r="I1105" s="28"/>
      <c r="J1105" s="337"/>
      <c r="K1105" s="46" t="str">
        <f t="shared" si="289"/>
        <v/>
      </c>
      <c r="L1105" s="46" t="str">
        <f t="shared" si="290"/>
        <v/>
      </c>
      <c r="M1105" s="338">
        <f t="shared" si="291"/>
        <v>0</v>
      </c>
      <c r="N1105" s="43"/>
      <c r="O1105" s="339" t="e">
        <f t="shared" si="263"/>
        <v>#N/A</v>
      </c>
      <c r="P1105" s="340" t="str">
        <f>IFERROR(VLOOKUP(O1105,NCM!$A$3:$D$99,COLUMN(head_porNCM_IPI)-COLUMN(head_porNCM_NCM)+1,FALSE),"")</f>
        <v/>
      </c>
      <c r="Q1105" s="43"/>
      <c r="R1105" s="78"/>
      <c r="S1105" s="341"/>
      <c r="T1105" s="28" t="s">
        <v>53</v>
      </c>
      <c r="U1105" s="28"/>
      <c r="V1105" s="28"/>
      <c r="W1105" s="43"/>
      <c r="X1105" s="342">
        <f t="shared" si="292"/>
        <v>0</v>
      </c>
      <c r="Y1105" s="342">
        <f t="shared" si="293"/>
        <v>0</v>
      </c>
      <c r="Z1105" s="46">
        <f t="shared" si="294"/>
        <v>0</v>
      </c>
      <c r="AA1105" s="46">
        <f t="shared" si="295"/>
        <v>0</v>
      </c>
      <c r="AB1105" s="43"/>
      <c r="AC1105" s="44"/>
      <c r="AD1105" s="31"/>
      <c r="AE1105" s="31"/>
      <c r="AF1105" s="31"/>
      <c r="AG1105" s="28" t="s">
        <v>53</v>
      </c>
      <c r="AH1105" s="46">
        <f t="shared" si="283"/>
        <v>0</v>
      </c>
      <c r="AI1105" s="43"/>
      <c r="AJ1105" s="28"/>
      <c r="AK1105" s="337"/>
      <c r="AL1105" s="43"/>
      <c r="AM1105" s="44">
        <f t="shared" si="284"/>
        <v>0</v>
      </c>
      <c r="AN1105" s="43"/>
      <c r="AO1105" s="28">
        <f t="shared" si="285"/>
        <v>0</v>
      </c>
      <c r="AP1105" s="43"/>
      <c r="AQ1105" s="323">
        <f t="shared" si="286"/>
        <v>0</v>
      </c>
      <c r="AR1105" s="43"/>
      <c r="AS1105" s="44"/>
    </row>
    <row r="1106" spans="1:45" outlineLevel="1" x14ac:dyDescent="0.25">
      <c r="A1106" s="28">
        <v>99</v>
      </c>
      <c r="B1106" s="43"/>
      <c r="C1106" s="43"/>
      <c r="D1106" s="43"/>
      <c r="E1106" s="43" t="str">
        <f t="shared" si="281"/>
        <v>Padrão 99</v>
      </c>
      <c r="F1106" s="43" t="str">
        <f t="shared" si="282"/>
        <v>Vazio</v>
      </c>
      <c r="G1106" s="46">
        <f t="shared" si="287"/>
        <v>0</v>
      </c>
      <c r="H1106" s="46">
        <f t="shared" si="288"/>
        <v>0</v>
      </c>
      <c r="I1106" s="28"/>
      <c r="J1106" s="337"/>
      <c r="K1106" s="46" t="str">
        <f t="shared" si="289"/>
        <v/>
      </c>
      <c r="L1106" s="46" t="str">
        <f t="shared" si="290"/>
        <v/>
      </c>
      <c r="M1106" s="338">
        <f t="shared" si="291"/>
        <v>0</v>
      </c>
      <c r="N1106" s="43"/>
      <c r="O1106" s="339" t="e">
        <f t="shared" si="263"/>
        <v>#N/A</v>
      </c>
      <c r="P1106" s="340" t="str">
        <f>IFERROR(VLOOKUP(O1106,NCM!$A$3:$D$99,COLUMN(head_porNCM_IPI)-COLUMN(head_porNCM_NCM)+1,FALSE),"")</f>
        <v/>
      </c>
      <c r="Q1106" s="43"/>
      <c r="R1106" s="78"/>
      <c r="S1106" s="341"/>
      <c r="T1106" s="28" t="s">
        <v>53</v>
      </c>
      <c r="U1106" s="28"/>
      <c r="V1106" s="28"/>
      <c r="W1106" s="43"/>
      <c r="X1106" s="342">
        <f t="shared" si="292"/>
        <v>0</v>
      </c>
      <c r="Y1106" s="342">
        <f t="shared" si="293"/>
        <v>0</v>
      </c>
      <c r="Z1106" s="46">
        <f t="shared" si="294"/>
        <v>0</v>
      </c>
      <c r="AA1106" s="46">
        <f t="shared" si="295"/>
        <v>0</v>
      </c>
      <c r="AB1106" s="43"/>
      <c r="AC1106" s="44"/>
      <c r="AD1106" s="31"/>
      <c r="AE1106" s="31"/>
      <c r="AF1106" s="31"/>
      <c r="AG1106" s="28" t="s">
        <v>53</v>
      </c>
      <c r="AH1106" s="46">
        <f t="shared" si="283"/>
        <v>0</v>
      </c>
      <c r="AI1106" s="43"/>
      <c r="AJ1106" s="28"/>
      <c r="AK1106" s="337"/>
      <c r="AL1106" s="43"/>
      <c r="AM1106" s="44">
        <f t="shared" si="284"/>
        <v>0</v>
      </c>
      <c r="AN1106" s="43"/>
      <c r="AO1106" s="28">
        <f t="shared" si="285"/>
        <v>0</v>
      </c>
      <c r="AP1106" s="43"/>
      <c r="AQ1106" s="323">
        <f t="shared" si="286"/>
        <v>0</v>
      </c>
      <c r="AR1106" s="43"/>
      <c r="AS1106" s="44"/>
    </row>
    <row r="1107" spans="1:45" outlineLevel="1" x14ac:dyDescent="0.25">
      <c r="A1107" s="28">
        <v>100</v>
      </c>
      <c r="B1107" s="43"/>
      <c r="C1107" s="43"/>
      <c r="D1107" s="43"/>
      <c r="E1107" s="43" t="str">
        <f t="shared" si="281"/>
        <v>Padrão 100</v>
      </c>
      <c r="F1107" s="43" t="str">
        <f t="shared" si="282"/>
        <v>Vazio</v>
      </c>
      <c r="G1107" s="46">
        <f t="shared" ref="G1107:G1170" si="296">AC1107*(1-AD1107)</f>
        <v>0</v>
      </c>
      <c r="H1107" s="46">
        <f t="shared" ref="H1107:H1170" si="297">AC1107*(1-AD1107-pis_naocum-cofins_naocum)</f>
        <v>0</v>
      </c>
      <c r="I1107" s="28"/>
      <c r="J1107" s="337"/>
      <c r="K1107" s="46" t="str">
        <f t="shared" ref="K1107:K1170" si="298">IFERROR(G1107*J1107*VLOOKUP(I1107,tbl_cambio,2,FALSE),"")</f>
        <v/>
      </c>
      <c r="L1107" s="46" t="str">
        <f t="shared" ref="L1107:L1170" si="299">IFERROR(H1107*J1107*VLOOKUP(I1107,tbl_cambio,2,FALSE),"")</f>
        <v/>
      </c>
      <c r="M1107" s="338">
        <f t="shared" ref="M1107:M1170" si="300">SUMIF(col_item,"="&amp;E1107,col_qtd)</f>
        <v>0</v>
      </c>
      <c r="N1107" s="43"/>
      <c r="O1107" s="339" t="e">
        <f t="shared" si="263"/>
        <v>#N/A</v>
      </c>
      <c r="P1107" s="340" t="str">
        <f>IFERROR(VLOOKUP(O1107,NCM!$A$3:$D$99,COLUMN(head_porNCM_IPI)-COLUMN(head_porNCM_NCM)+1,FALSE),"")</f>
        <v/>
      </c>
      <c r="Q1107" s="43"/>
      <c r="R1107" s="78"/>
      <c r="S1107" s="341"/>
      <c r="T1107" s="28" t="s">
        <v>53</v>
      </c>
      <c r="U1107" s="28"/>
      <c r="V1107" s="28"/>
      <c r="W1107" s="43"/>
      <c r="X1107" s="342">
        <f t="shared" ref="X1107:X1170" si="301">(AC1107-Y1107)*AD1107</f>
        <v>0</v>
      </c>
      <c r="Y1107" s="342">
        <f t="shared" ref="Y1107:Y1170" si="302">AC1107-AC1107/(1+AE1107)</f>
        <v>0</v>
      </c>
      <c r="Z1107" s="46">
        <f t="shared" ref="Z1107:Z1170" si="303">(AC1107-Y1107)*pis_naocum</f>
        <v>0</v>
      </c>
      <c r="AA1107" s="46">
        <f t="shared" ref="AA1107:AA1170" si="304">(AC1107-Y1107)*cofins_naocum</f>
        <v>0</v>
      </c>
      <c r="AB1107" s="43"/>
      <c r="AC1107" s="44"/>
      <c r="AD1107" s="31"/>
      <c r="AE1107" s="31"/>
      <c r="AF1107" s="31"/>
      <c r="AG1107" s="28" t="s">
        <v>53</v>
      </c>
      <c r="AH1107" s="46">
        <f t="shared" si="283"/>
        <v>0</v>
      </c>
      <c r="AI1107" s="43"/>
      <c r="AJ1107" s="28"/>
      <c r="AK1107" s="337"/>
      <c r="AL1107" s="43"/>
      <c r="AM1107" s="44">
        <f t="shared" si="284"/>
        <v>0</v>
      </c>
      <c r="AN1107" s="43"/>
      <c r="AO1107" s="28">
        <f t="shared" si="285"/>
        <v>0</v>
      </c>
      <c r="AP1107" s="43"/>
      <c r="AQ1107" s="323">
        <f t="shared" si="286"/>
        <v>0</v>
      </c>
      <c r="AR1107" s="43"/>
      <c r="AS1107" s="44"/>
    </row>
    <row r="1108" spans="1:45" outlineLevel="1" x14ac:dyDescent="0.25">
      <c r="A1108" s="28">
        <v>101</v>
      </c>
      <c r="B1108" s="43"/>
      <c r="C1108" s="43"/>
      <c r="D1108" s="43"/>
      <c r="E1108" s="43" t="str">
        <f t="shared" si="281"/>
        <v>Padrão 101</v>
      </c>
      <c r="F1108" s="43" t="str">
        <f t="shared" si="282"/>
        <v>Vazio</v>
      </c>
      <c r="G1108" s="46">
        <f t="shared" si="296"/>
        <v>0</v>
      </c>
      <c r="H1108" s="46">
        <f t="shared" si="297"/>
        <v>0</v>
      </c>
      <c r="I1108" s="28"/>
      <c r="J1108" s="337"/>
      <c r="K1108" s="46" t="str">
        <f t="shared" si="298"/>
        <v/>
      </c>
      <c r="L1108" s="46" t="str">
        <f t="shared" si="299"/>
        <v/>
      </c>
      <c r="M1108" s="338">
        <f t="shared" si="300"/>
        <v>0</v>
      </c>
      <c r="N1108" s="43"/>
      <c r="O1108" s="339" t="e">
        <f t="shared" si="263"/>
        <v>#N/A</v>
      </c>
      <c r="P1108" s="340" t="str">
        <f>IFERROR(VLOOKUP(O1108,NCM!$A$3:$D$99,COLUMN(head_porNCM_IPI)-COLUMN(head_porNCM_NCM)+1,FALSE),"")</f>
        <v/>
      </c>
      <c r="Q1108" s="43"/>
      <c r="R1108" s="78"/>
      <c r="S1108" s="341"/>
      <c r="T1108" s="28" t="s">
        <v>53</v>
      </c>
      <c r="U1108" s="28"/>
      <c r="V1108" s="28"/>
      <c r="W1108" s="43"/>
      <c r="X1108" s="342">
        <f t="shared" si="301"/>
        <v>0</v>
      </c>
      <c r="Y1108" s="342">
        <f t="shared" si="302"/>
        <v>0</v>
      </c>
      <c r="Z1108" s="46">
        <f t="shared" si="303"/>
        <v>0</v>
      </c>
      <c r="AA1108" s="46">
        <f t="shared" si="304"/>
        <v>0</v>
      </c>
      <c r="AB1108" s="43"/>
      <c r="AC1108" s="44"/>
      <c r="AD1108" s="31"/>
      <c r="AE1108" s="31"/>
      <c r="AF1108" s="31"/>
      <c r="AG1108" s="28" t="s">
        <v>53</v>
      </c>
      <c r="AH1108" s="46">
        <f t="shared" si="283"/>
        <v>0</v>
      </c>
      <c r="AI1108" s="43"/>
      <c r="AJ1108" s="28"/>
      <c r="AK1108" s="337"/>
      <c r="AL1108" s="43"/>
      <c r="AM1108" s="44">
        <f t="shared" si="284"/>
        <v>0</v>
      </c>
      <c r="AN1108" s="43"/>
      <c r="AO1108" s="28">
        <f t="shared" si="285"/>
        <v>0</v>
      </c>
      <c r="AP1108" s="43"/>
      <c r="AQ1108" s="323">
        <f t="shared" si="286"/>
        <v>0</v>
      </c>
      <c r="AR1108" s="43"/>
      <c r="AS1108" s="44"/>
    </row>
    <row r="1109" spans="1:45" outlineLevel="1" x14ac:dyDescent="0.25">
      <c r="A1109" s="28">
        <v>102</v>
      </c>
      <c r="B1109" s="43"/>
      <c r="C1109" s="43"/>
      <c r="D1109" s="43"/>
      <c r="E1109" s="43" t="str">
        <f t="shared" si="281"/>
        <v>Padrão 102</v>
      </c>
      <c r="F1109" s="43" t="str">
        <f t="shared" si="282"/>
        <v>Vazio</v>
      </c>
      <c r="G1109" s="46">
        <f t="shared" si="296"/>
        <v>0</v>
      </c>
      <c r="H1109" s="46">
        <f t="shared" si="297"/>
        <v>0</v>
      </c>
      <c r="I1109" s="28"/>
      <c r="J1109" s="337"/>
      <c r="K1109" s="46" t="str">
        <f t="shared" si="298"/>
        <v/>
      </c>
      <c r="L1109" s="46" t="str">
        <f t="shared" si="299"/>
        <v/>
      </c>
      <c r="M1109" s="338">
        <f t="shared" si="300"/>
        <v>0</v>
      </c>
      <c r="N1109" s="43"/>
      <c r="O1109" s="339" t="e">
        <f t="shared" si="263"/>
        <v>#N/A</v>
      </c>
      <c r="P1109" s="340" t="str">
        <f>IFERROR(VLOOKUP(O1109,NCM!$A$3:$D$99,COLUMN(head_porNCM_IPI)-COLUMN(head_porNCM_NCM)+1,FALSE),"")</f>
        <v/>
      </c>
      <c r="Q1109" s="43"/>
      <c r="R1109" s="78"/>
      <c r="S1109" s="341"/>
      <c r="T1109" s="28" t="s">
        <v>53</v>
      </c>
      <c r="U1109" s="28"/>
      <c r="V1109" s="28"/>
      <c r="W1109" s="43"/>
      <c r="X1109" s="342">
        <f t="shared" si="301"/>
        <v>0</v>
      </c>
      <c r="Y1109" s="342">
        <f t="shared" si="302"/>
        <v>0</v>
      </c>
      <c r="Z1109" s="46">
        <f t="shared" si="303"/>
        <v>0</v>
      </c>
      <c r="AA1109" s="46">
        <f t="shared" si="304"/>
        <v>0</v>
      </c>
      <c r="AB1109" s="43"/>
      <c r="AC1109" s="44"/>
      <c r="AD1109" s="31"/>
      <c r="AE1109" s="31"/>
      <c r="AF1109" s="31"/>
      <c r="AG1109" s="28" t="s">
        <v>53</v>
      </c>
      <c r="AH1109" s="46">
        <f t="shared" si="283"/>
        <v>0</v>
      </c>
      <c r="AI1109" s="43"/>
      <c r="AJ1109" s="28"/>
      <c r="AK1109" s="337"/>
      <c r="AL1109" s="43"/>
      <c r="AM1109" s="44">
        <f t="shared" si="284"/>
        <v>0</v>
      </c>
      <c r="AN1109" s="43"/>
      <c r="AO1109" s="28">
        <f t="shared" si="285"/>
        <v>0</v>
      </c>
      <c r="AP1109" s="43"/>
      <c r="AQ1109" s="323">
        <f t="shared" si="286"/>
        <v>0</v>
      </c>
      <c r="AR1109" s="43"/>
      <c r="AS1109" s="44"/>
    </row>
    <row r="1110" spans="1:45" outlineLevel="1" x14ac:dyDescent="0.25">
      <c r="A1110" s="28">
        <v>103</v>
      </c>
      <c r="B1110" s="43"/>
      <c r="C1110" s="43"/>
      <c r="D1110" s="43"/>
      <c r="E1110" s="43" t="str">
        <f t="shared" si="281"/>
        <v>Padrão 103</v>
      </c>
      <c r="F1110" s="43" t="str">
        <f t="shared" si="282"/>
        <v>Vazio</v>
      </c>
      <c r="G1110" s="46">
        <f t="shared" si="296"/>
        <v>0</v>
      </c>
      <c r="H1110" s="46">
        <f t="shared" si="297"/>
        <v>0</v>
      </c>
      <c r="I1110" s="28"/>
      <c r="J1110" s="337"/>
      <c r="K1110" s="46" t="str">
        <f t="shared" si="298"/>
        <v/>
      </c>
      <c r="L1110" s="46" t="str">
        <f t="shared" si="299"/>
        <v/>
      </c>
      <c r="M1110" s="338">
        <f t="shared" si="300"/>
        <v>0</v>
      </c>
      <c r="N1110" s="43"/>
      <c r="O1110" s="339" t="e">
        <f t="shared" si="263"/>
        <v>#N/A</v>
      </c>
      <c r="P1110" s="340" t="str">
        <f>IFERROR(VLOOKUP(O1110,NCM!$A$3:$D$99,COLUMN(head_porNCM_IPI)-COLUMN(head_porNCM_NCM)+1,FALSE),"")</f>
        <v/>
      </c>
      <c r="Q1110" s="43"/>
      <c r="R1110" s="78"/>
      <c r="S1110" s="341"/>
      <c r="T1110" s="28" t="s">
        <v>53</v>
      </c>
      <c r="U1110" s="28"/>
      <c r="V1110" s="28"/>
      <c r="W1110" s="43"/>
      <c r="X1110" s="342">
        <f t="shared" si="301"/>
        <v>0</v>
      </c>
      <c r="Y1110" s="342">
        <f t="shared" si="302"/>
        <v>0</v>
      </c>
      <c r="Z1110" s="46">
        <f t="shared" si="303"/>
        <v>0</v>
      </c>
      <c r="AA1110" s="46">
        <f t="shared" si="304"/>
        <v>0</v>
      </c>
      <c r="AB1110" s="43"/>
      <c r="AC1110" s="44"/>
      <c r="AD1110" s="31"/>
      <c r="AE1110" s="31"/>
      <c r="AF1110" s="31"/>
      <c r="AG1110" s="28" t="s">
        <v>53</v>
      </c>
      <c r="AH1110" s="46">
        <f t="shared" si="283"/>
        <v>0</v>
      </c>
      <c r="AI1110" s="43"/>
      <c r="AJ1110" s="28"/>
      <c r="AK1110" s="337"/>
      <c r="AL1110" s="43"/>
      <c r="AM1110" s="44">
        <f t="shared" si="284"/>
        <v>0</v>
      </c>
      <c r="AN1110" s="43"/>
      <c r="AO1110" s="28">
        <f t="shared" si="285"/>
        <v>0</v>
      </c>
      <c r="AP1110" s="43"/>
      <c r="AQ1110" s="323">
        <f t="shared" si="286"/>
        <v>0</v>
      </c>
      <c r="AR1110" s="43"/>
      <c r="AS1110" s="44"/>
    </row>
    <row r="1111" spans="1:45" outlineLevel="1" x14ac:dyDescent="0.25">
      <c r="A1111" s="28">
        <v>104</v>
      </c>
      <c r="B1111" s="43"/>
      <c r="C1111" s="43"/>
      <c r="D1111" s="43"/>
      <c r="E1111" s="43" t="str">
        <f t="shared" si="281"/>
        <v>Padrão 104</v>
      </c>
      <c r="F1111" s="43" t="str">
        <f t="shared" si="282"/>
        <v>Vazio</v>
      </c>
      <c r="G1111" s="46">
        <f t="shared" si="296"/>
        <v>0</v>
      </c>
      <c r="H1111" s="46">
        <f t="shared" si="297"/>
        <v>0</v>
      </c>
      <c r="I1111" s="28"/>
      <c r="J1111" s="337"/>
      <c r="K1111" s="46" t="str">
        <f t="shared" si="298"/>
        <v/>
      </c>
      <c r="L1111" s="46" t="str">
        <f t="shared" si="299"/>
        <v/>
      </c>
      <c r="M1111" s="338">
        <f t="shared" si="300"/>
        <v>0</v>
      </c>
      <c r="N1111" s="43"/>
      <c r="O1111" s="339" t="e">
        <f t="shared" si="263"/>
        <v>#N/A</v>
      </c>
      <c r="P1111" s="340" t="str">
        <f>IFERROR(VLOOKUP(O1111,NCM!$A$3:$D$99,COLUMN(head_porNCM_IPI)-COLUMN(head_porNCM_NCM)+1,FALSE),"")</f>
        <v/>
      </c>
      <c r="Q1111" s="43"/>
      <c r="R1111" s="78"/>
      <c r="S1111" s="341"/>
      <c r="T1111" s="28" t="s">
        <v>53</v>
      </c>
      <c r="U1111" s="28"/>
      <c r="V1111" s="28"/>
      <c r="W1111" s="43"/>
      <c r="X1111" s="342">
        <f t="shared" si="301"/>
        <v>0</v>
      </c>
      <c r="Y1111" s="342">
        <f t="shared" si="302"/>
        <v>0</v>
      </c>
      <c r="Z1111" s="46">
        <f t="shared" si="303"/>
        <v>0</v>
      </c>
      <c r="AA1111" s="46">
        <f t="shared" si="304"/>
        <v>0</v>
      </c>
      <c r="AB1111" s="43"/>
      <c r="AC1111" s="44"/>
      <c r="AD1111" s="31"/>
      <c r="AE1111" s="31"/>
      <c r="AF1111" s="31"/>
      <c r="AG1111" s="28" t="s">
        <v>53</v>
      </c>
      <c r="AH1111" s="46">
        <f t="shared" si="283"/>
        <v>0</v>
      </c>
      <c r="AI1111" s="43"/>
      <c r="AJ1111" s="28"/>
      <c r="AK1111" s="337"/>
      <c r="AL1111" s="43"/>
      <c r="AM1111" s="44">
        <f t="shared" si="284"/>
        <v>0</v>
      </c>
      <c r="AN1111" s="43"/>
      <c r="AO1111" s="28">
        <f t="shared" si="285"/>
        <v>0</v>
      </c>
      <c r="AP1111" s="43"/>
      <c r="AQ1111" s="323">
        <f t="shared" si="286"/>
        <v>0</v>
      </c>
      <c r="AR1111" s="43"/>
      <c r="AS1111" s="44"/>
    </row>
    <row r="1112" spans="1:45" outlineLevel="1" x14ac:dyDescent="0.25">
      <c r="A1112" s="28">
        <v>105</v>
      </c>
      <c r="B1112" s="43"/>
      <c r="C1112" s="43"/>
      <c r="D1112" s="43"/>
      <c r="E1112" s="43" t="str">
        <f t="shared" si="281"/>
        <v>Padrão 105</v>
      </c>
      <c r="F1112" s="43" t="str">
        <f t="shared" si="282"/>
        <v>Vazio</v>
      </c>
      <c r="G1112" s="46">
        <f t="shared" si="296"/>
        <v>0</v>
      </c>
      <c r="H1112" s="46">
        <f t="shared" si="297"/>
        <v>0</v>
      </c>
      <c r="I1112" s="28"/>
      <c r="J1112" s="337"/>
      <c r="K1112" s="46" t="str">
        <f t="shared" si="298"/>
        <v/>
      </c>
      <c r="L1112" s="46" t="str">
        <f t="shared" si="299"/>
        <v/>
      </c>
      <c r="M1112" s="338">
        <f t="shared" si="300"/>
        <v>0</v>
      </c>
      <c r="N1112" s="43"/>
      <c r="O1112" s="339" t="e">
        <f t="shared" si="263"/>
        <v>#N/A</v>
      </c>
      <c r="P1112" s="340" t="str">
        <f>IFERROR(VLOOKUP(O1112,NCM!$A$3:$D$99,COLUMN(head_porNCM_IPI)-COLUMN(head_porNCM_NCM)+1,FALSE),"")</f>
        <v/>
      </c>
      <c r="Q1112" s="43"/>
      <c r="R1112" s="78"/>
      <c r="S1112" s="341"/>
      <c r="T1112" s="28" t="s">
        <v>53</v>
      </c>
      <c r="U1112" s="28"/>
      <c r="V1112" s="28"/>
      <c r="W1112" s="43"/>
      <c r="X1112" s="342">
        <f t="shared" si="301"/>
        <v>0</v>
      </c>
      <c r="Y1112" s="342">
        <f t="shared" si="302"/>
        <v>0</v>
      </c>
      <c r="Z1112" s="46">
        <f t="shared" si="303"/>
        <v>0</v>
      </c>
      <c r="AA1112" s="46">
        <f t="shared" si="304"/>
        <v>0</v>
      </c>
      <c r="AB1112" s="43"/>
      <c r="AC1112" s="44"/>
      <c r="AD1112" s="31"/>
      <c r="AE1112" s="31"/>
      <c r="AF1112" s="31"/>
      <c r="AG1112" s="28" t="s">
        <v>53</v>
      </c>
      <c r="AH1112" s="46">
        <f t="shared" si="283"/>
        <v>0</v>
      </c>
      <c r="AI1112" s="43"/>
      <c r="AJ1112" s="28"/>
      <c r="AK1112" s="337"/>
      <c r="AL1112" s="43"/>
      <c r="AM1112" s="44">
        <f t="shared" si="284"/>
        <v>0</v>
      </c>
      <c r="AN1112" s="43"/>
      <c r="AO1112" s="28">
        <f t="shared" si="285"/>
        <v>0</v>
      </c>
      <c r="AP1112" s="43"/>
      <c r="AQ1112" s="323">
        <f t="shared" si="286"/>
        <v>0</v>
      </c>
      <c r="AR1112" s="43"/>
      <c r="AS1112" s="44"/>
    </row>
    <row r="1113" spans="1:45" outlineLevel="1" x14ac:dyDescent="0.25">
      <c r="A1113" s="28">
        <v>106</v>
      </c>
      <c r="B1113" s="43"/>
      <c r="C1113" s="43"/>
      <c r="D1113" s="43"/>
      <c r="E1113" s="43" t="str">
        <f t="shared" si="281"/>
        <v>Padrão 106</v>
      </c>
      <c r="F1113" s="43" t="str">
        <f t="shared" si="282"/>
        <v>Vazio</v>
      </c>
      <c r="G1113" s="46">
        <f t="shared" si="296"/>
        <v>0</v>
      </c>
      <c r="H1113" s="46">
        <f t="shared" si="297"/>
        <v>0</v>
      </c>
      <c r="I1113" s="28"/>
      <c r="J1113" s="337"/>
      <c r="K1113" s="46" t="str">
        <f t="shared" si="298"/>
        <v/>
      </c>
      <c r="L1113" s="46" t="str">
        <f t="shared" si="299"/>
        <v/>
      </c>
      <c r="M1113" s="338">
        <f t="shared" si="300"/>
        <v>0</v>
      </c>
      <c r="N1113" s="43"/>
      <c r="O1113" s="339" t="e">
        <f t="shared" si="263"/>
        <v>#N/A</v>
      </c>
      <c r="P1113" s="340" t="str">
        <f>IFERROR(VLOOKUP(O1113,NCM!$A$3:$D$99,COLUMN(head_porNCM_IPI)-COLUMN(head_porNCM_NCM)+1,FALSE),"")</f>
        <v/>
      </c>
      <c r="Q1113" s="43"/>
      <c r="R1113" s="78"/>
      <c r="S1113" s="341"/>
      <c r="T1113" s="28" t="s">
        <v>53</v>
      </c>
      <c r="U1113" s="28"/>
      <c r="V1113" s="28"/>
      <c r="W1113" s="43"/>
      <c r="X1113" s="342">
        <f t="shared" si="301"/>
        <v>0</v>
      </c>
      <c r="Y1113" s="342">
        <f t="shared" si="302"/>
        <v>0</v>
      </c>
      <c r="Z1113" s="46">
        <f t="shared" si="303"/>
        <v>0</v>
      </c>
      <c r="AA1113" s="46">
        <f t="shared" si="304"/>
        <v>0</v>
      </c>
      <c r="AB1113" s="43"/>
      <c r="AC1113" s="44"/>
      <c r="AD1113" s="31"/>
      <c r="AE1113" s="31"/>
      <c r="AF1113" s="31"/>
      <c r="AG1113" s="28" t="s">
        <v>53</v>
      </c>
      <c r="AH1113" s="46">
        <f t="shared" si="283"/>
        <v>0</v>
      </c>
      <c r="AI1113" s="43"/>
      <c r="AJ1113" s="28"/>
      <c r="AK1113" s="337"/>
      <c r="AL1113" s="43"/>
      <c r="AM1113" s="44">
        <f t="shared" si="284"/>
        <v>0</v>
      </c>
      <c r="AN1113" s="43"/>
      <c r="AO1113" s="28">
        <f t="shared" si="285"/>
        <v>0</v>
      </c>
      <c r="AP1113" s="43"/>
      <c r="AQ1113" s="323">
        <f t="shared" si="286"/>
        <v>0</v>
      </c>
      <c r="AR1113" s="43"/>
      <c r="AS1113" s="44"/>
    </row>
    <row r="1114" spans="1:45" outlineLevel="1" x14ac:dyDescent="0.25">
      <c r="A1114" s="28">
        <v>107</v>
      </c>
      <c r="B1114" s="43"/>
      <c r="C1114" s="43"/>
      <c r="D1114" s="43"/>
      <c r="E1114" s="43" t="str">
        <f t="shared" si="281"/>
        <v>Padrão 107</v>
      </c>
      <c r="F1114" s="43" t="str">
        <f t="shared" si="282"/>
        <v>Vazio</v>
      </c>
      <c r="G1114" s="46">
        <f t="shared" si="296"/>
        <v>0</v>
      </c>
      <c r="H1114" s="46">
        <f t="shared" si="297"/>
        <v>0</v>
      </c>
      <c r="I1114" s="28"/>
      <c r="J1114" s="337"/>
      <c r="K1114" s="46" t="str">
        <f t="shared" si="298"/>
        <v/>
      </c>
      <c r="L1114" s="46" t="str">
        <f t="shared" si="299"/>
        <v/>
      </c>
      <c r="M1114" s="338">
        <f t="shared" si="300"/>
        <v>0</v>
      </c>
      <c r="N1114" s="43"/>
      <c r="O1114" s="339" t="e">
        <f t="shared" si="263"/>
        <v>#N/A</v>
      </c>
      <c r="P1114" s="340" t="str">
        <f>IFERROR(VLOOKUP(O1114,NCM!$A$3:$D$99,COLUMN(head_porNCM_IPI)-COLUMN(head_porNCM_NCM)+1,FALSE),"")</f>
        <v/>
      </c>
      <c r="Q1114" s="43"/>
      <c r="R1114" s="78"/>
      <c r="S1114" s="341"/>
      <c r="T1114" s="28" t="s">
        <v>53</v>
      </c>
      <c r="U1114" s="28"/>
      <c r="V1114" s="28"/>
      <c r="W1114" s="43"/>
      <c r="X1114" s="342">
        <f t="shared" si="301"/>
        <v>0</v>
      </c>
      <c r="Y1114" s="342">
        <f t="shared" si="302"/>
        <v>0</v>
      </c>
      <c r="Z1114" s="46">
        <f t="shared" si="303"/>
        <v>0</v>
      </c>
      <c r="AA1114" s="46">
        <f t="shared" si="304"/>
        <v>0</v>
      </c>
      <c r="AB1114" s="43"/>
      <c r="AC1114" s="44"/>
      <c r="AD1114" s="31"/>
      <c r="AE1114" s="31"/>
      <c r="AF1114" s="31"/>
      <c r="AG1114" s="28" t="s">
        <v>53</v>
      </c>
      <c r="AH1114" s="46">
        <f t="shared" si="283"/>
        <v>0</v>
      </c>
      <c r="AI1114" s="43"/>
      <c r="AJ1114" s="28"/>
      <c r="AK1114" s="337"/>
      <c r="AL1114" s="43"/>
      <c r="AM1114" s="44">
        <f t="shared" si="284"/>
        <v>0</v>
      </c>
      <c r="AN1114" s="43"/>
      <c r="AO1114" s="28">
        <f t="shared" si="285"/>
        <v>0</v>
      </c>
      <c r="AP1114" s="43"/>
      <c r="AQ1114" s="323">
        <f t="shared" si="286"/>
        <v>0</v>
      </c>
      <c r="AR1114" s="43"/>
      <c r="AS1114" s="44"/>
    </row>
    <row r="1115" spans="1:45" outlineLevel="1" x14ac:dyDescent="0.25">
      <c r="A1115" s="28">
        <v>108</v>
      </c>
      <c r="B1115" s="43"/>
      <c r="C1115" s="43"/>
      <c r="D1115" s="43"/>
      <c r="E1115" s="43" t="str">
        <f t="shared" si="281"/>
        <v>Padrão 108</v>
      </c>
      <c r="F1115" s="43" t="str">
        <f t="shared" si="282"/>
        <v>Vazio</v>
      </c>
      <c r="G1115" s="46">
        <f t="shared" si="296"/>
        <v>0</v>
      </c>
      <c r="H1115" s="46">
        <f t="shared" si="297"/>
        <v>0</v>
      </c>
      <c r="I1115" s="28"/>
      <c r="J1115" s="337"/>
      <c r="K1115" s="46" t="str">
        <f t="shared" si="298"/>
        <v/>
      </c>
      <c r="L1115" s="46" t="str">
        <f t="shared" si="299"/>
        <v/>
      </c>
      <c r="M1115" s="338">
        <f t="shared" si="300"/>
        <v>0</v>
      </c>
      <c r="N1115" s="43"/>
      <c r="O1115" s="339" t="e">
        <f t="shared" si="263"/>
        <v>#N/A</v>
      </c>
      <c r="P1115" s="340" t="str">
        <f>IFERROR(VLOOKUP(O1115,NCM!$A$3:$D$99,COLUMN(head_porNCM_IPI)-COLUMN(head_porNCM_NCM)+1,FALSE),"")</f>
        <v/>
      </c>
      <c r="Q1115" s="43"/>
      <c r="R1115" s="78"/>
      <c r="S1115" s="341"/>
      <c r="T1115" s="28" t="s">
        <v>53</v>
      </c>
      <c r="U1115" s="28"/>
      <c r="V1115" s="28"/>
      <c r="W1115" s="43"/>
      <c r="X1115" s="342">
        <f t="shared" si="301"/>
        <v>0</v>
      </c>
      <c r="Y1115" s="342">
        <f t="shared" si="302"/>
        <v>0</v>
      </c>
      <c r="Z1115" s="46">
        <f t="shared" si="303"/>
        <v>0</v>
      </c>
      <c r="AA1115" s="46">
        <f t="shared" si="304"/>
        <v>0</v>
      </c>
      <c r="AB1115" s="43"/>
      <c r="AC1115" s="44"/>
      <c r="AD1115" s="31"/>
      <c r="AE1115" s="31"/>
      <c r="AF1115" s="31"/>
      <c r="AG1115" s="28" t="s">
        <v>53</v>
      </c>
      <c r="AH1115" s="46">
        <f t="shared" si="283"/>
        <v>0</v>
      </c>
      <c r="AI1115" s="43"/>
      <c r="AJ1115" s="28"/>
      <c r="AK1115" s="337"/>
      <c r="AL1115" s="43"/>
      <c r="AM1115" s="44">
        <f t="shared" si="284"/>
        <v>0</v>
      </c>
      <c r="AN1115" s="43"/>
      <c r="AO1115" s="28">
        <f t="shared" si="285"/>
        <v>0</v>
      </c>
      <c r="AP1115" s="43"/>
      <c r="AQ1115" s="323">
        <f t="shared" si="286"/>
        <v>0</v>
      </c>
      <c r="AR1115" s="43"/>
      <c r="AS1115" s="44"/>
    </row>
    <row r="1116" spans="1:45" outlineLevel="1" x14ac:dyDescent="0.25">
      <c r="A1116" s="28">
        <v>109</v>
      </c>
      <c r="B1116" s="43"/>
      <c r="C1116" s="43"/>
      <c r="D1116" s="43"/>
      <c r="E1116" s="43" t="str">
        <f t="shared" si="281"/>
        <v>Padrão 109</v>
      </c>
      <c r="F1116" s="43" t="str">
        <f t="shared" si="282"/>
        <v>Vazio</v>
      </c>
      <c r="G1116" s="46">
        <f t="shared" si="296"/>
        <v>0</v>
      </c>
      <c r="H1116" s="46">
        <f t="shared" si="297"/>
        <v>0</v>
      </c>
      <c r="I1116" s="28"/>
      <c r="J1116" s="337"/>
      <c r="K1116" s="46" t="str">
        <f t="shared" si="298"/>
        <v/>
      </c>
      <c r="L1116" s="46" t="str">
        <f t="shared" si="299"/>
        <v/>
      </c>
      <c r="M1116" s="338">
        <f t="shared" si="300"/>
        <v>0</v>
      </c>
      <c r="N1116" s="43"/>
      <c r="O1116" s="339" t="e">
        <f t="shared" si="263"/>
        <v>#N/A</v>
      </c>
      <c r="P1116" s="340" t="str">
        <f>IFERROR(VLOOKUP(O1116,NCM!$A$3:$D$99,COLUMN(head_porNCM_IPI)-COLUMN(head_porNCM_NCM)+1,FALSE),"")</f>
        <v/>
      </c>
      <c r="Q1116" s="43"/>
      <c r="R1116" s="78"/>
      <c r="S1116" s="341"/>
      <c r="T1116" s="28" t="s">
        <v>53</v>
      </c>
      <c r="U1116" s="28"/>
      <c r="V1116" s="28"/>
      <c r="W1116" s="43"/>
      <c r="X1116" s="342">
        <f t="shared" si="301"/>
        <v>0</v>
      </c>
      <c r="Y1116" s="342">
        <f t="shared" si="302"/>
        <v>0</v>
      </c>
      <c r="Z1116" s="46">
        <f t="shared" si="303"/>
        <v>0</v>
      </c>
      <c r="AA1116" s="46">
        <f t="shared" si="304"/>
        <v>0</v>
      </c>
      <c r="AB1116" s="43"/>
      <c r="AC1116" s="44"/>
      <c r="AD1116" s="31"/>
      <c r="AE1116" s="31"/>
      <c r="AF1116" s="31"/>
      <c r="AG1116" s="28" t="s">
        <v>53</v>
      </c>
      <c r="AH1116" s="46">
        <f t="shared" si="283"/>
        <v>0</v>
      </c>
      <c r="AI1116" s="43"/>
      <c r="AJ1116" s="28"/>
      <c r="AK1116" s="337"/>
      <c r="AL1116" s="43"/>
      <c r="AM1116" s="44">
        <f t="shared" si="284"/>
        <v>0</v>
      </c>
      <c r="AN1116" s="43"/>
      <c r="AO1116" s="28">
        <f t="shared" si="285"/>
        <v>0</v>
      </c>
      <c r="AP1116" s="43"/>
      <c r="AQ1116" s="323">
        <f t="shared" si="286"/>
        <v>0</v>
      </c>
      <c r="AR1116" s="43"/>
      <c r="AS1116" s="44"/>
    </row>
    <row r="1117" spans="1:45" outlineLevel="1" x14ac:dyDescent="0.25">
      <c r="A1117" s="28">
        <v>110</v>
      </c>
      <c r="B1117" s="43"/>
      <c r="C1117" s="43"/>
      <c r="D1117" s="43"/>
      <c r="E1117" s="43" t="str">
        <f t="shared" si="281"/>
        <v>Padrão 110</v>
      </c>
      <c r="F1117" s="43" t="str">
        <f t="shared" si="282"/>
        <v>Vazio</v>
      </c>
      <c r="G1117" s="46">
        <f t="shared" si="296"/>
        <v>0</v>
      </c>
      <c r="H1117" s="46">
        <f t="shared" si="297"/>
        <v>0</v>
      </c>
      <c r="I1117" s="28"/>
      <c r="J1117" s="337"/>
      <c r="K1117" s="46" t="str">
        <f t="shared" si="298"/>
        <v/>
      </c>
      <c r="L1117" s="46" t="str">
        <f t="shared" si="299"/>
        <v/>
      </c>
      <c r="M1117" s="338">
        <f t="shared" si="300"/>
        <v>0</v>
      </c>
      <c r="N1117" s="43"/>
      <c r="O1117" s="339" t="e">
        <f t="shared" si="263"/>
        <v>#N/A</v>
      </c>
      <c r="P1117" s="340" t="str">
        <f>IFERROR(VLOOKUP(O1117,NCM!$A$3:$D$99,COLUMN(head_porNCM_IPI)-COLUMN(head_porNCM_NCM)+1,FALSE),"")</f>
        <v/>
      </c>
      <c r="Q1117" s="43"/>
      <c r="R1117" s="78"/>
      <c r="S1117" s="341"/>
      <c r="T1117" s="28" t="s">
        <v>53</v>
      </c>
      <c r="U1117" s="28"/>
      <c r="V1117" s="28"/>
      <c r="W1117" s="43"/>
      <c r="X1117" s="342">
        <f t="shared" si="301"/>
        <v>0</v>
      </c>
      <c r="Y1117" s="342">
        <f t="shared" si="302"/>
        <v>0</v>
      </c>
      <c r="Z1117" s="46">
        <f t="shared" si="303"/>
        <v>0</v>
      </c>
      <c r="AA1117" s="46">
        <f t="shared" si="304"/>
        <v>0</v>
      </c>
      <c r="AB1117" s="43"/>
      <c r="AC1117" s="44"/>
      <c r="AD1117" s="31"/>
      <c r="AE1117" s="31"/>
      <c r="AF1117" s="31"/>
      <c r="AG1117" s="28" t="s">
        <v>53</v>
      </c>
      <c r="AH1117" s="46">
        <f t="shared" si="283"/>
        <v>0</v>
      </c>
      <c r="AI1117" s="43"/>
      <c r="AJ1117" s="28"/>
      <c r="AK1117" s="337"/>
      <c r="AL1117" s="43"/>
      <c r="AM1117" s="44">
        <f t="shared" si="284"/>
        <v>0</v>
      </c>
      <c r="AN1117" s="43"/>
      <c r="AO1117" s="28">
        <f t="shared" si="285"/>
        <v>0</v>
      </c>
      <c r="AP1117" s="43"/>
      <c r="AQ1117" s="323">
        <f t="shared" si="286"/>
        <v>0</v>
      </c>
      <c r="AR1117" s="43"/>
      <c r="AS1117" s="44"/>
    </row>
    <row r="1118" spans="1:45" outlineLevel="1" x14ac:dyDescent="0.25">
      <c r="A1118" s="28">
        <v>111</v>
      </c>
      <c r="B1118" s="43"/>
      <c r="C1118" s="43"/>
      <c r="D1118" s="43"/>
      <c r="E1118" s="43" t="str">
        <f t="shared" si="281"/>
        <v>Padrão 111</v>
      </c>
      <c r="F1118" s="43" t="str">
        <f t="shared" si="282"/>
        <v>Vazio</v>
      </c>
      <c r="G1118" s="46">
        <f t="shared" si="296"/>
        <v>0</v>
      </c>
      <c r="H1118" s="46">
        <f t="shared" si="297"/>
        <v>0</v>
      </c>
      <c r="I1118" s="28"/>
      <c r="J1118" s="337"/>
      <c r="K1118" s="46" t="str">
        <f t="shared" si="298"/>
        <v/>
      </c>
      <c r="L1118" s="46" t="str">
        <f t="shared" si="299"/>
        <v/>
      </c>
      <c r="M1118" s="338">
        <f t="shared" si="300"/>
        <v>0</v>
      </c>
      <c r="N1118" s="43"/>
      <c r="O1118" s="339" t="e">
        <f t="shared" si="263"/>
        <v>#N/A</v>
      </c>
      <c r="P1118" s="340" t="str">
        <f>IFERROR(VLOOKUP(O1118,NCM!$A$3:$D$99,COLUMN(head_porNCM_IPI)-COLUMN(head_porNCM_NCM)+1,FALSE),"")</f>
        <v/>
      </c>
      <c r="Q1118" s="43"/>
      <c r="R1118" s="78"/>
      <c r="S1118" s="341"/>
      <c r="T1118" s="28" t="s">
        <v>53</v>
      </c>
      <c r="U1118" s="28"/>
      <c r="V1118" s="28"/>
      <c r="W1118" s="43"/>
      <c r="X1118" s="342">
        <f t="shared" si="301"/>
        <v>0</v>
      </c>
      <c r="Y1118" s="342">
        <f t="shared" si="302"/>
        <v>0</v>
      </c>
      <c r="Z1118" s="46">
        <f t="shared" si="303"/>
        <v>0</v>
      </c>
      <c r="AA1118" s="46">
        <f t="shared" si="304"/>
        <v>0</v>
      </c>
      <c r="AB1118" s="43"/>
      <c r="AC1118" s="44"/>
      <c r="AD1118" s="31"/>
      <c r="AE1118" s="31"/>
      <c r="AF1118" s="31"/>
      <c r="AG1118" s="28" t="s">
        <v>53</v>
      </c>
      <c r="AH1118" s="46">
        <f t="shared" si="283"/>
        <v>0</v>
      </c>
      <c r="AI1118" s="43"/>
      <c r="AJ1118" s="28"/>
      <c r="AK1118" s="337"/>
      <c r="AL1118" s="43"/>
      <c r="AM1118" s="44">
        <f t="shared" si="284"/>
        <v>0</v>
      </c>
      <c r="AN1118" s="43"/>
      <c r="AO1118" s="28">
        <f t="shared" si="285"/>
        <v>0</v>
      </c>
      <c r="AP1118" s="43"/>
      <c r="AQ1118" s="323">
        <f t="shared" si="286"/>
        <v>0</v>
      </c>
      <c r="AR1118" s="43"/>
      <c r="AS1118" s="44"/>
    </row>
    <row r="1119" spans="1:45" outlineLevel="1" x14ac:dyDescent="0.25">
      <c r="A1119" s="28">
        <v>112</v>
      </c>
      <c r="B1119" s="43"/>
      <c r="C1119" s="43"/>
      <c r="D1119" s="43"/>
      <c r="E1119" s="43" t="str">
        <f t="shared" si="281"/>
        <v>Padrão 112</v>
      </c>
      <c r="F1119" s="43" t="str">
        <f t="shared" si="282"/>
        <v>Vazio</v>
      </c>
      <c r="G1119" s="46">
        <f t="shared" si="296"/>
        <v>0</v>
      </c>
      <c r="H1119" s="46">
        <f t="shared" si="297"/>
        <v>0</v>
      </c>
      <c r="I1119" s="28"/>
      <c r="J1119" s="337"/>
      <c r="K1119" s="46" t="str">
        <f t="shared" si="298"/>
        <v/>
      </c>
      <c r="L1119" s="46" t="str">
        <f t="shared" si="299"/>
        <v/>
      </c>
      <c r="M1119" s="338">
        <f t="shared" si="300"/>
        <v>0</v>
      </c>
      <c r="N1119" s="43"/>
      <c r="O1119" s="339" t="e">
        <f t="shared" si="263"/>
        <v>#N/A</v>
      </c>
      <c r="P1119" s="340" t="str">
        <f>IFERROR(VLOOKUP(O1119,NCM!$A$3:$D$99,COLUMN(head_porNCM_IPI)-COLUMN(head_porNCM_NCM)+1,FALSE),"")</f>
        <v/>
      </c>
      <c r="Q1119" s="43"/>
      <c r="R1119" s="78"/>
      <c r="S1119" s="341"/>
      <c r="T1119" s="28" t="s">
        <v>53</v>
      </c>
      <c r="U1119" s="28"/>
      <c r="V1119" s="28"/>
      <c r="W1119" s="43"/>
      <c r="X1119" s="342">
        <f t="shared" si="301"/>
        <v>0</v>
      </c>
      <c r="Y1119" s="342">
        <f t="shared" si="302"/>
        <v>0</v>
      </c>
      <c r="Z1119" s="46">
        <f t="shared" si="303"/>
        <v>0</v>
      </c>
      <c r="AA1119" s="46">
        <f t="shared" si="304"/>
        <v>0</v>
      </c>
      <c r="AB1119" s="43"/>
      <c r="AC1119" s="44"/>
      <c r="AD1119" s="31"/>
      <c r="AE1119" s="31"/>
      <c r="AF1119" s="31"/>
      <c r="AG1119" s="28" t="s">
        <v>53</v>
      </c>
      <c r="AH1119" s="46">
        <f t="shared" si="283"/>
        <v>0</v>
      </c>
      <c r="AI1119" s="43"/>
      <c r="AJ1119" s="28"/>
      <c r="AK1119" s="337"/>
      <c r="AL1119" s="43"/>
      <c r="AM1119" s="44">
        <f t="shared" si="284"/>
        <v>0</v>
      </c>
      <c r="AN1119" s="43"/>
      <c r="AO1119" s="28">
        <f t="shared" si="285"/>
        <v>0</v>
      </c>
      <c r="AP1119" s="43"/>
      <c r="AQ1119" s="323">
        <f t="shared" si="286"/>
        <v>0</v>
      </c>
      <c r="AR1119" s="43"/>
      <c r="AS1119" s="44"/>
    </row>
    <row r="1120" spans="1:45" outlineLevel="1" x14ac:dyDescent="0.25">
      <c r="A1120" s="28">
        <v>113</v>
      </c>
      <c r="B1120" s="43"/>
      <c r="C1120" s="43"/>
      <c r="D1120" s="43"/>
      <c r="E1120" s="43" t="str">
        <f t="shared" si="281"/>
        <v>Padrão 113</v>
      </c>
      <c r="F1120" s="43" t="str">
        <f t="shared" si="282"/>
        <v>Vazio</v>
      </c>
      <c r="G1120" s="46">
        <f t="shared" si="296"/>
        <v>0</v>
      </c>
      <c r="H1120" s="46">
        <f t="shared" si="297"/>
        <v>0</v>
      </c>
      <c r="I1120" s="28"/>
      <c r="J1120" s="337"/>
      <c r="K1120" s="46" t="str">
        <f t="shared" si="298"/>
        <v/>
      </c>
      <c r="L1120" s="46" t="str">
        <f t="shared" si="299"/>
        <v/>
      </c>
      <c r="M1120" s="338">
        <f t="shared" si="300"/>
        <v>0</v>
      </c>
      <c r="N1120" s="43"/>
      <c r="O1120" s="339" t="e">
        <f t="shared" si="263"/>
        <v>#N/A</v>
      </c>
      <c r="P1120" s="340" t="str">
        <f>IFERROR(VLOOKUP(O1120,NCM!$A$3:$D$99,COLUMN(head_porNCM_IPI)-COLUMN(head_porNCM_NCM)+1,FALSE),"")</f>
        <v/>
      </c>
      <c r="Q1120" s="43"/>
      <c r="R1120" s="78"/>
      <c r="S1120" s="341"/>
      <c r="T1120" s="28" t="s">
        <v>53</v>
      </c>
      <c r="U1120" s="28"/>
      <c r="V1120" s="28"/>
      <c r="W1120" s="43"/>
      <c r="X1120" s="342">
        <f t="shared" si="301"/>
        <v>0</v>
      </c>
      <c r="Y1120" s="342">
        <f t="shared" si="302"/>
        <v>0</v>
      </c>
      <c r="Z1120" s="46">
        <f t="shared" si="303"/>
        <v>0</v>
      </c>
      <c r="AA1120" s="46">
        <f t="shared" si="304"/>
        <v>0</v>
      </c>
      <c r="AB1120" s="43"/>
      <c r="AC1120" s="44"/>
      <c r="AD1120" s="31"/>
      <c r="AE1120" s="31"/>
      <c r="AF1120" s="31"/>
      <c r="AG1120" s="28" t="s">
        <v>53</v>
      </c>
      <c r="AH1120" s="46">
        <f t="shared" si="283"/>
        <v>0</v>
      </c>
      <c r="AI1120" s="43"/>
      <c r="AJ1120" s="28"/>
      <c r="AK1120" s="337"/>
      <c r="AL1120" s="43"/>
      <c r="AM1120" s="44">
        <f t="shared" si="284"/>
        <v>0</v>
      </c>
      <c r="AN1120" s="43"/>
      <c r="AO1120" s="28">
        <f t="shared" si="285"/>
        <v>0</v>
      </c>
      <c r="AP1120" s="43"/>
      <c r="AQ1120" s="323">
        <f t="shared" si="286"/>
        <v>0</v>
      </c>
      <c r="AR1120" s="43"/>
      <c r="AS1120" s="44"/>
    </row>
    <row r="1121" spans="1:45" outlineLevel="1" x14ac:dyDescent="0.25">
      <c r="A1121" s="28">
        <v>114</v>
      </c>
      <c r="B1121" s="43"/>
      <c r="C1121" s="43"/>
      <c r="D1121" s="43"/>
      <c r="E1121" s="43" t="str">
        <f t="shared" si="281"/>
        <v>Padrão 114</v>
      </c>
      <c r="F1121" s="43" t="str">
        <f t="shared" si="282"/>
        <v>Vazio</v>
      </c>
      <c r="G1121" s="46">
        <f t="shared" si="296"/>
        <v>0</v>
      </c>
      <c r="H1121" s="46">
        <f t="shared" si="297"/>
        <v>0</v>
      </c>
      <c r="I1121" s="28"/>
      <c r="J1121" s="337"/>
      <c r="K1121" s="46" t="str">
        <f t="shared" si="298"/>
        <v/>
      </c>
      <c r="L1121" s="46" t="str">
        <f t="shared" si="299"/>
        <v/>
      </c>
      <c r="M1121" s="338">
        <f t="shared" si="300"/>
        <v>0</v>
      </c>
      <c r="N1121" s="43"/>
      <c r="O1121" s="339" t="e">
        <f t="shared" si="263"/>
        <v>#N/A</v>
      </c>
      <c r="P1121" s="340" t="str">
        <f>IFERROR(VLOOKUP(O1121,NCM!$A$3:$D$99,COLUMN(head_porNCM_IPI)-COLUMN(head_porNCM_NCM)+1,FALSE),"")</f>
        <v/>
      </c>
      <c r="Q1121" s="43"/>
      <c r="R1121" s="78"/>
      <c r="S1121" s="341"/>
      <c r="T1121" s="28" t="s">
        <v>53</v>
      </c>
      <c r="U1121" s="28"/>
      <c r="V1121" s="28"/>
      <c r="W1121" s="43"/>
      <c r="X1121" s="342">
        <f t="shared" si="301"/>
        <v>0</v>
      </c>
      <c r="Y1121" s="342">
        <f t="shared" si="302"/>
        <v>0</v>
      </c>
      <c r="Z1121" s="46">
        <f t="shared" si="303"/>
        <v>0</v>
      </c>
      <c r="AA1121" s="46">
        <f t="shared" si="304"/>
        <v>0</v>
      </c>
      <c r="AB1121" s="43"/>
      <c r="AC1121" s="44"/>
      <c r="AD1121" s="31"/>
      <c r="AE1121" s="31"/>
      <c r="AF1121" s="31"/>
      <c r="AG1121" s="28" t="s">
        <v>53</v>
      </c>
      <c r="AH1121" s="46">
        <f t="shared" si="283"/>
        <v>0</v>
      </c>
      <c r="AI1121" s="43"/>
      <c r="AJ1121" s="28"/>
      <c r="AK1121" s="337"/>
      <c r="AL1121" s="43"/>
      <c r="AM1121" s="44">
        <f t="shared" si="284"/>
        <v>0</v>
      </c>
      <c r="AN1121" s="43"/>
      <c r="AO1121" s="28">
        <f t="shared" si="285"/>
        <v>0</v>
      </c>
      <c r="AP1121" s="43"/>
      <c r="AQ1121" s="323">
        <f t="shared" si="286"/>
        <v>0</v>
      </c>
      <c r="AR1121" s="43"/>
      <c r="AS1121" s="44"/>
    </row>
    <row r="1122" spans="1:45" outlineLevel="1" x14ac:dyDescent="0.25">
      <c r="A1122" s="28">
        <v>115</v>
      </c>
      <c r="B1122" s="43"/>
      <c r="C1122" s="43"/>
      <c r="D1122" s="43"/>
      <c r="E1122" s="43" t="str">
        <f t="shared" si="281"/>
        <v>Padrão 115</v>
      </c>
      <c r="F1122" s="43" t="str">
        <f t="shared" si="282"/>
        <v>Vazio</v>
      </c>
      <c r="G1122" s="46">
        <f t="shared" si="296"/>
        <v>0</v>
      </c>
      <c r="H1122" s="46">
        <f t="shared" si="297"/>
        <v>0</v>
      </c>
      <c r="I1122" s="28"/>
      <c r="J1122" s="337"/>
      <c r="K1122" s="46" t="str">
        <f t="shared" si="298"/>
        <v/>
      </c>
      <c r="L1122" s="46" t="str">
        <f t="shared" si="299"/>
        <v/>
      </c>
      <c r="M1122" s="338">
        <f t="shared" si="300"/>
        <v>0</v>
      </c>
      <c r="N1122" s="43"/>
      <c r="O1122" s="339" t="e">
        <f t="shared" si="263"/>
        <v>#N/A</v>
      </c>
      <c r="P1122" s="340" t="str">
        <f>IFERROR(VLOOKUP(O1122,NCM!$A$3:$D$99,COLUMN(head_porNCM_IPI)-COLUMN(head_porNCM_NCM)+1,FALSE),"")</f>
        <v/>
      </c>
      <c r="Q1122" s="43"/>
      <c r="R1122" s="78"/>
      <c r="S1122" s="341"/>
      <c r="T1122" s="28" t="s">
        <v>53</v>
      </c>
      <c r="U1122" s="28"/>
      <c r="V1122" s="28"/>
      <c r="W1122" s="43"/>
      <c r="X1122" s="342">
        <f t="shared" si="301"/>
        <v>0</v>
      </c>
      <c r="Y1122" s="342">
        <f t="shared" si="302"/>
        <v>0</v>
      </c>
      <c r="Z1122" s="46">
        <f t="shared" si="303"/>
        <v>0</v>
      </c>
      <c r="AA1122" s="46">
        <f t="shared" si="304"/>
        <v>0</v>
      </c>
      <c r="AB1122" s="43"/>
      <c r="AC1122" s="44"/>
      <c r="AD1122" s="31"/>
      <c r="AE1122" s="31"/>
      <c r="AF1122" s="31"/>
      <c r="AG1122" s="28" t="s">
        <v>53</v>
      </c>
      <c r="AH1122" s="46">
        <f t="shared" si="283"/>
        <v>0</v>
      </c>
      <c r="AI1122" s="43"/>
      <c r="AJ1122" s="28"/>
      <c r="AK1122" s="337"/>
      <c r="AL1122" s="43"/>
      <c r="AM1122" s="44">
        <f t="shared" si="284"/>
        <v>0</v>
      </c>
      <c r="AN1122" s="43"/>
      <c r="AO1122" s="28">
        <f t="shared" si="285"/>
        <v>0</v>
      </c>
      <c r="AP1122" s="43"/>
      <c r="AQ1122" s="323">
        <f t="shared" si="286"/>
        <v>0</v>
      </c>
      <c r="AR1122" s="43"/>
      <c r="AS1122" s="44"/>
    </row>
    <row r="1123" spans="1:45" outlineLevel="1" x14ac:dyDescent="0.25">
      <c r="A1123" s="28">
        <v>116</v>
      </c>
      <c r="B1123" s="43"/>
      <c r="C1123" s="43"/>
      <c r="D1123" s="43"/>
      <c r="E1123" s="43" t="str">
        <f t="shared" si="281"/>
        <v>Padrão 116</v>
      </c>
      <c r="F1123" s="43" t="str">
        <f t="shared" si="282"/>
        <v>Vazio</v>
      </c>
      <c r="G1123" s="46">
        <f t="shared" si="296"/>
        <v>0</v>
      </c>
      <c r="H1123" s="46">
        <f t="shared" si="297"/>
        <v>0</v>
      </c>
      <c r="I1123" s="28"/>
      <c r="J1123" s="337"/>
      <c r="K1123" s="46" t="str">
        <f t="shared" si="298"/>
        <v/>
      </c>
      <c r="L1123" s="46" t="str">
        <f t="shared" si="299"/>
        <v/>
      </c>
      <c r="M1123" s="338">
        <f t="shared" si="300"/>
        <v>0</v>
      </c>
      <c r="N1123" s="43"/>
      <c r="O1123" s="339" t="e">
        <f t="shared" si="263"/>
        <v>#N/A</v>
      </c>
      <c r="P1123" s="340" t="str">
        <f>IFERROR(VLOOKUP(O1123,NCM!$A$3:$D$99,COLUMN(head_porNCM_IPI)-COLUMN(head_porNCM_NCM)+1,FALSE),"")</f>
        <v/>
      </c>
      <c r="Q1123" s="43"/>
      <c r="R1123" s="78"/>
      <c r="S1123" s="341"/>
      <c r="T1123" s="28" t="s">
        <v>53</v>
      </c>
      <c r="U1123" s="28"/>
      <c r="V1123" s="28"/>
      <c r="W1123" s="43"/>
      <c r="X1123" s="342">
        <f t="shared" si="301"/>
        <v>0</v>
      </c>
      <c r="Y1123" s="342">
        <f t="shared" si="302"/>
        <v>0</v>
      </c>
      <c r="Z1123" s="46">
        <f t="shared" si="303"/>
        <v>0</v>
      </c>
      <c r="AA1123" s="46">
        <f t="shared" si="304"/>
        <v>0</v>
      </c>
      <c r="AB1123" s="43"/>
      <c r="AC1123" s="44"/>
      <c r="AD1123" s="31"/>
      <c r="AE1123" s="31"/>
      <c r="AF1123" s="31"/>
      <c r="AG1123" s="28" t="s">
        <v>53</v>
      </c>
      <c r="AH1123" s="46">
        <f t="shared" si="283"/>
        <v>0</v>
      </c>
      <c r="AI1123" s="43"/>
      <c r="AJ1123" s="28"/>
      <c r="AK1123" s="337"/>
      <c r="AL1123" s="43"/>
      <c r="AM1123" s="44">
        <f t="shared" si="284"/>
        <v>0</v>
      </c>
      <c r="AN1123" s="43"/>
      <c r="AO1123" s="28">
        <f t="shared" si="285"/>
        <v>0</v>
      </c>
      <c r="AP1123" s="43"/>
      <c r="AQ1123" s="323">
        <f t="shared" si="286"/>
        <v>0</v>
      </c>
      <c r="AR1123" s="43"/>
      <c r="AS1123" s="44"/>
    </row>
    <row r="1124" spans="1:45" outlineLevel="1" x14ac:dyDescent="0.25">
      <c r="A1124" s="28">
        <v>117</v>
      </c>
      <c r="B1124" s="43"/>
      <c r="C1124" s="43"/>
      <c r="D1124" s="43"/>
      <c r="E1124" s="43" t="str">
        <f t="shared" si="281"/>
        <v>Padrão 117</v>
      </c>
      <c r="F1124" s="43" t="str">
        <f t="shared" si="282"/>
        <v>Vazio</v>
      </c>
      <c r="G1124" s="46">
        <f t="shared" si="296"/>
        <v>0</v>
      </c>
      <c r="H1124" s="46">
        <f t="shared" si="297"/>
        <v>0</v>
      </c>
      <c r="I1124" s="28"/>
      <c r="J1124" s="337"/>
      <c r="K1124" s="46" t="str">
        <f t="shared" si="298"/>
        <v/>
      </c>
      <c r="L1124" s="46" t="str">
        <f t="shared" si="299"/>
        <v/>
      </c>
      <c r="M1124" s="338">
        <f t="shared" si="300"/>
        <v>0</v>
      </c>
      <c r="N1124" s="43"/>
      <c r="O1124" s="339" t="e">
        <f t="shared" si="263"/>
        <v>#N/A</v>
      </c>
      <c r="P1124" s="340" t="str">
        <f>IFERROR(VLOOKUP(O1124,NCM!$A$3:$D$99,COLUMN(head_porNCM_IPI)-COLUMN(head_porNCM_NCM)+1,FALSE),"")</f>
        <v/>
      </c>
      <c r="Q1124" s="43"/>
      <c r="R1124" s="78"/>
      <c r="S1124" s="341"/>
      <c r="T1124" s="28" t="s">
        <v>53</v>
      </c>
      <c r="U1124" s="28"/>
      <c r="V1124" s="28"/>
      <c r="W1124" s="43"/>
      <c r="X1124" s="342">
        <f t="shared" si="301"/>
        <v>0</v>
      </c>
      <c r="Y1124" s="342">
        <f t="shared" si="302"/>
        <v>0</v>
      </c>
      <c r="Z1124" s="46">
        <f t="shared" si="303"/>
        <v>0</v>
      </c>
      <c r="AA1124" s="46">
        <f t="shared" si="304"/>
        <v>0</v>
      </c>
      <c r="AB1124" s="43"/>
      <c r="AC1124" s="44"/>
      <c r="AD1124" s="31"/>
      <c r="AE1124" s="31"/>
      <c r="AF1124" s="31"/>
      <c r="AG1124" s="28" t="s">
        <v>53</v>
      </c>
      <c r="AH1124" s="46">
        <f t="shared" si="283"/>
        <v>0</v>
      </c>
      <c r="AI1124" s="43"/>
      <c r="AJ1124" s="28"/>
      <c r="AK1124" s="337"/>
      <c r="AL1124" s="43"/>
      <c r="AM1124" s="44">
        <f t="shared" si="284"/>
        <v>0</v>
      </c>
      <c r="AN1124" s="43"/>
      <c r="AO1124" s="28">
        <f t="shared" si="285"/>
        <v>0</v>
      </c>
      <c r="AP1124" s="43"/>
      <c r="AQ1124" s="323">
        <f t="shared" si="286"/>
        <v>0</v>
      </c>
      <c r="AR1124" s="43"/>
      <c r="AS1124" s="44"/>
    </row>
    <row r="1125" spans="1:45" outlineLevel="1" x14ac:dyDescent="0.25">
      <c r="A1125" s="28">
        <v>118</v>
      </c>
      <c r="B1125" s="43"/>
      <c r="C1125" s="43"/>
      <c r="D1125" s="43"/>
      <c r="E1125" s="43" t="str">
        <f t="shared" si="281"/>
        <v>Padrão 118</v>
      </c>
      <c r="F1125" s="43" t="str">
        <f t="shared" si="282"/>
        <v>Vazio</v>
      </c>
      <c r="G1125" s="46">
        <f t="shared" si="296"/>
        <v>0</v>
      </c>
      <c r="H1125" s="46">
        <f t="shared" si="297"/>
        <v>0</v>
      </c>
      <c r="I1125" s="28"/>
      <c r="J1125" s="337"/>
      <c r="K1125" s="46" t="str">
        <f t="shared" si="298"/>
        <v/>
      </c>
      <c r="L1125" s="46" t="str">
        <f t="shared" si="299"/>
        <v/>
      </c>
      <c r="M1125" s="338">
        <f t="shared" si="300"/>
        <v>0</v>
      </c>
      <c r="N1125" s="43"/>
      <c r="O1125" s="339" t="e">
        <f t="shared" si="263"/>
        <v>#N/A</v>
      </c>
      <c r="P1125" s="340" t="str">
        <f>IFERROR(VLOOKUP(O1125,NCM!$A$3:$D$99,COLUMN(head_porNCM_IPI)-COLUMN(head_porNCM_NCM)+1,FALSE),"")</f>
        <v/>
      </c>
      <c r="Q1125" s="43"/>
      <c r="R1125" s="78"/>
      <c r="S1125" s="341"/>
      <c r="T1125" s="28" t="s">
        <v>53</v>
      </c>
      <c r="U1125" s="28"/>
      <c r="V1125" s="28"/>
      <c r="W1125" s="43"/>
      <c r="X1125" s="342">
        <f t="shared" si="301"/>
        <v>0</v>
      </c>
      <c r="Y1125" s="342">
        <f t="shared" si="302"/>
        <v>0</v>
      </c>
      <c r="Z1125" s="46">
        <f t="shared" si="303"/>
        <v>0</v>
      </c>
      <c r="AA1125" s="46">
        <f t="shared" si="304"/>
        <v>0</v>
      </c>
      <c r="AB1125" s="43"/>
      <c r="AC1125" s="44"/>
      <c r="AD1125" s="31"/>
      <c r="AE1125" s="31"/>
      <c r="AF1125" s="31"/>
      <c r="AG1125" s="28" t="s">
        <v>53</v>
      </c>
      <c r="AH1125" s="46">
        <f t="shared" si="283"/>
        <v>0</v>
      </c>
      <c r="AI1125" s="43"/>
      <c r="AJ1125" s="28"/>
      <c r="AK1125" s="337"/>
      <c r="AL1125" s="43"/>
      <c r="AM1125" s="44">
        <f t="shared" si="284"/>
        <v>0</v>
      </c>
      <c r="AN1125" s="43"/>
      <c r="AO1125" s="28">
        <f t="shared" si="285"/>
        <v>0</v>
      </c>
      <c r="AP1125" s="43"/>
      <c r="AQ1125" s="323">
        <f t="shared" si="286"/>
        <v>0</v>
      </c>
      <c r="AR1125" s="43"/>
      <c r="AS1125" s="44"/>
    </row>
    <row r="1126" spans="1:45" outlineLevel="1" x14ac:dyDescent="0.25">
      <c r="A1126" s="28">
        <v>119</v>
      </c>
      <c r="B1126" s="43"/>
      <c r="C1126" s="43"/>
      <c r="D1126" s="43"/>
      <c r="E1126" s="43" t="str">
        <f t="shared" si="281"/>
        <v>Padrão 119</v>
      </c>
      <c r="F1126" s="43" t="str">
        <f t="shared" si="282"/>
        <v>Vazio</v>
      </c>
      <c r="G1126" s="46">
        <f t="shared" si="296"/>
        <v>0</v>
      </c>
      <c r="H1126" s="46">
        <f t="shared" si="297"/>
        <v>0</v>
      </c>
      <c r="I1126" s="28"/>
      <c r="J1126" s="337"/>
      <c r="K1126" s="46" t="str">
        <f t="shared" si="298"/>
        <v/>
      </c>
      <c r="L1126" s="46" t="str">
        <f t="shared" si="299"/>
        <v/>
      </c>
      <c r="M1126" s="338">
        <f t="shared" si="300"/>
        <v>0</v>
      </c>
      <c r="N1126" s="43"/>
      <c r="O1126" s="339" t="e">
        <f t="shared" si="263"/>
        <v>#N/A</v>
      </c>
      <c r="P1126" s="340" t="str">
        <f>IFERROR(VLOOKUP(O1126,NCM!$A$3:$D$99,COLUMN(head_porNCM_IPI)-COLUMN(head_porNCM_NCM)+1,FALSE),"")</f>
        <v/>
      </c>
      <c r="Q1126" s="43"/>
      <c r="R1126" s="78"/>
      <c r="S1126" s="341"/>
      <c r="T1126" s="28" t="s">
        <v>53</v>
      </c>
      <c r="U1126" s="28"/>
      <c r="V1126" s="28"/>
      <c r="W1126" s="43"/>
      <c r="X1126" s="342">
        <f t="shared" si="301"/>
        <v>0</v>
      </c>
      <c r="Y1126" s="342">
        <f t="shared" si="302"/>
        <v>0</v>
      </c>
      <c r="Z1126" s="46">
        <f t="shared" si="303"/>
        <v>0</v>
      </c>
      <c r="AA1126" s="46">
        <f t="shared" si="304"/>
        <v>0</v>
      </c>
      <c r="AB1126" s="43"/>
      <c r="AC1126" s="44"/>
      <c r="AD1126" s="31"/>
      <c r="AE1126" s="31"/>
      <c r="AF1126" s="31"/>
      <c r="AG1126" s="28" t="s">
        <v>53</v>
      </c>
      <c r="AH1126" s="46">
        <f t="shared" si="283"/>
        <v>0</v>
      </c>
      <c r="AI1126" s="43"/>
      <c r="AJ1126" s="28"/>
      <c r="AK1126" s="337"/>
      <c r="AL1126" s="43"/>
      <c r="AM1126" s="44">
        <f t="shared" si="284"/>
        <v>0</v>
      </c>
      <c r="AN1126" s="43"/>
      <c r="AO1126" s="28">
        <f t="shared" si="285"/>
        <v>0</v>
      </c>
      <c r="AP1126" s="43"/>
      <c r="AQ1126" s="323">
        <f t="shared" si="286"/>
        <v>0</v>
      </c>
      <c r="AR1126" s="43"/>
      <c r="AS1126" s="44"/>
    </row>
    <row r="1127" spans="1:45" outlineLevel="1" x14ac:dyDescent="0.25">
      <c r="A1127" s="28">
        <v>120</v>
      </c>
      <c r="B1127" s="43"/>
      <c r="C1127" s="43"/>
      <c r="D1127" s="43"/>
      <c r="E1127" s="43" t="str">
        <f t="shared" si="281"/>
        <v>Padrão 120</v>
      </c>
      <c r="F1127" s="43" t="str">
        <f t="shared" si="282"/>
        <v>Vazio</v>
      </c>
      <c r="G1127" s="46">
        <f t="shared" si="296"/>
        <v>0</v>
      </c>
      <c r="H1127" s="46">
        <f t="shared" si="297"/>
        <v>0</v>
      </c>
      <c r="I1127" s="28"/>
      <c r="J1127" s="337"/>
      <c r="K1127" s="46" t="str">
        <f t="shared" si="298"/>
        <v/>
      </c>
      <c r="L1127" s="46" t="str">
        <f t="shared" si="299"/>
        <v/>
      </c>
      <c r="M1127" s="338">
        <f t="shared" si="300"/>
        <v>0</v>
      </c>
      <c r="N1127" s="43"/>
      <c r="O1127" s="339" t="e">
        <f t="shared" si="263"/>
        <v>#N/A</v>
      </c>
      <c r="P1127" s="340" t="str">
        <f>IFERROR(VLOOKUP(O1127,NCM!$A$3:$D$99,COLUMN(head_porNCM_IPI)-COLUMN(head_porNCM_NCM)+1,FALSE),"")</f>
        <v/>
      </c>
      <c r="Q1127" s="43"/>
      <c r="R1127" s="78"/>
      <c r="S1127" s="341"/>
      <c r="T1127" s="28" t="s">
        <v>53</v>
      </c>
      <c r="U1127" s="28"/>
      <c r="V1127" s="28"/>
      <c r="W1127" s="43"/>
      <c r="X1127" s="342">
        <f t="shared" si="301"/>
        <v>0</v>
      </c>
      <c r="Y1127" s="342">
        <f t="shared" si="302"/>
        <v>0</v>
      </c>
      <c r="Z1127" s="46">
        <f t="shared" si="303"/>
        <v>0</v>
      </c>
      <c r="AA1127" s="46">
        <f t="shared" si="304"/>
        <v>0</v>
      </c>
      <c r="AB1127" s="43"/>
      <c r="AC1127" s="44"/>
      <c r="AD1127" s="31"/>
      <c r="AE1127" s="31"/>
      <c r="AF1127" s="31"/>
      <c r="AG1127" s="28" t="s">
        <v>53</v>
      </c>
      <c r="AH1127" s="46">
        <f t="shared" si="283"/>
        <v>0</v>
      </c>
      <c r="AI1127" s="43"/>
      <c r="AJ1127" s="28"/>
      <c r="AK1127" s="337"/>
      <c r="AL1127" s="43"/>
      <c r="AM1127" s="44">
        <f t="shared" si="284"/>
        <v>0</v>
      </c>
      <c r="AN1127" s="43"/>
      <c r="AO1127" s="28">
        <f t="shared" si="285"/>
        <v>0</v>
      </c>
      <c r="AP1127" s="43"/>
      <c r="AQ1127" s="323">
        <f t="shared" si="286"/>
        <v>0</v>
      </c>
      <c r="AR1127" s="43"/>
      <c r="AS1127" s="44"/>
    </row>
    <row r="1128" spans="1:45" outlineLevel="1" x14ac:dyDescent="0.25">
      <c r="A1128" s="28">
        <v>121</v>
      </c>
      <c r="B1128" s="43"/>
      <c r="C1128" s="43"/>
      <c r="D1128" s="43"/>
      <c r="E1128" s="43" t="str">
        <f t="shared" si="281"/>
        <v>Padrão 121</v>
      </c>
      <c r="F1128" s="43" t="str">
        <f t="shared" si="282"/>
        <v>Vazio</v>
      </c>
      <c r="G1128" s="46">
        <f t="shared" si="296"/>
        <v>0</v>
      </c>
      <c r="H1128" s="46">
        <f t="shared" si="297"/>
        <v>0</v>
      </c>
      <c r="I1128" s="28"/>
      <c r="J1128" s="337"/>
      <c r="K1128" s="46" t="str">
        <f t="shared" si="298"/>
        <v/>
      </c>
      <c r="L1128" s="46" t="str">
        <f t="shared" si="299"/>
        <v/>
      </c>
      <c r="M1128" s="338">
        <f t="shared" si="300"/>
        <v>0</v>
      </c>
      <c r="N1128" s="43"/>
      <c r="O1128" s="339" t="e">
        <f t="shared" si="263"/>
        <v>#N/A</v>
      </c>
      <c r="P1128" s="340" t="str">
        <f>IFERROR(VLOOKUP(O1128,NCM!$A$3:$D$99,COLUMN(head_porNCM_IPI)-COLUMN(head_porNCM_NCM)+1,FALSE),"")</f>
        <v/>
      </c>
      <c r="Q1128" s="43"/>
      <c r="R1128" s="78"/>
      <c r="S1128" s="341"/>
      <c r="T1128" s="28" t="s">
        <v>53</v>
      </c>
      <c r="U1128" s="28"/>
      <c r="V1128" s="28"/>
      <c r="W1128" s="43"/>
      <c r="X1128" s="342">
        <f t="shared" si="301"/>
        <v>0</v>
      </c>
      <c r="Y1128" s="342">
        <f t="shared" si="302"/>
        <v>0</v>
      </c>
      <c r="Z1128" s="46">
        <f t="shared" si="303"/>
        <v>0</v>
      </c>
      <c r="AA1128" s="46">
        <f t="shared" si="304"/>
        <v>0</v>
      </c>
      <c r="AB1128" s="43"/>
      <c r="AC1128" s="44"/>
      <c r="AD1128" s="31"/>
      <c r="AE1128" s="31"/>
      <c r="AF1128" s="31"/>
      <c r="AG1128" s="28" t="s">
        <v>53</v>
      </c>
      <c r="AH1128" s="46">
        <f t="shared" si="283"/>
        <v>0</v>
      </c>
      <c r="AI1128" s="43"/>
      <c r="AJ1128" s="28"/>
      <c r="AK1128" s="337"/>
      <c r="AL1128" s="43"/>
      <c r="AM1128" s="44">
        <f t="shared" si="284"/>
        <v>0</v>
      </c>
      <c r="AN1128" s="43"/>
      <c r="AO1128" s="28">
        <f t="shared" si="285"/>
        <v>0</v>
      </c>
      <c r="AP1128" s="43"/>
      <c r="AQ1128" s="323">
        <f t="shared" si="286"/>
        <v>0</v>
      </c>
      <c r="AR1128" s="43"/>
      <c r="AS1128" s="44"/>
    </row>
    <row r="1129" spans="1:45" outlineLevel="1" x14ac:dyDescent="0.25">
      <c r="A1129" s="28">
        <v>122</v>
      </c>
      <c r="B1129" s="43"/>
      <c r="C1129" s="43"/>
      <c r="D1129" s="43"/>
      <c r="E1129" s="43" t="str">
        <f t="shared" si="281"/>
        <v>Padrão 122</v>
      </c>
      <c r="F1129" s="43" t="str">
        <f t="shared" si="282"/>
        <v>Vazio</v>
      </c>
      <c r="G1129" s="46">
        <f t="shared" si="296"/>
        <v>0</v>
      </c>
      <c r="H1129" s="46">
        <f t="shared" si="297"/>
        <v>0</v>
      </c>
      <c r="I1129" s="28"/>
      <c r="J1129" s="337"/>
      <c r="K1129" s="46" t="str">
        <f t="shared" si="298"/>
        <v/>
      </c>
      <c r="L1129" s="46" t="str">
        <f t="shared" si="299"/>
        <v/>
      </c>
      <c r="M1129" s="338">
        <f t="shared" si="300"/>
        <v>0</v>
      </c>
      <c r="N1129" s="43"/>
      <c r="O1129" s="339" t="e">
        <f t="shared" si="263"/>
        <v>#N/A</v>
      </c>
      <c r="P1129" s="340" t="str">
        <f>IFERROR(VLOOKUP(O1129,NCM!$A$3:$D$99,COLUMN(head_porNCM_IPI)-COLUMN(head_porNCM_NCM)+1,FALSE),"")</f>
        <v/>
      </c>
      <c r="Q1129" s="43"/>
      <c r="R1129" s="78"/>
      <c r="S1129" s="341"/>
      <c r="T1129" s="28" t="s">
        <v>53</v>
      </c>
      <c r="U1129" s="28"/>
      <c r="V1129" s="28"/>
      <c r="W1129" s="43"/>
      <c r="X1129" s="342">
        <f t="shared" si="301"/>
        <v>0</v>
      </c>
      <c r="Y1129" s="342">
        <f t="shared" si="302"/>
        <v>0</v>
      </c>
      <c r="Z1129" s="46">
        <f t="shared" si="303"/>
        <v>0</v>
      </c>
      <c r="AA1129" s="46">
        <f t="shared" si="304"/>
        <v>0</v>
      </c>
      <c r="AB1129" s="43"/>
      <c r="AC1129" s="44"/>
      <c r="AD1129" s="31"/>
      <c r="AE1129" s="31"/>
      <c r="AF1129" s="31"/>
      <c r="AG1129" s="28" t="s">
        <v>53</v>
      </c>
      <c r="AH1129" s="46">
        <f t="shared" si="283"/>
        <v>0</v>
      </c>
      <c r="AI1129" s="43"/>
      <c r="AJ1129" s="28"/>
      <c r="AK1129" s="337"/>
      <c r="AL1129" s="43"/>
      <c r="AM1129" s="44">
        <f t="shared" si="284"/>
        <v>0</v>
      </c>
      <c r="AN1129" s="43"/>
      <c r="AO1129" s="28">
        <f t="shared" si="285"/>
        <v>0</v>
      </c>
      <c r="AP1129" s="43"/>
      <c r="AQ1129" s="323">
        <f t="shared" si="286"/>
        <v>0</v>
      </c>
      <c r="AR1129" s="43"/>
      <c r="AS1129" s="44"/>
    </row>
    <row r="1130" spans="1:45" outlineLevel="1" x14ac:dyDescent="0.25">
      <c r="A1130" s="28">
        <v>123</v>
      </c>
      <c r="B1130" s="43"/>
      <c r="C1130" s="43"/>
      <c r="D1130" s="43"/>
      <c r="E1130" s="43" t="str">
        <f t="shared" si="281"/>
        <v>Padrão 123</v>
      </c>
      <c r="F1130" s="43" t="str">
        <f t="shared" si="282"/>
        <v>Vazio</v>
      </c>
      <c r="G1130" s="46">
        <f t="shared" si="296"/>
        <v>0</v>
      </c>
      <c r="H1130" s="46">
        <f t="shared" si="297"/>
        <v>0</v>
      </c>
      <c r="I1130" s="28"/>
      <c r="J1130" s="337"/>
      <c r="K1130" s="46" t="str">
        <f t="shared" si="298"/>
        <v/>
      </c>
      <c r="L1130" s="46" t="str">
        <f t="shared" si="299"/>
        <v/>
      </c>
      <c r="M1130" s="338">
        <f t="shared" si="300"/>
        <v>0</v>
      </c>
      <c r="N1130" s="43"/>
      <c r="O1130" s="339" t="e">
        <f t="shared" si="263"/>
        <v>#N/A</v>
      </c>
      <c r="P1130" s="340" t="str">
        <f>IFERROR(VLOOKUP(O1130,NCM!$A$3:$D$99,COLUMN(head_porNCM_IPI)-COLUMN(head_porNCM_NCM)+1,FALSE),"")</f>
        <v/>
      </c>
      <c r="Q1130" s="43"/>
      <c r="R1130" s="78"/>
      <c r="S1130" s="341"/>
      <c r="T1130" s="28" t="s">
        <v>53</v>
      </c>
      <c r="U1130" s="28"/>
      <c r="V1130" s="28"/>
      <c r="W1130" s="43"/>
      <c r="X1130" s="342">
        <f t="shared" si="301"/>
        <v>0</v>
      </c>
      <c r="Y1130" s="342">
        <f t="shared" si="302"/>
        <v>0</v>
      </c>
      <c r="Z1130" s="46">
        <f t="shared" si="303"/>
        <v>0</v>
      </c>
      <c r="AA1130" s="46">
        <f t="shared" si="304"/>
        <v>0</v>
      </c>
      <c r="AB1130" s="43"/>
      <c r="AC1130" s="44"/>
      <c r="AD1130" s="31"/>
      <c r="AE1130" s="31"/>
      <c r="AF1130" s="31"/>
      <c r="AG1130" s="28" t="s">
        <v>53</v>
      </c>
      <c r="AH1130" s="46">
        <f t="shared" si="283"/>
        <v>0</v>
      </c>
      <c r="AI1130" s="43"/>
      <c r="AJ1130" s="28"/>
      <c r="AK1130" s="337"/>
      <c r="AL1130" s="43"/>
      <c r="AM1130" s="44">
        <f t="shared" si="284"/>
        <v>0</v>
      </c>
      <c r="AN1130" s="43"/>
      <c r="AO1130" s="28">
        <f t="shared" si="285"/>
        <v>0</v>
      </c>
      <c r="AP1130" s="43"/>
      <c r="AQ1130" s="323">
        <f t="shared" si="286"/>
        <v>0</v>
      </c>
      <c r="AR1130" s="43"/>
      <c r="AS1130" s="44"/>
    </row>
    <row r="1131" spans="1:45" outlineLevel="1" x14ac:dyDescent="0.25">
      <c r="A1131" s="28">
        <v>124</v>
      </c>
      <c r="B1131" s="43"/>
      <c r="C1131" s="43"/>
      <c r="D1131" s="43"/>
      <c r="E1131" s="43" t="str">
        <f t="shared" si="281"/>
        <v>Padrão 124</v>
      </c>
      <c r="F1131" s="43" t="str">
        <f t="shared" si="282"/>
        <v>Vazio</v>
      </c>
      <c r="G1131" s="46">
        <f t="shared" si="296"/>
        <v>0</v>
      </c>
      <c r="H1131" s="46">
        <f t="shared" si="297"/>
        <v>0</v>
      </c>
      <c r="I1131" s="28"/>
      <c r="J1131" s="337"/>
      <c r="K1131" s="46" t="str">
        <f t="shared" si="298"/>
        <v/>
      </c>
      <c r="L1131" s="46" t="str">
        <f t="shared" si="299"/>
        <v/>
      </c>
      <c r="M1131" s="338">
        <f t="shared" si="300"/>
        <v>0</v>
      </c>
      <c r="N1131" s="43"/>
      <c r="O1131" s="339" t="e">
        <f t="shared" si="263"/>
        <v>#N/A</v>
      </c>
      <c r="P1131" s="340" t="str">
        <f>IFERROR(VLOOKUP(O1131,NCM!$A$3:$D$99,COLUMN(head_porNCM_IPI)-COLUMN(head_porNCM_NCM)+1,FALSE),"")</f>
        <v/>
      </c>
      <c r="Q1131" s="43"/>
      <c r="R1131" s="78"/>
      <c r="S1131" s="341"/>
      <c r="T1131" s="28" t="s">
        <v>53</v>
      </c>
      <c r="U1131" s="28"/>
      <c r="V1131" s="28"/>
      <c r="W1131" s="43"/>
      <c r="X1131" s="342">
        <f t="shared" si="301"/>
        <v>0</v>
      </c>
      <c r="Y1131" s="342">
        <f t="shared" si="302"/>
        <v>0</v>
      </c>
      <c r="Z1131" s="46">
        <f t="shared" si="303"/>
        <v>0</v>
      </c>
      <c r="AA1131" s="46">
        <f t="shared" si="304"/>
        <v>0</v>
      </c>
      <c r="AB1131" s="43"/>
      <c r="AC1131" s="44"/>
      <c r="AD1131" s="31"/>
      <c r="AE1131" s="31"/>
      <c r="AF1131" s="31"/>
      <c r="AG1131" s="28" t="s">
        <v>53</v>
      </c>
      <c r="AH1131" s="46">
        <f t="shared" si="283"/>
        <v>0</v>
      </c>
      <c r="AI1131" s="43"/>
      <c r="AJ1131" s="28"/>
      <c r="AK1131" s="337"/>
      <c r="AL1131" s="43"/>
      <c r="AM1131" s="44">
        <f t="shared" si="284"/>
        <v>0</v>
      </c>
      <c r="AN1131" s="43"/>
      <c r="AO1131" s="28">
        <f t="shared" si="285"/>
        <v>0</v>
      </c>
      <c r="AP1131" s="43"/>
      <c r="AQ1131" s="323">
        <f t="shared" si="286"/>
        <v>0</v>
      </c>
      <c r="AR1131" s="43"/>
      <c r="AS1131" s="44"/>
    </row>
    <row r="1132" spans="1:45" outlineLevel="1" x14ac:dyDescent="0.25">
      <c r="A1132" s="28">
        <v>125</v>
      </c>
      <c r="B1132" s="43"/>
      <c r="C1132" s="43"/>
      <c r="D1132" s="43"/>
      <c r="E1132" s="43" t="str">
        <f t="shared" si="281"/>
        <v>Padrão 125</v>
      </c>
      <c r="F1132" s="43" t="str">
        <f t="shared" si="282"/>
        <v>Vazio</v>
      </c>
      <c r="G1132" s="46">
        <f t="shared" si="296"/>
        <v>0</v>
      </c>
      <c r="H1132" s="46">
        <f t="shared" si="297"/>
        <v>0</v>
      </c>
      <c r="I1132" s="28"/>
      <c r="J1132" s="337"/>
      <c r="K1132" s="46" t="str">
        <f t="shared" si="298"/>
        <v/>
      </c>
      <c r="L1132" s="46" t="str">
        <f t="shared" si="299"/>
        <v/>
      </c>
      <c r="M1132" s="338">
        <f t="shared" si="300"/>
        <v>0</v>
      </c>
      <c r="N1132" s="43"/>
      <c r="O1132" s="339" t="e">
        <f t="shared" si="263"/>
        <v>#N/A</v>
      </c>
      <c r="P1132" s="340" t="str">
        <f>IFERROR(VLOOKUP(O1132,NCM!$A$3:$D$99,COLUMN(head_porNCM_IPI)-COLUMN(head_porNCM_NCM)+1,FALSE),"")</f>
        <v/>
      </c>
      <c r="Q1132" s="43"/>
      <c r="R1132" s="78"/>
      <c r="S1132" s="341"/>
      <c r="T1132" s="28" t="s">
        <v>53</v>
      </c>
      <c r="U1132" s="28"/>
      <c r="V1132" s="28"/>
      <c r="W1132" s="43"/>
      <c r="X1132" s="342">
        <f t="shared" si="301"/>
        <v>0</v>
      </c>
      <c r="Y1132" s="342">
        <f t="shared" si="302"/>
        <v>0</v>
      </c>
      <c r="Z1132" s="46">
        <f t="shared" si="303"/>
        <v>0</v>
      </c>
      <c r="AA1132" s="46">
        <f t="shared" si="304"/>
        <v>0</v>
      </c>
      <c r="AB1132" s="43"/>
      <c r="AC1132" s="44"/>
      <c r="AD1132" s="31"/>
      <c r="AE1132" s="31"/>
      <c r="AF1132" s="31"/>
      <c r="AG1132" s="28" t="s">
        <v>53</v>
      </c>
      <c r="AH1132" s="46">
        <f t="shared" si="283"/>
        <v>0</v>
      </c>
      <c r="AI1132" s="43"/>
      <c r="AJ1132" s="28"/>
      <c r="AK1132" s="337"/>
      <c r="AL1132" s="43"/>
      <c r="AM1132" s="44">
        <f t="shared" si="284"/>
        <v>0</v>
      </c>
      <c r="AN1132" s="43"/>
      <c r="AO1132" s="28">
        <f t="shared" si="285"/>
        <v>0</v>
      </c>
      <c r="AP1132" s="43"/>
      <c r="AQ1132" s="323">
        <f t="shared" si="286"/>
        <v>0</v>
      </c>
      <c r="AR1132" s="43"/>
      <c r="AS1132" s="44"/>
    </row>
    <row r="1133" spans="1:45" outlineLevel="1" x14ac:dyDescent="0.25">
      <c r="A1133" s="28">
        <v>126</v>
      </c>
      <c r="B1133" s="43"/>
      <c r="C1133" s="43"/>
      <c r="D1133" s="43"/>
      <c r="E1133" s="43" t="str">
        <f t="shared" si="281"/>
        <v>Padrão 126</v>
      </c>
      <c r="F1133" s="43" t="str">
        <f t="shared" si="282"/>
        <v>Vazio</v>
      </c>
      <c r="G1133" s="46">
        <f t="shared" si="296"/>
        <v>0</v>
      </c>
      <c r="H1133" s="46">
        <f t="shared" si="297"/>
        <v>0</v>
      </c>
      <c r="I1133" s="28"/>
      <c r="J1133" s="337"/>
      <c r="K1133" s="46" t="str">
        <f t="shared" si="298"/>
        <v/>
      </c>
      <c r="L1133" s="46" t="str">
        <f t="shared" si="299"/>
        <v/>
      </c>
      <c r="M1133" s="338">
        <f t="shared" si="300"/>
        <v>0</v>
      </c>
      <c r="N1133" s="43"/>
      <c r="O1133" s="339" t="e">
        <f t="shared" si="263"/>
        <v>#N/A</v>
      </c>
      <c r="P1133" s="340" t="str">
        <f>IFERROR(VLOOKUP(O1133,NCM!$A$3:$D$99,COLUMN(head_porNCM_IPI)-COLUMN(head_porNCM_NCM)+1,FALSE),"")</f>
        <v/>
      </c>
      <c r="Q1133" s="43"/>
      <c r="R1133" s="78"/>
      <c r="S1133" s="341"/>
      <c r="T1133" s="28" t="s">
        <v>53</v>
      </c>
      <c r="U1133" s="28"/>
      <c r="V1133" s="28"/>
      <c r="W1133" s="43"/>
      <c r="X1133" s="342">
        <f t="shared" si="301"/>
        <v>0</v>
      </c>
      <c r="Y1133" s="342">
        <f t="shared" si="302"/>
        <v>0</v>
      </c>
      <c r="Z1133" s="46">
        <f t="shared" si="303"/>
        <v>0</v>
      </c>
      <c r="AA1133" s="46">
        <f t="shared" si="304"/>
        <v>0</v>
      </c>
      <c r="AB1133" s="43"/>
      <c r="AC1133" s="44"/>
      <c r="AD1133" s="31"/>
      <c r="AE1133" s="31"/>
      <c r="AF1133" s="31"/>
      <c r="AG1133" s="28" t="s">
        <v>53</v>
      </c>
      <c r="AH1133" s="46">
        <f t="shared" si="283"/>
        <v>0</v>
      </c>
      <c r="AI1133" s="43"/>
      <c r="AJ1133" s="28"/>
      <c r="AK1133" s="337"/>
      <c r="AL1133" s="43"/>
      <c r="AM1133" s="44">
        <f t="shared" si="284"/>
        <v>0</v>
      </c>
      <c r="AN1133" s="43"/>
      <c r="AO1133" s="28">
        <f t="shared" si="285"/>
        <v>0</v>
      </c>
      <c r="AP1133" s="43"/>
      <c r="AQ1133" s="323">
        <f t="shared" si="286"/>
        <v>0</v>
      </c>
      <c r="AR1133" s="43"/>
      <c r="AS1133" s="44"/>
    </row>
    <row r="1134" spans="1:45" outlineLevel="1" x14ac:dyDescent="0.25">
      <c r="A1134" s="28">
        <v>127</v>
      </c>
      <c r="B1134" s="43"/>
      <c r="C1134" s="43"/>
      <c r="D1134" s="43"/>
      <c r="E1134" s="43" t="str">
        <f t="shared" si="281"/>
        <v>Padrão 127</v>
      </c>
      <c r="F1134" s="43" t="str">
        <f t="shared" si="282"/>
        <v>Vazio</v>
      </c>
      <c r="G1134" s="46">
        <f t="shared" si="296"/>
        <v>0</v>
      </c>
      <c r="H1134" s="46">
        <f t="shared" si="297"/>
        <v>0</v>
      </c>
      <c r="I1134" s="28"/>
      <c r="J1134" s="337"/>
      <c r="K1134" s="46" t="str">
        <f t="shared" si="298"/>
        <v/>
      </c>
      <c r="L1134" s="46" t="str">
        <f t="shared" si="299"/>
        <v/>
      </c>
      <c r="M1134" s="338">
        <f t="shared" si="300"/>
        <v>0</v>
      </c>
      <c r="N1134" s="43"/>
      <c r="O1134" s="339" t="e">
        <f t="shared" si="263"/>
        <v>#N/A</v>
      </c>
      <c r="P1134" s="340" t="str">
        <f>IFERROR(VLOOKUP(O1134,NCM!$A$3:$D$99,COLUMN(head_porNCM_IPI)-COLUMN(head_porNCM_NCM)+1,FALSE),"")</f>
        <v/>
      </c>
      <c r="Q1134" s="43"/>
      <c r="R1134" s="78"/>
      <c r="S1134" s="341"/>
      <c r="T1134" s="28" t="s">
        <v>53</v>
      </c>
      <c r="U1134" s="28"/>
      <c r="V1134" s="28"/>
      <c r="W1134" s="43"/>
      <c r="X1134" s="342">
        <f t="shared" si="301"/>
        <v>0</v>
      </c>
      <c r="Y1134" s="342">
        <f t="shared" si="302"/>
        <v>0</v>
      </c>
      <c r="Z1134" s="46">
        <f t="shared" si="303"/>
        <v>0</v>
      </c>
      <c r="AA1134" s="46">
        <f t="shared" si="304"/>
        <v>0</v>
      </c>
      <c r="AB1134" s="43"/>
      <c r="AC1134" s="44"/>
      <c r="AD1134" s="31"/>
      <c r="AE1134" s="31"/>
      <c r="AF1134" s="31"/>
      <c r="AG1134" s="28" t="s">
        <v>53</v>
      </c>
      <c r="AH1134" s="46">
        <f t="shared" si="283"/>
        <v>0</v>
      </c>
      <c r="AI1134" s="43"/>
      <c r="AJ1134" s="28"/>
      <c r="AK1134" s="337"/>
      <c r="AL1134" s="43"/>
      <c r="AM1134" s="44">
        <f t="shared" si="284"/>
        <v>0</v>
      </c>
      <c r="AN1134" s="43"/>
      <c r="AO1134" s="28">
        <f t="shared" si="285"/>
        <v>0</v>
      </c>
      <c r="AP1134" s="43"/>
      <c r="AQ1134" s="323">
        <f t="shared" si="286"/>
        <v>0</v>
      </c>
      <c r="AR1134" s="43"/>
      <c r="AS1134" s="44"/>
    </row>
    <row r="1135" spans="1:45" outlineLevel="1" x14ac:dyDescent="0.25">
      <c r="A1135" s="28">
        <v>128</v>
      </c>
      <c r="B1135" s="43"/>
      <c r="C1135" s="43"/>
      <c r="D1135" s="43"/>
      <c r="E1135" s="43" t="str">
        <f t="shared" si="281"/>
        <v>Padrão 128</v>
      </c>
      <c r="F1135" s="43" t="str">
        <f t="shared" si="282"/>
        <v>Vazio</v>
      </c>
      <c r="G1135" s="46">
        <f t="shared" si="296"/>
        <v>0</v>
      </c>
      <c r="H1135" s="46">
        <f t="shared" si="297"/>
        <v>0</v>
      </c>
      <c r="I1135" s="28"/>
      <c r="J1135" s="337"/>
      <c r="K1135" s="46" t="str">
        <f t="shared" si="298"/>
        <v/>
      </c>
      <c r="L1135" s="46" t="str">
        <f t="shared" si="299"/>
        <v/>
      </c>
      <c r="M1135" s="338">
        <f t="shared" si="300"/>
        <v>0</v>
      </c>
      <c r="N1135" s="43"/>
      <c r="O1135" s="339" t="e">
        <f t="shared" si="263"/>
        <v>#N/A</v>
      </c>
      <c r="P1135" s="340" t="str">
        <f>IFERROR(VLOOKUP(O1135,NCM!$A$3:$D$99,COLUMN(head_porNCM_IPI)-COLUMN(head_porNCM_NCM)+1,FALSE),"")</f>
        <v/>
      </c>
      <c r="Q1135" s="43"/>
      <c r="R1135" s="78"/>
      <c r="S1135" s="341"/>
      <c r="T1135" s="28" t="s">
        <v>53</v>
      </c>
      <c r="U1135" s="28"/>
      <c r="V1135" s="28"/>
      <c r="W1135" s="43"/>
      <c r="X1135" s="342">
        <f t="shared" si="301"/>
        <v>0</v>
      </c>
      <c r="Y1135" s="342">
        <f t="shared" si="302"/>
        <v>0</v>
      </c>
      <c r="Z1135" s="46">
        <f t="shared" si="303"/>
        <v>0</v>
      </c>
      <c r="AA1135" s="46">
        <f t="shared" si="304"/>
        <v>0</v>
      </c>
      <c r="AB1135" s="43"/>
      <c r="AC1135" s="44"/>
      <c r="AD1135" s="31"/>
      <c r="AE1135" s="31"/>
      <c r="AF1135" s="31"/>
      <c r="AG1135" s="28" t="s">
        <v>53</v>
      </c>
      <c r="AH1135" s="46">
        <f t="shared" si="283"/>
        <v>0</v>
      </c>
      <c r="AI1135" s="43"/>
      <c r="AJ1135" s="28"/>
      <c r="AK1135" s="337"/>
      <c r="AL1135" s="43"/>
      <c r="AM1135" s="44">
        <f t="shared" si="284"/>
        <v>0</v>
      </c>
      <c r="AN1135" s="43"/>
      <c r="AO1135" s="28">
        <f t="shared" si="285"/>
        <v>0</v>
      </c>
      <c r="AP1135" s="43"/>
      <c r="AQ1135" s="323">
        <f t="shared" si="286"/>
        <v>0</v>
      </c>
      <c r="AR1135" s="43"/>
      <c r="AS1135" s="44"/>
    </row>
    <row r="1136" spans="1:45" outlineLevel="1" x14ac:dyDescent="0.25">
      <c r="A1136" s="28">
        <v>129</v>
      </c>
      <c r="B1136" s="43"/>
      <c r="C1136" s="43"/>
      <c r="D1136" s="43"/>
      <c r="E1136" s="43" t="str">
        <f t="shared" ref="E1136:E1199" si="305">HLOOKUP(A1136,std_tbl3,2,FALSE)</f>
        <v>Padrão 129</v>
      </c>
      <c r="F1136" s="43" t="str">
        <f t="shared" ref="F1136:F1199" si="306">HLOOKUP(A1136,std_tbl3,ROW(row_std_descr)-ROW(row_std_head)+2,FALSE)</f>
        <v>Vazio</v>
      </c>
      <c r="G1136" s="46">
        <f t="shared" si="296"/>
        <v>0</v>
      </c>
      <c r="H1136" s="46">
        <f t="shared" si="297"/>
        <v>0</v>
      </c>
      <c r="I1136" s="28"/>
      <c r="J1136" s="337"/>
      <c r="K1136" s="46" t="str">
        <f t="shared" si="298"/>
        <v/>
      </c>
      <c r="L1136" s="46" t="str">
        <f t="shared" si="299"/>
        <v/>
      </c>
      <c r="M1136" s="338">
        <f t="shared" si="300"/>
        <v>0</v>
      </c>
      <c r="N1136" s="43"/>
      <c r="O1136" s="339" t="e">
        <f t="shared" si="263"/>
        <v>#N/A</v>
      </c>
      <c r="P1136" s="340" t="str">
        <f>IFERROR(VLOOKUP(O1136,NCM!$A$3:$D$99,COLUMN(head_porNCM_IPI)-COLUMN(head_porNCM_NCM)+1,FALSE),"")</f>
        <v/>
      </c>
      <c r="Q1136" s="43"/>
      <c r="R1136" s="78"/>
      <c r="S1136" s="341"/>
      <c r="T1136" s="28" t="s">
        <v>53</v>
      </c>
      <c r="U1136" s="28"/>
      <c r="V1136" s="28"/>
      <c r="W1136" s="43"/>
      <c r="X1136" s="342">
        <f t="shared" si="301"/>
        <v>0</v>
      </c>
      <c r="Y1136" s="342">
        <f t="shared" si="302"/>
        <v>0</v>
      </c>
      <c r="Z1136" s="46">
        <f t="shared" si="303"/>
        <v>0</v>
      </c>
      <c r="AA1136" s="46">
        <f t="shared" si="304"/>
        <v>0</v>
      </c>
      <c r="AB1136" s="43"/>
      <c r="AC1136" s="44"/>
      <c r="AD1136" s="31"/>
      <c r="AE1136" s="31"/>
      <c r="AF1136" s="31"/>
      <c r="AG1136" s="28" t="s">
        <v>53</v>
      </c>
      <c r="AH1136" s="46">
        <f t="shared" ref="AH1136:AH1199" si="307">AC1136*(1+AE1136)</f>
        <v>0</v>
      </c>
      <c r="AI1136" s="43"/>
      <c r="AJ1136" s="28"/>
      <c r="AK1136" s="337"/>
      <c r="AL1136" s="43"/>
      <c r="AM1136" s="44">
        <f t="shared" ref="AM1136:AM1199" si="308">IF(AND(AJ1136&lt;&gt;"",AK1136&gt;0),AQ1136*(VLOOKUP(AJ1136,tbl_cambio,2,FALSE)/AK1136-1),0)</f>
        <v>0</v>
      </c>
      <c r="AN1136" s="43"/>
      <c r="AO1136" s="28">
        <f t="shared" ref="AO1136:AO1199" si="309">IF(T1136="Sim",ROUNDUP(M1136*sobress_pc,0),0)</f>
        <v>0</v>
      </c>
      <c r="AP1136" s="43"/>
      <c r="AQ1136" s="323">
        <f t="shared" ref="AQ1136:AQ1199" si="310">SUMIFS(col_custoTotal,col_fatdir,"Não",col_item,E1136)</f>
        <v>0</v>
      </c>
      <c r="AR1136" s="43"/>
      <c r="AS1136" s="44"/>
    </row>
    <row r="1137" spans="1:45" outlineLevel="1" x14ac:dyDescent="0.25">
      <c r="A1137" s="28">
        <v>130</v>
      </c>
      <c r="B1137" s="43"/>
      <c r="C1137" s="43"/>
      <c r="D1137" s="43"/>
      <c r="E1137" s="43" t="str">
        <f t="shared" si="305"/>
        <v>Padrão 130</v>
      </c>
      <c r="F1137" s="43" t="str">
        <f t="shared" si="306"/>
        <v>Vazio</v>
      </c>
      <c r="G1137" s="46">
        <f t="shared" si="296"/>
        <v>0</v>
      </c>
      <c r="H1137" s="46">
        <f t="shared" si="297"/>
        <v>0</v>
      </c>
      <c r="I1137" s="28"/>
      <c r="J1137" s="337"/>
      <c r="K1137" s="46" t="str">
        <f t="shared" si="298"/>
        <v/>
      </c>
      <c r="L1137" s="46" t="str">
        <f t="shared" si="299"/>
        <v/>
      </c>
      <c r="M1137" s="338">
        <f t="shared" si="300"/>
        <v>0</v>
      </c>
      <c r="N1137" s="43"/>
      <c r="O1137" s="339" t="e">
        <f t="shared" si="263"/>
        <v>#N/A</v>
      </c>
      <c r="P1137" s="340" t="str">
        <f>IFERROR(VLOOKUP(O1137,NCM!$A$3:$D$99,COLUMN(head_porNCM_IPI)-COLUMN(head_porNCM_NCM)+1,FALSE),"")</f>
        <v/>
      </c>
      <c r="Q1137" s="43"/>
      <c r="R1137" s="78"/>
      <c r="S1137" s="341"/>
      <c r="T1137" s="28" t="s">
        <v>53</v>
      </c>
      <c r="U1137" s="28"/>
      <c r="V1137" s="28"/>
      <c r="W1137" s="43"/>
      <c r="X1137" s="342">
        <f t="shared" si="301"/>
        <v>0</v>
      </c>
      <c r="Y1137" s="342">
        <f t="shared" si="302"/>
        <v>0</v>
      </c>
      <c r="Z1137" s="46">
        <f t="shared" si="303"/>
        <v>0</v>
      </c>
      <c r="AA1137" s="46">
        <f t="shared" si="304"/>
        <v>0</v>
      </c>
      <c r="AB1137" s="43"/>
      <c r="AC1137" s="44"/>
      <c r="AD1137" s="31"/>
      <c r="AE1137" s="31"/>
      <c r="AF1137" s="31"/>
      <c r="AG1137" s="28" t="s">
        <v>53</v>
      </c>
      <c r="AH1137" s="46">
        <f t="shared" si="307"/>
        <v>0</v>
      </c>
      <c r="AI1137" s="43"/>
      <c r="AJ1137" s="28"/>
      <c r="AK1137" s="337"/>
      <c r="AL1137" s="43"/>
      <c r="AM1137" s="44">
        <f t="shared" si="308"/>
        <v>0</v>
      </c>
      <c r="AN1137" s="43"/>
      <c r="AO1137" s="28">
        <f t="shared" si="309"/>
        <v>0</v>
      </c>
      <c r="AP1137" s="43"/>
      <c r="AQ1137" s="323">
        <f t="shared" si="310"/>
        <v>0</v>
      </c>
      <c r="AR1137" s="43"/>
      <c r="AS1137" s="44"/>
    </row>
    <row r="1138" spans="1:45" outlineLevel="1" x14ac:dyDescent="0.25">
      <c r="A1138" s="28">
        <v>131</v>
      </c>
      <c r="B1138" s="43"/>
      <c r="C1138" s="43"/>
      <c r="D1138" s="43"/>
      <c r="E1138" s="43" t="str">
        <f t="shared" si="305"/>
        <v>Padrão 131</v>
      </c>
      <c r="F1138" s="43" t="str">
        <f t="shared" si="306"/>
        <v>Vazio</v>
      </c>
      <c r="G1138" s="46">
        <f t="shared" si="296"/>
        <v>0</v>
      </c>
      <c r="H1138" s="46">
        <f t="shared" si="297"/>
        <v>0</v>
      </c>
      <c r="I1138" s="28"/>
      <c r="J1138" s="337"/>
      <c r="K1138" s="46" t="str">
        <f t="shared" si="298"/>
        <v/>
      </c>
      <c r="L1138" s="46" t="str">
        <f t="shared" si="299"/>
        <v/>
      </c>
      <c r="M1138" s="338">
        <f t="shared" si="300"/>
        <v>0</v>
      </c>
      <c r="N1138" s="43"/>
      <c r="O1138" s="339" t="e">
        <f t="shared" si="263"/>
        <v>#N/A</v>
      </c>
      <c r="P1138" s="340" t="str">
        <f>IFERROR(VLOOKUP(O1138,NCM!$A$3:$D$99,COLUMN(head_porNCM_IPI)-COLUMN(head_porNCM_NCM)+1,FALSE),"")</f>
        <v/>
      </c>
      <c r="Q1138" s="43"/>
      <c r="R1138" s="78"/>
      <c r="S1138" s="341"/>
      <c r="T1138" s="28" t="s">
        <v>53</v>
      </c>
      <c r="U1138" s="28"/>
      <c r="V1138" s="28"/>
      <c r="W1138" s="43"/>
      <c r="X1138" s="342">
        <f t="shared" si="301"/>
        <v>0</v>
      </c>
      <c r="Y1138" s="342">
        <f t="shared" si="302"/>
        <v>0</v>
      </c>
      <c r="Z1138" s="46">
        <f t="shared" si="303"/>
        <v>0</v>
      </c>
      <c r="AA1138" s="46">
        <f t="shared" si="304"/>
        <v>0</v>
      </c>
      <c r="AB1138" s="43"/>
      <c r="AC1138" s="44"/>
      <c r="AD1138" s="31"/>
      <c r="AE1138" s="31"/>
      <c r="AF1138" s="31"/>
      <c r="AG1138" s="28" t="s">
        <v>53</v>
      </c>
      <c r="AH1138" s="46">
        <f t="shared" si="307"/>
        <v>0</v>
      </c>
      <c r="AI1138" s="43"/>
      <c r="AJ1138" s="28"/>
      <c r="AK1138" s="337"/>
      <c r="AL1138" s="43"/>
      <c r="AM1138" s="44">
        <f t="shared" si="308"/>
        <v>0</v>
      </c>
      <c r="AN1138" s="43"/>
      <c r="AO1138" s="28">
        <f t="shared" si="309"/>
        <v>0</v>
      </c>
      <c r="AP1138" s="43"/>
      <c r="AQ1138" s="323">
        <f t="shared" si="310"/>
        <v>0</v>
      </c>
      <c r="AR1138" s="43"/>
      <c r="AS1138" s="44"/>
    </row>
    <row r="1139" spans="1:45" outlineLevel="1" x14ac:dyDescent="0.25">
      <c r="A1139" s="28">
        <v>132</v>
      </c>
      <c r="B1139" s="43"/>
      <c r="C1139" s="43"/>
      <c r="D1139" s="43"/>
      <c r="E1139" s="43" t="str">
        <f t="shared" si="305"/>
        <v>Padrão 132</v>
      </c>
      <c r="F1139" s="43" t="str">
        <f t="shared" si="306"/>
        <v>Vazio</v>
      </c>
      <c r="G1139" s="46">
        <f t="shared" si="296"/>
        <v>0</v>
      </c>
      <c r="H1139" s="46">
        <f t="shared" si="297"/>
        <v>0</v>
      </c>
      <c r="I1139" s="28"/>
      <c r="J1139" s="337"/>
      <c r="K1139" s="46" t="str">
        <f t="shared" si="298"/>
        <v/>
      </c>
      <c r="L1139" s="46" t="str">
        <f t="shared" si="299"/>
        <v/>
      </c>
      <c r="M1139" s="338">
        <f t="shared" si="300"/>
        <v>0</v>
      </c>
      <c r="N1139" s="43"/>
      <c r="O1139" s="339" t="e">
        <f t="shared" si="263"/>
        <v>#N/A</v>
      </c>
      <c r="P1139" s="340" t="str">
        <f>IFERROR(VLOOKUP(O1139,NCM!$A$3:$D$99,COLUMN(head_porNCM_IPI)-COLUMN(head_porNCM_NCM)+1,FALSE),"")</f>
        <v/>
      </c>
      <c r="Q1139" s="43"/>
      <c r="R1139" s="78"/>
      <c r="S1139" s="341"/>
      <c r="T1139" s="28" t="s">
        <v>53</v>
      </c>
      <c r="U1139" s="28"/>
      <c r="V1139" s="28"/>
      <c r="W1139" s="43"/>
      <c r="X1139" s="342">
        <f t="shared" si="301"/>
        <v>0</v>
      </c>
      <c r="Y1139" s="342">
        <f t="shared" si="302"/>
        <v>0</v>
      </c>
      <c r="Z1139" s="46">
        <f t="shared" si="303"/>
        <v>0</v>
      </c>
      <c r="AA1139" s="46">
        <f t="shared" si="304"/>
        <v>0</v>
      </c>
      <c r="AB1139" s="43"/>
      <c r="AC1139" s="44"/>
      <c r="AD1139" s="31"/>
      <c r="AE1139" s="31"/>
      <c r="AF1139" s="31"/>
      <c r="AG1139" s="28" t="s">
        <v>53</v>
      </c>
      <c r="AH1139" s="46">
        <f t="shared" si="307"/>
        <v>0</v>
      </c>
      <c r="AI1139" s="43"/>
      <c r="AJ1139" s="28"/>
      <c r="AK1139" s="337"/>
      <c r="AL1139" s="43"/>
      <c r="AM1139" s="44">
        <f t="shared" si="308"/>
        <v>0</v>
      </c>
      <c r="AN1139" s="43"/>
      <c r="AO1139" s="28">
        <f t="shared" si="309"/>
        <v>0</v>
      </c>
      <c r="AP1139" s="43"/>
      <c r="AQ1139" s="323">
        <f t="shared" si="310"/>
        <v>0</v>
      </c>
      <c r="AR1139" s="43"/>
      <c r="AS1139" s="44"/>
    </row>
    <row r="1140" spans="1:45" outlineLevel="1" x14ac:dyDescent="0.25">
      <c r="A1140" s="28">
        <v>133</v>
      </c>
      <c r="B1140" s="43"/>
      <c r="C1140" s="43"/>
      <c r="D1140" s="43"/>
      <c r="E1140" s="43" t="str">
        <f t="shared" si="305"/>
        <v>Padrão 133</v>
      </c>
      <c r="F1140" s="43" t="str">
        <f t="shared" si="306"/>
        <v>Vazio</v>
      </c>
      <c r="G1140" s="46">
        <f t="shared" si="296"/>
        <v>0</v>
      </c>
      <c r="H1140" s="46">
        <f t="shared" si="297"/>
        <v>0</v>
      </c>
      <c r="I1140" s="28"/>
      <c r="J1140" s="337"/>
      <c r="K1140" s="46" t="str">
        <f t="shared" si="298"/>
        <v/>
      </c>
      <c r="L1140" s="46" t="str">
        <f t="shared" si="299"/>
        <v/>
      </c>
      <c r="M1140" s="338">
        <f t="shared" si="300"/>
        <v>0</v>
      </c>
      <c r="N1140" s="43"/>
      <c r="O1140" s="339" t="e">
        <f t="shared" si="263"/>
        <v>#N/A</v>
      </c>
      <c r="P1140" s="340" t="str">
        <f>IFERROR(VLOOKUP(O1140,NCM!$A$3:$D$99,COLUMN(head_porNCM_IPI)-COLUMN(head_porNCM_NCM)+1,FALSE),"")</f>
        <v/>
      </c>
      <c r="Q1140" s="43"/>
      <c r="R1140" s="78"/>
      <c r="S1140" s="341"/>
      <c r="T1140" s="28" t="s">
        <v>53</v>
      </c>
      <c r="U1140" s="28"/>
      <c r="V1140" s="28"/>
      <c r="W1140" s="43"/>
      <c r="X1140" s="342">
        <f t="shared" si="301"/>
        <v>0</v>
      </c>
      <c r="Y1140" s="342">
        <f t="shared" si="302"/>
        <v>0</v>
      </c>
      <c r="Z1140" s="46">
        <f t="shared" si="303"/>
        <v>0</v>
      </c>
      <c r="AA1140" s="46">
        <f t="shared" si="304"/>
        <v>0</v>
      </c>
      <c r="AB1140" s="43"/>
      <c r="AC1140" s="44"/>
      <c r="AD1140" s="31"/>
      <c r="AE1140" s="31"/>
      <c r="AF1140" s="31"/>
      <c r="AG1140" s="28" t="s">
        <v>53</v>
      </c>
      <c r="AH1140" s="46">
        <f t="shared" si="307"/>
        <v>0</v>
      </c>
      <c r="AI1140" s="43"/>
      <c r="AJ1140" s="28"/>
      <c r="AK1140" s="337"/>
      <c r="AL1140" s="43"/>
      <c r="AM1140" s="44">
        <f t="shared" si="308"/>
        <v>0</v>
      </c>
      <c r="AN1140" s="43"/>
      <c r="AO1140" s="28">
        <f t="shared" si="309"/>
        <v>0</v>
      </c>
      <c r="AP1140" s="43"/>
      <c r="AQ1140" s="323">
        <f t="shared" si="310"/>
        <v>0</v>
      </c>
      <c r="AR1140" s="43"/>
      <c r="AS1140" s="44"/>
    </row>
    <row r="1141" spans="1:45" outlineLevel="1" x14ac:dyDescent="0.25">
      <c r="A1141" s="28">
        <v>134</v>
      </c>
      <c r="B1141" s="43"/>
      <c r="C1141" s="43"/>
      <c r="D1141" s="43"/>
      <c r="E1141" s="43" t="str">
        <f t="shared" si="305"/>
        <v>Padrão 134</v>
      </c>
      <c r="F1141" s="43" t="str">
        <f t="shared" si="306"/>
        <v>Vazio</v>
      </c>
      <c r="G1141" s="46">
        <f t="shared" si="296"/>
        <v>0</v>
      </c>
      <c r="H1141" s="46">
        <f t="shared" si="297"/>
        <v>0</v>
      </c>
      <c r="I1141" s="28"/>
      <c r="J1141" s="337"/>
      <c r="K1141" s="46" t="str">
        <f t="shared" si="298"/>
        <v/>
      </c>
      <c r="L1141" s="46" t="str">
        <f t="shared" si="299"/>
        <v/>
      </c>
      <c r="M1141" s="338">
        <f t="shared" si="300"/>
        <v>0</v>
      </c>
      <c r="N1141" s="43"/>
      <c r="O1141" s="339" t="e">
        <f t="shared" si="263"/>
        <v>#N/A</v>
      </c>
      <c r="P1141" s="340" t="str">
        <f>IFERROR(VLOOKUP(O1141,NCM!$A$3:$D$99,COLUMN(head_porNCM_IPI)-COLUMN(head_porNCM_NCM)+1,FALSE),"")</f>
        <v/>
      </c>
      <c r="Q1141" s="43"/>
      <c r="R1141" s="78"/>
      <c r="S1141" s="341"/>
      <c r="T1141" s="28" t="s">
        <v>53</v>
      </c>
      <c r="U1141" s="28"/>
      <c r="V1141" s="28"/>
      <c r="W1141" s="43"/>
      <c r="X1141" s="342">
        <f t="shared" si="301"/>
        <v>0</v>
      </c>
      <c r="Y1141" s="342">
        <f t="shared" si="302"/>
        <v>0</v>
      </c>
      <c r="Z1141" s="46">
        <f t="shared" si="303"/>
        <v>0</v>
      </c>
      <c r="AA1141" s="46">
        <f t="shared" si="304"/>
        <v>0</v>
      </c>
      <c r="AB1141" s="43"/>
      <c r="AC1141" s="44"/>
      <c r="AD1141" s="31"/>
      <c r="AE1141" s="31"/>
      <c r="AF1141" s="31"/>
      <c r="AG1141" s="28" t="s">
        <v>53</v>
      </c>
      <c r="AH1141" s="46">
        <f t="shared" si="307"/>
        <v>0</v>
      </c>
      <c r="AI1141" s="43"/>
      <c r="AJ1141" s="28"/>
      <c r="AK1141" s="337"/>
      <c r="AL1141" s="43"/>
      <c r="AM1141" s="44">
        <f t="shared" si="308"/>
        <v>0</v>
      </c>
      <c r="AN1141" s="43"/>
      <c r="AO1141" s="28">
        <f t="shared" si="309"/>
        <v>0</v>
      </c>
      <c r="AP1141" s="43"/>
      <c r="AQ1141" s="323">
        <f t="shared" si="310"/>
        <v>0</v>
      </c>
      <c r="AR1141" s="43"/>
      <c r="AS1141" s="44"/>
    </row>
    <row r="1142" spans="1:45" outlineLevel="1" x14ac:dyDescent="0.25">
      <c r="A1142" s="28">
        <v>135</v>
      </c>
      <c r="B1142" s="43"/>
      <c r="C1142" s="43"/>
      <c r="D1142" s="43"/>
      <c r="E1142" s="43" t="str">
        <f t="shared" si="305"/>
        <v>Padrão 135</v>
      </c>
      <c r="F1142" s="43" t="str">
        <f t="shared" si="306"/>
        <v>Vazio</v>
      </c>
      <c r="G1142" s="46">
        <f t="shared" si="296"/>
        <v>0</v>
      </c>
      <c r="H1142" s="46">
        <f t="shared" si="297"/>
        <v>0</v>
      </c>
      <c r="I1142" s="28"/>
      <c r="J1142" s="337"/>
      <c r="K1142" s="46" t="str">
        <f t="shared" si="298"/>
        <v/>
      </c>
      <c r="L1142" s="46" t="str">
        <f t="shared" si="299"/>
        <v/>
      </c>
      <c r="M1142" s="338">
        <f t="shared" si="300"/>
        <v>0</v>
      </c>
      <c r="N1142" s="43"/>
      <c r="O1142" s="339" t="e">
        <f t="shared" si="263"/>
        <v>#N/A</v>
      </c>
      <c r="P1142" s="340" t="str">
        <f>IFERROR(VLOOKUP(O1142,NCM!$A$3:$D$99,COLUMN(head_porNCM_IPI)-COLUMN(head_porNCM_NCM)+1,FALSE),"")</f>
        <v/>
      </c>
      <c r="Q1142" s="43"/>
      <c r="R1142" s="78"/>
      <c r="S1142" s="341"/>
      <c r="T1142" s="28" t="s">
        <v>53</v>
      </c>
      <c r="U1142" s="28"/>
      <c r="V1142" s="28"/>
      <c r="W1142" s="43"/>
      <c r="X1142" s="342">
        <f t="shared" si="301"/>
        <v>0</v>
      </c>
      <c r="Y1142" s="342">
        <f t="shared" si="302"/>
        <v>0</v>
      </c>
      <c r="Z1142" s="46">
        <f t="shared" si="303"/>
        <v>0</v>
      </c>
      <c r="AA1142" s="46">
        <f t="shared" si="304"/>
        <v>0</v>
      </c>
      <c r="AB1142" s="43"/>
      <c r="AC1142" s="44"/>
      <c r="AD1142" s="31"/>
      <c r="AE1142" s="31"/>
      <c r="AF1142" s="31"/>
      <c r="AG1142" s="28" t="s">
        <v>53</v>
      </c>
      <c r="AH1142" s="46">
        <f t="shared" si="307"/>
        <v>0</v>
      </c>
      <c r="AI1142" s="43"/>
      <c r="AJ1142" s="28"/>
      <c r="AK1142" s="337"/>
      <c r="AL1142" s="43"/>
      <c r="AM1142" s="44">
        <f t="shared" si="308"/>
        <v>0</v>
      </c>
      <c r="AN1142" s="43"/>
      <c r="AO1142" s="28">
        <f t="shared" si="309"/>
        <v>0</v>
      </c>
      <c r="AP1142" s="43"/>
      <c r="AQ1142" s="323">
        <f t="shared" si="310"/>
        <v>0</v>
      </c>
      <c r="AR1142" s="43"/>
      <c r="AS1142" s="44"/>
    </row>
    <row r="1143" spans="1:45" outlineLevel="1" x14ac:dyDescent="0.25">
      <c r="A1143" s="28">
        <v>136</v>
      </c>
      <c r="B1143" s="43"/>
      <c r="C1143" s="43"/>
      <c r="D1143" s="43"/>
      <c r="E1143" s="43" t="str">
        <f t="shared" si="305"/>
        <v>Padrão 136</v>
      </c>
      <c r="F1143" s="43" t="str">
        <f t="shared" si="306"/>
        <v>Vazio</v>
      </c>
      <c r="G1143" s="46">
        <f t="shared" si="296"/>
        <v>0</v>
      </c>
      <c r="H1143" s="46">
        <f t="shared" si="297"/>
        <v>0</v>
      </c>
      <c r="I1143" s="28"/>
      <c r="J1143" s="337"/>
      <c r="K1143" s="46" t="str">
        <f t="shared" si="298"/>
        <v/>
      </c>
      <c r="L1143" s="46" t="str">
        <f t="shared" si="299"/>
        <v/>
      </c>
      <c r="M1143" s="338">
        <f t="shared" si="300"/>
        <v>0</v>
      </c>
      <c r="N1143" s="43"/>
      <c r="O1143" s="339" t="e">
        <f t="shared" si="263"/>
        <v>#N/A</v>
      </c>
      <c r="P1143" s="340" t="str">
        <f>IFERROR(VLOOKUP(O1143,NCM!$A$3:$D$99,COLUMN(head_porNCM_IPI)-COLUMN(head_porNCM_NCM)+1,FALSE),"")</f>
        <v/>
      </c>
      <c r="Q1143" s="43"/>
      <c r="R1143" s="78"/>
      <c r="S1143" s="341"/>
      <c r="T1143" s="28" t="s">
        <v>53</v>
      </c>
      <c r="U1143" s="28"/>
      <c r="V1143" s="28"/>
      <c r="W1143" s="43"/>
      <c r="X1143" s="342">
        <f t="shared" si="301"/>
        <v>0</v>
      </c>
      <c r="Y1143" s="342">
        <f t="shared" si="302"/>
        <v>0</v>
      </c>
      <c r="Z1143" s="46">
        <f t="shared" si="303"/>
        <v>0</v>
      </c>
      <c r="AA1143" s="46">
        <f t="shared" si="304"/>
        <v>0</v>
      </c>
      <c r="AB1143" s="43"/>
      <c r="AC1143" s="44"/>
      <c r="AD1143" s="31"/>
      <c r="AE1143" s="31"/>
      <c r="AF1143" s="31"/>
      <c r="AG1143" s="28" t="s">
        <v>53</v>
      </c>
      <c r="AH1143" s="46">
        <f t="shared" si="307"/>
        <v>0</v>
      </c>
      <c r="AI1143" s="43"/>
      <c r="AJ1143" s="28"/>
      <c r="AK1143" s="337"/>
      <c r="AL1143" s="43"/>
      <c r="AM1143" s="44">
        <f t="shared" si="308"/>
        <v>0</v>
      </c>
      <c r="AN1143" s="43"/>
      <c r="AO1143" s="28">
        <f t="shared" si="309"/>
        <v>0</v>
      </c>
      <c r="AP1143" s="43"/>
      <c r="AQ1143" s="323">
        <f t="shared" si="310"/>
        <v>0</v>
      </c>
      <c r="AR1143" s="43"/>
      <c r="AS1143" s="44"/>
    </row>
    <row r="1144" spans="1:45" outlineLevel="1" x14ac:dyDescent="0.25">
      <c r="A1144" s="28">
        <v>137</v>
      </c>
      <c r="B1144" s="43"/>
      <c r="C1144" s="43"/>
      <c r="D1144" s="43"/>
      <c r="E1144" s="43" t="str">
        <f t="shared" si="305"/>
        <v>Padrão 137</v>
      </c>
      <c r="F1144" s="43" t="str">
        <f t="shared" si="306"/>
        <v>Vazio</v>
      </c>
      <c r="G1144" s="46">
        <f t="shared" si="296"/>
        <v>0</v>
      </c>
      <c r="H1144" s="46">
        <f t="shared" si="297"/>
        <v>0</v>
      </c>
      <c r="I1144" s="28"/>
      <c r="J1144" s="337"/>
      <c r="K1144" s="46" t="str">
        <f t="shared" si="298"/>
        <v/>
      </c>
      <c r="L1144" s="46" t="str">
        <f t="shared" si="299"/>
        <v/>
      </c>
      <c r="M1144" s="338">
        <f t="shared" si="300"/>
        <v>0</v>
      </c>
      <c r="N1144" s="43"/>
      <c r="O1144" s="339" t="e">
        <f t="shared" si="263"/>
        <v>#N/A</v>
      </c>
      <c r="P1144" s="340" t="str">
        <f>IFERROR(VLOOKUP(O1144,NCM!$A$3:$D$99,COLUMN(head_porNCM_IPI)-COLUMN(head_porNCM_NCM)+1,FALSE),"")</f>
        <v/>
      </c>
      <c r="Q1144" s="43"/>
      <c r="R1144" s="78"/>
      <c r="S1144" s="341"/>
      <c r="T1144" s="28" t="s">
        <v>53</v>
      </c>
      <c r="U1144" s="28"/>
      <c r="V1144" s="28"/>
      <c r="W1144" s="43"/>
      <c r="X1144" s="342">
        <f t="shared" si="301"/>
        <v>0</v>
      </c>
      <c r="Y1144" s="342">
        <f t="shared" si="302"/>
        <v>0</v>
      </c>
      <c r="Z1144" s="46">
        <f t="shared" si="303"/>
        <v>0</v>
      </c>
      <c r="AA1144" s="46">
        <f t="shared" si="304"/>
        <v>0</v>
      </c>
      <c r="AB1144" s="43"/>
      <c r="AC1144" s="44"/>
      <c r="AD1144" s="31"/>
      <c r="AE1144" s="31"/>
      <c r="AF1144" s="31"/>
      <c r="AG1144" s="28" t="s">
        <v>53</v>
      </c>
      <c r="AH1144" s="46">
        <f t="shared" si="307"/>
        <v>0</v>
      </c>
      <c r="AI1144" s="43"/>
      <c r="AJ1144" s="28"/>
      <c r="AK1144" s="337"/>
      <c r="AL1144" s="43"/>
      <c r="AM1144" s="44">
        <f t="shared" si="308"/>
        <v>0</v>
      </c>
      <c r="AN1144" s="43"/>
      <c r="AO1144" s="28">
        <f t="shared" si="309"/>
        <v>0</v>
      </c>
      <c r="AP1144" s="43"/>
      <c r="AQ1144" s="323">
        <f t="shared" si="310"/>
        <v>0</v>
      </c>
      <c r="AR1144" s="43"/>
      <c r="AS1144" s="44"/>
    </row>
    <row r="1145" spans="1:45" outlineLevel="1" x14ac:dyDescent="0.25">
      <c r="A1145" s="28">
        <v>138</v>
      </c>
      <c r="B1145" s="43"/>
      <c r="C1145" s="43"/>
      <c r="D1145" s="43"/>
      <c r="E1145" s="43" t="str">
        <f t="shared" si="305"/>
        <v>Padrão 138</v>
      </c>
      <c r="F1145" s="43" t="str">
        <f t="shared" si="306"/>
        <v>Vazio</v>
      </c>
      <c r="G1145" s="46">
        <f t="shared" si="296"/>
        <v>0</v>
      </c>
      <c r="H1145" s="46">
        <f t="shared" si="297"/>
        <v>0</v>
      </c>
      <c r="I1145" s="28"/>
      <c r="J1145" s="337"/>
      <c r="K1145" s="46" t="str">
        <f t="shared" si="298"/>
        <v/>
      </c>
      <c r="L1145" s="46" t="str">
        <f t="shared" si="299"/>
        <v/>
      </c>
      <c r="M1145" s="338">
        <f t="shared" si="300"/>
        <v>0</v>
      </c>
      <c r="N1145" s="43"/>
      <c r="O1145" s="339" t="e">
        <f t="shared" si="263"/>
        <v>#N/A</v>
      </c>
      <c r="P1145" s="340" t="str">
        <f>IFERROR(VLOOKUP(O1145,NCM!$A$3:$D$99,COLUMN(head_porNCM_IPI)-COLUMN(head_porNCM_NCM)+1,FALSE),"")</f>
        <v/>
      </c>
      <c r="Q1145" s="43"/>
      <c r="R1145" s="78"/>
      <c r="S1145" s="341"/>
      <c r="T1145" s="28" t="s">
        <v>53</v>
      </c>
      <c r="U1145" s="28"/>
      <c r="V1145" s="28"/>
      <c r="W1145" s="43"/>
      <c r="X1145" s="342">
        <f t="shared" si="301"/>
        <v>0</v>
      </c>
      <c r="Y1145" s="342">
        <f t="shared" si="302"/>
        <v>0</v>
      </c>
      <c r="Z1145" s="46">
        <f t="shared" si="303"/>
        <v>0</v>
      </c>
      <c r="AA1145" s="46">
        <f t="shared" si="304"/>
        <v>0</v>
      </c>
      <c r="AB1145" s="43"/>
      <c r="AC1145" s="44"/>
      <c r="AD1145" s="31"/>
      <c r="AE1145" s="31"/>
      <c r="AF1145" s="31"/>
      <c r="AG1145" s="28" t="s">
        <v>53</v>
      </c>
      <c r="AH1145" s="46">
        <f t="shared" si="307"/>
        <v>0</v>
      </c>
      <c r="AI1145" s="43"/>
      <c r="AJ1145" s="28"/>
      <c r="AK1145" s="337"/>
      <c r="AL1145" s="43"/>
      <c r="AM1145" s="44">
        <f t="shared" si="308"/>
        <v>0</v>
      </c>
      <c r="AN1145" s="43"/>
      <c r="AO1145" s="28">
        <f t="shared" si="309"/>
        <v>0</v>
      </c>
      <c r="AP1145" s="43"/>
      <c r="AQ1145" s="323">
        <f t="shared" si="310"/>
        <v>0</v>
      </c>
      <c r="AR1145" s="43"/>
      <c r="AS1145" s="44"/>
    </row>
    <row r="1146" spans="1:45" outlineLevel="1" x14ac:dyDescent="0.25">
      <c r="A1146" s="28">
        <v>139</v>
      </c>
      <c r="B1146" s="43"/>
      <c r="C1146" s="43"/>
      <c r="D1146" s="43"/>
      <c r="E1146" s="43" t="str">
        <f t="shared" si="305"/>
        <v>Padrão 139</v>
      </c>
      <c r="F1146" s="43" t="str">
        <f t="shared" si="306"/>
        <v>Vazio</v>
      </c>
      <c r="G1146" s="46">
        <f t="shared" si="296"/>
        <v>0</v>
      </c>
      <c r="H1146" s="46">
        <f t="shared" si="297"/>
        <v>0</v>
      </c>
      <c r="I1146" s="28"/>
      <c r="J1146" s="337"/>
      <c r="K1146" s="46" t="str">
        <f t="shared" si="298"/>
        <v/>
      </c>
      <c r="L1146" s="46" t="str">
        <f t="shared" si="299"/>
        <v/>
      </c>
      <c r="M1146" s="338">
        <f t="shared" si="300"/>
        <v>0</v>
      </c>
      <c r="N1146" s="43"/>
      <c r="O1146" s="339" t="e">
        <f t="shared" si="263"/>
        <v>#N/A</v>
      </c>
      <c r="P1146" s="340" t="str">
        <f>IFERROR(VLOOKUP(O1146,NCM!$A$3:$D$99,COLUMN(head_porNCM_IPI)-COLUMN(head_porNCM_NCM)+1,FALSE),"")</f>
        <v/>
      </c>
      <c r="Q1146" s="43"/>
      <c r="R1146" s="78"/>
      <c r="S1146" s="341"/>
      <c r="T1146" s="28" t="s">
        <v>53</v>
      </c>
      <c r="U1146" s="28"/>
      <c r="V1146" s="28"/>
      <c r="W1146" s="43"/>
      <c r="X1146" s="342">
        <f t="shared" si="301"/>
        <v>0</v>
      </c>
      <c r="Y1146" s="342">
        <f t="shared" si="302"/>
        <v>0</v>
      </c>
      <c r="Z1146" s="46">
        <f t="shared" si="303"/>
        <v>0</v>
      </c>
      <c r="AA1146" s="46">
        <f t="shared" si="304"/>
        <v>0</v>
      </c>
      <c r="AB1146" s="43"/>
      <c r="AC1146" s="44"/>
      <c r="AD1146" s="31"/>
      <c r="AE1146" s="31"/>
      <c r="AF1146" s="31"/>
      <c r="AG1146" s="28" t="s">
        <v>53</v>
      </c>
      <c r="AH1146" s="46">
        <f t="shared" si="307"/>
        <v>0</v>
      </c>
      <c r="AI1146" s="43"/>
      <c r="AJ1146" s="28"/>
      <c r="AK1146" s="337"/>
      <c r="AL1146" s="43"/>
      <c r="AM1146" s="44">
        <f t="shared" si="308"/>
        <v>0</v>
      </c>
      <c r="AN1146" s="43"/>
      <c r="AO1146" s="28">
        <f t="shared" si="309"/>
        <v>0</v>
      </c>
      <c r="AP1146" s="43"/>
      <c r="AQ1146" s="323">
        <f t="shared" si="310"/>
        <v>0</v>
      </c>
      <c r="AR1146" s="43"/>
      <c r="AS1146" s="44"/>
    </row>
    <row r="1147" spans="1:45" outlineLevel="1" x14ac:dyDescent="0.25">
      <c r="A1147" s="28">
        <v>140</v>
      </c>
      <c r="B1147" s="43"/>
      <c r="C1147" s="43"/>
      <c r="D1147" s="43"/>
      <c r="E1147" s="43" t="str">
        <f t="shared" si="305"/>
        <v>Padrão 140</v>
      </c>
      <c r="F1147" s="43" t="str">
        <f t="shared" si="306"/>
        <v>Vazio</v>
      </c>
      <c r="G1147" s="46">
        <f t="shared" si="296"/>
        <v>0</v>
      </c>
      <c r="H1147" s="46">
        <f t="shared" si="297"/>
        <v>0</v>
      </c>
      <c r="I1147" s="28"/>
      <c r="J1147" s="337"/>
      <c r="K1147" s="46" t="str">
        <f t="shared" si="298"/>
        <v/>
      </c>
      <c r="L1147" s="46" t="str">
        <f t="shared" si="299"/>
        <v/>
      </c>
      <c r="M1147" s="338">
        <f t="shared" si="300"/>
        <v>0</v>
      </c>
      <c r="N1147" s="43"/>
      <c r="O1147" s="339" t="e">
        <f t="shared" si="263"/>
        <v>#N/A</v>
      </c>
      <c r="P1147" s="340" t="str">
        <f>IFERROR(VLOOKUP(O1147,NCM!$A$3:$D$99,COLUMN(head_porNCM_IPI)-COLUMN(head_porNCM_NCM)+1,FALSE),"")</f>
        <v/>
      </c>
      <c r="Q1147" s="43"/>
      <c r="R1147" s="78"/>
      <c r="S1147" s="341"/>
      <c r="T1147" s="28" t="s">
        <v>53</v>
      </c>
      <c r="U1147" s="28"/>
      <c r="V1147" s="28"/>
      <c r="W1147" s="43"/>
      <c r="X1147" s="342">
        <f t="shared" si="301"/>
        <v>0</v>
      </c>
      <c r="Y1147" s="342">
        <f t="shared" si="302"/>
        <v>0</v>
      </c>
      <c r="Z1147" s="46">
        <f t="shared" si="303"/>
        <v>0</v>
      </c>
      <c r="AA1147" s="46">
        <f t="shared" si="304"/>
        <v>0</v>
      </c>
      <c r="AB1147" s="43"/>
      <c r="AC1147" s="44"/>
      <c r="AD1147" s="31"/>
      <c r="AE1147" s="31"/>
      <c r="AF1147" s="31"/>
      <c r="AG1147" s="28" t="s">
        <v>53</v>
      </c>
      <c r="AH1147" s="46">
        <f t="shared" si="307"/>
        <v>0</v>
      </c>
      <c r="AI1147" s="43"/>
      <c r="AJ1147" s="28"/>
      <c r="AK1147" s="337"/>
      <c r="AL1147" s="43"/>
      <c r="AM1147" s="44">
        <f t="shared" si="308"/>
        <v>0</v>
      </c>
      <c r="AN1147" s="43"/>
      <c r="AO1147" s="28">
        <f t="shared" si="309"/>
        <v>0</v>
      </c>
      <c r="AP1147" s="43"/>
      <c r="AQ1147" s="323">
        <f t="shared" si="310"/>
        <v>0</v>
      </c>
      <c r="AR1147" s="43"/>
      <c r="AS1147" s="44"/>
    </row>
    <row r="1148" spans="1:45" outlineLevel="1" x14ac:dyDescent="0.25">
      <c r="A1148" s="28">
        <v>141</v>
      </c>
      <c r="B1148" s="43"/>
      <c r="C1148" s="43"/>
      <c r="D1148" s="43"/>
      <c r="E1148" s="43" t="str">
        <f t="shared" si="305"/>
        <v>Padrão 141</v>
      </c>
      <c r="F1148" s="43" t="str">
        <f t="shared" si="306"/>
        <v>Vazio</v>
      </c>
      <c r="G1148" s="46">
        <f t="shared" si="296"/>
        <v>0</v>
      </c>
      <c r="H1148" s="46">
        <f t="shared" si="297"/>
        <v>0</v>
      </c>
      <c r="I1148" s="28"/>
      <c r="J1148" s="337"/>
      <c r="K1148" s="46" t="str">
        <f t="shared" si="298"/>
        <v/>
      </c>
      <c r="L1148" s="46" t="str">
        <f t="shared" si="299"/>
        <v/>
      </c>
      <c r="M1148" s="338">
        <f t="shared" si="300"/>
        <v>0</v>
      </c>
      <c r="N1148" s="43"/>
      <c r="O1148" s="339" t="e">
        <f t="shared" si="263"/>
        <v>#N/A</v>
      </c>
      <c r="P1148" s="340" t="str">
        <f>IFERROR(VLOOKUP(O1148,NCM!$A$3:$D$99,COLUMN(head_porNCM_IPI)-COLUMN(head_porNCM_NCM)+1,FALSE),"")</f>
        <v/>
      </c>
      <c r="Q1148" s="43"/>
      <c r="R1148" s="78"/>
      <c r="S1148" s="341"/>
      <c r="T1148" s="28" t="s">
        <v>53</v>
      </c>
      <c r="U1148" s="28"/>
      <c r="V1148" s="28"/>
      <c r="W1148" s="43"/>
      <c r="X1148" s="342">
        <f t="shared" si="301"/>
        <v>0</v>
      </c>
      <c r="Y1148" s="342">
        <f t="shared" si="302"/>
        <v>0</v>
      </c>
      <c r="Z1148" s="46">
        <f t="shared" si="303"/>
        <v>0</v>
      </c>
      <c r="AA1148" s="46">
        <f t="shared" si="304"/>
        <v>0</v>
      </c>
      <c r="AB1148" s="43"/>
      <c r="AC1148" s="44"/>
      <c r="AD1148" s="31"/>
      <c r="AE1148" s="31"/>
      <c r="AF1148" s="31"/>
      <c r="AG1148" s="28" t="s">
        <v>53</v>
      </c>
      <c r="AH1148" s="46">
        <f t="shared" si="307"/>
        <v>0</v>
      </c>
      <c r="AI1148" s="43"/>
      <c r="AJ1148" s="28"/>
      <c r="AK1148" s="337"/>
      <c r="AL1148" s="43"/>
      <c r="AM1148" s="44">
        <f t="shared" si="308"/>
        <v>0</v>
      </c>
      <c r="AN1148" s="43"/>
      <c r="AO1148" s="28">
        <f t="shared" si="309"/>
        <v>0</v>
      </c>
      <c r="AP1148" s="43"/>
      <c r="AQ1148" s="323">
        <f t="shared" si="310"/>
        <v>0</v>
      </c>
      <c r="AR1148" s="43"/>
      <c r="AS1148" s="44"/>
    </row>
    <row r="1149" spans="1:45" outlineLevel="1" x14ac:dyDescent="0.25">
      <c r="A1149" s="28">
        <v>142</v>
      </c>
      <c r="B1149" s="43"/>
      <c r="C1149" s="43"/>
      <c r="D1149" s="43"/>
      <c r="E1149" s="43" t="str">
        <f t="shared" si="305"/>
        <v>Padrão 142</v>
      </c>
      <c r="F1149" s="43" t="str">
        <f t="shared" si="306"/>
        <v>Vazio</v>
      </c>
      <c r="G1149" s="46">
        <f t="shared" si="296"/>
        <v>0</v>
      </c>
      <c r="H1149" s="46">
        <f t="shared" si="297"/>
        <v>0</v>
      </c>
      <c r="I1149" s="28"/>
      <c r="J1149" s="337"/>
      <c r="K1149" s="46" t="str">
        <f t="shared" si="298"/>
        <v/>
      </c>
      <c r="L1149" s="46" t="str">
        <f t="shared" si="299"/>
        <v/>
      </c>
      <c r="M1149" s="338">
        <f t="shared" si="300"/>
        <v>0</v>
      </c>
      <c r="N1149" s="43"/>
      <c r="O1149" s="339" t="e">
        <f t="shared" si="263"/>
        <v>#N/A</v>
      </c>
      <c r="P1149" s="340" t="str">
        <f>IFERROR(VLOOKUP(O1149,NCM!$A$3:$D$99,COLUMN(head_porNCM_IPI)-COLUMN(head_porNCM_NCM)+1,FALSE),"")</f>
        <v/>
      </c>
      <c r="Q1149" s="43"/>
      <c r="R1149" s="78"/>
      <c r="S1149" s="341"/>
      <c r="T1149" s="28" t="s">
        <v>53</v>
      </c>
      <c r="U1149" s="28"/>
      <c r="V1149" s="28"/>
      <c r="W1149" s="43"/>
      <c r="X1149" s="342">
        <f t="shared" si="301"/>
        <v>0</v>
      </c>
      <c r="Y1149" s="342">
        <f t="shared" si="302"/>
        <v>0</v>
      </c>
      <c r="Z1149" s="46">
        <f t="shared" si="303"/>
        <v>0</v>
      </c>
      <c r="AA1149" s="46">
        <f t="shared" si="304"/>
        <v>0</v>
      </c>
      <c r="AB1149" s="43"/>
      <c r="AC1149" s="44"/>
      <c r="AD1149" s="31"/>
      <c r="AE1149" s="31"/>
      <c r="AF1149" s="31"/>
      <c r="AG1149" s="28" t="s">
        <v>53</v>
      </c>
      <c r="AH1149" s="46">
        <f t="shared" si="307"/>
        <v>0</v>
      </c>
      <c r="AI1149" s="43"/>
      <c r="AJ1149" s="28"/>
      <c r="AK1149" s="337"/>
      <c r="AL1149" s="43"/>
      <c r="AM1149" s="44">
        <f t="shared" si="308"/>
        <v>0</v>
      </c>
      <c r="AN1149" s="43"/>
      <c r="AO1149" s="28">
        <f t="shared" si="309"/>
        <v>0</v>
      </c>
      <c r="AP1149" s="43"/>
      <c r="AQ1149" s="323">
        <f t="shared" si="310"/>
        <v>0</v>
      </c>
      <c r="AR1149" s="43"/>
      <c r="AS1149" s="44"/>
    </row>
    <row r="1150" spans="1:45" outlineLevel="1" x14ac:dyDescent="0.25">
      <c r="A1150" s="28">
        <v>143</v>
      </c>
      <c r="B1150" s="43"/>
      <c r="C1150" s="43"/>
      <c r="D1150" s="43"/>
      <c r="E1150" s="43" t="str">
        <f t="shared" si="305"/>
        <v>Padrão 143</v>
      </c>
      <c r="F1150" s="43" t="str">
        <f t="shared" si="306"/>
        <v>Vazio</v>
      </c>
      <c r="G1150" s="46">
        <f t="shared" si="296"/>
        <v>0</v>
      </c>
      <c r="H1150" s="46">
        <f t="shared" si="297"/>
        <v>0</v>
      </c>
      <c r="I1150" s="28"/>
      <c r="J1150" s="337"/>
      <c r="K1150" s="46" t="str">
        <f t="shared" si="298"/>
        <v/>
      </c>
      <c r="L1150" s="46" t="str">
        <f t="shared" si="299"/>
        <v/>
      </c>
      <c r="M1150" s="338">
        <f t="shared" si="300"/>
        <v>0</v>
      </c>
      <c r="N1150" s="43"/>
      <c r="O1150" s="339" t="e">
        <f t="shared" si="263"/>
        <v>#N/A</v>
      </c>
      <c r="P1150" s="340" t="str">
        <f>IFERROR(VLOOKUP(O1150,NCM!$A$3:$D$99,COLUMN(head_porNCM_IPI)-COLUMN(head_porNCM_NCM)+1,FALSE),"")</f>
        <v/>
      </c>
      <c r="Q1150" s="43"/>
      <c r="R1150" s="78"/>
      <c r="S1150" s="341"/>
      <c r="T1150" s="28" t="s">
        <v>53</v>
      </c>
      <c r="U1150" s="28"/>
      <c r="V1150" s="28"/>
      <c r="W1150" s="43"/>
      <c r="X1150" s="342">
        <f t="shared" si="301"/>
        <v>0</v>
      </c>
      <c r="Y1150" s="342">
        <f t="shared" si="302"/>
        <v>0</v>
      </c>
      <c r="Z1150" s="46">
        <f t="shared" si="303"/>
        <v>0</v>
      </c>
      <c r="AA1150" s="46">
        <f t="shared" si="304"/>
        <v>0</v>
      </c>
      <c r="AB1150" s="43"/>
      <c r="AC1150" s="44"/>
      <c r="AD1150" s="31"/>
      <c r="AE1150" s="31"/>
      <c r="AF1150" s="31"/>
      <c r="AG1150" s="28" t="s">
        <v>53</v>
      </c>
      <c r="AH1150" s="46">
        <f t="shared" si="307"/>
        <v>0</v>
      </c>
      <c r="AI1150" s="43"/>
      <c r="AJ1150" s="28"/>
      <c r="AK1150" s="337"/>
      <c r="AL1150" s="43"/>
      <c r="AM1150" s="44">
        <f t="shared" si="308"/>
        <v>0</v>
      </c>
      <c r="AN1150" s="43"/>
      <c r="AO1150" s="28">
        <f t="shared" si="309"/>
        <v>0</v>
      </c>
      <c r="AP1150" s="43"/>
      <c r="AQ1150" s="323">
        <f t="shared" si="310"/>
        <v>0</v>
      </c>
      <c r="AR1150" s="43"/>
      <c r="AS1150" s="44"/>
    </row>
    <row r="1151" spans="1:45" outlineLevel="1" x14ac:dyDescent="0.25">
      <c r="A1151" s="28">
        <v>144</v>
      </c>
      <c r="B1151" s="43"/>
      <c r="C1151" s="43"/>
      <c r="D1151" s="43"/>
      <c r="E1151" s="43" t="str">
        <f t="shared" si="305"/>
        <v>Padrão 144</v>
      </c>
      <c r="F1151" s="43" t="str">
        <f t="shared" si="306"/>
        <v>Vazio</v>
      </c>
      <c r="G1151" s="46">
        <f t="shared" si="296"/>
        <v>0</v>
      </c>
      <c r="H1151" s="46">
        <f t="shared" si="297"/>
        <v>0</v>
      </c>
      <c r="I1151" s="28"/>
      <c r="J1151" s="337"/>
      <c r="K1151" s="46" t="str">
        <f t="shared" si="298"/>
        <v/>
      </c>
      <c r="L1151" s="46" t="str">
        <f t="shared" si="299"/>
        <v/>
      </c>
      <c r="M1151" s="338">
        <f t="shared" si="300"/>
        <v>0</v>
      </c>
      <c r="N1151" s="43"/>
      <c r="O1151" s="339" t="e">
        <f t="shared" si="263"/>
        <v>#N/A</v>
      </c>
      <c r="P1151" s="340" t="str">
        <f>IFERROR(VLOOKUP(O1151,NCM!$A$3:$D$99,COLUMN(head_porNCM_IPI)-COLUMN(head_porNCM_NCM)+1,FALSE),"")</f>
        <v/>
      </c>
      <c r="Q1151" s="43"/>
      <c r="R1151" s="78"/>
      <c r="S1151" s="341"/>
      <c r="T1151" s="28" t="s">
        <v>53</v>
      </c>
      <c r="U1151" s="28"/>
      <c r="V1151" s="28"/>
      <c r="W1151" s="43"/>
      <c r="X1151" s="342">
        <f t="shared" si="301"/>
        <v>0</v>
      </c>
      <c r="Y1151" s="342">
        <f t="shared" si="302"/>
        <v>0</v>
      </c>
      <c r="Z1151" s="46">
        <f t="shared" si="303"/>
        <v>0</v>
      </c>
      <c r="AA1151" s="46">
        <f t="shared" si="304"/>
        <v>0</v>
      </c>
      <c r="AB1151" s="43"/>
      <c r="AC1151" s="44"/>
      <c r="AD1151" s="31"/>
      <c r="AE1151" s="31"/>
      <c r="AF1151" s="31"/>
      <c r="AG1151" s="28" t="s">
        <v>53</v>
      </c>
      <c r="AH1151" s="46">
        <f t="shared" si="307"/>
        <v>0</v>
      </c>
      <c r="AI1151" s="43"/>
      <c r="AJ1151" s="28"/>
      <c r="AK1151" s="337"/>
      <c r="AL1151" s="43"/>
      <c r="AM1151" s="44">
        <f t="shared" si="308"/>
        <v>0</v>
      </c>
      <c r="AN1151" s="43"/>
      <c r="AO1151" s="28">
        <f t="shared" si="309"/>
        <v>0</v>
      </c>
      <c r="AP1151" s="43"/>
      <c r="AQ1151" s="323">
        <f t="shared" si="310"/>
        <v>0</v>
      </c>
      <c r="AR1151" s="43"/>
      <c r="AS1151" s="44"/>
    </row>
    <row r="1152" spans="1:45" outlineLevel="1" x14ac:dyDescent="0.25">
      <c r="A1152" s="28">
        <v>145</v>
      </c>
      <c r="B1152" s="43"/>
      <c r="C1152" s="43"/>
      <c r="D1152" s="43"/>
      <c r="E1152" s="43" t="str">
        <f t="shared" si="305"/>
        <v>Padrão 145</v>
      </c>
      <c r="F1152" s="43" t="str">
        <f t="shared" si="306"/>
        <v>Vazio</v>
      </c>
      <c r="G1152" s="46">
        <f t="shared" si="296"/>
        <v>0</v>
      </c>
      <c r="H1152" s="46">
        <f t="shared" si="297"/>
        <v>0</v>
      </c>
      <c r="I1152" s="28"/>
      <c r="J1152" s="337"/>
      <c r="K1152" s="46" t="str">
        <f t="shared" si="298"/>
        <v/>
      </c>
      <c r="L1152" s="46" t="str">
        <f t="shared" si="299"/>
        <v/>
      </c>
      <c r="M1152" s="338">
        <f t="shared" si="300"/>
        <v>0</v>
      </c>
      <c r="N1152" s="43"/>
      <c r="O1152" s="339" t="e">
        <f t="shared" si="263"/>
        <v>#N/A</v>
      </c>
      <c r="P1152" s="340" t="str">
        <f>IFERROR(VLOOKUP(O1152,NCM!$A$3:$D$99,COLUMN(head_porNCM_IPI)-COLUMN(head_porNCM_NCM)+1,FALSE),"")</f>
        <v/>
      </c>
      <c r="Q1152" s="43"/>
      <c r="R1152" s="78"/>
      <c r="S1152" s="341"/>
      <c r="T1152" s="28" t="s">
        <v>53</v>
      </c>
      <c r="U1152" s="28"/>
      <c r="V1152" s="28"/>
      <c r="W1152" s="43"/>
      <c r="X1152" s="342">
        <f t="shared" si="301"/>
        <v>0</v>
      </c>
      <c r="Y1152" s="342">
        <f t="shared" si="302"/>
        <v>0</v>
      </c>
      <c r="Z1152" s="46">
        <f t="shared" si="303"/>
        <v>0</v>
      </c>
      <c r="AA1152" s="46">
        <f t="shared" si="304"/>
        <v>0</v>
      </c>
      <c r="AB1152" s="43"/>
      <c r="AC1152" s="44"/>
      <c r="AD1152" s="31"/>
      <c r="AE1152" s="31"/>
      <c r="AF1152" s="31"/>
      <c r="AG1152" s="28" t="s">
        <v>53</v>
      </c>
      <c r="AH1152" s="46">
        <f t="shared" si="307"/>
        <v>0</v>
      </c>
      <c r="AI1152" s="43"/>
      <c r="AJ1152" s="28"/>
      <c r="AK1152" s="337"/>
      <c r="AL1152" s="43"/>
      <c r="AM1152" s="44">
        <f t="shared" si="308"/>
        <v>0</v>
      </c>
      <c r="AN1152" s="43"/>
      <c r="AO1152" s="28">
        <f t="shared" si="309"/>
        <v>0</v>
      </c>
      <c r="AP1152" s="43"/>
      <c r="AQ1152" s="323">
        <f t="shared" si="310"/>
        <v>0</v>
      </c>
      <c r="AR1152" s="43"/>
      <c r="AS1152" s="44"/>
    </row>
    <row r="1153" spans="1:45" outlineLevel="1" x14ac:dyDescent="0.25">
      <c r="A1153" s="28">
        <v>146</v>
      </c>
      <c r="B1153" s="43"/>
      <c r="C1153" s="43"/>
      <c r="D1153" s="43"/>
      <c r="E1153" s="43" t="str">
        <f t="shared" si="305"/>
        <v>Padrão 146</v>
      </c>
      <c r="F1153" s="43" t="str">
        <f t="shared" si="306"/>
        <v>Vazio</v>
      </c>
      <c r="G1153" s="46">
        <f t="shared" si="296"/>
        <v>0</v>
      </c>
      <c r="H1153" s="46">
        <f t="shared" si="297"/>
        <v>0</v>
      </c>
      <c r="I1153" s="28"/>
      <c r="J1153" s="337"/>
      <c r="K1153" s="46" t="str">
        <f t="shared" si="298"/>
        <v/>
      </c>
      <c r="L1153" s="46" t="str">
        <f t="shared" si="299"/>
        <v/>
      </c>
      <c r="M1153" s="338">
        <f t="shared" si="300"/>
        <v>0</v>
      </c>
      <c r="N1153" s="43"/>
      <c r="O1153" s="339" t="e">
        <f t="shared" si="263"/>
        <v>#N/A</v>
      </c>
      <c r="P1153" s="340" t="str">
        <f>IFERROR(VLOOKUP(O1153,NCM!$A$3:$D$99,COLUMN(head_porNCM_IPI)-COLUMN(head_porNCM_NCM)+1,FALSE),"")</f>
        <v/>
      </c>
      <c r="Q1153" s="43"/>
      <c r="R1153" s="78"/>
      <c r="S1153" s="341"/>
      <c r="T1153" s="28" t="s">
        <v>53</v>
      </c>
      <c r="U1153" s="28"/>
      <c r="V1153" s="28"/>
      <c r="W1153" s="43"/>
      <c r="X1153" s="342">
        <f t="shared" si="301"/>
        <v>0</v>
      </c>
      <c r="Y1153" s="342">
        <f t="shared" si="302"/>
        <v>0</v>
      </c>
      <c r="Z1153" s="46">
        <f t="shared" si="303"/>
        <v>0</v>
      </c>
      <c r="AA1153" s="46">
        <f t="shared" si="304"/>
        <v>0</v>
      </c>
      <c r="AB1153" s="43"/>
      <c r="AC1153" s="44"/>
      <c r="AD1153" s="31"/>
      <c r="AE1153" s="31"/>
      <c r="AF1153" s="31"/>
      <c r="AG1153" s="28" t="s">
        <v>53</v>
      </c>
      <c r="AH1153" s="46">
        <f t="shared" si="307"/>
        <v>0</v>
      </c>
      <c r="AI1153" s="43"/>
      <c r="AJ1153" s="28"/>
      <c r="AK1153" s="337"/>
      <c r="AL1153" s="43"/>
      <c r="AM1153" s="44">
        <f t="shared" si="308"/>
        <v>0</v>
      </c>
      <c r="AN1153" s="43"/>
      <c r="AO1153" s="28">
        <f t="shared" si="309"/>
        <v>0</v>
      </c>
      <c r="AP1153" s="43"/>
      <c r="AQ1153" s="323">
        <f t="shared" si="310"/>
        <v>0</v>
      </c>
      <c r="AR1153" s="43"/>
      <c r="AS1153" s="44"/>
    </row>
    <row r="1154" spans="1:45" outlineLevel="1" x14ac:dyDescent="0.25">
      <c r="A1154" s="28">
        <v>147</v>
      </c>
      <c r="B1154" s="43"/>
      <c r="C1154" s="43"/>
      <c r="D1154" s="43"/>
      <c r="E1154" s="43" t="str">
        <f t="shared" si="305"/>
        <v>Padrão 147</v>
      </c>
      <c r="F1154" s="43" t="str">
        <f t="shared" si="306"/>
        <v>Vazio</v>
      </c>
      <c r="G1154" s="46">
        <f t="shared" si="296"/>
        <v>0</v>
      </c>
      <c r="H1154" s="46">
        <f t="shared" si="297"/>
        <v>0</v>
      </c>
      <c r="I1154" s="28"/>
      <c r="J1154" s="337"/>
      <c r="K1154" s="46" t="str">
        <f t="shared" si="298"/>
        <v/>
      </c>
      <c r="L1154" s="46" t="str">
        <f t="shared" si="299"/>
        <v/>
      </c>
      <c r="M1154" s="338">
        <f t="shared" si="300"/>
        <v>0</v>
      </c>
      <c r="N1154" s="43"/>
      <c r="O1154" s="339" t="e">
        <f t="shared" si="263"/>
        <v>#N/A</v>
      </c>
      <c r="P1154" s="340" t="str">
        <f>IFERROR(VLOOKUP(O1154,NCM!$A$3:$D$99,COLUMN(head_porNCM_IPI)-COLUMN(head_porNCM_NCM)+1,FALSE),"")</f>
        <v/>
      </c>
      <c r="Q1154" s="43"/>
      <c r="R1154" s="78"/>
      <c r="S1154" s="341"/>
      <c r="T1154" s="28" t="s">
        <v>53</v>
      </c>
      <c r="U1154" s="28"/>
      <c r="V1154" s="28"/>
      <c r="W1154" s="43"/>
      <c r="X1154" s="342">
        <f t="shared" si="301"/>
        <v>0</v>
      </c>
      <c r="Y1154" s="342">
        <f t="shared" si="302"/>
        <v>0</v>
      </c>
      <c r="Z1154" s="46">
        <f t="shared" si="303"/>
        <v>0</v>
      </c>
      <c r="AA1154" s="46">
        <f t="shared" si="304"/>
        <v>0</v>
      </c>
      <c r="AB1154" s="43"/>
      <c r="AC1154" s="44"/>
      <c r="AD1154" s="31"/>
      <c r="AE1154" s="31"/>
      <c r="AF1154" s="31"/>
      <c r="AG1154" s="28" t="s">
        <v>53</v>
      </c>
      <c r="AH1154" s="46">
        <f t="shared" si="307"/>
        <v>0</v>
      </c>
      <c r="AI1154" s="43"/>
      <c r="AJ1154" s="28"/>
      <c r="AK1154" s="337"/>
      <c r="AL1154" s="43"/>
      <c r="AM1154" s="44">
        <f t="shared" si="308"/>
        <v>0</v>
      </c>
      <c r="AN1154" s="43"/>
      <c r="AO1154" s="28">
        <f t="shared" si="309"/>
        <v>0</v>
      </c>
      <c r="AP1154" s="43"/>
      <c r="AQ1154" s="323">
        <f t="shared" si="310"/>
        <v>0</v>
      </c>
      <c r="AR1154" s="43"/>
      <c r="AS1154" s="44"/>
    </row>
    <row r="1155" spans="1:45" outlineLevel="1" x14ac:dyDescent="0.25">
      <c r="A1155" s="28">
        <v>148</v>
      </c>
      <c r="B1155" s="43"/>
      <c r="C1155" s="43"/>
      <c r="D1155" s="43"/>
      <c r="E1155" s="43" t="str">
        <f t="shared" si="305"/>
        <v>Padrão 148</v>
      </c>
      <c r="F1155" s="43" t="str">
        <f t="shared" si="306"/>
        <v>Vazio</v>
      </c>
      <c r="G1155" s="46">
        <f t="shared" si="296"/>
        <v>0</v>
      </c>
      <c r="H1155" s="46">
        <f t="shared" si="297"/>
        <v>0</v>
      </c>
      <c r="I1155" s="28"/>
      <c r="J1155" s="337"/>
      <c r="K1155" s="46" t="str">
        <f t="shared" si="298"/>
        <v/>
      </c>
      <c r="L1155" s="46" t="str">
        <f t="shared" si="299"/>
        <v/>
      </c>
      <c r="M1155" s="338">
        <f t="shared" si="300"/>
        <v>0</v>
      </c>
      <c r="N1155" s="43"/>
      <c r="O1155" s="339" t="e">
        <f t="shared" si="263"/>
        <v>#N/A</v>
      </c>
      <c r="P1155" s="340" t="str">
        <f>IFERROR(VLOOKUP(O1155,NCM!$A$3:$D$99,COLUMN(head_porNCM_IPI)-COLUMN(head_porNCM_NCM)+1,FALSE),"")</f>
        <v/>
      </c>
      <c r="Q1155" s="43"/>
      <c r="R1155" s="78"/>
      <c r="S1155" s="341"/>
      <c r="T1155" s="28" t="s">
        <v>53</v>
      </c>
      <c r="U1155" s="28"/>
      <c r="V1155" s="28"/>
      <c r="W1155" s="43"/>
      <c r="X1155" s="342">
        <f t="shared" si="301"/>
        <v>0</v>
      </c>
      <c r="Y1155" s="342">
        <f t="shared" si="302"/>
        <v>0</v>
      </c>
      <c r="Z1155" s="46">
        <f t="shared" si="303"/>
        <v>0</v>
      </c>
      <c r="AA1155" s="46">
        <f t="shared" si="304"/>
        <v>0</v>
      </c>
      <c r="AB1155" s="43"/>
      <c r="AC1155" s="44"/>
      <c r="AD1155" s="31"/>
      <c r="AE1155" s="31"/>
      <c r="AF1155" s="31"/>
      <c r="AG1155" s="28" t="s">
        <v>53</v>
      </c>
      <c r="AH1155" s="46">
        <f t="shared" si="307"/>
        <v>0</v>
      </c>
      <c r="AI1155" s="43"/>
      <c r="AJ1155" s="28"/>
      <c r="AK1155" s="337"/>
      <c r="AL1155" s="43"/>
      <c r="AM1155" s="44">
        <f t="shared" si="308"/>
        <v>0</v>
      </c>
      <c r="AN1155" s="43"/>
      <c r="AO1155" s="28">
        <f t="shared" si="309"/>
        <v>0</v>
      </c>
      <c r="AP1155" s="43"/>
      <c r="AQ1155" s="323">
        <f t="shared" si="310"/>
        <v>0</v>
      </c>
      <c r="AR1155" s="43"/>
      <c r="AS1155" s="44"/>
    </row>
    <row r="1156" spans="1:45" outlineLevel="1" x14ac:dyDescent="0.25">
      <c r="A1156" s="28">
        <v>149</v>
      </c>
      <c r="B1156" s="43"/>
      <c r="C1156" s="43"/>
      <c r="D1156" s="43"/>
      <c r="E1156" s="43" t="str">
        <f t="shared" si="305"/>
        <v>Padrão 149</v>
      </c>
      <c r="F1156" s="43" t="str">
        <f t="shared" si="306"/>
        <v>Vazio</v>
      </c>
      <c r="G1156" s="46">
        <f t="shared" si="296"/>
        <v>0</v>
      </c>
      <c r="H1156" s="46">
        <f t="shared" si="297"/>
        <v>0</v>
      </c>
      <c r="I1156" s="28"/>
      <c r="J1156" s="337"/>
      <c r="K1156" s="46" t="str">
        <f t="shared" si="298"/>
        <v/>
      </c>
      <c r="L1156" s="46" t="str">
        <f t="shared" si="299"/>
        <v/>
      </c>
      <c r="M1156" s="338">
        <f t="shared" si="300"/>
        <v>0</v>
      </c>
      <c r="N1156" s="43"/>
      <c r="O1156" s="339" t="e">
        <f t="shared" si="263"/>
        <v>#N/A</v>
      </c>
      <c r="P1156" s="340" t="str">
        <f>IFERROR(VLOOKUP(O1156,NCM!$A$3:$D$99,COLUMN(head_porNCM_IPI)-COLUMN(head_porNCM_NCM)+1,FALSE),"")</f>
        <v/>
      </c>
      <c r="Q1156" s="43"/>
      <c r="R1156" s="78"/>
      <c r="S1156" s="341"/>
      <c r="T1156" s="28" t="s">
        <v>53</v>
      </c>
      <c r="U1156" s="28"/>
      <c r="V1156" s="28"/>
      <c r="W1156" s="43"/>
      <c r="X1156" s="342">
        <f t="shared" si="301"/>
        <v>0</v>
      </c>
      <c r="Y1156" s="342">
        <f t="shared" si="302"/>
        <v>0</v>
      </c>
      <c r="Z1156" s="46">
        <f t="shared" si="303"/>
        <v>0</v>
      </c>
      <c r="AA1156" s="46">
        <f t="shared" si="304"/>
        <v>0</v>
      </c>
      <c r="AB1156" s="43"/>
      <c r="AC1156" s="44"/>
      <c r="AD1156" s="31"/>
      <c r="AE1156" s="31"/>
      <c r="AF1156" s="31"/>
      <c r="AG1156" s="28" t="s">
        <v>53</v>
      </c>
      <c r="AH1156" s="46">
        <f t="shared" si="307"/>
        <v>0</v>
      </c>
      <c r="AI1156" s="43"/>
      <c r="AJ1156" s="28"/>
      <c r="AK1156" s="337"/>
      <c r="AL1156" s="43"/>
      <c r="AM1156" s="44">
        <f t="shared" si="308"/>
        <v>0</v>
      </c>
      <c r="AN1156" s="43"/>
      <c r="AO1156" s="28">
        <f t="shared" si="309"/>
        <v>0</v>
      </c>
      <c r="AP1156" s="43"/>
      <c r="AQ1156" s="323">
        <f t="shared" si="310"/>
        <v>0</v>
      </c>
      <c r="AR1156" s="43"/>
      <c r="AS1156" s="44"/>
    </row>
    <row r="1157" spans="1:45" outlineLevel="1" x14ac:dyDescent="0.25">
      <c r="A1157" s="28">
        <v>150</v>
      </c>
      <c r="B1157" s="43"/>
      <c r="C1157" s="43"/>
      <c r="D1157" s="43"/>
      <c r="E1157" s="43" t="str">
        <f t="shared" si="305"/>
        <v>Padrão 150</v>
      </c>
      <c r="F1157" s="43" t="str">
        <f t="shared" si="306"/>
        <v>Vazio</v>
      </c>
      <c r="G1157" s="46">
        <f t="shared" si="296"/>
        <v>0</v>
      </c>
      <c r="H1157" s="46">
        <f t="shared" si="297"/>
        <v>0</v>
      </c>
      <c r="I1157" s="28"/>
      <c r="J1157" s="337"/>
      <c r="K1157" s="46" t="str">
        <f t="shared" si="298"/>
        <v/>
      </c>
      <c r="L1157" s="46" t="str">
        <f t="shared" si="299"/>
        <v/>
      </c>
      <c r="M1157" s="338">
        <f t="shared" si="300"/>
        <v>0</v>
      </c>
      <c r="N1157" s="43"/>
      <c r="O1157" s="339" t="e">
        <f t="shared" si="263"/>
        <v>#N/A</v>
      </c>
      <c r="P1157" s="340" t="str">
        <f>IFERROR(VLOOKUP(O1157,NCM!$A$3:$D$99,COLUMN(head_porNCM_IPI)-COLUMN(head_porNCM_NCM)+1,FALSE),"")</f>
        <v/>
      </c>
      <c r="Q1157" s="43"/>
      <c r="R1157" s="78"/>
      <c r="S1157" s="341"/>
      <c r="T1157" s="28" t="s">
        <v>53</v>
      </c>
      <c r="U1157" s="28"/>
      <c r="V1157" s="28"/>
      <c r="W1157" s="43"/>
      <c r="X1157" s="342">
        <f t="shared" si="301"/>
        <v>0</v>
      </c>
      <c r="Y1157" s="342">
        <f t="shared" si="302"/>
        <v>0</v>
      </c>
      <c r="Z1157" s="46">
        <f t="shared" si="303"/>
        <v>0</v>
      </c>
      <c r="AA1157" s="46">
        <f t="shared" si="304"/>
        <v>0</v>
      </c>
      <c r="AB1157" s="43"/>
      <c r="AC1157" s="44"/>
      <c r="AD1157" s="31"/>
      <c r="AE1157" s="31"/>
      <c r="AF1157" s="31"/>
      <c r="AG1157" s="28" t="s">
        <v>53</v>
      </c>
      <c r="AH1157" s="46">
        <f t="shared" si="307"/>
        <v>0</v>
      </c>
      <c r="AI1157" s="43"/>
      <c r="AJ1157" s="28"/>
      <c r="AK1157" s="337"/>
      <c r="AL1157" s="43"/>
      <c r="AM1157" s="44">
        <f t="shared" si="308"/>
        <v>0</v>
      </c>
      <c r="AN1157" s="43"/>
      <c r="AO1157" s="28">
        <f t="shared" si="309"/>
        <v>0</v>
      </c>
      <c r="AP1157" s="43"/>
      <c r="AQ1157" s="323">
        <f t="shared" si="310"/>
        <v>0</v>
      </c>
      <c r="AR1157" s="43"/>
      <c r="AS1157" s="44"/>
    </row>
    <row r="1158" spans="1:45" outlineLevel="1" x14ac:dyDescent="0.25">
      <c r="A1158" s="28">
        <v>151</v>
      </c>
      <c r="B1158" s="43"/>
      <c r="C1158" s="43"/>
      <c r="D1158" s="43"/>
      <c r="E1158" s="43" t="str">
        <f t="shared" si="305"/>
        <v>Padrão 151</v>
      </c>
      <c r="F1158" s="43" t="str">
        <f t="shared" si="306"/>
        <v>Vazio</v>
      </c>
      <c r="G1158" s="46">
        <f t="shared" si="296"/>
        <v>0</v>
      </c>
      <c r="H1158" s="46">
        <f t="shared" si="297"/>
        <v>0</v>
      </c>
      <c r="I1158" s="28"/>
      <c r="J1158" s="337"/>
      <c r="K1158" s="46" t="str">
        <f t="shared" si="298"/>
        <v/>
      </c>
      <c r="L1158" s="46" t="str">
        <f t="shared" si="299"/>
        <v/>
      </c>
      <c r="M1158" s="338">
        <f t="shared" si="300"/>
        <v>0</v>
      </c>
      <c r="N1158" s="43"/>
      <c r="O1158" s="339" t="e">
        <f t="shared" si="263"/>
        <v>#N/A</v>
      </c>
      <c r="P1158" s="340" t="str">
        <f>IFERROR(VLOOKUP(O1158,NCM!$A$3:$D$99,COLUMN(head_porNCM_IPI)-COLUMN(head_porNCM_NCM)+1,FALSE),"")</f>
        <v/>
      </c>
      <c r="Q1158" s="43"/>
      <c r="R1158" s="78"/>
      <c r="S1158" s="341"/>
      <c r="T1158" s="28" t="s">
        <v>53</v>
      </c>
      <c r="U1158" s="28"/>
      <c r="V1158" s="28"/>
      <c r="W1158" s="43"/>
      <c r="X1158" s="342">
        <f t="shared" si="301"/>
        <v>0</v>
      </c>
      <c r="Y1158" s="342">
        <f t="shared" si="302"/>
        <v>0</v>
      </c>
      <c r="Z1158" s="46">
        <f t="shared" si="303"/>
        <v>0</v>
      </c>
      <c r="AA1158" s="46">
        <f t="shared" si="304"/>
        <v>0</v>
      </c>
      <c r="AB1158" s="43"/>
      <c r="AC1158" s="44"/>
      <c r="AD1158" s="31"/>
      <c r="AE1158" s="31"/>
      <c r="AF1158" s="31"/>
      <c r="AG1158" s="28" t="s">
        <v>53</v>
      </c>
      <c r="AH1158" s="46">
        <f t="shared" si="307"/>
        <v>0</v>
      </c>
      <c r="AI1158" s="43"/>
      <c r="AJ1158" s="28"/>
      <c r="AK1158" s="337"/>
      <c r="AL1158" s="43"/>
      <c r="AM1158" s="44">
        <f t="shared" si="308"/>
        <v>0</v>
      </c>
      <c r="AN1158" s="43"/>
      <c r="AO1158" s="28">
        <f t="shared" si="309"/>
        <v>0</v>
      </c>
      <c r="AP1158" s="43"/>
      <c r="AQ1158" s="323">
        <f t="shared" si="310"/>
        <v>0</v>
      </c>
      <c r="AR1158" s="43"/>
      <c r="AS1158" s="44"/>
    </row>
    <row r="1159" spans="1:45" outlineLevel="1" x14ac:dyDescent="0.25">
      <c r="A1159" s="28">
        <v>152</v>
      </c>
      <c r="B1159" s="43"/>
      <c r="C1159" s="43"/>
      <c r="D1159" s="43"/>
      <c r="E1159" s="43" t="str">
        <f t="shared" si="305"/>
        <v>Padrão 152</v>
      </c>
      <c r="F1159" s="43" t="str">
        <f t="shared" si="306"/>
        <v>Vazio</v>
      </c>
      <c r="G1159" s="46">
        <f t="shared" si="296"/>
        <v>0</v>
      </c>
      <c r="H1159" s="46">
        <f t="shared" si="297"/>
        <v>0</v>
      </c>
      <c r="I1159" s="28"/>
      <c r="J1159" s="337"/>
      <c r="K1159" s="46" t="str">
        <f t="shared" si="298"/>
        <v/>
      </c>
      <c r="L1159" s="46" t="str">
        <f t="shared" si="299"/>
        <v/>
      </c>
      <c r="M1159" s="338">
        <f t="shared" si="300"/>
        <v>0</v>
      </c>
      <c r="N1159" s="43"/>
      <c r="O1159" s="339" t="e">
        <f t="shared" si="263"/>
        <v>#N/A</v>
      </c>
      <c r="P1159" s="340" t="str">
        <f>IFERROR(VLOOKUP(O1159,NCM!$A$3:$D$99,COLUMN(head_porNCM_IPI)-COLUMN(head_porNCM_NCM)+1,FALSE),"")</f>
        <v/>
      </c>
      <c r="Q1159" s="43"/>
      <c r="R1159" s="78"/>
      <c r="S1159" s="341"/>
      <c r="T1159" s="28" t="s">
        <v>53</v>
      </c>
      <c r="U1159" s="28"/>
      <c r="V1159" s="28"/>
      <c r="W1159" s="43"/>
      <c r="X1159" s="342">
        <f t="shared" si="301"/>
        <v>0</v>
      </c>
      <c r="Y1159" s="342">
        <f t="shared" si="302"/>
        <v>0</v>
      </c>
      <c r="Z1159" s="46">
        <f t="shared" si="303"/>
        <v>0</v>
      </c>
      <c r="AA1159" s="46">
        <f t="shared" si="304"/>
        <v>0</v>
      </c>
      <c r="AB1159" s="43"/>
      <c r="AC1159" s="44"/>
      <c r="AD1159" s="31"/>
      <c r="AE1159" s="31"/>
      <c r="AF1159" s="31"/>
      <c r="AG1159" s="28" t="s">
        <v>53</v>
      </c>
      <c r="AH1159" s="46">
        <f t="shared" si="307"/>
        <v>0</v>
      </c>
      <c r="AI1159" s="43"/>
      <c r="AJ1159" s="28"/>
      <c r="AK1159" s="337"/>
      <c r="AL1159" s="43"/>
      <c r="AM1159" s="44">
        <f t="shared" si="308"/>
        <v>0</v>
      </c>
      <c r="AN1159" s="43"/>
      <c r="AO1159" s="28">
        <f t="shared" si="309"/>
        <v>0</v>
      </c>
      <c r="AP1159" s="43"/>
      <c r="AQ1159" s="323">
        <f t="shared" si="310"/>
        <v>0</v>
      </c>
      <c r="AR1159" s="43"/>
      <c r="AS1159" s="44"/>
    </row>
    <row r="1160" spans="1:45" outlineLevel="1" x14ac:dyDescent="0.25">
      <c r="A1160" s="28">
        <v>153</v>
      </c>
      <c r="B1160" s="43"/>
      <c r="C1160" s="43"/>
      <c r="D1160" s="43"/>
      <c r="E1160" s="43" t="str">
        <f t="shared" si="305"/>
        <v>Padrão 153</v>
      </c>
      <c r="F1160" s="43" t="str">
        <f t="shared" si="306"/>
        <v>Vazio</v>
      </c>
      <c r="G1160" s="46">
        <f t="shared" si="296"/>
        <v>0</v>
      </c>
      <c r="H1160" s="46">
        <f t="shared" si="297"/>
        <v>0</v>
      </c>
      <c r="I1160" s="28"/>
      <c r="J1160" s="337"/>
      <c r="K1160" s="46" t="str">
        <f t="shared" si="298"/>
        <v/>
      </c>
      <c r="L1160" s="46" t="str">
        <f t="shared" si="299"/>
        <v/>
      </c>
      <c r="M1160" s="338">
        <f t="shared" si="300"/>
        <v>0</v>
      </c>
      <c r="N1160" s="43"/>
      <c r="O1160" s="339" t="e">
        <f t="shared" si="263"/>
        <v>#N/A</v>
      </c>
      <c r="P1160" s="340" t="str">
        <f>IFERROR(VLOOKUP(O1160,NCM!$A$3:$D$99,COLUMN(head_porNCM_IPI)-COLUMN(head_porNCM_NCM)+1,FALSE),"")</f>
        <v/>
      </c>
      <c r="Q1160" s="43"/>
      <c r="R1160" s="78"/>
      <c r="S1160" s="341"/>
      <c r="T1160" s="28" t="s">
        <v>53</v>
      </c>
      <c r="U1160" s="28"/>
      <c r="V1160" s="28"/>
      <c r="W1160" s="43"/>
      <c r="X1160" s="342">
        <f t="shared" si="301"/>
        <v>0</v>
      </c>
      <c r="Y1160" s="342">
        <f t="shared" si="302"/>
        <v>0</v>
      </c>
      <c r="Z1160" s="46">
        <f t="shared" si="303"/>
        <v>0</v>
      </c>
      <c r="AA1160" s="46">
        <f t="shared" si="304"/>
        <v>0</v>
      </c>
      <c r="AB1160" s="43"/>
      <c r="AC1160" s="44"/>
      <c r="AD1160" s="31"/>
      <c r="AE1160" s="31"/>
      <c r="AF1160" s="31"/>
      <c r="AG1160" s="28" t="s">
        <v>53</v>
      </c>
      <c r="AH1160" s="46">
        <f t="shared" si="307"/>
        <v>0</v>
      </c>
      <c r="AI1160" s="43"/>
      <c r="AJ1160" s="28"/>
      <c r="AK1160" s="337"/>
      <c r="AL1160" s="43"/>
      <c r="AM1160" s="44">
        <f t="shared" si="308"/>
        <v>0</v>
      </c>
      <c r="AN1160" s="43"/>
      <c r="AO1160" s="28">
        <f t="shared" si="309"/>
        <v>0</v>
      </c>
      <c r="AP1160" s="43"/>
      <c r="AQ1160" s="323">
        <f t="shared" si="310"/>
        <v>0</v>
      </c>
      <c r="AR1160" s="43"/>
      <c r="AS1160" s="44"/>
    </row>
    <row r="1161" spans="1:45" outlineLevel="1" x14ac:dyDescent="0.25">
      <c r="A1161" s="28">
        <v>154</v>
      </c>
      <c r="B1161" s="43"/>
      <c r="C1161" s="43"/>
      <c r="D1161" s="43"/>
      <c r="E1161" s="43" t="str">
        <f t="shared" si="305"/>
        <v>Padrão 154</v>
      </c>
      <c r="F1161" s="43" t="str">
        <f t="shared" si="306"/>
        <v>Vazio</v>
      </c>
      <c r="G1161" s="46">
        <f t="shared" si="296"/>
        <v>0</v>
      </c>
      <c r="H1161" s="46">
        <f t="shared" si="297"/>
        <v>0</v>
      </c>
      <c r="I1161" s="28"/>
      <c r="J1161" s="337"/>
      <c r="K1161" s="46" t="str">
        <f t="shared" si="298"/>
        <v/>
      </c>
      <c r="L1161" s="46" t="str">
        <f t="shared" si="299"/>
        <v/>
      </c>
      <c r="M1161" s="338">
        <f t="shared" si="300"/>
        <v>0</v>
      </c>
      <c r="N1161" s="43"/>
      <c r="O1161" s="339" t="e">
        <f t="shared" si="263"/>
        <v>#N/A</v>
      </c>
      <c r="P1161" s="340" t="str">
        <f>IFERROR(VLOOKUP(O1161,NCM!$A$3:$D$99,COLUMN(head_porNCM_IPI)-COLUMN(head_porNCM_NCM)+1,FALSE),"")</f>
        <v/>
      </c>
      <c r="Q1161" s="43"/>
      <c r="R1161" s="78"/>
      <c r="S1161" s="341"/>
      <c r="T1161" s="28" t="s">
        <v>53</v>
      </c>
      <c r="U1161" s="28"/>
      <c r="V1161" s="28"/>
      <c r="W1161" s="43"/>
      <c r="X1161" s="342">
        <f t="shared" si="301"/>
        <v>0</v>
      </c>
      <c r="Y1161" s="342">
        <f t="shared" si="302"/>
        <v>0</v>
      </c>
      <c r="Z1161" s="46">
        <f t="shared" si="303"/>
        <v>0</v>
      </c>
      <c r="AA1161" s="46">
        <f t="shared" si="304"/>
        <v>0</v>
      </c>
      <c r="AB1161" s="43"/>
      <c r="AC1161" s="44"/>
      <c r="AD1161" s="31"/>
      <c r="AE1161" s="31"/>
      <c r="AF1161" s="31"/>
      <c r="AG1161" s="28" t="s">
        <v>53</v>
      </c>
      <c r="AH1161" s="46">
        <f t="shared" si="307"/>
        <v>0</v>
      </c>
      <c r="AI1161" s="43"/>
      <c r="AJ1161" s="28"/>
      <c r="AK1161" s="337"/>
      <c r="AL1161" s="43"/>
      <c r="AM1161" s="44">
        <f t="shared" si="308"/>
        <v>0</v>
      </c>
      <c r="AN1161" s="43"/>
      <c r="AO1161" s="28">
        <f t="shared" si="309"/>
        <v>0</v>
      </c>
      <c r="AP1161" s="43"/>
      <c r="AQ1161" s="323">
        <f t="shared" si="310"/>
        <v>0</v>
      </c>
      <c r="AR1161" s="43"/>
      <c r="AS1161" s="44"/>
    </row>
    <row r="1162" spans="1:45" outlineLevel="1" x14ac:dyDescent="0.25">
      <c r="A1162" s="28">
        <v>155</v>
      </c>
      <c r="B1162" s="43"/>
      <c r="C1162" s="43"/>
      <c r="D1162" s="43"/>
      <c r="E1162" s="43" t="str">
        <f t="shared" si="305"/>
        <v>Padrão 155</v>
      </c>
      <c r="F1162" s="43" t="str">
        <f t="shared" si="306"/>
        <v>Vazio</v>
      </c>
      <c r="G1162" s="46">
        <f t="shared" si="296"/>
        <v>0</v>
      </c>
      <c r="H1162" s="46">
        <f t="shared" si="297"/>
        <v>0</v>
      </c>
      <c r="I1162" s="28"/>
      <c r="J1162" s="337"/>
      <c r="K1162" s="46" t="str">
        <f t="shared" si="298"/>
        <v/>
      </c>
      <c r="L1162" s="46" t="str">
        <f t="shared" si="299"/>
        <v/>
      </c>
      <c r="M1162" s="338">
        <f t="shared" si="300"/>
        <v>0</v>
      </c>
      <c r="N1162" s="43"/>
      <c r="O1162" s="339" t="e">
        <f t="shared" si="263"/>
        <v>#N/A</v>
      </c>
      <c r="P1162" s="340" t="str">
        <f>IFERROR(VLOOKUP(O1162,NCM!$A$3:$D$99,COLUMN(head_porNCM_IPI)-COLUMN(head_porNCM_NCM)+1,FALSE),"")</f>
        <v/>
      </c>
      <c r="Q1162" s="43"/>
      <c r="R1162" s="78"/>
      <c r="S1162" s="341"/>
      <c r="T1162" s="28" t="s">
        <v>53</v>
      </c>
      <c r="U1162" s="28"/>
      <c r="V1162" s="28"/>
      <c r="W1162" s="43"/>
      <c r="X1162" s="342">
        <f t="shared" si="301"/>
        <v>0</v>
      </c>
      <c r="Y1162" s="342">
        <f t="shared" si="302"/>
        <v>0</v>
      </c>
      <c r="Z1162" s="46">
        <f t="shared" si="303"/>
        <v>0</v>
      </c>
      <c r="AA1162" s="46">
        <f t="shared" si="304"/>
        <v>0</v>
      </c>
      <c r="AB1162" s="43"/>
      <c r="AC1162" s="44"/>
      <c r="AD1162" s="31"/>
      <c r="AE1162" s="31"/>
      <c r="AF1162" s="31"/>
      <c r="AG1162" s="28" t="s">
        <v>53</v>
      </c>
      <c r="AH1162" s="46">
        <f t="shared" si="307"/>
        <v>0</v>
      </c>
      <c r="AI1162" s="43"/>
      <c r="AJ1162" s="28"/>
      <c r="AK1162" s="337"/>
      <c r="AL1162" s="43"/>
      <c r="AM1162" s="44">
        <f t="shared" si="308"/>
        <v>0</v>
      </c>
      <c r="AN1162" s="43"/>
      <c r="AO1162" s="28">
        <f t="shared" si="309"/>
        <v>0</v>
      </c>
      <c r="AP1162" s="43"/>
      <c r="AQ1162" s="323">
        <f t="shared" si="310"/>
        <v>0</v>
      </c>
      <c r="AR1162" s="43"/>
      <c r="AS1162" s="44"/>
    </row>
    <row r="1163" spans="1:45" outlineLevel="1" x14ac:dyDescent="0.25">
      <c r="A1163" s="28">
        <v>156</v>
      </c>
      <c r="B1163" s="43"/>
      <c r="C1163" s="43"/>
      <c r="D1163" s="43"/>
      <c r="E1163" s="43" t="str">
        <f t="shared" si="305"/>
        <v>Padrão 156</v>
      </c>
      <c r="F1163" s="43" t="str">
        <f t="shared" si="306"/>
        <v>Vazio</v>
      </c>
      <c r="G1163" s="46">
        <f t="shared" si="296"/>
        <v>0</v>
      </c>
      <c r="H1163" s="46">
        <f t="shared" si="297"/>
        <v>0</v>
      </c>
      <c r="I1163" s="28"/>
      <c r="J1163" s="337"/>
      <c r="K1163" s="46" t="str">
        <f t="shared" si="298"/>
        <v/>
      </c>
      <c r="L1163" s="46" t="str">
        <f t="shared" si="299"/>
        <v/>
      </c>
      <c r="M1163" s="338">
        <f t="shared" si="300"/>
        <v>0</v>
      </c>
      <c r="N1163" s="43"/>
      <c r="O1163" s="339" t="e">
        <f t="shared" si="263"/>
        <v>#N/A</v>
      </c>
      <c r="P1163" s="340" t="str">
        <f>IFERROR(VLOOKUP(O1163,NCM!$A$3:$D$99,COLUMN(head_porNCM_IPI)-COLUMN(head_porNCM_NCM)+1,FALSE),"")</f>
        <v/>
      </c>
      <c r="Q1163" s="43"/>
      <c r="R1163" s="78"/>
      <c r="S1163" s="341"/>
      <c r="T1163" s="28" t="s">
        <v>53</v>
      </c>
      <c r="U1163" s="28"/>
      <c r="V1163" s="28"/>
      <c r="W1163" s="43"/>
      <c r="X1163" s="342">
        <f t="shared" si="301"/>
        <v>0</v>
      </c>
      <c r="Y1163" s="342">
        <f t="shared" si="302"/>
        <v>0</v>
      </c>
      <c r="Z1163" s="46">
        <f t="shared" si="303"/>
        <v>0</v>
      </c>
      <c r="AA1163" s="46">
        <f t="shared" si="304"/>
        <v>0</v>
      </c>
      <c r="AB1163" s="43"/>
      <c r="AC1163" s="44"/>
      <c r="AD1163" s="31"/>
      <c r="AE1163" s="31"/>
      <c r="AF1163" s="31"/>
      <c r="AG1163" s="28" t="s">
        <v>53</v>
      </c>
      <c r="AH1163" s="46">
        <f t="shared" si="307"/>
        <v>0</v>
      </c>
      <c r="AI1163" s="43"/>
      <c r="AJ1163" s="28"/>
      <c r="AK1163" s="337"/>
      <c r="AL1163" s="43"/>
      <c r="AM1163" s="44">
        <f t="shared" si="308"/>
        <v>0</v>
      </c>
      <c r="AN1163" s="43"/>
      <c r="AO1163" s="28">
        <f t="shared" si="309"/>
        <v>0</v>
      </c>
      <c r="AP1163" s="43"/>
      <c r="AQ1163" s="323">
        <f t="shared" si="310"/>
        <v>0</v>
      </c>
      <c r="AR1163" s="43"/>
      <c r="AS1163" s="44"/>
    </row>
    <row r="1164" spans="1:45" outlineLevel="1" x14ac:dyDescent="0.25">
      <c r="A1164" s="28">
        <v>157</v>
      </c>
      <c r="B1164" s="43"/>
      <c r="C1164" s="43"/>
      <c r="D1164" s="43"/>
      <c r="E1164" s="43" t="str">
        <f t="shared" si="305"/>
        <v>Padrão 157</v>
      </c>
      <c r="F1164" s="43" t="str">
        <f t="shared" si="306"/>
        <v>Vazio</v>
      </c>
      <c r="G1164" s="46">
        <f t="shared" si="296"/>
        <v>0</v>
      </c>
      <c r="H1164" s="46">
        <f t="shared" si="297"/>
        <v>0</v>
      </c>
      <c r="I1164" s="28"/>
      <c r="J1164" s="337"/>
      <c r="K1164" s="46" t="str">
        <f t="shared" si="298"/>
        <v/>
      </c>
      <c r="L1164" s="46" t="str">
        <f t="shared" si="299"/>
        <v/>
      </c>
      <c r="M1164" s="338">
        <f t="shared" si="300"/>
        <v>0</v>
      </c>
      <c r="N1164" s="43"/>
      <c r="O1164" s="339" t="e">
        <f t="shared" si="263"/>
        <v>#N/A</v>
      </c>
      <c r="P1164" s="340" t="str">
        <f>IFERROR(VLOOKUP(O1164,NCM!$A$3:$D$99,COLUMN(head_porNCM_IPI)-COLUMN(head_porNCM_NCM)+1,FALSE),"")</f>
        <v/>
      </c>
      <c r="Q1164" s="43"/>
      <c r="R1164" s="78"/>
      <c r="S1164" s="341"/>
      <c r="T1164" s="28" t="s">
        <v>53</v>
      </c>
      <c r="U1164" s="28"/>
      <c r="V1164" s="28"/>
      <c r="W1164" s="43"/>
      <c r="X1164" s="342">
        <f t="shared" si="301"/>
        <v>0</v>
      </c>
      <c r="Y1164" s="342">
        <f t="shared" si="302"/>
        <v>0</v>
      </c>
      <c r="Z1164" s="46">
        <f t="shared" si="303"/>
        <v>0</v>
      </c>
      <c r="AA1164" s="46">
        <f t="shared" si="304"/>
        <v>0</v>
      </c>
      <c r="AB1164" s="43"/>
      <c r="AC1164" s="44"/>
      <c r="AD1164" s="31"/>
      <c r="AE1164" s="31"/>
      <c r="AF1164" s="31"/>
      <c r="AG1164" s="28" t="s">
        <v>53</v>
      </c>
      <c r="AH1164" s="46">
        <f t="shared" si="307"/>
        <v>0</v>
      </c>
      <c r="AI1164" s="43"/>
      <c r="AJ1164" s="28"/>
      <c r="AK1164" s="337"/>
      <c r="AL1164" s="43"/>
      <c r="AM1164" s="44">
        <f t="shared" si="308"/>
        <v>0</v>
      </c>
      <c r="AN1164" s="43"/>
      <c r="AO1164" s="28">
        <f t="shared" si="309"/>
        <v>0</v>
      </c>
      <c r="AP1164" s="43"/>
      <c r="AQ1164" s="323">
        <f t="shared" si="310"/>
        <v>0</v>
      </c>
      <c r="AR1164" s="43"/>
      <c r="AS1164" s="44"/>
    </row>
    <row r="1165" spans="1:45" outlineLevel="1" x14ac:dyDescent="0.25">
      <c r="A1165" s="28">
        <v>158</v>
      </c>
      <c r="B1165" s="43"/>
      <c r="C1165" s="43"/>
      <c r="D1165" s="43"/>
      <c r="E1165" s="43" t="str">
        <f t="shared" si="305"/>
        <v>Padrão 158</v>
      </c>
      <c r="F1165" s="43" t="str">
        <f t="shared" si="306"/>
        <v>Vazio</v>
      </c>
      <c r="G1165" s="46">
        <f t="shared" si="296"/>
        <v>0</v>
      </c>
      <c r="H1165" s="46">
        <f t="shared" si="297"/>
        <v>0</v>
      </c>
      <c r="I1165" s="28"/>
      <c r="J1165" s="337"/>
      <c r="K1165" s="46" t="str">
        <f t="shared" si="298"/>
        <v/>
      </c>
      <c r="L1165" s="46" t="str">
        <f t="shared" si="299"/>
        <v/>
      </c>
      <c r="M1165" s="338">
        <f t="shared" si="300"/>
        <v>0</v>
      </c>
      <c r="N1165" s="43"/>
      <c r="O1165" s="339" t="e">
        <f t="shared" si="263"/>
        <v>#N/A</v>
      </c>
      <c r="P1165" s="340" t="str">
        <f>IFERROR(VLOOKUP(O1165,NCM!$A$3:$D$99,COLUMN(head_porNCM_IPI)-COLUMN(head_porNCM_NCM)+1,FALSE),"")</f>
        <v/>
      </c>
      <c r="Q1165" s="43"/>
      <c r="R1165" s="78"/>
      <c r="S1165" s="341"/>
      <c r="T1165" s="28" t="s">
        <v>53</v>
      </c>
      <c r="U1165" s="28"/>
      <c r="V1165" s="28"/>
      <c r="W1165" s="43"/>
      <c r="X1165" s="342">
        <f t="shared" si="301"/>
        <v>0</v>
      </c>
      <c r="Y1165" s="342">
        <f t="shared" si="302"/>
        <v>0</v>
      </c>
      <c r="Z1165" s="46">
        <f t="shared" si="303"/>
        <v>0</v>
      </c>
      <c r="AA1165" s="46">
        <f t="shared" si="304"/>
        <v>0</v>
      </c>
      <c r="AB1165" s="43"/>
      <c r="AC1165" s="44"/>
      <c r="AD1165" s="31"/>
      <c r="AE1165" s="31"/>
      <c r="AF1165" s="31"/>
      <c r="AG1165" s="28" t="s">
        <v>53</v>
      </c>
      <c r="AH1165" s="46">
        <f t="shared" si="307"/>
        <v>0</v>
      </c>
      <c r="AI1165" s="43"/>
      <c r="AJ1165" s="28"/>
      <c r="AK1165" s="337"/>
      <c r="AL1165" s="43"/>
      <c r="AM1165" s="44">
        <f t="shared" si="308"/>
        <v>0</v>
      </c>
      <c r="AN1165" s="43"/>
      <c r="AO1165" s="28">
        <f t="shared" si="309"/>
        <v>0</v>
      </c>
      <c r="AP1165" s="43"/>
      <c r="AQ1165" s="323">
        <f t="shared" si="310"/>
        <v>0</v>
      </c>
      <c r="AR1165" s="43"/>
      <c r="AS1165" s="44"/>
    </row>
    <row r="1166" spans="1:45" outlineLevel="1" x14ac:dyDescent="0.25">
      <c r="A1166" s="28">
        <v>159</v>
      </c>
      <c r="B1166" s="43"/>
      <c r="C1166" s="43"/>
      <c r="D1166" s="43"/>
      <c r="E1166" s="43" t="str">
        <f t="shared" si="305"/>
        <v>Padrão 159</v>
      </c>
      <c r="F1166" s="43" t="str">
        <f t="shared" si="306"/>
        <v>Vazio</v>
      </c>
      <c r="G1166" s="46">
        <f t="shared" si="296"/>
        <v>0</v>
      </c>
      <c r="H1166" s="46">
        <f t="shared" si="297"/>
        <v>0</v>
      </c>
      <c r="I1166" s="28"/>
      <c r="J1166" s="337"/>
      <c r="K1166" s="46" t="str">
        <f t="shared" si="298"/>
        <v/>
      </c>
      <c r="L1166" s="46" t="str">
        <f t="shared" si="299"/>
        <v/>
      </c>
      <c r="M1166" s="338">
        <f t="shared" si="300"/>
        <v>0</v>
      </c>
      <c r="N1166" s="43"/>
      <c r="O1166" s="339" t="e">
        <f t="shared" si="263"/>
        <v>#N/A</v>
      </c>
      <c r="P1166" s="340" t="str">
        <f>IFERROR(VLOOKUP(O1166,NCM!$A$3:$D$99,COLUMN(head_porNCM_IPI)-COLUMN(head_porNCM_NCM)+1,FALSE),"")</f>
        <v/>
      </c>
      <c r="Q1166" s="43"/>
      <c r="R1166" s="78"/>
      <c r="S1166" s="341"/>
      <c r="T1166" s="28" t="s">
        <v>53</v>
      </c>
      <c r="U1166" s="28"/>
      <c r="V1166" s="28"/>
      <c r="W1166" s="43"/>
      <c r="X1166" s="342">
        <f t="shared" si="301"/>
        <v>0</v>
      </c>
      <c r="Y1166" s="342">
        <f t="shared" si="302"/>
        <v>0</v>
      </c>
      <c r="Z1166" s="46">
        <f t="shared" si="303"/>
        <v>0</v>
      </c>
      <c r="AA1166" s="46">
        <f t="shared" si="304"/>
        <v>0</v>
      </c>
      <c r="AB1166" s="43"/>
      <c r="AC1166" s="44"/>
      <c r="AD1166" s="31"/>
      <c r="AE1166" s="31"/>
      <c r="AF1166" s="31"/>
      <c r="AG1166" s="28" t="s">
        <v>53</v>
      </c>
      <c r="AH1166" s="46">
        <f t="shared" si="307"/>
        <v>0</v>
      </c>
      <c r="AI1166" s="43"/>
      <c r="AJ1166" s="28"/>
      <c r="AK1166" s="337"/>
      <c r="AL1166" s="43"/>
      <c r="AM1166" s="44">
        <f t="shared" si="308"/>
        <v>0</v>
      </c>
      <c r="AN1166" s="43"/>
      <c r="AO1166" s="28">
        <f t="shared" si="309"/>
        <v>0</v>
      </c>
      <c r="AP1166" s="43"/>
      <c r="AQ1166" s="323">
        <f t="shared" si="310"/>
        <v>0</v>
      </c>
      <c r="AR1166" s="43"/>
      <c r="AS1166" s="44"/>
    </row>
    <row r="1167" spans="1:45" outlineLevel="1" x14ac:dyDescent="0.25">
      <c r="A1167" s="28">
        <v>160</v>
      </c>
      <c r="B1167" s="43"/>
      <c r="C1167" s="43"/>
      <c r="D1167" s="43"/>
      <c r="E1167" s="43" t="str">
        <f t="shared" si="305"/>
        <v>Padrão 160</v>
      </c>
      <c r="F1167" s="43" t="str">
        <f t="shared" si="306"/>
        <v>Vazio</v>
      </c>
      <c r="G1167" s="46">
        <f t="shared" si="296"/>
        <v>0</v>
      </c>
      <c r="H1167" s="46">
        <f t="shared" si="297"/>
        <v>0</v>
      </c>
      <c r="I1167" s="28"/>
      <c r="J1167" s="337"/>
      <c r="K1167" s="46" t="str">
        <f t="shared" si="298"/>
        <v/>
      </c>
      <c r="L1167" s="46" t="str">
        <f t="shared" si="299"/>
        <v/>
      </c>
      <c r="M1167" s="338">
        <f t="shared" si="300"/>
        <v>0</v>
      </c>
      <c r="N1167" s="43"/>
      <c r="O1167" s="339" t="e">
        <f t="shared" si="263"/>
        <v>#N/A</v>
      </c>
      <c r="P1167" s="340" t="str">
        <f>IFERROR(VLOOKUP(O1167,NCM!$A$3:$D$99,COLUMN(head_porNCM_IPI)-COLUMN(head_porNCM_NCM)+1,FALSE),"")</f>
        <v/>
      </c>
      <c r="Q1167" s="43"/>
      <c r="R1167" s="78"/>
      <c r="S1167" s="341"/>
      <c r="T1167" s="28" t="s">
        <v>53</v>
      </c>
      <c r="U1167" s="28"/>
      <c r="V1167" s="28"/>
      <c r="W1167" s="43"/>
      <c r="X1167" s="342">
        <f t="shared" si="301"/>
        <v>0</v>
      </c>
      <c r="Y1167" s="342">
        <f t="shared" si="302"/>
        <v>0</v>
      </c>
      <c r="Z1167" s="46">
        <f t="shared" si="303"/>
        <v>0</v>
      </c>
      <c r="AA1167" s="46">
        <f t="shared" si="304"/>
        <v>0</v>
      </c>
      <c r="AB1167" s="43"/>
      <c r="AC1167" s="44"/>
      <c r="AD1167" s="31"/>
      <c r="AE1167" s="31"/>
      <c r="AF1167" s="31"/>
      <c r="AG1167" s="28" t="s">
        <v>53</v>
      </c>
      <c r="AH1167" s="46">
        <f t="shared" si="307"/>
        <v>0</v>
      </c>
      <c r="AI1167" s="43"/>
      <c r="AJ1167" s="28"/>
      <c r="AK1167" s="337"/>
      <c r="AL1167" s="43"/>
      <c r="AM1167" s="44">
        <f t="shared" si="308"/>
        <v>0</v>
      </c>
      <c r="AN1167" s="43"/>
      <c r="AO1167" s="28">
        <f t="shared" si="309"/>
        <v>0</v>
      </c>
      <c r="AP1167" s="43"/>
      <c r="AQ1167" s="323">
        <f t="shared" si="310"/>
        <v>0</v>
      </c>
      <c r="AR1167" s="43"/>
      <c r="AS1167" s="44"/>
    </row>
    <row r="1168" spans="1:45" outlineLevel="1" x14ac:dyDescent="0.25">
      <c r="A1168" s="28">
        <v>161</v>
      </c>
      <c r="B1168" s="43"/>
      <c r="C1168" s="43"/>
      <c r="D1168" s="43"/>
      <c r="E1168" s="43" t="str">
        <f t="shared" si="305"/>
        <v>Padrão 161</v>
      </c>
      <c r="F1168" s="43" t="str">
        <f t="shared" si="306"/>
        <v>Vazio</v>
      </c>
      <c r="G1168" s="46">
        <f t="shared" si="296"/>
        <v>0</v>
      </c>
      <c r="H1168" s="46">
        <f t="shared" si="297"/>
        <v>0</v>
      </c>
      <c r="I1168" s="28"/>
      <c r="J1168" s="337"/>
      <c r="K1168" s="46" t="str">
        <f t="shared" si="298"/>
        <v/>
      </c>
      <c r="L1168" s="46" t="str">
        <f t="shared" si="299"/>
        <v/>
      </c>
      <c r="M1168" s="338">
        <f t="shared" si="300"/>
        <v>0</v>
      </c>
      <c r="N1168" s="43"/>
      <c r="O1168" s="339" t="e">
        <f t="shared" si="263"/>
        <v>#N/A</v>
      </c>
      <c r="P1168" s="340" t="str">
        <f>IFERROR(VLOOKUP(O1168,NCM!$A$3:$D$99,COLUMN(head_porNCM_IPI)-COLUMN(head_porNCM_NCM)+1,FALSE),"")</f>
        <v/>
      </c>
      <c r="Q1168" s="43"/>
      <c r="R1168" s="78"/>
      <c r="S1168" s="341"/>
      <c r="T1168" s="28" t="s">
        <v>53</v>
      </c>
      <c r="U1168" s="28"/>
      <c r="V1168" s="28"/>
      <c r="W1168" s="43"/>
      <c r="X1168" s="342">
        <f t="shared" si="301"/>
        <v>0</v>
      </c>
      <c r="Y1168" s="342">
        <f t="shared" si="302"/>
        <v>0</v>
      </c>
      <c r="Z1168" s="46">
        <f t="shared" si="303"/>
        <v>0</v>
      </c>
      <c r="AA1168" s="46">
        <f t="shared" si="304"/>
        <v>0</v>
      </c>
      <c r="AB1168" s="43"/>
      <c r="AC1168" s="44"/>
      <c r="AD1168" s="31"/>
      <c r="AE1168" s="31"/>
      <c r="AF1168" s="31"/>
      <c r="AG1168" s="28" t="s">
        <v>53</v>
      </c>
      <c r="AH1168" s="46">
        <f t="shared" si="307"/>
        <v>0</v>
      </c>
      <c r="AI1168" s="43"/>
      <c r="AJ1168" s="28"/>
      <c r="AK1168" s="337"/>
      <c r="AL1168" s="43"/>
      <c r="AM1168" s="44">
        <f t="shared" si="308"/>
        <v>0</v>
      </c>
      <c r="AN1168" s="43"/>
      <c r="AO1168" s="28">
        <f t="shared" si="309"/>
        <v>0</v>
      </c>
      <c r="AP1168" s="43"/>
      <c r="AQ1168" s="323">
        <f t="shared" si="310"/>
        <v>0</v>
      </c>
      <c r="AR1168" s="43"/>
      <c r="AS1168" s="44"/>
    </row>
    <row r="1169" spans="1:45" outlineLevel="1" x14ac:dyDescent="0.25">
      <c r="A1169" s="28">
        <v>162</v>
      </c>
      <c r="B1169" s="43"/>
      <c r="C1169" s="43"/>
      <c r="D1169" s="43"/>
      <c r="E1169" s="43" t="str">
        <f t="shared" si="305"/>
        <v>Padrão 162</v>
      </c>
      <c r="F1169" s="43" t="str">
        <f t="shared" si="306"/>
        <v>Vazio</v>
      </c>
      <c r="G1169" s="46">
        <f t="shared" si="296"/>
        <v>0</v>
      </c>
      <c r="H1169" s="46">
        <f t="shared" si="297"/>
        <v>0</v>
      </c>
      <c r="I1169" s="28"/>
      <c r="J1169" s="337"/>
      <c r="K1169" s="46" t="str">
        <f t="shared" si="298"/>
        <v/>
      </c>
      <c r="L1169" s="46" t="str">
        <f t="shared" si="299"/>
        <v/>
      </c>
      <c r="M1169" s="338">
        <f t="shared" si="300"/>
        <v>0</v>
      </c>
      <c r="N1169" s="43"/>
      <c r="O1169" s="339" t="e">
        <f t="shared" si="263"/>
        <v>#N/A</v>
      </c>
      <c r="P1169" s="340" t="str">
        <f>IFERROR(VLOOKUP(O1169,NCM!$A$3:$D$99,COLUMN(head_porNCM_IPI)-COLUMN(head_porNCM_NCM)+1,FALSE),"")</f>
        <v/>
      </c>
      <c r="Q1169" s="43"/>
      <c r="R1169" s="78"/>
      <c r="S1169" s="341"/>
      <c r="T1169" s="28" t="s">
        <v>53</v>
      </c>
      <c r="U1169" s="28"/>
      <c r="V1169" s="28"/>
      <c r="W1169" s="43"/>
      <c r="X1169" s="342">
        <f t="shared" si="301"/>
        <v>0</v>
      </c>
      <c r="Y1169" s="342">
        <f t="shared" si="302"/>
        <v>0</v>
      </c>
      <c r="Z1169" s="46">
        <f t="shared" si="303"/>
        <v>0</v>
      </c>
      <c r="AA1169" s="46">
        <f t="shared" si="304"/>
        <v>0</v>
      </c>
      <c r="AB1169" s="43"/>
      <c r="AC1169" s="44"/>
      <c r="AD1169" s="31"/>
      <c r="AE1169" s="31"/>
      <c r="AF1169" s="31"/>
      <c r="AG1169" s="28" t="s">
        <v>53</v>
      </c>
      <c r="AH1169" s="46">
        <f t="shared" si="307"/>
        <v>0</v>
      </c>
      <c r="AI1169" s="43"/>
      <c r="AJ1169" s="28"/>
      <c r="AK1169" s="337"/>
      <c r="AL1169" s="43"/>
      <c r="AM1169" s="44">
        <f t="shared" si="308"/>
        <v>0</v>
      </c>
      <c r="AN1169" s="43"/>
      <c r="AO1169" s="28">
        <f t="shared" si="309"/>
        <v>0</v>
      </c>
      <c r="AP1169" s="43"/>
      <c r="AQ1169" s="323">
        <f t="shared" si="310"/>
        <v>0</v>
      </c>
      <c r="AR1169" s="43"/>
      <c r="AS1169" s="44"/>
    </row>
    <row r="1170" spans="1:45" outlineLevel="1" x14ac:dyDescent="0.25">
      <c r="A1170" s="28">
        <v>163</v>
      </c>
      <c r="B1170" s="43"/>
      <c r="C1170" s="43"/>
      <c r="D1170" s="43"/>
      <c r="E1170" s="43" t="str">
        <f t="shared" si="305"/>
        <v>Padrão 163</v>
      </c>
      <c r="F1170" s="43" t="str">
        <f t="shared" si="306"/>
        <v>Vazio</v>
      </c>
      <c r="G1170" s="46">
        <f t="shared" si="296"/>
        <v>0</v>
      </c>
      <c r="H1170" s="46">
        <f t="shared" si="297"/>
        <v>0</v>
      </c>
      <c r="I1170" s="28"/>
      <c r="J1170" s="337"/>
      <c r="K1170" s="46" t="str">
        <f t="shared" si="298"/>
        <v/>
      </c>
      <c r="L1170" s="46" t="str">
        <f t="shared" si="299"/>
        <v/>
      </c>
      <c r="M1170" s="338">
        <f t="shared" si="300"/>
        <v>0</v>
      </c>
      <c r="N1170" s="43"/>
      <c r="O1170" s="339" t="e">
        <f t="shared" si="263"/>
        <v>#N/A</v>
      </c>
      <c r="P1170" s="340" t="str">
        <f>IFERROR(VLOOKUP(O1170,NCM!$A$3:$D$99,COLUMN(head_porNCM_IPI)-COLUMN(head_porNCM_NCM)+1,FALSE),"")</f>
        <v/>
      </c>
      <c r="Q1170" s="43"/>
      <c r="R1170" s="78"/>
      <c r="S1170" s="341"/>
      <c r="T1170" s="28" t="s">
        <v>53</v>
      </c>
      <c r="U1170" s="28"/>
      <c r="V1170" s="28"/>
      <c r="W1170" s="43"/>
      <c r="X1170" s="342">
        <f t="shared" si="301"/>
        <v>0</v>
      </c>
      <c r="Y1170" s="342">
        <f t="shared" si="302"/>
        <v>0</v>
      </c>
      <c r="Z1170" s="46">
        <f t="shared" si="303"/>
        <v>0</v>
      </c>
      <c r="AA1170" s="46">
        <f t="shared" si="304"/>
        <v>0</v>
      </c>
      <c r="AB1170" s="43"/>
      <c r="AC1170" s="44"/>
      <c r="AD1170" s="31"/>
      <c r="AE1170" s="31"/>
      <c r="AF1170" s="31"/>
      <c r="AG1170" s="28" t="s">
        <v>53</v>
      </c>
      <c r="AH1170" s="46">
        <f t="shared" si="307"/>
        <v>0</v>
      </c>
      <c r="AI1170" s="43"/>
      <c r="AJ1170" s="28"/>
      <c r="AK1170" s="337"/>
      <c r="AL1170" s="43"/>
      <c r="AM1170" s="44">
        <f t="shared" si="308"/>
        <v>0</v>
      </c>
      <c r="AN1170" s="43"/>
      <c r="AO1170" s="28">
        <f t="shared" si="309"/>
        <v>0</v>
      </c>
      <c r="AP1170" s="43"/>
      <c r="AQ1170" s="323">
        <f t="shared" si="310"/>
        <v>0</v>
      </c>
      <c r="AR1170" s="43"/>
      <c r="AS1170" s="44"/>
    </row>
    <row r="1171" spans="1:45" outlineLevel="1" x14ac:dyDescent="0.25">
      <c r="A1171" s="28">
        <v>164</v>
      </c>
      <c r="B1171" s="43"/>
      <c r="C1171" s="43"/>
      <c r="D1171" s="43"/>
      <c r="E1171" s="43" t="str">
        <f t="shared" si="305"/>
        <v>Padrão 164</v>
      </c>
      <c r="F1171" s="43" t="str">
        <f t="shared" si="306"/>
        <v>Vazio</v>
      </c>
      <c r="G1171" s="46">
        <f t="shared" ref="G1171:G1222" si="311">AC1171*(1-AD1171)</f>
        <v>0</v>
      </c>
      <c r="H1171" s="46">
        <f t="shared" ref="H1171:H1222" si="312">AC1171*(1-AD1171-pis_naocum-cofins_naocum)</f>
        <v>0</v>
      </c>
      <c r="I1171" s="28"/>
      <c r="J1171" s="337"/>
      <c r="K1171" s="46" t="str">
        <f t="shared" ref="K1171:K1222" si="313">IFERROR(G1171*J1171*VLOOKUP(I1171,tbl_cambio,2,FALSE),"")</f>
        <v/>
      </c>
      <c r="L1171" s="46" t="str">
        <f t="shared" ref="L1171:L1222" si="314">IFERROR(H1171*J1171*VLOOKUP(I1171,tbl_cambio,2,FALSE),"")</f>
        <v/>
      </c>
      <c r="M1171" s="338">
        <f t="shared" ref="M1171:M1222" si="315">SUMIF(col_item,"="&amp;E1171,col_qtd)</f>
        <v>0</v>
      </c>
      <c r="N1171" s="43"/>
      <c r="O1171" s="339" t="e">
        <f t="shared" si="263"/>
        <v>#N/A</v>
      </c>
      <c r="P1171" s="340" t="str">
        <f>IFERROR(VLOOKUP(O1171,NCM!$A$3:$D$99,COLUMN(head_porNCM_IPI)-COLUMN(head_porNCM_NCM)+1,FALSE),"")</f>
        <v/>
      </c>
      <c r="Q1171" s="43"/>
      <c r="R1171" s="78"/>
      <c r="S1171" s="341"/>
      <c r="T1171" s="28" t="s">
        <v>53</v>
      </c>
      <c r="U1171" s="28"/>
      <c r="V1171" s="28"/>
      <c r="W1171" s="43"/>
      <c r="X1171" s="342">
        <f t="shared" ref="X1171:X1222" si="316">(AC1171-Y1171)*AD1171</f>
        <v>0</v>
      </c>
      <c r="Y1171" s="342">
        <f t="shared" ref="Y1171:Y1222" si="317">AC1171-AC1171/(1+AE1171)</f>
        <v>0</v>
      </c>
      <c r="Z1171" s="46">
        <f t="shared" ref="Z1171:Z1222" si="318">(AC1171-Y1171)*pis_naocum</f>
        <v>0</v>
      </c>
      <c r="AA1171" s="46">
        <f t="shared" ref="AA1171:AA1222" si="319">(AC1171-Y1171)*cofins_naocum</f>
        <v>0</v>
      </c>
      <c r="AB1171" s="43"/>
      <c r="AC1171" s="44"/>
      <c r="AD1171" s="31"/>
      <c r="AE1171" s="31"/>
      <c r="AF1171" s="31"/>
      <c r="AG1171" s="28" t="s">
        <v>53</v>
      </c>
      <c r="AH1171" s="46">
        <f t="shared" si="307"/>
        <v>0</v>
      </c>
      <c r="AI1171" s="43"/>
      <c r="AJ1171" s="28"/>
      <c r="AK1171" s="337"/>
      <c r="AL1171" s="43"/>
      <c r="AM1171" s="44">
        <f t="shared" si="308"/>
        <v>0</v>
      </c>
      <c r="AN1171" s="43"/>
      <c r="AO1171" s="28">
        <f t="shared" si="309"/>
        <v>0</v>
      </c>
      <c r="AP1171" s="43"/>
      <c r="AQ1171" s="323">
        <f t="shared" si="310"/>
        <v>0</v>
      </c>
      <c r="AR1171" s="43"/>
      <c r="AS1171" s="44"/>
    </row>
    <row r="1172" spans="1:45" outlineLevel="1" x14ac:dyDescent="0.25">
      <c r="A1172" s="28">
        <v>165</v>
      </c>
      <c r="B1172" s="43"/>
      <c r="C1172" s="43"/>
      <c r="D1172" s="43"/>
      <c r="E1172" s="43" t="str">
        <f t="shared" si="305"/>
        <v>Padrão 165</v>
      </c>
      <c r="F1172" s="43" t="str">
        <f t="shared" si="306"/>
        <v>Vazio</v>
      </c>
      <c r="G1172" s="46">
        <f t="shared" si="311"/>
        <v>0</v>
      </c>
      <c r="H1172" s="46">
        <f t="shared" si="312"/>
        <v>0</v>
      </c>
      <c r="I1172" s="28"/>
      <c r="J1172" s="337"/>
      <c r="K1172" s="46" t="str">
        <f t="shared" si="313"/>
        <v/>
      </c>
      <c r="L1172" s="46" t="str">
        <f t="shared" si="314"/>
        <v/>
      </c>
      <c r="M1172" s="338">
        <f t="shared" si="315"/>
        <v>0</v>
      </c>
      <c r="N1172" s="43"/>
      <c r="O1172" s="339" t="e">
        <f t="shared" si="263"/>
        <v>#N/A</v>
      </c>
      <c r="P1172" s="340" t="str">
        <f>IFERROR(VLOOKUP(O1172,NCM!$A$3:$D$99,COLUMN(head_porNCM_IPI)-COLUMN(head_porNCM_NCM)+1,FALSE),"")</f>
        <v/>
      </c>
      <c r="Q1172" s="43"/>
      <c r="R1172" s="78"/>
      <c r="S1172" s="341"/>
      <c r="T1172" s="28" t="s">
        <v>53</v>
      </c>
      <c r="U1172" s="28"/>
      <c r="V1172" s="28"/>
      <c r="W1172" s="43"/>
      <c r="X1172" s="342">
        <f t="shared" si="316"/>
        <v>0</v>
      </c>
      <c r="Y1172" s="342">
        <f t="shared" si="317"/>
        <v>0</v>
      </c>
      <c r="Z1172" s="46">
        <f t="shared" si="318"/>
        <v>0</v>
      </c>
      <c r="AA1172" s="46">
        <f t="shared" si="319"/>
        <v>0</v>
      </c>
      <c r="AB1172" s="43"/>
      <c r="AC1172" s="44"/>
      <c r="AD1172" s="31"/>
      <c r="AE1172" s="31"/>
      <c r="AF1172" s="31"/>
      <c r="AG1172" s="28" t="s">
        <v>53</v>
      </c>
      <c r="AH1172" s="46">
        <f t="shared" si="307"/>
        <v>0</v>
      </c>
      <c r="AI1172" s="43"/>
      <c r="AJ1172" s="28"/>
      <c r="AK1172" s="337"/>
      <c r="AL1172" s="43"/>
      <c r="AM1172" s="44">
        <f t="shared" si="308"/>
        <v>0</v>
      </c>
      <c r="AN1172" s="43"/>
      <c r="AO1172" s="28">
        <f t="shared" si="309"/>
        <v>0</v>
      </c>
      <c r="AP1172" s="43"/>
      <c r="AQ1172" s="323">
        <f t="shared" si="310"/>
        <v>0</v>
      </c>
      <c r="AR1172" s="43"/>
      <c r="AS1172" s="44"/>
    </row>
    <row r="1173" spans="1:45" outlineLevel="1" x14ac:dyDescent="0.25">
      <c r="A1173" s="28">
        <v>166</v>
      </c>
      <c r="B1173" s="43"/>
      <c r="C1173" s="43"/>
      <c r="D1173" s="43"/>
      <c r="E1173" s="43" t="str">
        <f t="shared" si="305"/>
        <v>Padrão 166</v>
      </c>
      <c r="F1173" s="43" t="str">
        <f t="shared" si="306"/>
        <v>Vazio</v>
      </c>
      <c r="G1173" s="46">
        <f t="shared" si="311"/>
        <v>0</v>
      </c>
      <c r="H1173" s="46">
        <f t="shared" si="312"/>
        <v>0</v>
      </c>
      <c r="I1173" s="28"/>
      <c r="J1173" s="337"/>
      <c r="K1173" s="46" t="str">
        <f t="shared" si="313"/>
        <v/>
      </c>
      <c r="L1173" s="46" t="str">
        <f t="shared" si="314"/>
        <v/>
      </c>
      <c r="M1173" s="338">
        <f t="shared" si="315"/>
        <v>0</v>
      </c>
      <c r="N1173" s="43"/>
      <c r="O1173" s="339" t="e">
        <f t="shared" si="263"/>
        <v>#N/A</v>
      </c>
      <c r="P1173" s="340" t="str">
        <f>IFERROR(VLOOKUP(O1173,NCM!$A$3:$D$99,COLUMN(head_porNCM_IPI)-COLUMN(head_porNCM_NCM)+1,FALSE),"")</f>
        <v/>
      </c>
      <c r="Q1173" s="43"/>
      <c r="R1173" s="78"/>
      <c r="S1173" s="341"/>
      <c r="T1173" s="28" t="s">
        <v>53</v>
      </c>
      <c r="U1173" s="28"/>
      <c r="V1173" s="28"/>
      <c r="W1173" s="43"/>
      <c r="X1173" s="342">
        <f t="shared" si="316"/>
        <v>0</v>
      </c>
      <c r="Y1173" s="342">
        <f t="shared" si="317"/>
        <v>0</v>
      </c>
      <c r="Z1173" s="46">
        <f t="shared" si="318"/>
        <v>0</v>
      </c>
      <c r="AA1173" s="46">
        <f t="shared" si="319"/>
        <v>0</v>
      </c>
      <c r="AB1173" s="43"/>
      <c r="AC1173" s="44"/>
      <c r="AD1173" s="31"/>
      <c r="AE1173" s="31"/>
      <c r="AF1173" s="31"/>
      <c r="AG1173" s="28" t="s">
        <v>53</v>
      </c>
      <c r="AH1173" s="46">
        <f t="shared" si="307"/>
        <v>0</v>
      </c>
      <c r="AI1173" s="43"/>
      <c r="AJ1173" s="28"/>
      <c r="AK1173" s="337"/>
      <c r="AL1173" s="43"/>
      <c r="AM1173" s="44">
        <f t="shared" si="308"/>
        <v>0</v>
      </c>
      <c r="AN1173" s="43"/>
      <c r="AO1173" s="28">
        <f t="shared" si="309"/>
        <v>0</v>
      </c>
      <c r="AP1173" s="43"/>
      <c r="AQ1173" s="323">
        <f t="shared" si="310"/>
        <v>0</v>
      </c>
      <c r="AR1173" s="43"/>
      <c r="AS1173" s="44"/>
    </row>
    <row r="1174" spans="1:45" outlineLevel="1" x14ac:dyDescent="0.25">
      <c r="A1174" s="28">
        <v>167</v>
      </c>
      <c r="B1174" s="43"/>
      <c r="C1174" s="43"/>
      <c r="D1174" s="43"/>
      <c r="E1174" s="43" t="str">
        <f t="shared" si="305"/>
        <v>Padrão 167</v>
      </c>
      <c r="F1174" s="43" t="str">
        <f t="shared" si="306"/>
        <v>Vazio</v>
      </c>
      <c r="G1174" s="46">
        <f t="shared" si="311"/>
        <v>0</v>
      </c>
      <c r="H1174" s="46">
        <f t="shared" si="312"/>
        <v>0</v>
      </c>
      <c r="I1174" s="28"/>
      <c r="J1174" s="337"/>
      <c r="K1174" s="46" t="str">
        <f t="shared" si="313"/>
        <v/>
      </c>
      <c r="L1174" s="46" t="str">
        <f t="shared" si="314"/>
        <v/>
      </c>
      <c r="M1174" s="338">
        <f t="shared" si="315"/>
        <v>0</v>
      </c>
      <c r="N1174" s="43"/>
      <c r="O1174" s="339" t="e">
        <f t="shared" si="263"/>
        <v>#N/A</v>
      </c>
      <c r="P1174" s="340" t="str">
        <f>IFERROR(VLOOKUP(O1174,NCM!$A$3:$D$99,COLUMN(head_porNCM_IPI)-COLUMN(head_porNCM_NCM)+1,FALSE),"")</f>
        <v/>
      </c>
      <c r="Q1174" s="43"/>
      <c r="R1174" s="78"/>
      <c r="S1174" s="341"/>
      <c r="T1174" s="28" t="s">
        <v>53</v>
      </c>
      <c r="U1174" s="28"/>
      <c r="V1174" s="28"/>
      <c r="W1174" s="43"/>
      <c r="X1174" s="342">
        <f t="shared" si="316"/>
        <v>0</v>
      </c>
      <c r="Y1174" s="342">
        <f t="shared" si="317"/>
        <v>0</v>
      </c>
      <c r="Z1174" s="46">
        <f t="shared" si="318"/>
        <v>0</v>
      </c>
      <c r="AA1174" s="46">
        <f t="shared" si="319"/>
        <v>0</v>
      </c>
      <c r="AB1174" s="43"/>
      <c r="AC1174" s="44"/>
      <c r="AD1174" s="31"/>
      <c r="AE1174" s="31"/>
      <c r="AF1174" s="31"/>
      <c r="AG1174" s="28" t="s">
        <v>53</v>
      </c>
      <c r="AH1174" s="46">
        <f t="shared" si="307"/>
        <v>0</v>
      </c>
      <c r="AI1174" s="43"/>
      <c r="AJ1174" s="28"/>
      <c r="AK1174" s="337"/>
      <c r="AL1174" s="43"/>
      <c r="AM1174" s="44">
        <f t="shared" si="308"/>
        <v>0</v>
      </c>
      <c r="AN1174" s="43"/>
      <c r="AO1174" s="28">
        <f t="shared" si="309"/>
        <v>0</v>
      </c>
      <c r="AP1174" s="43"/>
      <c r="AQ1174" s="323">
        <f t="shared" si="310"/>
        <v>0</v>
      </c>
      <c r="AR1174" s="43"/>
      <c r="AS1174" s="44"/>
    </row>
    <row r="1175" spans="1:45" outlineLevel="1" x14ac:dyDescent="0.25">
      <c r="A1175" s="28">
        <v>168</v>
      </c>
      <c r="B1175" s="43"/>
      <c r="C1175" s="43"/>
      <c r="D1175" s="43"/>
      <c r="E1175" s="43" t="str">
        <f t="shared" si="305"/>
        <v>Padrão 168</v>
      </c>
      <c r="F1175" s="43" t="str">
        <f t="shared" si="306"/>
        <v>Vazio</v>
      </c>
      <c r="G1175" s="46">
        <f t="shared" si="311"/>
        <v>0</v>
      </c>
      <c r="H1175" s="46">
        <f t="shared" si="312"/>
        <v>0</v>
      </c>
      <c r="I1175" s="28"/>
      <c r="J1175" s="337"/>
      <c r="K1175" s="46" t="str">
        <f t="shared" si="313"/>
        <v/>
      </c>
      <c r="L1175" s="46" t="str">
        <f t="shared" si="314"/>
        <v/>
      </c>
      <c r="M1175" s="338">
        <f t="shared" si="315"/>
        <v>0</v>
      </c>
      <c r="N1175" s="43"/>
      <c r="O1175" s="339" t="e">
        <f t="shared" si="263"/>
        <v>#N/A</v>
      </c>
      <c r="P1175" s="340" t="str">
        <f>IFERROR(VLOOKUP(O1175,NCM!$A$3:$D$99,COLUMN(head_porNCM_IPI)-COLUMN(head_porNCM_NCM)+1,FALSE),"")</f>
        <v/>
      </c>
      <c r="Q1175" s="43"/>
      <c r="R1175" s="78"/>
      <c r="S1175" s="341"/>
      <c r="T1175" s="28" t="s">
        <v>53</v>
      </c>
      <c r="U1175" s="28"/>
      <c r="V1175" s="28"/>
      <c r="W1175" s="43"/>
      <c r="X1175" s="342">
        <f t="shared" si="316"/>
        <v>0</v>
      </c>
      <c r="Y1175" s="342">
        <f t="shared" si="317"/>
        <v>0</v>
      </c>
      <c r="Z1175" s="46">
        <f t="shared" si="318"/>
        <v>0</v>
      </c>
      <c r="AA1175" s="46">
        <f t="shared" si="319"/>
        <v>0</v>
      </c>
      <c r="AB1175" s="43"/>
      <c r="AC1175" s="44"/>
      <c r="AD1175" s="31"/>
      <c r="AE1175" s="31"/>
      <c r="AF1175" s="31"/>
      <c r="AG1175" s="28" t="s">
        <v>53</v>
      </c>
      <c r="AH1175" s="46">
        <f t="shared" si="307"/>
        <v>0</v>
      </c>
      <c r="AI1175" s="43"/>
      <c r="AJ1175" s="28"/>
      <c r="AK1175" s="337"/>
      <c r="AL1175" s="43"/>
      <c r="AM1175" s="44">
        <f t="shared" si="308"/>
        <v>0</v>
      </c>
      <c r="AN1175" s="43"/>
      <c r="AO1175" s="28">
        <f t="shared" si="309"/>
        <v>0</v>
      </c>
      <c r="AP1175" s="43"/>
      <c r="AQ1175" s="323">
        <f t="shared" si="310"/>
        <v>0</v>
      </c>
      <c r="AR1175" s="43"/>
      <c r="AS1175" s="44"/>
    </row>
    <row r="1176" spans="1:45" outlineLevel="1" x14ac:dyDescent="0.25">
      <c r="A1176" s="28">
        <v>169</v>
      </c>
      <c r="B1176" s="43"/>
      <c r="C1176" s="43"/>
      <c r="D1176" s="43"/>
      <c r="E1176" s="43" t="str">
        <f t="shared" si="305"/>
        <v>Padrão 169</v>
      </c>
      <c r="F1176" s="43" t="str">
        <f t="shared" si="306"/>
        <v>Vazio</v>
      </c>
      <c r="G1176" s="46">
        <f t="shared" si="311"/>
        <v>0</v>
      </c>
      <c r="H1176" s="46">
        <f t="shared" si="312"/>
        <v>0</v>
      </c>
      <c r="I1176" s="28"/>
      <c r="J1176" s="337"/>
      <c r="K1176" s="46" t="str">
        <f t="shared" si="313"/>
        <v/>
      </c>
      <c r="L1176" s="46" t="str">
        <f t="shared" si="314"/>
        <v/>
      </c>
      <c r="M1176" s="338">
        <f t="shared" si="315"/>
        <v>0</v>
      </c>
      <c r="N1176" s="43"/>
      <c r="O1176" s="339" t="e">
        <f t="shared" si="263"/>
        <v>#N/A</v>
      </c>
      <c r="P1176" s="340" t="str">
        <f>IFERROR(VLOOKUP(O1176,NCM!$A$3:$D$99,COLUMN(head_porNCM_IPI)-COLUMN(head_porNCM_NCM)+1,FALSE),"")</f>
        <v/>
      </c>
      <c r="Q1176" s="43"/>
      <c r="R1176" s="78"/>
      <c r="S1176" s="341"/>
      <c r="T1176" s="28" t="s">
        <v>53</v>
      </c>
      <c r="U1176" s="28"/>
      <c r="V1176" s="28"/>
      <c r="W1176" s="43"/>
      <c r="X1176" s="342">
        <f t="shared" si="316"/>
        <v>0</v>
      </c>
      <c r="Y1176" s="342">
        <f t="shared" si="317"/>
        <v>0</v>
      </c>
      <c r="Z1176" s="46">
        <f t="shared" si="318"/>
        <v>0</v>
      </c>
      <c r="AA1176" s="46">
        <f t="shared" si="319"/>
        <v>0</v>
      </c>
      <c r="AB1176" s="43"/>
      <c r="AC1176" s="44"/>
      <c r="AD1176" s="31"/>
      <c r="AE1176" s="31"/>
      <c r="AF1176" s="31"/>
      <c r="AG1176" s="28" t="s">
        <v>53</v>
      </c>
      <c r="AH1176" s="46">
        <f t="shared" si="307"/>
        <v>0</v>
      </c>
      <c r="AI1176" s="43"/>
      <c r="AJ1176" s="28"/>
      <c r="AK1176" s="337"/>
      <c r="AL1176" s="43"/>
      <c r="AM1176" s="44">
        <f t="shared" si="308"/>
        <v>0</v>
      </c>
      <c r="AN1176" s="43"/>
      <c r="AO1176" s="28">
        <f t="shared" si="309"/>
        <v>0</v>
      </c>
      <c r="AP1176" s="43"/>
      <c r="AQ1176" s="323">
        <f t="shared" si="310"/>
        <v>0</v>
      </c>
      <c r="AR1176" s="43"/>
      <c r="AS1176" s="44"/>
    </row>
    <row r="1177" spans="1:45" outlineLevel="1" x14ac:dyDescent="0.25">
      <c r="A1177" s="28">
        <v>170</v>
      </c>
      <c r="B1177" s="43"/>
      <c r="C1177" s="43"/>
      <c r="D1177" s="43"/>
      <c r="E1177" s="43" t="str">
        <f t="shared" si="305"/>
        <v>Padrão 170</v>
      </c>
      <c r="F1177" s="43" t="str">
        <f t="shared" si="306"/>
        <v>Vazio</v>
      </c>
      <c r="G1177" s="46">
        <f t="shared" si="311"/>
        <v>0</v>
      </c>
      <c r="H1177" s="46">
        <f t="shared" si="312"/>
        <v>0</v>
      </c>
      <c r="I1177" s="28"/>
      <c r="J1177" s="337"/>
      <c r="K1177" s="46" t="str">
        <f t="shared" si="313"/>
        <v/>
      </c>
      <c r="L1177" s="46" t="str">
        <f t="shared" si="314"/>
        <v/>
      </c>
      <c r="M1177" s="338">
        <f t="shared" si="315"/>
        <v>0</v>
      </c>
      <c r="N1177" s="43"/>
      <c r="O1177" s="339" t="e">
        <f t="shared" si="263"/>
        <v>#N/A</v>
      </c>
      <c r="P1177" s="340" t="str">
        <f>IFERROR(VLOOKUP(O1177,NCM!$A$3:$D$99,COLUMN(head_porNCM_IPI)-COLUMN(head_porNCM_NCM)+1,FALSE),"")</f>
        <v/>
      </c>
      <c r="Q1177" s="43"/>
      <c r="R1177" s="78"/>
      <c r="S1177" s="341"/>
      <c r="T1177" s="28" t="s">
        <v>53</v>
      </c>
      <c r="U1177" s="28"/>
      <c r="V1177" s="28"/>
      <c r="W1177" s="43"/>
      <c r="X1177" s="342">
        <f t="shared" si="316"/>
        <v>0</v>
      </c>
      <c r="Y1177" s="342">
        <f t="shared" si="317"/>
        <v>0</v>
      </c>
      <c r="Z1177" s="46">
        <f t="shared" si="318"/>
        <v>0</v>
      </c>
      <c r="AA1177" s="46">
        <f t="shared" si="319"/>
        <v>0</v>
      </c>
      <c r="AB1177" s="43"/>
      <c r="AC1177" s="44"/>
      <c r="AD1177" s="31"/>
      <c r="AE1177" s="31"/>
      <c r="AF1177" s="31"/>
      <c r="AG1177" s="28" t="s">
        <v>53</v>
      </c>
      <c r="AH1177" s="46">
        <f t="shared" si="307"/>
        <v>0</v>
      </c>
      <c r="AI1177" s="43"/>
      <c r="AJ1177" s="28"/>
      <c r="AK1177" s="337"/>
      <c r="AL1177" s="43"/>
      <c r="AM1177" s="44">
        <f t="shared" si="308"/>
        <v>0</v>
      </c>
      <c r="AN1177" s="43"/>
      <c r="AO1177" s="28">
        <f t="shared" si="309"/>
        <v>0</v>
      </c>
      <c r="AP1177" s="43"/>
      <c r="AQ1177" s="323">
        <f t="shared" si="310"/>
        <v>0</v>
      </c>
      <c r="AR1177" s="43"/>
      <c r="AS1177" s="44"/>
    </row>
    <row r="1178" spans="1:45" outlineLevel="1" x14ac:dyDescent="0.25">
      <c r="A1178" s="28">
        <v>171</v>
      </c>
      <c r="B1178" s="43"/>
      <c r="C1178" s="43"/>
      <c r="D1178" s="43"/>
      <c r="E1178" s="43" t="str">
        <f t="shared" si="305"/>
        <v>Padrão 171</v>
      </c>
      <c r="F1178" s="43" t="str">
        <f t="shared" si="306"/>
        <v>Vazio</v>
      </c>
      <c r="G1178" s="46">
        <f t="shared" si="311"/>
        <v>0</v>
      </c>
      <c r="H1178" s="46">
        <f t="shared" si="312"/>
        <v>0</v>
      </c>
      <c r="I1178" s="28"/>
      <c r="J1178" s="337"/>
      <c r="K1178" s="46" t="str">
        <f t="shared" si="313"/>
        <v/>
      </c>
      <c r="L1178" s="46" t="str">
        <f t="shared" si="314"/>
        <v/>
      </c>
      <c r="M1178" s="338">
        <f t="shared" si="315"/>
        <v>0</v>
      </c>
      <c r="N1178" s="43"/>
      <c r="O1178" s="339" t="e">
        <f t="shared" si="263"/>
        <v>#N/A</v>
      </c>
      <c r="P1178" s="340" t="str">
        <f>IFERROR(VLOOKUP(O1178,NCM!$A$3:$D$99,COLUMN(head_porNCM_IPI)-COLUMN(head_porNCM_NCM)+1,FALSE),"")</f>
        <v/>
      </c>
      <c r="Q1178" s="43"/>
      <c r="R1178" s="78"/>
      <c r="S1178" s="341"/>
      <c r="T1178" s="28" t="s">
        <v>53</v>
      </c>
      <c r="U1178" s="28"/>
      <c r="V1178" s="28"/>
      <c r="W1178" s="43"/>
      <c r="X1178" s="342">
        <f t="shared" si="316"/>
        <v>0</v>
      </c>
      <c r="Y1178" s="342">
        <f t="shared" si="317"/>
        <v>0</v>
      </c>
      <c r="Z1178" s="46">
        <f t="shared" si="318"/>
        <v>0</v>
      </c>
      <c r="AA1178" s="46">
        <f t="shared" si="319"/>
        <v>0</v>
      </c>
      <c r="AB1178" s="43"/>
      <c r="AC1178" s="44"/>
      <c r="AD1178" s="31"/>
      <c r="AE1178" s="31"/>
      <c r="AF1178" s="31"/>
      <c r="AG1178" s="28" t="s">
        <v>53</v>
      </c>
      <c r="AH1178" s="46">
        <f t="shared" si="307"/>
        <v>0</v>
      </c>
      <c r="AI1178" s="43"/>
      <c r="AJ1178" s="28"/>
      <c r="AK1178" s="337"/>
      <c r="AL1178" s="43"/>
      <c r="AM1178" s="44">
        <f t="shared" si="308"/>
        <v>0</v>
      </c>
      <c r="AN1178" s="43"/>
      <c r="AO1178" s="28">
        <f t="shared" si="309"/>
        <v>0</v>
      </c>
      <c r="AP1178" s="43"/>
      <c r="AQ1178" s="323">
        <f t="shared" si="310"/>
        <v>0</v>
      </c>
      <c r="AR1178" s="43"/>
      <c r="AS1178" s="44"/>
    </row>
    <row r="1179" spans="1:45" outlineLevel="1" x14ac:dyDescent="0.25">
      <c r="A1179" s="28">
        <v>172</v>
      </c>
      <c r="B1179" s="43"/>
      <c r="C1179" s="43"/>
      <c r="D1179" s="43"/>
      <c r="E1179" s="43" t="str">
        <f t="shared" si="305"/>
        <v>Padrão 172</v>
      </c>
      <c r="F1179" s="43" t="str">
        <f t="shared" si="306"/>
        <v>Vazio</v>
      </c>
      <c r="G1179" s="46">
        <f t="shared" si="311"/>
        <v>0</v>
      </c>
      <c r="H1179" s="46">
        <f t="shared" si="312"/>
        <v>0</v>
      </c>
      <c r="I1179" s="28"/>
      <c r="J1179" s="337"/>
      <c r="K1179" s="46" t="str">
        <f t="shared" si="313"/>
        <v/>
      </c>
      <c r="L1179" s="46" t="str">
        <f t="shared" si="314"/>
        <v/>
      </c>
      <c r="M1179" s="338">
        <f t="shared" si="315"/>
        <v>0</v>
      </c>
      <c r="N1179" s="43"/>
      <c r="O1179" s="339" t="e">
        <f t="shared" si="263"/>
        <v>#N/A</v>
      </c>
      <c r="P1179" s="340" t="str">
        <f>IFERROR(VLOOKUP(O1179,NCM!$A$3:$D$99,COLUMN(head_porNCM_IPI)-COLUMN(head_porNCM_NCM)+1,FALSE),"")</f>
        <v/>
      </c>
      <c r="Q1179" s="43"/>
      <c r="R1179" s="78"/>
      <c r="S1179" s="341"/>
      <c r="T1179" s="28" t="s">
        <v>53</v>
      </c>
      <c r="U1179" s="28"/>
      <c r="V1179" s="28"/>
      <c r="W1179" s="43"/>
      <c r="X1179" s="342">
        <f t="shared" si="316"/>
        <v>0</v>
      </c>
      <c r="Y1179" s="342">
        <f t="shared" si="317"/>
        <v>0</v>
      </c>
      <c r="Z1179" s="46">
        <f t="shared" si="318"/>
        <v>0</v>
      </c>
      <c r="AA1179" s="46">
        <f t="shared" si="319"/>
        <v>0</v>
      </c>
      <c r="AB1179" s="43"/>
      <c r="AC1179" s="44"/>
      <c r="AD1179" s="31"/>
      <c r="AE1179" s="31"/>
      <c r="AF1179" s="31"/>
      <c r="AG1179" s="28" t="s">
        <v>53</v>
      </c>
      <c r="AH1179" s="46">
        <f t="shared" si="307"/>
        <v>0</v>
      </c>
      <c r="AI1179" s="43"/>
      <c r="AJ1179" s="28"/>
      <c r="AK1179" s="337"/>
      <c r="AL1179" s="43"/>
      <c r="AM1179" s="44">
        <f t="shared" si="308"/>
        <v>0</v>
      </c>
      <c r="AN1179" s="43"/>
      <c r="AO1179" s="28">
        <f t="shared" si="309"/>
        <v>0</v>
      </c>
      <c r="AP1179" s="43"/>
      <c r="AQ1179" s="323">
        <f t="shared" si="310"/>
        <v>0</v>
      </c>
      <c r="AR1179" s="43"/>
      <c r="AS1179" s="44"/>
    </row>
    <row r="1180" spans="1:45" outlineLevel="1" x14ac:dyDescent="0.25">
      <c r="A1180" s="28">
        <v>173</v>
      </c>
      <c r="B1180" s="43"/>
      <c r="C1180" s="43"/>
      <c r="D1180" s="43"/>
      <c r="E1180" s="43" t="str">
        <f t="shared" si="305"/>
        <v>Padrão 173</v>
      </c>
      <c r="F1180" s="43" t="str">
        <f t="shared" si="306"/>
        <v>Vazio</v>
      </c>
      <c r="G1180" s="46">
        <f t="shared" si="311"/>
        <v>0</v>
      </c>
      <c r="H1180" s="46">
        <f t="shared" si="312"/>
        <v>0</v>
      </c>
      <c r="I1180" s="28"/>
      <c r="J1180" s="337"/>
      <c r="K1180" s="46" t="str">
        <f t="shared" si="313"/>
        <v/>
      </c>
      <c r="L1180" s="46" t="str">
        <f t="shared" si="314"/>
        <v/>
      </c>
      <c r="M1180" s="338">
        <f t="shared" si="315"/>
        <v>0</v>
      </c>
      <c r="N1180" s="43"/>
      <c r="O1180" s="339" t="e">
        <f t="shared" si="263"/>
        <v>#N/A</v>
      </c>
      <c r="P1180" s="340" t="str">
        <f>IFERROR(VLOOKUP(O1180,NCM!$A$3:$D$99,COLUMN(head_porNCM_IPI)-COLUMN(head_porNCM_NCM)+1,FALSE),"")</f>
        <v/>
      </c>
      <c r="Q1180" s="43"/>
      <c r="R1180" s="78"/>
      <c r="S1180" s="341"/>
      <c r="T1180" s="28" t="s">
        <v>53</v>
      </c>
      <c r="U1180" s="28"/>
      <c r="V1180" s="28"/>
      <c r="W1180" s="43"/>
      <c r="X1180" s="342">
        <f t="shared" si="316"/>
        <v>0</v>
      </c>
      <c r="Y1180" s="342">
        <f t="shared" si="317"/>
        <v>0</v>
      </c>
      <c r="Z1180" s="46">
        <f t="shared" si="318"/>
        <v>0</v>
      </c>
      <c r="AA1180" s="46">
        <f t="shared" si="319"/>
        <v>0</v>
      </c>
      <c r="AB1180" s="43"/>
      <c r="AC1180" s="44"/>
      <c r="AD1180" s="31"/>
      <c r="AE1180" s="31"/>
      <c r="AF1180" s="31"/>
      <c r="AG1180" s="28" t="s">
        <v>53</v>
      </c>
      <c r="AH1180" s="46">
        <f t="shared" si="307"/>
        <v>0</v>
      </c>
      <c r="AI1180" s="43"/>
      <c r="AJ1180" s="28"/>
      <c r="AK1180" s="337"/>
      <c r="AL1180" s="43"/>
      <c r="AM1180" s="44">
        <f t="shared" si="308"/>
        <v>0</v>
      </c>
      <c r="AN1180" s="43"/>
      <c r="AO1180" s="28">
        <f t="shared" si="309"/>
        <v>0</v>
      </c>
      <c r="AP1180" s="43"/>
      <c r="AQ1180" s="323">
        <f t="shared" si="310"/>
        <v>0</v>
      </c>
      <c r="AR1180" s="43"/>
      <c r="AS1180" s="44"/>
    </row>
    <row r="1181" spans="1:45" outlineLevel="1" x14ac:dyDescent="0.25">
      <c r="A1181" s="28">
        <v>174</v>
      </c>
      <c r="B1181" s="43"/>
      <c r="C1181" s="43"/>
      <c r="D1181" s="43"/>
      <c r="E1181" s="43" t="str">
        <f t="shared" si="305"/>
        <v>Padrão 174</v>
      </c>
      <c r="F1181" s="43" t="str">
        <f t="shared" si="306"/>
        <v>Vazio</v>
      </c>
      <c r="G1181" s="46">
        <f t="shared" si="311"/>
        <v>0</v>
      </c>
      <c r="H1181" s="46">
        <f t="shared" si="312"/>
        <v>0</v>
      </c>
      <c r="I1181" s="28"/>
      <c r="J1181" s="337"/>
      <c r="K1181" s="46" t="str">
        <f t="shared" si="313"/>
        <v/>
      </c>
      <c r="L1181" s="46" t="str">
        <f t="shared" si="314"/>
        <v/>
      </c>
      <c r="M1181" s="338">
        <f t="shared" si="315"/>
        <v>0</v>
      </c>
      <c r="N1181" s="43"/>
      <c r="O1181" s="339" t="e">
        <f t="shared" si="263"/>
        <v>#N/A</v>
      </c>
      <c r="P1181" s="340" t="str">
        <f>IFERROR(VLOOKUP(O1181,NCM!$A$3:$D$99,COLUMN(head_porNCM_IPI)-COLUMN(head_porNCM_NCM)+1,FALSE),"")</f>
        <v/>
      </c>
      <c r="Q1181" s="43"/>
      <c r="R1181" s="78"/>
      <c r="S1181" s="341"/>
      <c r="T1181" s="28" t="s">
        <v>53</v>
      </c>
      <c r="U1181" s="28"/>
      <c r="V1181" s="28"/>
      <c r="W1181" s="43"/>
      <c r="X1181" s="342">
        <f t="shared" si="316"/>
        <v>0</v>
      </c>
      <c r="Y1181" s="342">
        <f t="shared" si="317"/>
        <v>0</v>
      </c>
      <c r="Z1181" s="46">
        <f t="shared" si="318"/>
        <v>0</v>
      </c>
      <c r="AA1181" s="46">
        <f t="shared" si="319"/>
        <v>0</v>
      </c>
      <c r="AB1181" s="43"/>
      <c r="AC1181" s="44"/>
      <c r="AD1181" s="31"/>
      <c r="AE1181" s="31"/>
      <c r="AF1181" s="31"/>
      <c r="AG1181" s="28" t="s">
        <v>53</v>
      </c>
      <c r="AH1181" s="46">
        <f t="shared" si="307"/>
        <v>0</v>
      </c>
      <c r="AI1181" s="43"/>
      <c r="AJ1181" s="28"/>
      <c r="AK1181" s="337"/>
      <c r="AL1181" s="43"/>
      <c r="AM1181" s="44">
        <f t="shared" si="308"/>
        <v>0</v>
      </c>
      <c r="AN1181" s="43"/>
      <c r="AO1181" s="28">
        <f t="shared" si="309"/>
        <v>0</v>
      </c>
      <c r="AP1181" s="43"/>
      <c r="AQ1181" s="323">
        <f t="shared" si="310"/>
        <v>0</v>
      </c>
      <c r="AR1181" s="43"/>
      <c r="AS1181" s="44"/>
    </row>
    <row r="1182" spans="1:45" outlineLevel="1" x14ac:dyDescent="0.25">
      <c r="A1182" s="28">
        <v>175</v>
      </c>
      <c r="B1182" s="43"/>
      <c r="C1182" s="43"/>
      <c r="D1182" s="43"/>
      <c r="E1182" s="43" t="str">
        <f t="shared" si="305"/>
        <v>Padrão 175</v>
      </c>
      <c r="F1182" s="43" t="str">
        <f t="shared" si="306"/>
        <v>Vazio</v>
      </c>
      <c r="G1182" s="46">
        <f t="shared" si="311"/>
        <v>0</v>
      </c>
      <c r="H1182" s="46">
        <f t="shared" si="312"/>
        <v>0</v>
      </c>
      <c r="I1182" s="28"/>
      <c r="J1182" s="337"/>
      <c r="K1182" s="46" t="str">
        <f t="shared" si="313"/>
        <v/>
      </c>
      <c r="L1182" s="46" t="str">
        <f t="shared" si="314"/>
        <v/>
      </c>
      <c r="M1182" s="338">
        <f t="shared" si="315"/>
        <v>0</v>
      </c>
      <c r="N1182" s="43"/>
      <c r="O1182" s="339" t="e">
        <f t="shared" si="263"/>
        <v>#N/A</v>
      </c>
      <c r="P1182" s="340" t="str">
        <f>IFERROR(VLOOKUP(O1182,NCM!$A$3:$D$99,COLUMN(head_porNCM_IPI)-COLUMN(head_porNCM_NCM)+1,FALSE),"")</f>
        <v/>
      </c>
      <c r="Q1182" s="43"/>
      <c r="R1182" s="78"/>
      <c r="S1182" s="341"/>
      <c r="T1182" s="28" t="s">
        <v>53</v>
      </c>
      <c r="U1182" s="28"/>
      <c r="V1182" s="28"/>
      <c r="W1182" s="43"/>
      <c r="X1182" s="342">
        <f t="shared" si="316"/>
        <v>0</v>
      </c>
      <c r="Y1182" s="342">
        <f t="shared" si="317"/>
        <v>0</v>
      </c>
      <c r="Z1182" s="46">
        <f t="shared" si="318"/>
        <v>0</v>
      </c>
      <c r="AA1182" s="46">
        <f t="shared" si="319"/>
        <v>0</v>
      </c>
      <c r="AB1182" s="43"/>
      <c r="AC1182" s="44"/>
      <c r="AD1182" s="31"/>
      <c r="AE1182" s="31"/>
      <c r="AF1182" s="31"/>
      <c r="AG1182" s="28" t="s">
        <v>53</v>
      </c>
      <c r="AH1182" s="46">
        <f t="shared" si="307"/>
        <v>0</v>
      </c>
      <c r="AI1182" s="43"/>
      <c r="AJ1182" s="28"/>
      <c r="AK1182" s="337"/>
      <c r="AL1182" s="43"/>
      <c r="AM1182" s="44">
        <f t="shared" si="308"/>
        <v>0</v>
      </c>
      <c r="AN1182" s="43"/>
      <c r="AO1182" s="28">
        <f t="shared" si="309"/>
        <v>0</v>
      </c>
      <c r="AP1182" s="43"/>
      <c r="AQ1182" s="323">
        <f t="shared" si="310"/>
        <v>0</v>
      </c>
      <c r="AR1182" s="43"/>
      <c r="AS1182" s="44"/>
    </row>
    <row r="1183" spans="1:45" outlineLevel="1" x14ac:dyDescent="0.25">
      <c r="A1183" s="28">
        <v>176</v>
      </c>
      <c r="B1183" s="43"/>
      <c r="C1183" s="43"/>
      <c r="D1183" s="43"/>
      <c r="E1183" s="43" t="str">
        <f t="shared" si="305"/>
        <v>Padrão 176</v>
      </c>
      <c r="F1183" s="43" t="str">
        <f t="shared" si="306"/>
        <v>Vazio</v>
      </c>
      <c r="G1183" s="46">
        <f t="shared" si="311"/>
        <v>0</v>
      </c>
      <c r="H1183" s="46">
        <f t="shared" si="312"/>
        <v>0</v>
      </c>
      <c r="I1183" s="28"/>
      <c r="J1183" s="337"/>
      <c r="K1183" s="46" t="str">
        <f t="shared" si="313"/>
        <v/>
      </c>
      <c r="L1183" s="46" t="str">
        <f t="shared" si="314"/>
        <v/>
      </c>
      <c r="M1183" s="338">
        <f t="shared" si="315"/>
        <v>0</v>
      </c>
      <c r="N1183" s="43"/>
      <c r="O1183" s="339" t="e">
        <f t="shared" si="263"/>
        <v>#N/A</v>
      </c>
      <c r="P1183" s="340" t="str">
        <f>IFERROR(VLOOKUP(O1183,NCM!$A$3:$D$99,COLUMN(head_porNCM_IPI)-COLUMN(head_porNCM_NCM)+1,FALSE),"")</f>
        <v/>
      </c>
      <c r="Q1183" s="43"/>
      <c r="R1183" s="78"/>
      <c r="S1183" s="341"/>
      <c r="T1183" s="28" t="s">
        <v>53</v>
      </c>
      <c r="U1183" s="28"/>
      <c r="V1183" s="28"/>
      <c r="W1183" s="43"/>
      <c r="X1183" s="342">
        <f t="shared" si="316"/>
        <v>0</v>
      </c>
      <c r="Y1183" s="342">
        <f t="shared" si="317"/>
        <v>0</v>
      </c>
      <c r="Z1183" s="46">
        <f t="shared" si="318"/>
        <v>0</v>
      </c>
      <c r="AA1183" s="46">
        <f t="shared" si="319"/>
        <v>0</v>
      </c>
      <c r="AB1183" s="43"/>
      <c r="AC1183" s="44"/>
      <c r="AD1183" s="31"/>
      <c r="AE1183" s="31"/>
      <c r="AF1183" s="31"/>
      <c r="AG1183" s="28" t="s">
        <v>53</v>
      </c>
      <c r="AH1183" s="46">
        <f t="shared" si="307"/>
        <v>0</v>
      </c>
      <c r="AI1183" s="43"/>
      <c r="AJ1183" s="28"/>
      <c r="AK1183" s="337"/>
      <c r="AL1183" s="43"/>
      <c r="AM1183" s="44">
        <f t="shared" si="308"/>
        <v>0</v>
      </c>
      <c r="AN1183" s="43"/>
      <c r="AO1183" s="28">
        <f t="shared" si="309"/>
        <v>0</v>
      </c>
      <c r="AP1183" s="43"/>
      <c r="AQ1183" s="323">
        <f t="shared" si="310"/>
        <v>0</v>
      </c>
      <c r="AR1183" s="43"/>
      <c r="AS1183" s="44"/>
    </row>
    <row r="1184" spans="1:45" outlineLevel="1" x14ac:dyDescent="0.25">
      <c r="A1184" s="28">
        <v>177</v>
      </c>
      <c r="B1184" s="43"/>
      <c r="C1184" s="43"/>
      <c r="D1184" s="43"/>
      <c r="E1184" s="43" t="str">
        <f t="shared" si="305"/>
        <v>Padrão 177</v>
      </c>
      <c r="F1184" s="43" t="str">
        <f t="shared" si="306"/>
        <v>Vazio</v>
      </c>
      <c r="G1184" s="46">
        <f t="shared" si="311"/>
        <v>0</v>
      </c>
      <c r="H1184" s="46">
        <f t="shared" si="312"/>
        <v>0</v>
      </c>
      <c r="I1184" s="28"/>
      <c r="J1184" s="337"/>
      <c r="K1184" s="46" t="str">
        <f t="shared" si="313"/>
        <v/>
      </c>
      <c r="L1184" s="46" t="str">
        <f t="shared" si="314"/>
        <v/>
      </c>
      <c r="M1184" s="338">
        <f t="shared" si="315"/>
        <v>0</v>
      </c>
      <c r="N1184" s="43"/>
      <c r="O1184" s="339" t="e">
        <f t="shared" si="263"/>
        <v>#N/A</v>
      </c>
      <c r="P1184" s="340" t="str">
        <f>IFERROR(VLOOKUP(O1184,NCM!$A$3:$D$99,COLUMN(head_porNCM_IPI)-COLUMN(head_porNCM_NCM)+1,FALSE),"")</f>
        <v/>
      </c>
      <c r="Q1184" s="43"/>
      <c r="R1184" s="78"/>
      <c r="S1184" s="341"/>
      <c r="T1184" s="28" t="s">
        <v>53</v>
      </c>
      <c r="U1184" s="28"/>
      <c r="V1184" s="28"/>
      <c r="W1184" s="43"/>
      <c r="X1184" s="342">
        <f t="shared" si="316"/>
        <v>0</v>
      </c>
      <c r="Y1184" s="342">
        <f t="shared" si="317"/>
        <v>0</v>
      </c>
      <c r="Z1184" s="46">
        <f t="shared" si="318"/>
        <v>0</v>
      </c>
      <c r="AA1184" s="46">
        <f t="shared" si="319"/>
        <v>0</v>
      </c>
      <c r="AB1184" s="43"/>
      <c r="AC1184" s="44"/>
      <c r="AD1184" s="31"/>
      <c r="AE1184" s="31"/>
      <c r="AF1184" s="31"/>
      <c r="AG1184" s="28" t="s">
        <v>53</v>
      </c>
      <c r="AH1184" s="46">
        <f t="shared" si="307"/>
        <v>0</v>
      </c>
      <c r="AI1184" s="43"/>
      <c r="AJ1184" s="28"/>
      <c r="AK1184" s="337"/>
      <c r="AL1184" s="43"/>
      <c r="AM1184" s="44">
        <f t="shared" si="308"/>
        <v>0</v>
      </c>
      <c r="AN1184" s="43"/>
      <c r="AO1184" s="28">
        <f t="shared" si="309"/>
        <v>0</v>
      </c>
      <c r="AP1184" s="43"/>
      <c r="AQ1184" s="323">
        <f t="shared" si="310"/>
        <v>0</v>
      </c>
      <c r="AR1184" s="43"/>
      <c r="AS1184" s="44"/>
    </row>
    <row r="1185" spans="1:45" outlineLevel="1" x14ac:dyDescent="0.25">
      <c r="A1185" s="28">
        <v>178</v>
      </c>
      <c r="B1185" s="43"/>
      <c r="C1185" s="43"/>
      <c r="D1185" s="43"/>
      <c r="E1185" s="43" t="str">
        <f t="shared" si="305"/>
        <v>Padrão 178</v>
      </c>
      <c r="F1185" s="43" t="str">
        <f t="shared" si="306"/>
        <v>Vazio</v>
      </c>
      <c r="G1185" s="46">
        <f t="shared" si="311"/>
        <v>0</v>
      </c>
      <c r="H1185" s="46">
        <f t="shared" si="312"/>
        <v>0</v>
      </c>
      <c r="I1185" s="28"/>
      <c r="J1185" s="337"/>
      <c r="K1185" s="46" t="str">
        <f t="shared" si="313"/>
        <v/>
      </c>
      <c r="L1185" s="46" t="str">
        <f t="shared" si="314"/>
        <v/>
      </c>
      <c r="M1185" s="338">
        <f t="shared" si="315"/>
        <v>0</v>
      </c>
      <c r="N1185" s="43"/>
      <c r="O1185" s="339" t="e">
        <f t="shared" si="263"/>
        <v>#N/A</v>
      </c>
      <c r="P1185" s="340" t="str">
        <f>IFERROR(VLOOKUP(O1185,NCM!$A$3:$D$99,COLUMN(head_porNCM_IPI)-COLUMN(head_porNCM_NCM)+1,FALSE),"")</f>
        <v/>
      </c>
      <c r="Q1185" s="43"/>
      <c r="R1185" s="78"/>
      <c r="S1185" s="341"/>
      <c r="T1185" s="28" t="s">
        <v>53</v>
      </c>
      <c r="U1185" s="28"/>
      <c r="V1185" s="28"/>
      <c r="W1185" s="43"/>
      <c r="X1185" s="342">
        <f t="shared" si="316"/>
        <v>0</v>
      </c>
      <c r="Y1185" s="342">
        <f t="shared" si="317"/>
        <v>0</v>
      </c>
      <c r="Z1185" s="46">
        <f t="shared" si="318"/>
        <v>0</v>
      </c>
      <c r="AA1185" s="46">
        <f t="shared" si="319"/>
        <v>0</v>
      </c>
      <c r="AB1185" s="43"/>
      <c r="AC1185" s="44"/>
      <c r="AD1185" s="31"/>
      <c r="AE1185" s="31"/>
      <c r="AF1185" s="31"/>
      <c r="AG1185" s="28" t="s">
        <v>53</v>
      </c>
      <c r="AH1185" s="46">
        <f t="shared" si="307"/>
        <v>0</v>
      </c>
      <c r="AI1185" s="43"/>
      <c r="AJ1185" s="28"/>
      <c r="AK1185" s="337"/>
      <c r="AL1185" s="43"/>
      <c r="AM1185" s="44">
        <f t="shared" si="308"/>
        <v>0</v>
      </c>
      <c r="AN1185" s="43"/>
      <c r="AO1185" s="28">
        <f t="shared" si="309"/>
        <v>0</v>
      </c>
      <c r="AP1185" s="43"/>
      <c r="AQ1185" s="323">
        <f t="shared" si="310"/>
        <v>0</v>
      </c>
      <c r="AR1185" s="43"/>
      <c r="AS1185" s="44"/>
    </row>
    <row r="1186" spans="1:45" outlineLevel="1" x14ac:dyDescent="0.25">
      <c r="A1186" s="28">
        <v>179</v>
      </c>
      <c r="B1186" s="43"/>
      <c r="C1186" s="43"/>
      <c r="D1186" s="43"/>
      <c r="E1186" s="43" t="str">
        <f t="shared" si="305"/>
        <v>Padrão 179</v>
      </c>
      <c r="F1186" s="43" t="str">
        <f t="shared" si="306"/>
        <v>Vazio</v>
      </c>
      <c r="G1186" s="46">
        <f t="shared" si="311"/>
        <v>0</v>
      </c>
      <c r="H1186" s="46">
        <f t="shared" si="312"/>
        <v>0</v>
      </c>
      <c r="I1186" s="28"/>
      <c r="J1186" s="337"/>
      <c r="K1186" s="46" t="str">
        <f t="shared" si="313"/>
        <v/>
      </c>
      <c r="L1186" s="46" t="str">
        <f t="shared" si="314"/>
        <v/>
      </c>
      <c r="M1186" s="338">
        <f t="shared" si="315"/>
        <v>0</v>
      </c>
      <c r="N1186" s="43"/>
      <c r="O1186" s="339" t="e">
        <f t="shared" si="263"/>
        <v>#N/A</v>
      </c>
      <c r="P1186" s="340" t="str">
        <f>IFERROR(VLOOKUP(O1186,NCM!$A$3:$D$99,COLUMN(head_porNCM_IPI)-COLUMN(head_porNCM_NCM)+1,FALSE),"")</f>
        <v/>
      </c>
      <c r="Q1186" s="43"/>
      <c r="R1186" s="78"/>
      <c r="S1186" s="341"/>
      <c r="T1186" s="28" t="s">
        <v>53</v>
      </c>
      <c r="U1186" s="28"/>
      <c r="V1186" s="28"/>
      <c r="W1186" s="43"/>
      <c r="X1186" s="342">
        <f t="shared" si="316"/>
        <v>0</v>
      </c>
      <c r="Y1186" s="342">
        <f t="shared" si="317"/>
        <v>0</v>
      </c>
      <c r="Z1186" s="46">
        <f t="shared" si="318"/>
        <v>0</v>
      </c>
      <c r="AA1186" s="46">
        <f t="shared" si="319"/>
        <v>0</v>
      </c>
      <c r="AB1186" s="43"/>
      <c r="AC1186" s="44"/>
      <c r="AD1186" s="31"/>
      <c r="AE1186" s="31"/>
      <c r="AF1186" s="31"/>
      <c r="AG1186" s="28" t="s">
        <v>53</v>
      </c>
      <c r="AH1186" s="46">
        <f t="shared" si="307"/>
        <v>0</v>
      </c>
      <c r="AI1186" s="43"/>
      <c r="AJ1186" s="28"/>
      <c r="AK1186" s="337"/>
      <c r="AL1186" s="43"/>
      <c r="AM1186" s="44">
        <f t="shared" si="308"/>
        <v>0</v>
      </c>
      <c r="AN1186" s="43"/>
      <c r="AO1186" s="28">
        <f t="shared" si="309"/>
        <v>0</v>
      </c>
      <c r="AP1186" s="43"/>
      <c r="AQ1186" s="323">
        <f t="shared" si="310"/>
        <v>0</v>
      </c>
      <c r="AR1186" s="43"/>
      <c r="AS1186" s="44"/>
    </row>
    <row r="1187" spans="1:45" outlineLevel="1" x14ac:dyDescent="0.25">
      <c r="A1187" s="28">
        <v>180</v>
      </c>
      <c r="B1187" s="43"/>
      <c r="C1187" s="43"/>
      <c r="D1187" s="43"/>
      <c r="E1187" s="43" t="str">
        <f t="shared" si="305"/>
        <v>Padrão 180</v>
      </c>
      <c r="F1187" s="43" t="str">
        <f t="shared" si="306"/>
        <v>Vazio</v>
      </c>
      <c r="G1187" s="46">
        <f t="shared" si="311"/>
        <v>0</v>
      </c>
      <c r="H1187" s="46">
        <f t="shared" si="312"/>
        <v>0</v>
      </c>
      <c r="I1187" s="28"/>
      <c r="J1187" s="337"/>
      <c r="K1187" s="46" t="str">
        <f t="shared" si="313"/>
        <v/>
      </c>
      <c r="L1187" s="46" t="str">
        <f t="shared" si="314"/>
        <v/>
      </c>
      <c r="M1187" s="338">
        <f t="shared" si="315"/>
        <v>0</v>
      </c>
      <c r="N1187" s="43"/>
      <c r="O1187" s="339" t="e">
        <f t="shared" si="263"/>
        <v>#N/A</v>
      </c>
      <c r="P1187" s="340" t="str">
        <f>IFERROR(VLOOKUP(O1187,NCM!$A$3:$D$99,COLUMN(head_porNCM_IPI)-COLUMN(head_porNCM_NCM)+1,FALSE),"")</f>
        <v/>
      </c>
      <c r="Q1187" s="43"/>
      <c r="R1187" s="78"/>
      <c r="S1187" s="341"/>
      <c r="T1187" s="28" t="s">
        <v>53</v>
      </c>
      <c r="U1187" s="28"/>
      <c r="V1187" s="28"/>
      <c r="W1187" s="43"/>
      <c r="X1187" s="342">
        <f t="shared" si="316"/>
        <v>0</v>
      </c>
      <c r="Y1187" s="342">
        <f t="shared" si="317"/>
        <v>0</v>
      </c>
      <c r="Z1187" s="46">
        <f t="shared" si="318"/>
        <v>0</v>
      </c>
      <c r="AA1187" s="46">
        <f t="shared" si="319"/>
        <v>0</v>
      </c>
      <c r="AB1187" s="43"/>
      <c r="AC1187" s="44"/>
      <c r="AD1187" s="31"/>
      <c r="AE1187" s="31"/>
      <c r="AF1187" s="31"/>
      <c r="AG1187" s="28" t="s">
        <v>53</v>
      </c>
      <c r="AH1187" s="46">
        <f t="shared" si="307"/>
        <v>0</v>
      </c>
      <c r="AI1187" s="43"/>
      <c r="AJ1187" s="28"/>
      <c r="AK1187" s="337"/>
      <c r="AL1187" s="43"/>
      <c r="AM1187" s="44">
        <f t="shared" si="308"/>
        <v>0</v>
      </c>
      <c r="AN1187" s="43"/>
      <c r="AO1187" s="28">
        <f t="shared" si="309"/>
        <v>0</v>
      </c>
      <c r="AP1187" s="43"/>
      <c r="AQ1187" s="323">
        <f t="shared" si="310"/>
        <v>0</v>
      </c>
      <c r="AR1187" s="43"/>
      <c r="AS1187" s="44"/>
    </row>
    <row r="1188" spans="1:45" outlineLevel="1" x14ac:dyDescent="0.25">
      <c r="A1188" s="28">
        <v>181</v>
      </c>
      <c r="B1188" s="43"/>
      <c r="C1188" s="43"/>
      <c r="D1188" s="43"/>
      <c r="E1188" s="43" t="str">
        <f t="shared" si="305"/>
        <v>Padrão 181</v>
      </c>
      <c r="F1188" s="43" t="str">
        <f t="shared" si="306"/>
        <v>Vazio</v>
      </c>
      <c r="G1188" s="46">
        <f t="shared" si="311"/>
        <v>0</v>
      </c>
      <c r="H1188" s="46">
        <f t="shared" si="312"/>
        <v>0</v>
      </c>
      <c r="I1188" s="28"/>
      <c r="J1188" s="337"/>
      <c r="K1188" s="46" t="str">
        <f t="shared" si="313"/>
        <v/>
      </c>
      <c r="L1188" s="46" t="str">
        <f t="shared" si="314"/>
        <v/>
      </c>
      <c r="M1188" s="338">
        <f t="shared" si="315"/>
        <v>0</v>
      </c>
      <c r="N1188" s="43"/>
      <c r="O1188" s="339" t="e">
        <f t="shared" si="263"/>
        <v>#N/A</v>
      </c>
      <c r="P1188" s="340" t="str">
        <f>IFERROR(VLOOKUP(O1188,NCM!$A$3:$D$99,COLUMN(head_porNCM_IPI)-COLUMN(head_porNCM_NCM)+1,FALSE),"")</f>
        <v/>
      </c>
      <c r="Q1188" s="43"/>
      <c r="R1188" s="78"/>
      <c r="S1188" s="341"/>
      <c r="T1188" s="28" t="s">
        <v>53</v>
      </c>
      <c r="U1188" s="28"/>
      <c r="V1188" s="28"/>
      <c r="W1188" s="43"/>
      <c r="X1188" s="342">
        <f t="shared" si="316"/>
        <v>0</v>
      </c>
      <c r="Y1188" s="342">
        <f t="shared" si="317"/>
        <v>0</v>
      </c>
      <c r="Z1188" s="46">
        <f t="shared" si="318"/>
        <v>0</v>
      </c>
      <c r="AA1188" s="46">
        <f t="shared" si="319"/>
        <v>0</v>
      </c>
      <c r="AB1188" s="43"/>
      <c r="AC1188" s="44"/>
      <c r="AD1188" s="31"/>
      <c r="AE1188" s="31"/>
      <c r="AF1188" s="31"/>
      <c r="AG1188" s="28" t="s">
        <v>53</v>
      </c>
      <c r="AH1188" s="46">
        <f t="shared" si="307"/>
        <v>0</v>
      </c>
      <c r="AI1188" s="43"/>
      <c r="AJ1188" s="28"/>
      <c r="AK1188" s="337"/>
      <c r="AL1188" s="43"/>
      <c r="AM1188" s="44">
        <f t="shared" si="308"/>
        <v>0</v>
      </c>
      <c r="AN1188" s="43"/>
      <c r="AO1188" s="28">
        <f t="shared" si="309"/>
        <v>0</v>
      </c>
      <c r="AP1188" s="43"/>
      <c r="AQ1188" s="323">
        <f t="shared" si="310"/>
        <v>0</v>
      </c>
      <c r="AR1188" s="43"/>
      <c r="AS1188" s="44"/>
    </row>
    <row r="1189" spans="1:45" outlineLevel="1" x14ac:dyDescent="0.25">
      <c r="A1189" s="28">
        <v>182</v>
      </c>
      <c r="B1189" s="43"/>
      <c r="C1189" s="43"/>
      <c r="D1189" s="43"/>
      <c r="E1189" s="43" t="str">
        <f t="shared" si="305"/>
        <v>Padrão 182</v>
      </c>
      <c r="F1189" s="43" t="str">
        <f t="shared" si="306"/>
        <v>Vazio</v>
      </c>
      <c r="G1189" s="46">
        <f t="shared" si="311"/>
        <v>0</v>
      </c>
      <c r="H1189" s="46">
        <f t="shared" si="312"/>
        <v>0</v>
      </c>
      <c r="I1189" s="28"/>
      <c r="J1189" s="337"/>
      <c r="K1189" s="46" t="str">
        <f t="shared" si="313"/>
        <v/>
      </c>
      <c r="L1189" s="46" t="str">
        <f t="shared" si="314"/>
        <v/>
      </c>
      <c r="M1189" s="338">
        <f t="shared" si="315"/>
        <v>0</v>
      </c>
      <c r="N1189" s="43"/>
      <c r="O1189" s="339" t="e">
        <f t="shared" si="263"/>
        <v>#N/A</v>
      </c>
      <c r="P1189" s="340" t="str">
        <f>IFERROR(VLOOKUP(O1189,NCM!$A$3:$D$99,COLUMN(head_porNCM_IPI)-COLUMN(head_porNCM_NCM)+1,FALSE),"")</f>
        <v/>
      </c>
      <c r="Q1189" s="43"/>
      <c r="R1189" s="78"/>
      <c r="S1189" s="341"/>
      <c r="T1189" s="28" t="s">
        <v>53</v>
      </c>
      <c r="U1189" s="28"/>
      <c r="V1189" s="28"/>
      <c r="W1189" s="43"/>
      <c r="X1189" s="342">
        <f t="shared" si="316"/>
        <v>0</v>
      </c>
      <c r="Y1189" s="342">
        <f t="shared" si="317"/>
        <v>0</v>
      </c>
      <c r="Z1189" s="46">
        <f t="shared" si="318"/>
        <v>0</v>
      </c>
      <c r="AA1189" s="46">
        <f t="shared" si="319"/>
        <v>0</v>
      </c>
      <c r="AB1189" s="43"/>
      <c r="AC1189" s="44"/>
      <c r="AD1189" s="31"/>
      <c r="AE1189" s="31"/>
      <c r="AF1189" s="31"/>
      <c r="AG1189" s="28" t="s">
        <v>53</v>
      </c>
      <c r="AH1189" s="46">
        <f t="shared" si="307"/>
        <v>0</v>
      </c>
      <c r="AI1189" s="43"/>
      <c r="AJ1189" s="28"/>
      <c r="AK1189" s="337"/>
      <c r="AL1189" s="43"/>
      <c r="AM1189" s="44">
        <f t="shared" si="308"/>
        <v>0</v>
      </c>
      <c r="AN1189" s="43"/>
      <c r="AO1189" s="28">
        <f t="shared" si="309"/>
        <v>0</v>
      </c>
      <c r="AP1189" s="43"/>
      <c r="AQ1189" s="323">
        <f t="shared" si="310"/>
        <v>0</v>
      </c>
      <c r="AR1189" s="43"/>
      <c r="AS1189" s="44"/>
    </row>
    <row r="1190" spans="1:45" outlineLevel="1" x14ac:dyDescent="0.25">
      <c r="A1190" s="28">
        <v>183</v>
      </c>
      <c r="B1190" s="43"/>
      <c r="C1190" s="43"/>
      <c r="D1190" s="43"/>
      <c r="E1190" s="43" t="str">
        <f t="shared" si="305"/>
        <v>Padrão 183</v>
      </c>
      <c r="F1190" s="43" t="str">
        <f t="shared" si="306"/>
        <v>Vazio</v>
      </c>
      <c r="G1190" s="46">
        <f t="shared" si="311"/>
        <v>0</v>
      </c>
      <c r="H1190" s="46">
        <f t="shared" si="312"/>
        <v>0</v>
      </c>
      <c r="I1190" s="28"/>
      <c r="J1190" s="337"/>
      <c r="K1190" s="46" t="str">
        <f t="shared" si="313"/>
        <v/>
      </c>
      <c r="L1190" s="46" t="str">
        <f t="shared" si="314"/>
        <v/>
      </c>
      <c r="M1190" s="338">
        <f t="shared" si="315"/>
        <v>0</v>
      </c>
      <c r="N1190" s="43"/>
      <c r="O1190" s="339" t="e">
        <f t="shared" si="263"/>
        <v>#N/A</v>
      </c>
      <c r="P1190" s="340" t="str">
        <f>IFERROR(VLOOKUP(O1190,NCM!$A$3:$D$99,COLUMN(head_porNCM_IPI)-COLUMN(head_porNCM_NCM)+1,FALSE),"")</f>
        <v/>
      </c>
      <c r="Q1190" s="43"/>
      <c r="R1190" s="78"/>
      <c r="S1190" s="341"/>
      <c r="T1190" s="28" t="s">
        <v>53</v>
      </c>
      <c r="U1190" s="28"/>
      <c r="V1190" s="28"/>
      <c r="W1190" s="43"/>
      <c r="X1190" s="342">
        <f t="shared" si="316"/>
        <v>0</v>
      </c>
      <c r="Y1190" s="342">
        <f t="shared" si="317"/>
        <v>0</v>
      </c>
      <c r="Z1190" s="46">
        <f t="shared" si="318"/>
        <v>0</v>
      </c>
      <c r="AA1190" s="46">
        <f t="shared" si="319"/>
        <v>0</v>
      </c>
      <c r="AB1190" s="43"/>
      <c r="AC1190" s="44"/>
      <c r="AD1190" s="31"/>
      <c r="AE1190" s="31"/>
      <c r="AF1190" s="31"/>
      <c r="AG1190" s="28" t="s">
        <v>53</v>
      </c>
      <c r="AH1190" s="46">
        <f t="shared" si="307"/>
        <v>0</v>
      </c>
      <c r="AI1190" s="43"/>
      <c r="AJ1190" s="28"/>
      <c r="AK1190" s="337"/>
      <c r="AL1190" s="43"/>
      <c r="AM1190" s="44">
        <f t="shared" si="308"/>
        <v>0</v>
      </c>
      <c r="AN1190" s="43"/>
      <c r="AO1190" s="28">
        <f t="shared" si="309"/>
        <v>0</v>
      </c>
      <c r="AP1190" s="43"/>
      <c r="AQ1190" s="323">
        <f t="shared" si="310"/>
        <v>0</v>
      </c>
      <c r="AR1190" s="43"/>
      <c r="AS1190" s="44"/>
    </row>
    <row r="1191" spans="1:45" outlineLevel="1" x14ac:dyDescent="0.25">
      <c r="A1191" s="28">
        <v>184</v>
      </c>
      <c r="B1191" s="43"/>
      <c r="C1191" s="43"/>
      <c r="D1191" s="43"/>
      <c r="E1191" s="43" t="str">
        <f t="shared" si="305"/>
        <v>Padrão 184</v>
      </c>
      <c r="F1191" s="43" t="str">
        <f t="shared" si="306"/>
        <v>Vazio</v>
      </c>
      <c r="G1191" s="46">
        <f t="shared" si="311"/>
        <v>0</v>
      </c>
      <c r="H1191" s="46">
        <f t="shared" si="312"/>
        <v>0</v>
      </c>
      <c r="I1191" s="28"/>
      <c r="J1191" s="337"/>
      <c r="K1191" s="46" t="str">
        <f t="shared" si="313"/>
        <v/>
      </c>
      <c r="L1191" s="46" t="str">
        <f t="shared" si="314"/>
        <v/>
      </c>
      <c r="M1191" s="338">
        <f t="shared" si="315"/>
        <v>0</v>
      </c>
      <c r="N1191" s="43"/>
      <c r="O1191" s="339" t="e">
        <f t="shared" si="263"/>
        <v>#N/A</v>
      </c>
      <c r="P1191" s="340" t="str">
        <f>IFERROR(VLOOKUP(O1191,NCM!$A$3:$D$99,COLUMN(head_porNCM_IPI)-COLUMN(head_porNCM_NCM)+1,FALSE),"")</f>
        <v/>
      </c>
      <c r="Q1191" s="43"/>
      <c r="R1191" s="78"/>
      <c r="S1191" s="341"/>
      <c r="T1191" s="28" t="s">
        <v>53</v>
      </c>
      <c r="U1191" s="28"/>
      <c r="V1191" s="28"/>
      <c r="W1191" s="43"/>
      <c r="X1191" s="342">
        <f t="shared" si="316"/>
        <v>0</v>
      </c>
      <c r="Y1191" s="342">
        <f t="shared" si="317"/>
        <v>0</v>
      </c>
      <c r="Z1191" s="46">
        <f t="shared" si="318"/>
        <v>0</v>
      </c>
      <c r="AA1191" s="46">
        <f t="shared" si="319"/>
        <v>0</v>
      </c>
      <c r="AB1191" s="43"/>
      <c r="AC1191" s="44"/>
      <c r="AD1191" s="31"/>
      <c r="AE1191" s="31"/>
      <c r="AF1191" s="31"/>
      <c r="AG1191" s="28" t="s">
        <v>53</v>
      </c>
      <c r="AH1191" s="46">
        <f t="shared" si="307"/>
        <v>0</v>
      </c>
      <c r="AI1191" s="43"/>
      <c r="AJ1191" s="28"/>
      <c r="AK1191" s="337"/>
      <c r="AL1191" s="43"/>
      <c r="AM1191" s="44">
        <f t="shared" si="308"/>
        <v>0</v>
      </c>
      <c r="AN1191" s="43"/>
      <c r="AO1191" s="28">
        <f t="shared" si="309"/>
        <v>0</v>
      </c>
      <c r="AP1191" s="43"/>
      <c r="AQ1191" s="323">
        <f t="shared" si="310"/>
        <v>0</v>
      </c>
      <c r="AR1191" s="43"/>
      <c r="AS1191" s="44"/>
    </row>
    <row r="1192" spans="1:45" outlineLevel="1" x14ac:dyDescent="0.25">
      <c r="A1192" s="28">
        <v>185</v>
      </c>
      <c r="B1192" s="43"/>
      <c r="C1192" s="43"/>
      <c r="D1192" s="43"/>
      <c r="E1192" s="43" t="str">
        <f t="shared" si="305"/>
        <v>Padrão 185</v>
      </c>
      <c r="F1192" s="43" t="str">
        <f t="shared" si="306"/>
        <v>Vazio</v>
      </c>
      <c r="G1192" s="46">
        <f t="shared" si="311"/>
        <v>0</v>
      </c>
      <c r="H1192" s="46">
        <f t="shared" si="312"/>
        <v>0</v>
      </c>
      <c r="I1192" s="28"/>
      <c r="J1192" s="337"/>
      <c r="K1192" s="46" t="str">
        <f t="shared" si="313"/>
        <v/>
      </c>
      <c r="L1192" s="46" t="str">
        <f t="shared" si="314"/>
        <v/>
      </c>
      <c r="M1192" s="338">
        <f t="shared" si="315"/>
        <v>0</v>
      </c>
      <c r="N1192" s="43"/>
      <c r="O1192" s="339" t="e">
        <f t="shared" si="263"/>
        <v>#N/A</v>
      </c>
      <c r="P1192" s="340" t="str">
        <f>IFERROR(VLOOKUP(O1192,NCM!$A$3:$D$99,COLUMN(head_porNCM_IPI)-COLUMN(head_porNCM_NCM)+1,FALSE),"")</f>
        <v/>
      </c>
      <c r="Q1192" s="43"/>
      <c r="R1192" s="78"/>
      <c r="S1192" s="341"/>
      <c r="T1192" s="28" t="s">
        <v>53</v>
      </c>
      <c r="U1192" s="28"/>
      <c r="V1192" s="28"/>
      <c r="W1192" s="43"/>
      <c r="X1192" s="342">
        <f t="shared" si="316"/>
        <v>0</v>
      </c>
      <c r="Y1192" s="342">
        <f t="shared" si="317"/>
        <v>0</v>
      </c>
      <c r="Z1192" s="46">
        <f t="shared" si="318"/>
        <v>0</v>
      </c>
      <c r="AA1192" s="46">
        <f t="shared" si="319"/>
        <v>0</v>
      </c>
      <c r="AB1192" s="43"/>
      <c r="AC1192" s="44"/>
      <c r="AD1192" s="31"/>
      <c r="AE1192" s="31"/>
      <c r="AF1192" s="31"/>
      <c r="AG1192" s="28" t="s">
        <v>53</v>
      </c>
      <c r="AH1192" s="46">
        <f t="shared" si="307"/>
        <v>0</v>
      </c>
      <c r="AI1192" s="43"/>
      <c r="AJ1192" s="28"/>
      <c r="AK1192" s="337"/>
      <c r="AL1192" s="43"/>
      <c r="AM1192" s="44">
        <f t="shared" si="308"/>
        <v>0</v>
      </c>
      <c r="AN1192" s="43"/>
      <c r="AO1192" s="28">
        <f t="shared" si="309"/>
        <v>0</v>
      </c>
      <c r="AP1192" s="43"/>
      <c r="AQ1192" s="323">
        <f t="shared" si="310"/>
        <v>0</v>
      </c>
      <c r="AR1192" s="43"/>
      <c r="AS1192" s="44"/>
    </row>
    <row r="1193" spans="1:45" outlineLevel="1" x14ac:dyDescent="0.25">
      <c r="A1193" s="28">
        <v>186</v>
      </c>
      <c r="B1193" s="43"/>
      <c r="C1193" s="43"/>
      <c r="D1193" s="43"/>
      <c r="E1193" s="43" t="str">
        <f t="shared" si="305"/>
        <v>Padrão 186</v>
      </c>
      <c r="F1193" s="43" t="str">
        <f t="shared" si="306"/>
        <v>Vazio</v>
      </c>
      <c r="G1193" s="46">
        <f t="shared" si="311"/>
        <v>0</v>
      </c>
      <c r="H1193" s="46">
        <f t="shared" si="312"/>
        <v>0</v>
      </c>
      <c r="I1193" s="28"/>
      <c r="J1193" s="337"/>
      <c r="K1193" s="46" t="str">
        <f t="shared" si="313"/>
        <v/>
      </c>
      <c r="L1193" s="46" t="str">
        <f t="shared" si="314"/>
        <v/>
      </c>
      <c r="M1193" s="338">
        <f t="shared" si="315"/>
        <v>0</v>
      </c>
      <c r="N1193" s="43"/>
      <c r="O1193" s="339" t="e">
        <f t="shared" si="263"/>
        <v>#N/A</v>
      </c>
      <c r="P1193" s="340" t="str">
        <f>IFERROR(VLOOKUP(O1193,NCM!$A$3:$D$99,COLUMN(head_porNCM_IPI)-COLUMN(head_porNCM_NCM)+1,FALSE),"")</f>
        <v/>
      </c>
      <c r="Q1193" s="43"/>
      <c r="R1193" s="78"/>
      <c r="S1193" s="341"/>
      <c r="T1193" s="28" t="s">
        <v>53</v>
      </c>
      <c r="U1193" s="28"/>
      <c r="V1193" s="28"/>
      <c r="W1193" s="43"/>
      <c r="X1193" s="342">
        <f t="shared" si="316"/>
        <v>0</v>
      </c>
      <c r="Y1193" s="342">
        <f t="shared" si="317"/>
        <v>0</v>
      </c>
      <c r="Z1193" s="46">
        <f t="shared" si="318"/>
        <v>0</v>
      </c>
      <c r="AA1193" s="46">
        <f t="shared" si="319"/>
        <v>0</v>
      </c>
      <c r="AB1193" s="43"/>
      <c r="AC1193" s="44"/>
      <c r="AD1193" s="31"/>
      <c r="AE1193" s="31"/>
      <c r="AF1193" s="31"/>
      <c r="AG1193" s="28" t="s">
        <v>53</v>
      </c>
      <c r="AH1193" s="46">
        <f t="shared" si="307"/>
        <v>0</v>
      </c>
      <c r="AI1193" s="43"/>
      <c r="AJ1193" s="28"/>
      <c r="AK1193" s="337"/>
      <c r="AL1193" s="43"/>
      <c r="AM1193" s="44">
        <f t="shared" si="308"/>
        <v>0</v>
      </c>
      <c r="AN1193" s="43"/>
      <c r="AO1193" s="28">
        <f t="shared" si="309"/>
        <v>0</v>
      </c>
      <c r="AP1193" s="43"/>
      <c r="AQ1193" s="323">
        <f t="shared" si="310"/>
        <v>0</v>
      </c>
      <c r="AR1193" s="43"/>
      <c r="AS1193" s="44"/>
    </row>
    <row r="1194" spans="1:45" outlineLevel="1" x14ac:dyDescent="0.25">
      <c r="A1194" s="28">
        <v>187</v>
      </c>
      <c r="B1194" s="43"/>
      <c r="C1194" s="43"/>
      <c r="D1194" s="43"/>
      <c r="E1194" s="43" t="str">
        <f t="shared" si="305"/>
        <v>Padrão 187</v>
      </c>
      <c r="F1194" s="43" t="str">
        <f t="shared" si="306"/>
        <v>Vazio</v>
      </c>
      <c r="G1194" s="46">
        <f t="shared" si="311"/>
        <v>0</v>
      </c>
      <c r="H1194" s="46">
        <f t="shared" si="312"/>
        <v>0</v>
      </c>
      <c r="I1194" s="28"/>
      <c r="J1194" s="337"/>
      <c r="K1194" s="46" t="str">
        <f t="shared" si="313"/>
        <v/>
      </c>
      <c r="L1194" s="46" t="str">
        <f t="shared" si="314"/>
        <v/>
      </c>
      <c r="M1194" s="338">
        <f t="shared" si="315"/>
        <v>0</v>
      </c>
      <c r="N1194" s="43"/>
      <c r="O1194" s="339" t="e">
        <f t="shared" si="263"/>
        <v>#N/A</v>
      </c>
      <c r="P1194" s="340" t="str">
        <f>IFERROR(VLOOKUP(O1194,NCM!$A$3:$D$99,COLUMN(head_porNCM_IPI)-COLUMN(head_porNCM_NCM)+1,FALSE),"")</f>
        <v/>
      </c>
      <c r="Q1194" s="43"/>
      <c r="R1194" s="78"/>
      <c r="S1194" s="341"/>
      <c r="T1194" s="28" t="s">
        <v>53</v>
      </c>
      <c r="U1194" s="28"/>
      <c r="V1194" s="28"/>
      <c r="W1194" s="43"/>
      <c r="X1194" s="342">
        <f t="shared" si="316"/>
        <v>0</v>
      </c>
      <c r="Y1194" s="342">
        <f t="shared" si="317"/>
        <v>0</v>
      </c>
      <c r="Z1194" s="46">
        <f t="shared" si="318"/>
        <v>0</v>
      </c>
      <c r="AA1194" s="46">
        <f t="shared" si="319"/>
        <v>0</v>
      </c>
      <c r="AB1194" s="43"/>
      <c r="AC1194" s="44"/>
      <c r="AD1194" s="31"/>
      <c r="AE1194" s="31"/>
      <c r="AF1194" s="31"/>
      <c r="AG1194" s="28" t="s">
        <v>53</v>
      </c>
      <c r="AH1194" s="46">
        <f t="shared" si="307"/>
        <v>0</v>
      </c>
      <c r="AI1194" s="43"/>
      <c r="AJ1194" s="28"/>
      <c r="AK1194" s="337"/>
      <c r="AL1194" s="43"/>
      <c r="AM1194" s="44">
        <f t="shared" si="308"/>
        <v>0</v>
      </c>
      <c r="AN1194" s="43"/>
      <c r="AO1194" s="28">
        <f t="shared" si="309"/>
        <v>0</v>
      </c>
      <c r="AP1194" s="43"/>
      <c r="AQ1194" s="323">
        <f t="shared" si="310"/>
        <v>0</v>
      </c>
      <c r="AR1194" s="43"/>
      <c r="AS1194" s="44"/>
    </row>
    <row r="1195" spans="1:45" outlineLevel="1" x14ac:dyDescent="0.25">
      <c r="A1195" s="28">
        <v>188</v>
      </c>
      <c r="B1195" s="43"/>
      <c r="C1195" s="43"/>
      <c r="D1195" s="43"/>
      <c r="E1195" s="43" t="str">
        <f t="shared" si="305"/>
        <v>Padrão 188</v>
      </c>
      <c r="F1195" s="43" t="str">
        <f t="shared" si="306"/>
        <v>Vazio</v>
      </c>
      <c r="G1195" s="46">
        <f t="shared" si="311"/>
        <v>0</v>
      </c>
      <c r="H1195" s="46">
        <f t="shared" si="312"/>
        <v>0</v>
      </c>
      <c r="I1195" s="28"/>
      <c r="J1195" s="337"/>
      <c r="K1195" s="46" t="str">
        <f t="shared" si="313"/>
        <v/>
      </c>
      <c r="L1195" s="46" t="str">
        <f t="shared" si="314"/>
        <v/>
      </c>
      <c r="M1195" s="338">
        <f t="shared" si="315"/>
        <v>0</v>
      </c>
      <c r="N1195" s="43"/>
      <c r="O1195" s="339" t="e">
        <f t="shared" si="263"/>
        <v>#N/A</v>
      </c>
      <c r="P1195" s="340" t="str">
        <f>IFERROR(VLOOKUP(O1195,NCM!$A$3:$D$99,COLUMN(head_porNCM_IPI)-COLUMN(head_porNCM_NCM)+1,FALSE),"")</f>
        <v/>
      </c>
      <c r="Q1195" s="43"/>
      <c r="R1195" s="78"/>
      <c r="S1195" s="341"/>
      <c r="T1195" s="28" t="s">
        <v>53</v>
      </c>
      <c r="U1195" s="28"/>
      <c r="V1195" s="28"/>
      <c r="W1195" s="43"/>
      <c r="X1195" s="342">
        <f t="shared" si="316"/>
        <v>0</v>
      </c>
      <c r="Y1195" s="342">
        <f t="shared" si="317"/>
        <v>0</v>
      </c>
      <c r="Z1195" s="46">
        <f t="shared" si="318"/>
        <v>0</v>
      </c>
      <c r="AA1195" s="46">
        <f t="shared" si="319"/>
        <v>0</v>
      </c>
      <c r="AB1195" s="43"/>
      <c r="AC1195" s="44"/>
      <c r="AD1195" s="31"/>
      <c r="AE1195" s="31"/>
      <c r="AF1195" s="31"/>
      <c r="AG1195" s="28" t="s">
        <v>53</v>
      </c>
      <c r="AH1195" s="46">
        <f t="shared" si="307"/>
        <v>0</v>
      </c>
      <c r="AI1195" s="43"/>
      <c r="AJ1195" s="28"/>
      <c r="AK1195" s="337"/>
      <c r="AL1195" s="43"/>
      <c r="AM1195" s="44">
        <f t="shared" si="308"/>
        <v>0</v>
      </c>
      <c r="AN1195" s="43"/>
      <c r="AO1195" s="28">
        <f t="shared" si="309"/>
        <v>0</v>
      </c>
      <c r="AP1195" s="43"/>
      <c r="AQ1195" s="323">
        <f t="shared" si="310"/>
        <v>0</v>
      </c>
      <c r="AR1195" s="43"/>
      <c r="AS1195" s="44"/>
    </row>
    <row r="1196" spans="1:45" outlineLevel="1" x14ac:dyDescent="0.25">
      <c r="A1196" s="28">
        <v>189</v>
      </c>
      <c r="B1196" s="43"/>
      <c r="C1196" s="43"/>
      <c r="D1196" s="43"/>
      <c r="E1196" s="43" t="str">
        <f t="shared" si="305"/>
        <v>Padrão 189</v>
      </c>
      <c r="F1196" s="43" t="str">
        <f t="shared" si="306"/>
        <v>Vazio</v>
      </c>
      <c r="G1196" s="46">
        <f t="shared" si="311"/>
        <v>0</v>
      </c>
      <c r="H1196" s="46">
        <f t="shared" si="312"/>
        <v>0</v>
      </c>
      <c r="I1196" s="28"/>
      <c r="J1196" s="337"/>
      <c r="K1196" s="46" t="str">
        <f t="shared" si="313"/>
        <v/>
      </c>
      <c r="L1196" s="46" t="str">
        <f t="shared" si="314"/>
        <v/>
      </c>
      <c r="M1196" s="338">
        <f t="shared" si="315"/>
        <v>0</v>
      </c>
      <c r="N1196" s="43"/>
      <c r="O1196" s="339" t="e">
        <f t="shared" si="263"/>
        <v>#N/A</v>
      </c>
      <c r="P1196" s="340" t="str">
        <f>IFERROR(VLOOKUP(O1196,NCM!$A$3:$D$99,COLUMN(head_porNCM_IPI)-COLUMN(head_porNCM_NCM)+1,FALSE),"")</f>
        <v/>
      </c>
      <c r="Q1196" s="43"/>
      <c r="R1196" s="78"/>
      <c r="S1196" s="341"/>
      <c r="T1196" s="28" t="s">
        <v>53</v>
      </c>
      <c r="U1196" s="28"/>
      <c r="V1196" s="28"/>
      <c r="W1196" s="43"/>
      <c r="X1196" s="342">
        <f t="shared" si="316"/>
        <v>0</v>
      </c>
      <c r="Y1196" s="342">
        <f t="shared" si="317"/>
        <v>0</v>
      </c>
      <c r="Z1196" s="46">
        <f t="shared" si="318"/>
        <v>0</v>
      </c>
      <c r="AA1196" s="46">
        <f t="shared" si="319"/>
        <v>0</v>
      </c>
      <c r="AB1196" s="43"/>
      <c r="AC1196" s="44"/>
      <c r="AD1196" s="31"/>
      <c r="AE1196" s="31"/>
      <c r="AF1196" s="31"/>
      <c r="AG1196" s="28" t="s">
        <v>53</v>
      </c>
      <c r="AH1196" s="46">
        <f t="shared" si="307"/>
        <v>0</v>
      </c>
      <c r="AI1196" s="43"/>
      <c r="AJ1196" s="28"/>
      <c r="AK1196" s="337"/>
      <c r="AL1196" s="43"/>
      <c r="AM1196" s="44">
        <f t="shared" si="308"/>
        <v>0</v>
      </c>
      <c r="AN1196" s="43"/>
      <c r="AO1196" s="28">
        <f t="shared" si="309"/>
        <v>0</v>
      </c>
      <c r="AP1196" s="43"/>
      <c r="AQ1196" s="323">
        <f t="shared" si="310"/>
        <v>0</v>
      </c>
      <c r="AR1196" s="43"/>
      <c r="AS1196" s="44"/>
    </row>
    <row r="1197" spans="1:45" outlineLevel="1" x14ac:dyDescent="0.25">
      <c r="A1197" s="28">
        <v>190</v>
      </c>
      <c r="B1197" s="43"/>
      <c r="C1197" s="43"/>
      <c r="D1197" s="43"/>
      <c r="E1197" s="43" t="str">
        <f t="shared" si="305"/>
        <v>Padrão 190</v>
      </c>
      <c r="F1197" s="43" t="str">
        <f t="shared" si="306"/>
        <v>Vazio</v>
      </c>
      <c r="G1197" s="46">
        <f t="shared" si="311"/>
        <v>0</v>
      </c>
      <c r="H1197" s="46">
        <f t="shared" si="312"/>
        <v>0</v>
      </c>
      <c r="I1197" s="28"/>
      <c r="J1197" s="337"/>
      <c r="K1197" s="46" t="str">
        <f t="shared" si="313"/>
        <v/>
      </c>
      <c r="L1197" s="46" t="str">
        <f t="shared" si="314"/>
        <v/>
      </c>
      <c r="M1197" s="338">
        <f t="shared" si="315"/>
        <v>0</v>
      </c>
      <c r="N1197" s="43"/>
      <c r="O1197" s="339" t="e">
        <f t="shared" si="263"/>
        <v>#N/A</v>
      </c>
      <c r="P1197" s="340" t="str">
        <f>IFERROR(VLOOKUP(O1197,NCM!$A$3:$D$99,COLUMN(head_porNCM_IPI)-COLUMN(head_porNCM_NCM)+1,FALSE),"")</f>
        <v/>
      </c>
      <c r="Q1197" s="43"/>
      <c r="R1197" s="78"/>
      <c r="S1197" s="341"/>
      <c r="T1197" s="28" t="s">
        <v>53</v>
      </c>
      <c r="U1197" s="28"/>
      <c r="V1197" s="28"/>
      <c r="W1197" s="43"/>
      <c r="X1197" s="342">
        <f t="shared" si="316"/>
        <v>0</v>
      </c>
      <c r="Y1197" s="342">
        <f t="shared" si="317"/>
        <v>0</v>
      </c>
      <c r="Z1197" s="46">
        <f t="shared" si="318"/>
        <v>0</v>
      </c>
      <c r="AA1197" s="46">
        <f t="shared" si="319"/>
        <v>0</v>
      </c>
      <c r="AB1197" s="43"/>
      <c r="AC1197" s="44"/>
      <c r="AD1197" s="31"/>
      <c r="AE1197" s="31"/>
      <c r="AF1197" s="31"/>
      <c r="AG1197" s="28" t="s">
        <v>53</v>
      </c>
      <c r="AH1197" s="46">
        <f t="shared" si="307"/>
        <v>0</v>
      </c>
      <c r="AI1197" s="43"/>
      <c r="AJ1197" s="28"/>
      <c r="AK1197" s="337"/>
      <c r="AL1197" s="43"/>
      <c r="AM1197" s="44">
        <f t="shared" si="308"/>
        <v>0</v>
      </c>
      <c r="AN1197" s="43"/>
      <c r="AO1197" s="28">
        <f t="shared" si="309"/>
        <v>0</v>
      </c>
      <c r="AP1197" s="43"/>
      <c r="AQ1197" s="323">
        <f t="shared" si="310"/>
        <v>0</v>
      </c>
      <c r="AR1197" s="43"/>
      <c r="AS1197" s="44"/>
    </row>
    <row r="1198" spans="1:45" outlineLevel="1" x14ac:dyDescent="0.25">
      <c r="A1198" s="28">
        <v>191</v>
      </c>
      <c r="B1198" s="43"/>
      <c r="C1198" s="43"/>
      <c r="D1198" s="43"/>
      <c r="E1198" s="43" t="str">
        <f t="shared" si="305"/>
        <v>Padrão 191</v>
      </c>
      <c r="F1198" s="43" t="str">
        <f t="shared" si="306"/>
        <v>Vazio</v>
      </c>
      <c r="G1198" s="46">
        <f t="shared" si="311"/>
        <v>0</v>
      </c>
      <c r="H1198" s="46">
        <f t="shared" si="312"/>
        <v>0</v>
      </c>
      <c r="I1198" s="28"/>
      <c r="J1198" s="337"/>
      <c r="K1198" s="46" t="str">
        <f t="shared" si="313"/>
        <v/>
      </c>
      <c r="L1198" s="46" t="str">
        <f t="shared" si="314"/>
        <v/>
      </c>
      <c r="M1198" s="338">
        <f t="shared" si="315"/>
        <v>0</v>
      </c>
      <c r="N1198" s="43"/>
      <c r="O1198" s="339" t="e">
        <f t="shared" si="263"/>
        <v>#N/A</v>
      </c>
      <c r="P1198" s="340" t="str">
        <f>IFERROR(VLOOKUP(O1198,NCM!$A$3:$D$99,COLUMN(head_porNCM_IPI)-COLUMN(head_porNCM_NCM)+1,FALSE),"")</f>
        <v/>
      </c>
      <c r="Q1198" s="43"/>
      <c r="R1198" s="78"/>
      <c r="S1198" s="341"/>
      <c r="T1198" s="28" t="s">
        <v>53</v>
      </c>
      <c r="U1198" s="28"/>
      <c r="V1198" s="28"/>
      <c r="W1198" s="43"/>
      <c r="X1198" s="342">
        <f t="shared" si="316"/>
        <v>0</v>
      </c>
      <c r="Y1198" s="342">
        <f t="shared" si="317"/>
        <v>0</v>
      </c>
      <c r="Z1198" s="46">
        <f t="shared" si="318"/>
        <v>0</v>
      </c>
      <c r="AA1198" s="46">
        <f t="shared" si="319"/>
        <v>0</v>
      </c>
      <c r="AB1198" s="43"/>
      <c r="AC1198" s="44"/>
      <c r="AD1198" s="31"/>
      <c r="AE1198" s="31"/>
      <c r="AF1198" s="31"/>
      <c r="AG1198" s="28" t="s">
        <v>53</v>
      </c>
      <c r="AH1198" s="46">
        <f t="shared" si="307"/>
        <v>0</v>
      </c>
      <c r="AI1198" s="43"/>
      <c r="AJ1198" s="28"/>
      <c r="AK1198" s="337"/>
      <c r="AL1198" s="43"/>
      <c r="AM1198" s="44">
        <f t="shared" si="308"/>
        <v>0</v>
      </c>
      <c r="AN1198" s="43"/>
      <c r="AO1198" s="28">
        <f t="shared" si="309"/>
        <v>0</v>
      </c>
      <c r="AP1198" s="43"/>
      <c r="AQ1198" s="323">
        <f t="shared" si="310"/>
        <v>0</v>
      </c>
      <c r="AR1198" s="43"/>
      <c r="AS1198" s="44"/>
    </row>
    <row r="1199" spans="1:45" outlineLevel="1" x14ac:dyDescent="0.25">
      <c r="A1199" s="28">
        <v>192</v>
      </c>
      <c r="B1199" s="43"/>
      <c r="C1199" s="43"/>
      <c r="D1199" s="43"/>
      <c r="E1199" s="43" t="str">
        <f t="shared" si="305"/>
        <v>Padrão 192</v>
      </c>
      <c r="F1199" s="43" t="str">
        <f t="shared" si="306"/>
        <v>Vazio</v>
      </c>
      <c r="G1199" s="46">
        <f t="shared" si="311"/>
        <v>0</v>
      </c>
      <c r="H1199" s="46">
        <f t="shared" si="312"/>
        <v>0</v>
      </c>
      <c r="I1199" s="28"/>
      <c r="J1199" s="337"/>
      <c r="K1199" s="46" t="str">
        <f t="shared" si="313"/>
        <v/>
      </c>
      <c r="L1199" s="46" t="str">
        <f t="shared" si="314"/>
        <v/>
      </c>
      <c r="M1199" s="338">
        <f t="shared" si="315"/>
        <v>0</v>
      </c>
      <c r="N1199" s="43"/>
      <c r="O1199" s="339" t="e">
        <f t="shared" si="263"/>
        <v>#N/A</v>
      </c>
      <c r="P1199" s="340" t="str">
        <f>IFERROR(VLOOKUP(O1199,NCM!$A$3:$D$99,COLUMN(head_porNCM_IPI)-COLUMN(head_porNCM_NCM)+1,FALSE),"")</f>
        <v/>
      </c>
      <c r="Q1199" s="43"/>
      <c r="R1199" s="78"/>
      <c r="S1199" s="341"/>
      <c r="T1199" s="28" t="s">
        <v>53</v>
      </c>
      <c r="U1199" s="28"/>
      <c r="V1199" s="28"/>
      <c r="W1199" s="43"/>
      <c r="X1199" s="342">
        <f t="shared" si="316"/>
        <v>0</v>
      </c>
      <c r="Y1199" s="342">
        <f t="shared" si="317"/>
        <v>0</v>
      </c>
      <c r="Z1199" s="46">
        <f t="shared" si="318"/>
        <v>0</v>
      </c>
      <c r="AA1199" s="46">
        <f t="shared" si="319"/>
        <v>0</v>
      </c>
      <c r="AB1199" s="43"/>
      <c r="AC1199" s="44"/>
      <c r="AD1199" s="31"/>
      <c r="AE1199" s="31"/>
      <c r="AF1199" s="31"/>
      <c r="AG1199" s="28" t="s">
        <v>53</v>
      </c>
      <c r="AH1199" s="46">
        <f t="shared" si="307"/>
        <v>0</v>
      </c>
      <c r="AI1199" s="43"/>
      <c r="AJ1199" s="28"/>
      <c r="AK1199" s="337"/>
      <c r="AL1199" s="43"/>
      <c r="AM1199" s="44">
        <f t="shared" si="308"/>
        <v>0</v>
      </c>
      <c r="AN1199" s="43"/>
      <c r="AO1199" s="28">
        <f t="shared" si="309"/>
        <v>0</v>
      </c>
      <c r="AP1199" s="43"/>
      <c r="AQ1199" s="323">
        <f t="shared" si="310"/>
        <v>0</v>
      </c>
      <c r="AR1199" s="43"/>
      <c r="AS1199" s="44"/>
    </row>
    <row r="1200" spans="1:45" outlineLevel="1" x14ac:dyDescent="0.25">
      <c r="A1200" s="28">
        <v>193</v>
      </c>
      <c r="B1200" s="43"/>
      <c r="C1200" s="43"/>
      <c r="D1200" s="43"/>
      <c r="E1200" s="43" t="str">
        <f t="shared" ref="E1200:E1267" si="320">HLOOKUP(A1200,std_tbl3,2,FALSE)</f>
        <v>Padrão 193</v>
      </c>
      <c r="F1200" s="43" t="str">
        <f t="shared" ref="F1200:F1267" si="321">HLOOKUP(A1200,std_tbl3,ROW(row_std_descr)-ROW(row_std_head)+2,FALSE)</f>
        <v>Vazio</v>
      </c>
      <c r="G1200" s="46">
        <f t="shared" si="311"/>
        <v>0</v>
      </c>
      <c r="H1200" s="46">
        <f t="shared" si="312"/>
        <v>0</v>
      </c>
      <c r="I1200" s="28"/>
      <c r="J1200" s="337"/>
      <c r="K1200" s="46" t="str">
        <f t="shared" si="313"/>
        <v/>
      </c>
      <c r="L1200" s="46" t="str">
        <f t="shared" si="314"/>
        <v/>
      </c>
      <c r="M1200" s="338">
        <f t="shared" si="315"/>
        <v>0</v>
      </c>
      <c r="N1200" s="43"/>
      <c r="O1200" s="339" t="e">
        <f t="shared" si="263"/>
        <v>#N/A</v>
      </c>
      <c r="P1200" s="340" t="str">
        <f>IFERROR(VLOOKUP(O1200,NCM!$A$3:$D$99,COLUMN(head_porNCM_IPI)-COLUMN(head_porNCM_NCM)+1,FALSE),"")</f>
        <v/>
      </c>
      <c r="Q1200" s="43"/>
      <c r="R1200" s="78"/>
      <c r="S1200" s="341"/>
      <c r="T1200" s="28" t="s">
        <v>53</v>
      </c>
      <c r="U1200" s="28"/>
      <c r="V1200" s="28"/>
      <c r="W1200" s="43"/>
      <c r="X1200" s="342">
        <f t="shared" si="316"/>
        <v>0</v>
      </c>
      <c r="Y1200" s="342">
        <f t="shared" si="317"/>
        <v>0</v>
      </c>
      <c r="Z1200" s="46">
        <f t="shared" si="318"/>
        <v>0</v>
      </c>
      <c r="AA1200" s="46">
        <f t="shared" si="319"/>
        <v>0</v>
      </c>
      <c r="AB1200" s="43"/>
      <c r="AC1200" s="44"/>
      <c r="AD1200" s="31"/>
      <c r="AE1200" s="31"/>
      <c r="AF1200" s="31"/>
      <c r="AG1200" s="28" t="s">
        <v>53</v>
      </c>
      <c r="AH1200" s="46">
        <f t="shared" ref="AH1200:AH1267" si="322">AC1200*(1+AE1200)</f>
        <v>0</v>
      </c>
      <c r="AI1200" s="43"/>
      <c r="AJ1200" s="28"/>
      <c r="AK1200" s="337"/>
      <c r="AL1200" s="43"/>
      <c r="AM1200" s="44">
        <f t="shared" ref="AM1200:AM1267" si="323">IF(AND(AJ1200&lt;&gt;"",AK1200&gt;0),AQ1200*(VLOOKUP(AJ1200,tbl_cambio,2,FALSE)/AK1200-1),0)</f>
        <v>0</v>
      </c>
      <c r="AN1200" s="43"/>
      <c r="AO1200" s="28">
        <f t="shared" ref="AO1200:AO1267" si="324">IF(T1200="Sim",ROUNDUP(M1200*sobress_pc,0),0)</f>
        <v>0</v>
      </c>
      <c r="AP1200" s="43"/>
      <c r="AQ1200" s="323">
        <f t="shared" ref="AQ1200:AQ1267" si="325">SUMIFS(col_custoTotal,col_fatdir,"Não",col_item,E1200)</f>
        <v>0</v>
      </c>
      <c r="AR1200" s="43"/>
      <c r="AS1200" s="44"/>
    </row>
    <row r="1201" spans="1:45" outlineLevel="1" x14ac:dyDescent="0.25">
      <c r="A1201" s="28">
        <v>194</v>
      </c>
      <c r="B1201" s="43"/>
      <c r="C1201" s="43"/>
      <c r="D1201" s="43"/>
      <c r="E1201" s="43" t="str">
        <f t="shared" si="320"/>
        <v>Padrão 194</v>
      </c>
      <c r="F1201" s="43" t="str">
        <f t="shared" si="321"/>
        <v>Vazio</v>
      </c>
      <c r="G1201" s="46">
        <f t="shared" si="311"/>
        <v>0</v>
      </c>
      <c r="H1201" s="46">
        <f t="shared" si="312"/>
        <v>0</v>
      </c>
      <c r="I1201" s="28"/>
      <c r="J1201" s="337"/>
      <c r="K1201" s="46" t="str">
        <f t="shared" si="313"/>
        <v/>
      </c>
      <c r="L1201" s="46" t="str">
        <f t="shared" si="314"/>
        <v/>
      </c>
      <c r="M1201" s="338">
        <f t="shared" si="315"/>
        <v>0</v>
      </c>
      <c r="N1201" s="43"/>
      <c r="O1201" s="339" t="e">
        <f t="shared" si="263"/>
        <v>#N/A</v>
      </c>
      <c r="P1201" s="340" t="str">
        <f>IFERROR(VLOOKUP(O1201,NCM!$A$3:$D$99,COLUMN(head_porNCM_IPI)-COLUMN(head_porNCM_NCM)+1,FALSE),"")</f>
        <v/>
      </c>
      <c r="Q1201" s="43"/>
      <c r="R1201" s="78"/>
      <c r="S1201" s="341"/>
      <c r="T1201" s="28" t="s">
        <v>53</v>
      </c>
      <c r="U1201" s="28"/>
      <c r="V1201" s="28"/>
      <c r="W1201" s="43"/>
      <c r="X1201" s="342">
        <f t="shared" si="316"/>
        <v>0</v>
      </c>
      <c r="Y1201" s="342">
        <f t="shared" si="317"/>
        <v>0</v>
      </c>
      <c r="Z1201" s="46">
        <f t="shared" si="318"/>
        <v>0</v>
      </c>
      <c r="AA1201" s="46">
        <f t="shared" si="319"/>
        <v>0</v>
      </c>
      <c r="AB1201" s="43"/>
      <c r="AC1201" s="44"/>
      <c r="AD1201" s="31"/>
      <c r="AE1201" s="31"/>
      <c r="AF1201" s="31"/>
      <c r="AG1201" s="28" t="s">
        <v>53</v>
      </c>
      <c r="AH1201" s="46">
        <f t="shared" si="322"/>
        <v>0</v>
      </c>
      <c r="AI1201" s="43"/>
      <c r="AJ1201" s="28"/>
      <c r="AK1201" s="337"/>
      <c r="AL1201" s="43"/>
      <c r="AM1201" s="44">
        <f t="shared" si="323"/>
        <v>0</v>
      </c>
      <c r="AN1201" s="43"/>
      <c r="AO1201" s="28">
        <f t="shared" si="324"/>
        <v>0</v>
      </c>
      <c r="AP1201" s="43"/>
      <c r="AQ1201" s="323">
        <f t="shared" si="325"/>
        <v>0</v>
      </c>
      <c r="AR1201" s="43"/>
      <c r="AS1201" s="44"/>
    </row>
    <row r="1202" spans="1:45" outlineLevel="1" x14ac:dyDescent="0.25">
      <c r="A1202" s="28">
        <v>195</v>
      </c>
      <c r="B1202" s="43"/>
      <c r="C1202" s="43"/>
      <c r="D1202" s="43"/>
      <c r="E1202" s="43" t="str">
        <f t="shared" si="320"/>
        <v>Padrão 195</v>
      </c>
      <c r="F1202" s="43" t="str">
        <f t="shared" si="321"/>
        <v>Vazio</v>
      </c>
      <c r="G1202" s="46">
        <f t="shared" si="311"/>
        <v>0</v>
      </c>
      <c r="H1202" s="46">
        <f t="shared" si="312"/>
        <v>0</v>
      </c>
      <c r="I1202" s="28"/>
      <c r="J1202" s="337"/>
      <c r="K1202" s="46" t="str">
        <f t="shared" si="313"/>
        <v/>
      </c>
      <c r="L1202" s="46" t="str">
        <f t="shared" si="314"/>
        <v/>
      </c>
      <c r="M1202" s="338">
        <f t="shared" si="315"/>
        <v>0</v>
      </c>
      <c r="N1202" s="43"/>
      <c r="O1202" s="339" t="e">
        <f t="shared" si="263"/>
        <v>#N/A</v>
      </c>
      <c r="P1202" s="340" t="str">
        <f>IFERROR(VLOOKUP(O1202,NCM!$A$3:$D$99,COLUMN(head_porNCM_IPI)-COLUMN(head_porNCM_NCM)+1,FALSE),"")</f>
        <v/>
      </c>
      <c r="Q1202" s="43"/>
      <c r="R1202" s="78"/>
      <c r="S1202" s="341"/>
      <c r="T1202" s="28" t="s">
        <v>53</v>
      </c>
      <c r="U1202" s="28"/>
      <c r="V1202" s="28"/>
      <c r="W1202" s="43"/>
      <c r="X1202" s="342">
        <f t="shared" si="316"/>
        <v>0</v>
      </c>
      <c r="Y1202" s="342">
        <f t="shared" si="317"/>
        <v>0</v>
      </c>
      <c r="Z1202" s="46">
        <f t="shared" si="318"/>
        <v>0</v>
      </c>
      <c r="AA1202" s="46">
        <f t="shared" si="319"/>
        <v>0</v>
      </c>
      <c r="AB1202" s="43"/>
      <c r="AC1202" s="44"/>
      <c r="AD1202" s="31"/>
      <c r="AE1202" s="31"/>
      <c r="AF1202" s="31"/>
      <c r="AG1202" s="28" t="s">
        <v>53</v>
      </c>
      <c r="AH1202" s="46">
        <f t="shared" si="322"/>
        <v>0</v>
      </c>
      <c r="AI1202" s="43"/>
      <c r="AJ1202" s="28"/>
      <c r="AK1202" s="337"/>
      <c r="AL1202" s="43"/>
      <c r="AM1202" s="44">
        <f t="shared" si="323"/>
        <v>0</v>
      </c>
      <c r="AN1202" s="43"/>
      <c r="AO1202" s="28">
        <f t="shared" si="324"/>
        <v>0</v>
      </c>
      <c r="AP1202" s="43"/>
      <c r="AQ1202" s="323">
        <f t="shared" si="325"/>
        <v>0</v>
      </c>
      <c r="AR1202" s="43"/>
      <c r="AS1202" s="44"/>
    </row>
    <row r="1203" spans="1:45" outlineLevel="1" x14ac:dyDescent="0.25">
      <c r="A1203" s="28">
        <v>196</v>
      </c>
      <c r="B1203" s="43"/>
      <c r="C1203" s="43"/>
      <c r="D1203" s="43"/>
      <c r="E1203" s="43" t="str">
        <f t="shared" si="320"/>
        <v>Padrão 196</v>
      </c>
      <c r="F1203" s="43" t="str">
        <f t="shared" si="321"/>
        <v>Vazio</v>
      </c>
      <c r="G1203" s="46">
        <f t="shared" si="311"/>
        <v>0</v>
      </c>
      <c r="H1203" s="46">
        <f t="shared" si="312"/>
        <v>0</v>
      </c>
      <c r="I1203" s="28"/>
      <c r="J1203" s="337"/>
      <c r="K1203" s="46" t="str">
        <f t="shared" si="313"/>
        <v/>
      </c>
      <c r="L1203" s="46" t="str">
        <f t="shared" si="314"/>
        <v/>
      </c>
      <c r="M1203" s="338">
        <f t="shared" si="315"/>
        <v>0</v>
      </c>
      <c r="N1203" s="43"/>
      <c r="O1203" s="339" t="e">
        <f t="shared" si="263"/>
        <v>#N/A</v>
      </c>
      <c r="P1203" s="340" t="str">
        <f>IFERROR(VLOOKUP(O1203,NCM!$A$3:$D$99,COLUMN(head_porNCM_IPI)-COLUMN(head_porNCM_NCM)+1,FALSE),"")</f>
        <v/>
      </c>
      <c r="Q1203" s="43"/>
      <c r="R1203" s="78"/>
      <c r="S1203" s="341"/>
      <c r="T1203" s="28" t="s">
        <v>53</v>
      </c>
      <c r="U1203" s="28"/>
      <c r="V1203" s="28"/>
      <c r="W1203" s="43"/>
      <c r="X1203" s="342">
        <f t="shared" si="316"/>
        <v>0</v>
      </c>
      <c r="Y1203" s="342">
        <f t="shared" si="317"/>
        <v>0</v>
      </c>
      <c r="Z1203" s="46">
        <f t="shared" si="318"/>
        <v>0</v>
      </c>
      <c r="AA1203" s="46">
        <f t="shared" si="319"/>
        <v>0</v>
      </c>
      <c r="AB1203" s="43"/>
      <c r="AC1203" s="44"/>
      <c r="AD1203" s="31"/>
      <c r="AE1203" s="31"/>
      <c r="AF1203" s="31"/>
      <c r="AG1203" s="28" t="s">
        <v>53</v>
      </c>
      <c r="AH1203" s="46">
        <f t="shared" si="322"/>
        <v>0</v>
      </c>
      <c r="AI1203" s="43"/>
      <c r="AJ1203" s="28"/>
      <c r="AK1203" s="337"/>
      <c r="AL1203" s="43"/>
      <c r="AM1203" s="44">
        <f t="shared" si="323"/>
        <v>0</v>
      </c>
      <c r="AN1203" s="43"/>
      <c r="AO1203" s="28">
        <f t="shared" si="324"/>
        <v>0</v>
      </c>
      <c r="AP1203" s="43"/>
      <c r="AQ1203" s="323">
        <f t="shared" si="325"/>
        <v>0</v>
      </c>
      <c r="AR1203" s="43"/>
      <c r="AS1203" s="44"/>
    </row>
    <row r="1204" spans="1:45" outlineLevel="1" x14ac:dyDescent="0.25">
      <c r="A1204" s="28">
        <v>197</v>
      </c>
      <c r="B1204" s="43"/>
      <c r="C1204" s="43"/>
      <c r="D1204" s="43"/>
      <c r="E1204" s="43" t="str">
        <f t="shared" si="320"/>
        <v>Padrão 197</v>
      </c>
      <c r="F1204" s="43" t="str">
        <f t="shared" si="321"/>
        <v>Vazio</v>
      </c>
      <c r="G1204" s="46">
        <f t="shared" si="311"/>
        <v>0</v>
      </c>
      <c r="H1204" s="46">
        <f t="shared" si="312"/>
        <v>0</v>
      </c>
      <c r="I1204" s="28"/>
      <c r="J1204" s="337"/>
      <c r="K1204" s="46" t="str">
        <f t="shared" si="313"/>
        <v/>
      </c>
      <c r="L1204" s="46" t="str">
        <f t="shared" si="314"/>
        <v/>
      </c>
      <c r="M1204" s="338">
        <f t="shared" si="315"/>
        <v>0</v>
      </c>
      <c r="N1204" s="43"/>
      <c r="O1204" s="339" t="e">
        <f t="shared" si="263"/>
        <v>#N/A</v>
      </c>
      <c r="P1204" s="340" t="str">
        <f>IFERROR(VLOOKUP(O1204,NCM!$A$3:$D$99,COLUMN(head_porNCM_IPI)-COLUMN(head_porNCM_NCM)+1,FALSE),"")</f>
        <v/>
      </c>
      <c r="Q1204" s="43"/>
      <c r="R1204" s="78"/>
      <c r="S1204" s="341"/>
      <c r="T1204" s="28" t="s">
        <v>53</v>
      </c>
      <c r="U1204" s="28"/>
      <c r="V1204" s="28"/>
      <c r="W1204" s="43"/>
      <c r="X1204" s="342">
        <f t="shared" si="316"/>
        <v>0</v>
      </c>
      <c r="Y1204" s="342">
        <f t="shared" si="317"/>
        <v>0</v>
      </c>
      <c r="Z1204" s="46">
        <f t="shared" si="318"/>
        <v>0</v>
      </c>
      <c r="AA1204" s="46">
        <f t="shared" si="319"/>
        <v>0</v>
      </c>
      <c r="AB1204" s="43"/>
      <c r="AC1204" s="44"/>
      <c r="AD1204" s="31"/>
      <c r="AE1204" s="31"/>
      <c r="AF1204" s="31"/>
      <c r="AG1204" s="28" t="s">
        <v>53</v>
      </c>
      <c r="AH1204" s="46">
        <f t="shared" si="322"/>
        <v>0</v>
      </c>
      <c r="AI1204" s="43"/>
      <c r="AJ1204" s="28"/>
      <c r="AK1204" s="337"/>
      <c r="AL1204" s="43"/>
      <c r="AM1204" s="44">
        <f t="shared" si="323"/>
        <v>0</v>
      </c>
      <c r="AN1204" s="43"/>
      <c r="AO1204" s="28">
        <f t="shared" si="324"/>
        <v>0</v>
      </c>
      <c r="AP1204" s="43"/>
      <c r="AQ1204" s="323">
        <f t="shared" si="325"/>
        <v>0</v>
      </c>
      <c r="AR1204" s="43"/>
      <c r="AS1204" s="44"/>
    </row>
    <row r="1205" spans="1:45" outlineLevel="1" x14ac:dyDescent="0.25">
      <c r="A1205" s="28">
        <v>198</v>
      </c>
      <c r="B1205" s="43"/>
      <c r="C1205" s="43"/>
      <c r="D1205" s="43"/>
      <c r="E1205" s="43" t="str">
        <f t="shared" si="320"/>
        <v>Padrão 198</v>
      </c>
      <c r="F1205" s="43" t="str">
        <f t="shared" si="321"/>
        <v>Vazio</v>
      </c>
      <c r="G1205" s="46">
        <f t="shared" si="311"/>
        <v>0</v>
      </c>
      <c r="H1205" s="46">
        <f t="shared" si="312"/>
        <v>0</v>
      </c>
      <c r="I1205" s="28"/>
      <c r="J1205" s="337"/>
      <c r="K1205" s="46" t="str">
        <f t="shared" si="313"/>
        <v/>
      </c>
      <c r="L1205" s="46" t="str">
        <f t="shared" si="314"/>
        <v/>
      </c>
      <c r="M1205" s="338">
        <f t="shared" si="315"/>
        <v>0</v>
      </c>
      <c r="N1205" s="43"/>
      <c r="O1205" s="339" t="e">
        <f t="shared" si="263"/>
        <v>#N/A</v>
      </c>
      <c r="P1205" s="340" t="str">
        <f>IFERROR(VLOOKUP(O1205,NCM!$A$3:$D$99,COLUMN(head_porNCM_IPI)-COLUMN(head_porNCM_NCM)+1,FALSE),"")</f>
        <v/>
      </c>
      <c r="Q1205" s="43"/>
      <c r="R1205" s="78"/>
      <c r="S1205" s="341"/>
      <c r="T1205" s="28" t="s">
        <v>53</v>
      </c>
      <c r="U1205" s="28"/>
      <c r="V1205" s="28"/>
      <c r="W1205" s="43"/>
      <c r="X1205" s="342">
        <f t="shared" si="316"/>
        <v>0</v>
      </c>
      <c r="Y1205" s="342">
        <f t="shared" si="317"/>
        <v>0</v>
      </c>
      <c r="Z1205" s="46">
        <f t="shared" si="318"/>
        <v>0</v>
      </c>
      <c r="AA1205" s="46">
        <f t="shared" si="319"/>
        <v>0</v>
      </c>
      <c r="AB1205" s="43"/>
      <c r="AC1205" s="44"/>
      <c r="AD1205" s="31"/>
      <c r="AE1205" s="31"/>
      <c r="AF1205" s="31"/>
      <c r="AG1205" s="28" t="s">
        <v>53</v>
      </c>
      <c r="AH1205" s="46">
        <f t="shared" si="322"/>
        <v>0</v>
      </c>
      <c r="AI1205" s="43"/>
      <c r="AJ1205" s="28"/>
      <c r="AK1205" s="337"/>
      <c r="AL1205" s="43"/>
      <c r="AM1205" s="44">
        <f t="shared" si="323"/>
        <v>0</v>
      </c>
      <c r="AN1205" s="43"/>
      <c r="AO1205" s="28">
        <f t="shared" si="324"/>
        <v>0</v>
      </c>
      <c r="AP1205" s="43"/>
      <c r="AQ1205" s="323">
        <f t="shared" si="325"/>
        <v>0</v>
      </c>
      <c r="AR1205" s="43"/>
      <c r="AS1205" s="44"/>
    </row>
    <row r="1206" spans="1:45" outlineLevel="1" x14ac:dyDescent="0.25">
      <c r="A1206" s="28">
        <v>199</v>
      </c>
      <c r="B1206" s="43"/>
      <c r="C1206" s="43"/>
      <c r="D1206" s="43"/>
      <c r="E1206" s="43" t="str">
        <f t="shared" si="320"/>
        <v>Padrão 199</v>
      </c>
      <c r="F1206" s="43" t="str">
        <f t="shared" si="321"/>
        <v>Vazio</v>
      </c>
      <c r="G1206" s="46">
        <f t="shared" si="311"/>
        <v>0</v>
      </c>
      <c r="H1206" s="46">
        <f t="shared" si="312"/>
        <v>0</v>
      </c>
      <c r="I1206" s="28"/>
      <c r="J1206" s="337"/>
      <c r="K1206" s="46" t="str">
        <f t="shared" si="313"/>
        <v/>
      </c>
      <c r="L1206" s="46" t="str">
        <f t="shared" si="314"/>
        <v/>
      </c>
      <c r="M1206" s="338">
        <f t="shared" si="315"/>
        <v>0</v>
      </c>
      <c r="N1206" s="43"/>
      <c r="O1206" s="339" t="e">
        <f t="shared" si="263"/>
        <v>#N/A</v>
      </c>
      <c r="P1206" s="340" t="str">
        <f>IFERROR(VLOOKUP(O1206,NCM!$A$3:$D$99,COLUMN(head_porNCM_IPI)-COLUMN(head_porNCM_NCM)+1,FALSE),"")</f>
        <v/>
      </c>
      <c r="Q1206" s="43"/>
      <c r="R1206" s="78"/>
      <c r="S1206" s="341"/>
      <c r="T1206" s="28" t="s">
        <v>53</v>
      </c>
      <c r="U1206" s="28"/>
      <c r="V1206" s="28"/>
      <c r="W1206" s="43"/>
      <c r="X1206" s="342">
        <f t="shared" si="316"/>
        <v>0</v>
      </c>
      <c r="Y1206" s="342">
        <f t="shared" si="317"/>
        <v>0</v>
      </c>
      <c r="Z1206" s="46">
        <f t="shared" si="318"/>
        <v>0</v>
      </c>
      <c r="AA1206" s="46">
        <f t="shared" si="319"/>
        <v>0</v>
      </c>
      <c r="AB1206" s="43"/>
      <c r="AC1206" s="44"/>
      <c r="AD1206" s="31"/>
      <c r="AE1206" s="31"/>
      <c r="AF1206" s="31"/>
      <c r="AG1206" s="28" t="s">
        <v>53</v>
      </c>
      <c r="AH1206" s="46">
        <f t="shared" si="322"/>
        <v>0</v>
      </c>
      <c r="AI1206" s="43"/>
      <c r="AJ1206" s="28"/>
      <c r="AK1206" s="337"/>
      <c r="AL1206" s="43"/>
      <c r="AM1206" s="44">
        <f t="shared" si="323"/>
        <v>0</v>
      </c>
      <c r="AN1206" s="43"/>
      <c r="AO1206" s="28">
        <f t="shared" si="324"/>
        <v>0</v>
      </c>
      <c r="AP1206" s="43"/>
      <c r="AQ1206" s="323">
        <f t="shared" si="325"/>
        <v>0</v>
      </c>
      <c r="AR1206" s="43"/>
      <c r="AS1206" s="44"/>
    </row>
    <row r="1207" spans="1:45" outlineLevel="1" x14ac:dyDescent="0.25">
      <c r="A1207" s="28">
        <v>200</v>
      </c>
      <c r="B1207" s="43"/>
      <c r="C1207" s="43"/>
      <c r="D1207" s="43"/>
      <c r="E1207" s="43" t="str">
        <f t="shared" si="320"/>
        <v>Padrão 200</v>
      </c>
      <c r="F1207" s="43" t="str">
        <f t="shared" si="321"/>
        <v>Vazio</v>
      </c>
      <c r="G1207" s="46">
        <f t="shared" si="311"/>
        <v>0</v>
      </c>
      <c r="H1207" s="46">
        <f t="shared" si="312"/>
        <v>0</v>
      </c>
      <c r="I1207" s="28"/>
      <c r="J1207" s="337"/>
      <c r="K1207" s="46" t="str">
        <f t="shared" si="313"/>
        <v/>
      </c>
      <c r="L1207" s="46" t="str">
        <f t="shared" si="314"/>
        <v/>
      </c>
      <c r="M1207" s="338">
        <f t="shared" si="315"/>
        <v>0</v>
      </c>
      <c r="N1207" s="43"/>
      <c r="O1207" s="339" t="e">
        <f t="shared" si="263"/>
        <v>#N/A</v>
      </c>
      <c r="P1207" s="340" t="str">
        <f>IFERROR(VLOOKUP(O1207,NCM!$A$3:$D$99,COLUMN(head_porNCM_IPI)-COLUMN(head_porNCM_NCM)+1,FALSE),"")</f>
        <v/>
      </c>
      <c r="Q1207" s="43"/>
      <c r="R1207" s="78"/>
      <c r="S1207" s="341"/>
      <c r="T1207" s="28" t="s">
        <v>53</v>
      </c>
      <c r="U1207" s="28"/>
      <c r="V1207" s="28"/>
      <c r="W1207" s="43"/>
      <c r="X1207" s="342">
        <f t="shared" si="316"/>
        <v>0</v>
      </c>
      <c r="Y1207" s="342">
        <f t="shared" si="317"/>
        <v>0</v>
      </c>
      <c r="Z1207" s="46">
        <f t="shared" si="318"/>
        <v>0</v>
      </c>
      <c r="AA1207" s="46">
        <f t="shared" si="319"/>
        <v>0</v>
      </c>
      <c r="AB1207" s="43"/>
      <c r="AC1207" s="44"/>
      <c r="AD1207" s="31"/>
      <c r="AE1207" s="31"/>
      <c r="AF1207" s="31"/>
      <c r="AG1207" s="28" t="s">
        <v>53</v>
      </c>
      <c r="AH1207" s="46">
        <f t="shared" si="322"/>
        <v>0</v>
      </c>
      <c r="AI1207" s="43"/>
      <c r="AJ1207" s="28"/>
      <c r="AK1207" s="337"/>
      <c r="AL1207" s="43"/>
      <c r="AM1207" s="44">
        <f t="shared" si="323"/>
        <v>0</v>
      </c>
      <c r="AN1207" s="43"/>
      <c r="AO1207" s="28">
        <f t="shared" si="324"/>
        <v>0</v>
      </c>
      <c r="AP1207" s="43"/>
      <c r="AQ1207" s="323">
        <f t="shared" si="325"/>
        <v>0</v>
      </c>
      <c r="AR1207" s="43"/>
      <c r="AS1207" s="44"/>
    </row>
    <row r="1208" spans="1:45" outlineLevel="1" x14ac:dyDescent="0.25">
      <c r="A1208" s="28">
        <v>201</v>
      </c>
      <c r="B1208" s="43"/>
      <c r="C1208" s="43"/>
      <c r="D1208" s="43"/>
      <c r="E1208" s="43" t="str">
        <f t="shared" si="320"/>
        <v>Padrão 201</v>
      </c>
      <c r="F1208" s="43" t="str">
        <f t="shared" si="321"/>
        <v>Vazio</v>
      </c>
      <c r="G1208" s="46">
        <f t="shared" si="311"/>
        <v>0</v>
      </c>
      <c r="H1208" s="46">
        <f t="shared" si="312"/>
        <v>0</v>
      </c>
      <c r="I1208" s="28"/>
      <c r="J1208" s="337"/>
      <c r="K1208" s="46" t="str">
        <f t="shared" si="313"/>
        <v/>
      </c>
      <c r="L1208" s="46" t="str">
        <f t="shared" si="314"/>
        <v/>
      </c>
      <c r="M1208" s="338">
        <f t="shared" si="315"/>
        <v>0</v>
      </c>
      <c r="N1208" s="43"/>
      <c r="O1208" s="339" t="e">
        <f t="shared" si="263"/>
        <v>#N/A</v>
      </c>
      <c r="P1208" s="340" t="str">
        <f>IFERROR(VLOOKUP(O1208,NCM!$A$3:$D$99,COLUMN(head_porNCM_IPI)-COLUMN(head_porNCM_NCM)+1,FALSE),"")</f>
        <v/>
      </c>
      <c r="Q1208" s="43"/>
      <c r="R1208" s="78"/>
      <c r="S1208" s="341"/>
      <c r="T1208" s="28" t="s">
        <v>53</v>
      </c>
      <c r="U1208" s="28"/>
      <c r="V1208" s="28"/>
      <c r="W1208" s="43"/>
      <c r="X1208" s="342">
        <f t="shared" si="316"/>
        <v>0</v>
      </c>
      <c r="Y1208" s="342">
        <f t="shared" si="317"/>
        <v>0</v>
      </c>
      <c r="Z1208" s="46">
        <f t="shared" si="318"/>
        <v>0</v>
      </c>
      <c r="AA1208" s="46">
        <f t="shared" si="319"/>
        <v>0</v>
      </c>
      <c r="AB1208" s="43"/>
      <c r="AC1208" s="44"/>
      <c r="AD1208" s="31"/>
      <c r="AE1208" s="31"/>
      <c r="AF1208" s="31"/>
      <c r="AG1208" s="28" t="s">
        <v>53</v>
      </c>
      <c r="AH1208" s="46">
        <f t="shared" si="322"/>
        <v>0</v>
      </c>
      <c r="AI1208" s="43"/>
      <c r="AJ1208" s="28"/>
      <c r="AK1208" s="337"/>
      <c r="AL1208" s="43"/>
      <c r="AM1208" s="44">
        <f t="shared" si="323"/>
        <v>0</v>
      </c>
      <c r="AN1208" s="43"/>
      <c r="AO1208" s="28">
        <f t="shared" si="324"/>
        <v>0</v>
      </c>
      <c r="AP1208" s="43"/>
      <c r="AQ1208" s="323">
        <f t="shared" si="325"/>
        <v>0</v>
      </c>
      <c r="AR1208" s="43"/>
      <c r="AS1208" s="44"/>
    </row>
    <row r="1209" spans="1:45" outlineLevel="1" x14ac:dyDescent="0.25">
      <c r="A1209" s="28">
        <v>202</v>
      </c>
      <c r="B1209" s="43"/>
      <c r="C1209" s="43"/>
      <c r="D1209" s="43"/>
      <c r="E1209" s="43" t="str">
        <f t="shared" si="320"/>
        <v>Padrão 202</v>
      </c>
      <c r="F1209" s="43" t="str">
        <f t="shared" si="321"/>
        <v>Vazio</v>
      </c>
      <c r="G1209" s="46">
        <f t="shared" si="311"/>
        <v>0</v>
      </c>
      <c r="H1209" s="46">
        <f t="shared" si="312"/>
        <v>0</v>
      </c>
      <c r="I1209" s="28"/>
      <c r="J1209" s="337"/>
      <c r="K1209" s="46" t="str">
        <f t="shared" si="313"/>
        <v/>
      </c>
      <c r="L1209" s="46" t="str">
        <f t="shared" si="314"/>
        <v/>
      </c>
      <c r="M1209" s="338">
        <f t="shared" si="315"/>
        <v>0</v>
      </c>
      <c r="N1209" s="43"/>
      <c r="O1209" s="339" t="e">
        <f t="shared" si="263"/>
        <v>#N/A</v>
      </c>
      <c r="P1209" s="340" t="str">
        <f>IFERROR(VLOOKUP(O1209,NCM!$A$3:$D$99,COLUMN(head_porNCM_IPI)-COLUMN(head_porNCM_NCM)+1,FALSE),"")</f>
        <v/>
      </c>
      <c r="Q1209" s="43"/>
      <c r="R1209" s="78"/>
      <c r="S1209" s="341"/>
      <c r="T1209" s="28" t="s">
        <v>53</v>
      </c>
      <c r="U1209" s="28"/>
      <c r="V1209" s="28"/>
      <c r="W1209" s="43"/>
      <c r="X1209" s="342">
        <f t="shared" si="316"/>
        <v>0</v>
      </c>
      <c r="Y1209" s="342">
        <f t="shared" si="317"/>
        <v>0</v>
      </c>
      <c r="Z1209" s="46">
        <f t="shared" si="318"/>
        <v>0</v>
      </c>
      <c r="AA1209" s="46">
        <f t="shared" si="319"/>
        <v>0</v>
      </c>
      <c r="AB1209" s="43"/>
      <c r="AC1209" s="44"/>
      <c r="AD1209" s="31"/>
      <c r="AE1209" s="31"/>
      <c r="AF1209" s="31"/>
      <c r="AG1209" s="28" t="s">
        <v>53</v>
      </c>
      <c r="AH1209" s="46">
        <f t="shared" si="322"/>
        <v>0</v>
      </c>
      <c r="AI1209" s="43"/>
      <c r="AJ1209" s="28"/>
      <c r="AK1209" s="337"/>
      <c r="AL1209" s="43"/>
      <c r="AM1209" s="44">
        <f t="shared" si="323"/>
        <v>0</v>
      </c>
      <c r="AN1209" s="43"/>
      <c r="AO1209" s="28">
        <f t="shared" si="324"/>
        <v>0</v>
      </c>
      <c r="AP1209" s="43"/>
      <c r="AQ1209" s="323">
        <f t="shared" si="325"/>
        <v>0</v>
      </c>
      <c r="AR1209" s="43"/>
      <c r="AS1209" s="44"/>
    </row>
    <row r="1210" spans="1:45" outlineLevel="1" x14ac:dyDescent="0.25">
      <c r="A1210" s="28">
        <v>203</v>
      </c>
      <c r="B1210" s="43"/>
      <c r="C1210" s="43"/>
      <c r="D1210" s="43"/>
      <c r="E1210" s="43" t="str">
        <f t="shared" si="320"/>
        <v>Padrão 203</v>
      </c>
      <c r="F1210" s="43" t="str">
        <f t="shared" si="321"/>
        <v>Vazio</v>
      </c>
      <c r="G1210" s="46">
        <f t="shared" si="311"/>
        <v>0</v>
      </c>
      <c r="H1210" s="46">
        <f t="shared" si="312"/>
        <v>0</v>
      </c>
      <c r="I1210" s="28"/>
      <c r="J1210" s="337"/>
      <c r="K1210" s="46" t="str">
        <f t="shared" si="313"/>
        <v/>
      </c>
      <c r="L1210" s="46" t="str">
        <f t="shared" si="314"/>
        <v/>
      </c>
      <c r="M1210" s="338">
        <f t="shared" si="315"/>
        <v>0</v>
      </c>
      <c r="N1210" s="43"/>
      <c r="O1210" s="339" t="e">
        <f t="shared" si="263"/>
        <v>#N/A</v>
      </c>
      <c r="P1210" s="340" t="str">
        <f>IFERROR(VLOOKUP(O1210,NCM!$A$3:$D$99,COLUMN(head_porNCM_IPI)-COLUMN(head_porNCM_NCM)+1,FALSE),"")</f>
        <v/>
      </c>
      <c r="Q1210" s="43"/>
      <c r="R1210" s="78"/>
      <c r="S1210" s="341"/>
      <c r="T1210" s="28" t="s">
        <v>53</v>
      </c>
      <c r="U1210" s="28"/>
      <c r="V1210" s="28"/>
      <c r="W1210" s="43"/>
      <c r="X1210" s="342">
        <f t="shared" si="316"/>
        <v>0</v>
      </c>
      <c r="Y1210" s="342">
        <f t="shared" si="317"/>
        <v>0</v>
      </c>
      <c r="Z1210" s="46">
        <f t="shared" si="318"/>
        <v>0</v>
      </c>
      <c r="AA1210" s="46">
        <f t="shared" si="319"/>
        <v>0</v>
      </c>
      <c r="AB1210" s="43"/>
      <c r="AC1210" s="44"/>
      <c r="AD1210" s="31"/>
      <c r="AE1210" s="31"/>
      <c r="AF1210" s="31"/>
      <c r="AG1210" s="28" t="s">
        <v>53</v>
      </c>
      <c r="AH1210" s="46">
        <f t="shared" si="322"/>
        <v>0</v>
      </c>
      <c r="AI1210" s="43"/>
      <c r="AJ1210" s="28"/>
      <c r="AK1210" s="337"/>
      <c r="AL1210" s="43"/>
      <c r="AM1210" s="44">
        <f t="shared" si="323"/>
        <v>0</v>
      </c>
      <c r="AN1210" s="43"/>
      <c r="AO1210" s="28">
        <f t="shared" si="324"/>
        <v>0</v>
      </c>
      <c r="AP1210" s="43"/>
      <c r="AQ1210" s="323">
        <f t="shared" si="325"/>
        <v>0</v>
      </c>
      <c r="AR1210" s="43"/>
      <c r="AS1210" s="44"/>
    </row>
    <row r="1211" spans="1:45" outlineLevel="1" x14ac:dyDescent="0.25">
      <c r="A1211" s="28">
        <v>204</v>
      </c>
      <c r="B1211" s="43"/>
      <c r="C1211" s="43"/>
      <c r="D1211" s="43"/>
      <c r="E1211" s="43" t="str">
        <f t="shared" si="320"/>
        <v>Padrão 204</v>
      </c>
      <c r="F1211" s="43" t="str">
        <f t="shared" si="321"/>
        <v>Vazio</v>
      </c>
      <c r="G1211" s="46">
        <f t="shared" si="311"/>
        <v>0</v>
      </c>
      <c r="H1211" s="46">
        <f t="shared" si="312"/>
        <v>0</v>
      </c>
      <c r="I1211" s="28"/>
      <c r="J1211" s="337"/>
      <c r="K1211" s="46" t="str">
        <f t="shared" si="313"/>
        <v/>
      </c>
      <c r="L1211" s="46" t="str">
        <f t="shared" si="314"/>
        <v/>
      </c>
      <c r="M1211" s="338">
        <f t="shared" si="315"/>
        <v>0</v>
      </c>
      <c r="N1211" s="43"/>
      <c r="O1211" s="339" t="e">
        <f t="shared" si="263"/>
        <v>#N/A</v>
      </c>
      <c r="P1211" s="340" t="str">
        <f>IFERROR(VLOOKUP(O1211,NCM!$A$3:$D$99,COLUMN(head_porNCM_IPI)-COLUMN(head_porNCM_NCM)+1,FALSE),"")</f>
        <v/>
      </c>
      <c r="Q1211" s="43"/>
      <c r="R1211" s="78"/>
      <c r="S1211" s="341"/>
      <c r="T1211" s="28" t="s">
        <v>53</v>
      </c>
      <c r="U1211" s="28"/>
      <c r="V1211" s="28"/>
      <c r="W1211" s="43"/>
      <c r="X1211" s="342">
        <f t="shared" si="316"/>
        <v>0</v>
      </c>
      <c r="Y1211" s="342">
        <f t="shared" si="317"/>
        <v>0</v>
      </c>
      <c r="Z1211" s="46">
        <f t="shared" si="318"/>
        <v>0</v>
      </c>
      <c r="AA1211" s="46">
        <f t="shared" si="319"/>
        <v>0</v>
      </c>
      <c r="AB1211" s="43"/>
      <c r="AC1211" s="44"/>
      <c r="AD1211" s="31"/>
      <c r="AE1211" s="31"/>
      <c r="AF1211" s="31"/>
      <c r="AG1211" s="28" t="s">
        <v>53</v>
      </c>
      <c r="AH1211" s="46">
        <f t="shared" si="322"/>
        <v>0</v>
      </c>
      <c r="AI1211" s="43"/>
      <c r="AJ1211" s="28"/>
      <c r="AK1211" s="337"/>
      <c r="AL1211" s="43"/>
      <c r="AM1211" s="44">
        <f t="shared" si="323"/>
        <v>0</v>
      </c>
      <c r="AN1211" s="43"/>
      <c r="AO1211" s="28">
        <f t="shared" si="324"/>
        <v>0</v>
      </c>
      <c r="AP1211" s="43"/>
      <c r="AQ1211" s="323">
        <f t="shared" si="325"/>
        <v>0</v>
      </c>
      <c r="AR1211" s="43"/>
      <c r="AS1211" s="44"/>
    </row>
    <row r="1212" spans="1:45" outlineLevel="1" x14ac:dyDescent="0.25">
      <c r="A1212" s="28">
        <v>205</v>
      </c>
      <c r="B1212" s="43"/>
      <c r="C1212" s="43"/>
      <c r="D1212" s="43"/>
      <c r="E1212" s="43" t="str">
        <f t="shared" si="320"/>
        <v>Padrão 205</v>
      </c>
      <c r="F1212" s="43" t="str">
        <f t="shared" si="321"/>
        <v>Vazio</v>
      </c>
      <c r="G1212" s="46">
        <f t="shared" si="311"/>
        <v>0</v>
      </c>
      <c r="H1212" s="46">
        <f t="shared" si="312"/>
        <v>0</v>
      </c>
      <c r="I1212" s="28"/>
      <c r="J1212" s="337"/>
      <c r="K1212" s="46" t="str">
        <f t="shared" si="313"/>
        <v/>
      </c>
      <c r="L1212" s="46" t="str">
        <f t="shared" si="314"/>
        <v/>
      </c>
      <c r="M1212" s="338">
        <f t="shared" si="315"/>
        <v>0</v>
      </c>
      <c r="N1212" s="43"/>
      <c r="O1212" s="339" t="e">
        <f t="shared" si="263"/>
        <v>#N/A</v>
      </c>
      <c r="P1212" s="340" t="str">
        <f>IFERROR(VLOOKUP(O1212,NCM!$A$3:$D$99,COLUMN(head_porNCM_IPI)-COLUMN(head_porNCM_NCM)+1,FALSE),"")</f>
        <v/>
      </c>
      <c r="Q1212" s="43"/>
      <c r="R1212" s="78"/>
      <c r="S1212" s="341"/>
      <c r="T1212" s="28" t="s">
        <v>53</v>
      </c>
      <c r="U1212" s="28"/>
      <c r="V1212" s="28"/>
      <c r="W1212" s="43"/>
      <c r="X1212" s="342">
        <f t="shared" si="316"/>
        <v>0</v>
      </c>
      <c r="Y1212" s="342">
        <f t="shared" si="317"/>
        <v>0</v>
      </c>
      <c r="Z1212" s="46">
        <f t="shared" si="318"/>
        <v>0</v>
      </c>
      <c r="AA1212" s="46">
        <f t="shared" si="319"/>
        <v>0</v>
      </c>
      <c r="AB1212" s="43"/>
      <c r="AC1212" s="44"/>
      <c r="AD1212" s="31"/>
      <c r="AE1212" s="31"/>
      <c r="AF1212" s="31"/>
      <c r="AG1212" s="28" t="s">
        <v>53</v>
      </c>
      <c r="AH1212" s="46">
        <f t="shared" si="322"/>
        <v>0</v>
      </c>
      <c r="AI1212" s="43"/>
      <c r="AJ1212" s="28"/>
      <c r="AK1212" s="337"/>
      <c r="AL1212" s="43"/>
      <c r="AM1212" s="44">
        <f t="shared" si="323"/>
        <v>0</v>
      </c>
      <c r="AN1212" s="43"/>
      <c r="AO1212" s="28">
        <f t="shared" si="324"/>
        <v>0</v>
      </c>
      <c r="AP1212" s="43"/>
      <c r="AQ1212" s="323">
        <f t="shared" si="325"/>
        <v>0</v>
      </c>
      <c r="AR1212" s="43"/>
      <c r="AS1212" s="44"/>
    </row>
    <row r="1213" spans="1:45" outlineLevel="1" x14ac:dyDescent="0.25">
      <c r="A1213" s="28">
        <v>206</v>
      </c>
      <c r="B1213" s="43"/>
      <c r="C1213" s="43"/>
      <c r="D1213" s="43"/>
      <c r="E1213" s="43" t="str">
        <f t="shared" si="320"/>
        <v>Padrão 206</v>
      </c>
      <c r="F1213" s="43" t="str">
        <f t="shared" si="321"/>
        <v>Vazio</v>
      </c>
      <c r="G1213" s="46">
        <f t="shared" si="311"/>
        <v>0</v>
      </c>
      <c r="H1213" s="46">
        <f t="shared" si="312"/>
        <v>0</v>
      </c>
      <c r="I1213" s="28"/>
      <c r="J1213" s="337"/>
      <c r="K1213" s="46" t="str">
        <f t="shared" si="313"/>
        <v/>
      </c>
      <c r="L1213" s="46" t="str">
        <f t="shared" si="314"/>
        <v/>
      </c>
      <c r="M1213" s="338">
        <f t="shared" si="315"/>
        <v>0</v>
      </c>
      <c r="N1213" s="43"/>
      <c r="O1213" s="339" t="e">
        <f t="shared" si="263"/>
        <v>#N/A</v>
      </c>
      <c r="P1213" s="340" t="str">
        <f>IFERROR(VLOOKUP(O1213,NCM!$A$3:$D$99,COLUMN(head_porNCM_IPI)-COLUMN(head_porNCM_NCM)+1,FALSE),"")</f>
        <v/>
      </c>
      <c r="Q1213" s="43"/>
      <c r="R1213" s="78"/>
      <c r="S1213" s="341"/>
      <c r="T1213" s="28" t="s">
        <v>53</v>
      </c>
      <c r="U1213" s="28"/>
      <c r="V1213" s="28"/>
      <c r="W1213" s="43"/>
      <c r="X1213" s="342">
        <f t="shared" si="316"/>
        <v>0</v>
      </c>
      <c r="Y1213" s="342">
        <f t="shared" si="317"/>
        <v>0</v>
      </c>
      <c r="Z1213" s="46">
        <f t="shared" si="318"/>
        <v>0</v>
      </c>
      <c r="AA1213" s="46">
        <f t="shared" si="319"/>
        <v>0</v>
      </c>
      <c r="AB1213" s="43"/>
      <c r="AC1213" s="44"/>
      <c r="AD1213" s="31"/>
      <c r="AE1213" s="31"/>
      <c r="AF1213" s="31"/>
      <c r="AG1213" s="28" t="s">
        <v>53</v>
      </c>
      <c r="AH1213" s="46">
        <f t="shared" si="322"/>
        <v>0</v>
      </c>
      <c r="AI1213" s="43"/>
      <c r="AJ1213" s="28"/>
      <c r="AK1213" s="337"/>
      <c r="AL1213" s="43"/>
      <c r="AM1213" s="44">
        <f t="shared" si="323"/>
        <v>0</v>
      </c>
      <c r="AN1213" s="43"/>
      <c r="AO1213" s="28">
        <f t="shared" si="324"/>
        <v>0</v>
      </c>
      <c r="AP1213" s="43"/>
      <c r="AQ1213" s="323">
        <f t="shared" si="325"/>
        <v>0</v>
      </c>
      <c r="AR1213" s="43"/>
      <c r="AS1213" s="44"/>
    </row>
    <row r="1214" spans="1:45" outlineLevel="1" x14ac:dyDescent="0.25">
      <c r="A1214" s="28">
        <v>207</v>
      </c>
      <c r="B1214" s="43"/>
      <c r="C1214" s="43"/>
      <c r="D1214" s="43"/>
      <c r="E1214" s="43" t="str">
        <f t="shared" si="320"/>
        <v>Padrão 207</v>
      </c>
      <c r="F1214" s="43" t="str">
        <f t="shared" si="321"/>
        <v>Vazio</v>
      </c>
      <c r="G1214" s="46">
        <f t="shared" si="311"/>
        <v>0</v>
      </c>
      <c r="H1214" s="46">
        <f t="shared" si="312"/>
        <v>0</v>
      </c>
      <c r="I1214" s="28"/>
      <c r="J1214" s="337"/>
      <c r="K1214" s="46" t="str">
        <f t="shared" si="313"/>
        <v/>
      </c>
      <c r="L1214" s="46" t="str">
        <f t="shared" si="314"/>
        <v/>
      </c>
      <c r="M1214" s="338">
        <f t="shared" si="315"/>
        <v>0</v>
      </c>
      <c r="N1214" s="43"/>
      <c r="O1214" s="339" t="e">
        <f t="shared" si="263"/>
        <v>#N/A</v>
      </c>
      <c r="P1214" s="340" t="str">
        <f>IFERROR(VLOOKUP(O1214,NCM!$A$3:$D$99,COLUMN(head_porNCM_IPI)-COLUMN(head_porNCM_NCM)+1,FALSE),"")</f>
        <v/>
      </c>
      <c r="Q1214" s="43"/>
      <c r="R1214" s="78"/>
      <c r="S1214" s="341"/>
      <c r="T1214" s="28" t="s">
        <v>53</v>
      </c>
      <c r="U1214" s="28"/>
      <c r="V1214" s="28"/>
      <c r="W1214" s="43"/>
      <c r="X1214" s="342">
        <f t="shared" si="316"/>
        <v>0</v>
      </c>
      <c r="Y1214" s="342">
        <f t="shared" si="317"/>
        <v>0</v>
      </c>
      <c r="Z1214" s="46">
        <f t="shared" si="318"/>
        <v>0</v>
      </c>
      <c r="AA1214" s="46">
        <f t="shared" si="319"/>
        <v>0</v>
      </c>
      <c r="AB1214" s="43"/>
      <c r="AC1214" s="44"/>
      <c r="AD1214" s="31"/>
      <c r="AE1214" s="31"/>
      <c r="AF1214" s="31"/>
      <c r="AG1214" s="28" t="s">
        <v>53</v>
      </c>
      <c r="AH1214" s="46">
        <f t="shared" si="322"/>
        <v>0</v>
      </c>
      <c r="AI1214" s="43"/>
      <c r="AJ1214" s="28"/>
      <c r="AK1214" s="337"/>
      <c r="AL1214" s="43"/>
      <c r="AM1214" s="44">
        <f t="shared" si="323"/>
        <v>0</v>
      </c>
      <c r="AN1214" s="43"/>
      <c r="AO1214" s="28">
        <f t="shared" si="324"/>
        <v>0</v>
      </c>
      <c r="AP1214" s="43"/>
      <c r="AQ1214" s="323">
        <f t="shared" si="325"/>
        <v>0</v>
      </c>
      <c r="AR1214" s="43"/>
      <c r="AS1214" s="44"/>
    </row>
    <row r="1215" spans="1:45" outlineLevel="1" x14ac:dyDescent="0.25">
      <c r="A1215" s="28">
        <v>208</v>
      </c>
      <c r="B1215" s="43"/>
      <c r="C1215" s="43"/>
      <c r="D1215" s="43"/>
      <c r="E1215" s="43" t="str">
        <f t="shared" si="320"/>
        <v>Padrão 208</v>
      </c>
      <c r="F1215" s="43" t="str">
        <f t="shared" si="321"/>
        <v>Vazio</v>
      </c>
      <c r="G1215" s="46">
        <f t="shared" si="311"/>
        <v>0</v>
      </c>
      <c r="H1215" s="46">
        <f t="shared" si="312"/>
        <v>0</v>
      </c>
      <c r="I1215" s="28"/>
      <c r="J1215" s="337"/>
      <c r="K1215" s="46" t="str">
        <f t="shared" si="313"/>
        <v/>
      </c>
      <c r="L1215" s="46" t="str">
        <f t="shared" si="314"/>
        <v/>
      </c>
      <c r="M1215" s="338">
        <f t="shared" si="315"/>
        <v>0</v>
      </c>
      <c r="N1215" s="43"/>
      <c r="O1215" s="339" t="e">
        <f t="shared" si="263"/>
        <v>#N/A</v>
      </c>
      <c r="P1215" s="340" t="str">
        <f>IFERROR(VLOOKUP(O1215,NCM!$A$3:$D$99,COLUMN(head_porNCM_IPI)-COLUMN(head_porNCM_NCM)+1,FALSE),"")</f>
        <v/>
      </c>
      <c r="Q1215" s="43"/>
      <c r="R1215" s="78"/>
      <c r="S1215" s="341"/>
      <c r="T1215" s="28" t="s">
        <v>53</v>
      </c>
      <c r="U1215" s="28"/>
      <c r="V1215" s="28"/>
      <c r="W1215" s="43"/>
      <c r="X1215" s="342">
        <f t="shared" si="316"/>
        <v>0</v>
      </c>
      <c r="Y1215" s="342">
        <f t="shared" si="317"/>
        <v>0</v>
      </c>
      <c r="Z1215" s="46">
        <f t="shared" si="318"/>
        <v>0</v>
      </c>
      <c r="AA1215" s="46">
        <f t="shared" si="319"/>
        <v>0</v>
      </c>
      <c r="AB1215" s="43"/>
      <c r="AC1215" s="44"/>
      <c r="AD1215" s="31"/>
      <c r="AE1215" s="31"/>
      <c r="AF1215" s="31"/>
      <c r="AG1215" s="28" t="s">
        <v>53</v>
      </c>
      <c r="AH1215" s="46">
        <f t="shared" si="322"/>
        <v>0</v>
      </c>
      <c r="AI1215" s="43"/>
      <c r="AJ1215" s="28"/>
      <c r="AK1215" s="337"/>
      <c r="AL1215" s="43"/>
      <c r="AM1215" s="44">
        <f t="shared" si="323"/>
        <v>0</v>
      </c>
      <c r="AN1215" s="43"/>
      <c r="AO1215" s="28">
        <f t="shared" si="324"/>
        <v>0</v>
      </c>
      <c r="AP1215" s="43"/>
      <c r="AQ1215" s="323">
        <f t="shared" si="325"/>
        <v>0</v>
      </c>
      <c r="AR1215" s="43"/>
      <c r="AS1215" s="44"/>
    </row>
    <row r="1216" spans="1:45" outlineLevel="1" x14ac:dyDescent="0.25">
      <c r="A1216" s="28">
        <v>209</v>
      </c>
      <c r="B1216" s="43"/>
      <c r="C1216" s="43"/>
      <c r="D1216" s="43"/>
      <c r="E1216" s="43" t="str">
        <f t="shared" si="320"/>
        <v>Padrão 209</v>
      </c>
      <c r="F1216" s="43" t="str">
        <f t="shared" si="321"/>
        <v>Vazio</v>
      </c>
      <c r="G1216" s="46">
        <f t="shared" si="311"/>
        <v>0</v>
      </c>
      <c r="H1216" s="46">
        <f t="shared" si="312"/>
        <v>0</v>
      </c>
      <c r="I1216" s="28"/>
      <c r="J1216" s="337"/>
      <c r="K1216" s="46" t="str">
        <f t="shared" si="313"/>
        <v/>
      </c>
      <c r="L1216" s="46" t="str">
        <f t="shared" si="314"/>
        <v/>
      </c>
      <c r="M1216" s="338">
        <f t="shared" si="315"/>
        <v>0</v>
      </c>
      <c r="N1216" s="43"/>
      <c r="O1216" s="339" t="e">
        <f t="shared" si="263"/>
        <v>#N/A</v>
      </c>
      <c r="P1216" s="340" t="str">
        <f>IFERROR(VLOOKUP(O1216,NCM!$A$3:$D$99,COLUMN(head_porNCM_IPI)-COLUMN(head_porNCM_NCM)+1,FALSE),"")</f>
        <v/>
      </c>
      <c r="Q1216" s="43"/>
      <c r="R1216" s="78"/>
      <c r="S1216" s="341"/>
      <c r="T1216" s="28" t="s">
        <v>53</v>
      </c>
      <c r="U1216" s="28"/>
      <c r="V1216" s="28"/>
      <c r="W1216" s="43"/>
      <c r="X1216" s="342">
        <f t="shared" si="316"/>
        <v>0</v>
      </c>
      <c r="Y1216" s="342">
        <f t="shared" si="317"/>
        <v>0</v>
      </c>
      <c r="Z1216" s="46">
        <f t="shared" si="318"/>
        <v>0</v>
      </c>
      <c r="AA1216" s="46">
        <f t="shared" si="319"/>
        <v>0</v>
      </c>
      <c r="AB1216" s="43"/>
      <c r="AC1216" s="44"/>
      <c r="AD1216" s="31"/>
      <c r="AE1216" s="31"/>
      <c r="AF1216" s="31"/>
      <c r="AG1216" s="28" t="s">
        <v>53</v>
      </c>
      <c r="AH1216" s="46">
        <f t="shared" si="322"/>
        <v>0</v>
      </c>
      <c r="AI1216" s="43"/>
      <c r="AJ1216" s="28"/>
      <c r="AK1216" s="337"/>
      <c r="AL1216" s="43"/>
      <c r="AM1216" s="44">
        <f t="shared" si="323"/>
        <v>0</v>
      </c>
      <c r="AN1216" s="43"/>
      <c r="AO1216" s="28">
        <f t="shared" si="324"/>
        <v>0</v>
      </c>
      <c r="AP1216" s="43"/>
      <c r="AQ1216" s="323">
        <f t="shared" si="325"/>
        <v>0</v>
      </c>
      <c r="AR1216" s="43"/>
      <c r="AS1216" s="44"/>
    </row>
    <row r="1217" spans="1:45" outlineLevel="1" x14ac:dyDescent="0.25">
      <c r="A1217" s="28">
        <v>210</v>
      </c>
      <c r="B1217" s="43"/>
      <c r="C1217" s="43"/>
      <c r="D1217" s="43"/>
      <c r="E1217" s="43" t="str">
        <f t="shared" si="320"/>
        <v>Padrão 210</v>
      </c>
      <c r="F1217" s="43" t="str">
        <f t="shared" si="321"/>
        <v>Vazio</v>
      </c>
      <c r="G1217" s="46">
        <f t="shared" si="311"/>
        <v>0</v>
      </c>
      <c r="H1217" s="46">
        <f t="shared" si="312"/>
        <v>0</v>
      </c>
      <c r="I1217" s="28"/>
      <c r="J1217" s="337"/>
      <c r="K1217" s="46" t="str">
        <f t="shared" si="313"/>
        <v/>
      </c>
      <c r="L1217" s="46" t="str">
        <f t="shared" si="314"/>
        <v/>
      </c>
      <c r="M1217" s="338">
        <f t="shared" si="315"/>
        <v>0</v>
      </c>
      <c r="N1217" s="43"/>
      <c r="O1217" s="339" t="e">
        <f t="shared" si="263"/>
        <v>#N/A</v>
      </c>
      <c r="P1217" s="340" t="str">
        <f>IFERROR(VLOOKUP(O1217,NCM!$A$3:$D$99,COLUMN(head_porNCM_IPI)-COLUMN(head_porNCM_NCM)+1,FALSE),"")</f>
        <v/>
      </c>
      <c r="Q1217" s="43"/>
      <c r="R1217" s="78"/>
      <c r="S1217" s="341"/>
      <c r="T1217" s="28" t="s">
        <v>53</v>
      </c>
      <c r="U1217" s="28"/>
      <c r="V1217" s="28"/>
      <c r="W1217" s="43"/>
      <c r="X1217" s="342">
        <f t="shared" si="316"/>
        <v>0</v>
      </c>
      <c r="Y1217" s="342">
        <f t="shared" si="317"/>
        <v>0</v>
      </c>
      <c r="Z1217" s="46">
        <f t="shared" si="318"/>
        <v>0</v>
      </c>
      <c r="AA1217" s="46">
        <f t="shared" si="319"/>
        <v>0</v>
      </c>
      <c r="AB1217" s="43"/>
      <c r="AC1217" s="44"/>
      <c r="AD1217" s="31"/>
      <c r="AE1217" s="31"/>
      <c r="AF1217" s="31"/>
      <c r="AG1217" s="28" t="s">
        <v>53</v>
      </c>
      <c r="AH1217" s="46">
        <f t="shared" si="322"/>
        <v>0</v>
      </c>
      <c r="AI1217" s="43"/>
      <c r="AJ1217" s="28"/>
      <c r="AK1217" s="337"/>
      <c r="AL1217" s="43"/>
      <c r="AM1217" s="44">
        <f t="shared" si="323"/>
        <v>0</v>
      </c>
      <c r="AN1217" s="43"/>
      <c r="AO1217" s="28">
        <f t="shared" si="324"/>
        <v>0</v>
      </c>
      <c r="AP1217" s="43"/>
      <c r="AQ1217" s="323">
        <f t="shared" si="325"/>
        <v>0</v>
      </c>
      <c r="AR1217" s="43"/>
      <c r="AS1217" s="44"/>
    </row>
    <row r="1218" spans="1:45" outlineLevel="1" x14ac:dyDescent="0.25">
      <c r="A1218" s="28">
        <v>211</v>
      </c>
      <c r="B1218" s="43"/>
      <c r="C1218" s="43"/>
      <c r="D1218" s="43"/>
      <c r="E1218" s="43" t="str">
        <f t="shared" si="320"/>
        <v>Padrão 211</v>
      </c>
      <c r="F1218" s="43" t="str">
        <f t="shared" si="321"/>
        <v>Vazio</v>
      </c>
      <c r="G1218" s="46">
        <f t="shared" si="311"/>
        <v>0</v>
      </c>
      <c r="H1218" s="46">
        <f t="shared" si="312"/>
        <v>0</v>
      </c>
      <c r="I1218" s="28"/>
      <c r="J1218" s="337"/>
      <c r="K1218" s="46" t="str">
        <f t="shared" si="313"/>
        <v/>
      </c>
      <c r="L1218" s="46" t="str">
        <f t="shared" si="314"/>
        <v/>
      </c>
      <c r="M1218" s="338">
        <f t="shared" si="315"/>
        <v>0</v>
      </c>
      <c r="N1218" s="43"/>
      <c r="O1218" s="339" t="e">
        <f t="shared" si="263"/>
        <v>#N/A</v>
      </c>
      <c r="P1218" s="340" t="str">
        <f>IFERROR(VLOOKUP(O1218,NCM!$A$3:$D$99,COLUMN(head_porNCM_IPI)-COLUMN(head_porNCM_NCM)+1,FALSE),"")</f>
        <v/>
      </c>
      <c r="Q1218" s="43"/>
      <c r="R1218" s="78"/>
      <c r="S1218" s="341"/>
      <c r="T1218" s="28" t="s">
        <v>53</v>
      </c>
      <c r="U1218" s="28"/>
      <c r="V1218" s="28"/>
      <c r="W1218" s="43"/>
      <c r="X1218" s="342">
        <f t="shared" si="316"/>
        <v>0</v>
      </c>
      <c r="Y1218" s="342">
        <f t="shared" si="317"/>
        <v>0</v>
      </c>
      <c r="Z1218" s="46">
        <f t="shared" si="318"/>
        <v>0</v>
      </c>
      <c r="AA1218" s="46">
        <f t="shared" si="319"/>
        <v>0</v>
      </c>
      <c r="AB1218" s="43"/>
      <c r="AC1218" s="44"/>
      <c r="AD1218" s="31"/>
      <c r="AE1218" s="31"/>
      <c r="AF1218" s="31"/>
      <c r="AG1218" s="28" t="s">
        <v>53</v>
      </c>
      <c r="AH1218" s="46">
        <f t="shared" si="322"/>
        <v>0</v>
      </c>
      <c r="AI1218" s="43"/>
      <c r="AJ1218" s="28"/>
      <c r="AK1218" s="337"/>
      <c r="AL1218" s="43"/>
      <c r="AM1218" s="44">
        <f t="shared" si="323"/>
        <v>0</v>
      </c>
      <c r="AN1218" s="43"/>
      <c r="AO1218" s="28">
        <f t="shared" si="324"/>
        <v>0</v>
      </c>
      <c r="AP1218" s="43"/>
      <c r="AQ1218" s="323">
        <f t="shared" si="325"/>
        <v>0</v>
      </c>
      <c r="AR1218" s="43"/>
      <c r="AS1218" s="44"/>
    </row>
    <row r="1219" spans="1:45" outlineLevel="1" x14ac:dyDescent="0.25">
      <c r="A1219" s="28">
        <v>212</v>
      </c>
      <c r="B1219" s="43"/>
      <c r="C1219" s="43"/>
      <c r="D1219" s="43"/>
      <c r="E1219" s="43" t="str">
        <f t="shared" si="320"/>
        <v>Padrão 212</v>
      </c>
      <c r="F1219" s="43" t="str">
        <f t="shared" si="321"/>
        <v>Vazio</v>
      </c>
      <c r="G1219" s="46">
        <f t="shared" si="311"/>
        <v>0</v>
      </c>
      <c r="H1219" s="46">
        <f t="shared" si="312"/>
        <v>0</v>
      </c>
      <c r="I1219" s="28"/>
      <c r="J1219" s="337"/>
      <c r="K1219" s="46" t="str">
        <f t="shared" si="313"/>
        <v/>
      </c>
      <c r="L1219" s="46" t="str">
        <f t="shared" si="314"/>
        <v/>
      </c>
      <c r="M1219" s="338">
        <f t="shared" si="315"/>
        <v>0</v>
      </c>
      <c r="N1219" s="43"/>
      <c r="O1219" s="339" t="e">
        <f t="shared" si="263"/>
        <v>#N/A</v>
      </c>
      <c r="P1219" s="340" t="str">
        <f>IFERROR(VLOOKUP(O1219,NCM!$A$3:$D$99,COLUMN(head_porNCM_IPI)-COLUMN(head_porNCM_NCM)+1,FALSE),"")</f>
        <v/>
      </c>
      <c r="Q1219" s="43"/>
      <c r="R1219" s="78"/>
      <c r="S1219" s="341"/>
      <c r="T1219" s="28" t="s">
        <v>53</v>
      </c>
      <c r="U1219" s="28"/>
      <c r="V1219" s="28"/>
      <c r="W1219" s="43"/>
      <c r="X1219" s="342">
        <f t="shared" si="316"/>
        <v>0</v>
      </c>
      <c r="Y1219" s="342">
        <f t="shared" si="317"/>
        <v>0</v>
      </c>
      <c r="Z1219" s="46">
        <f t="shared" si="318"/>
        <v>0</v>
      </c>
      <c r="AA1219" s="46">
        <f t="shared" si="319"/>
        <v>0</v>
      </c>
      <c r="AB1219" s="43"/>
      <c r="AC1219" s="44"/>
      <c r="AD1219" s="31"/>
      <c r="AE1219" s="31"/>
      <c r="AF1219" s="31"/>
      <c r="AG1219" s="28" t="s">
        <v>53</v>
      </c>
      <c r="AH1219" s="46">
        <f t="shared" si="322"/>
        <v>0</v>
      </c>
      <c r="AI1219" s="43"/>
      <c r="AJ1219" s="28"/>
      <c r="AK1219" s="337"/>
      <c r="AL1219" s="43"/>
      <c r="AM1219" s="44">
        <f t="shared" si="323"/>
        <v>0</v>
      </c>
      <c r="AN1219" s="43"/>
      <c r="AO1219" s="28">
        <f t="shared" si="324"/>
        <v>0</v>
      </c>
      <c r="AP1219" s="43"/>
      <c r="AQ1219" s="323">
        <f t="shared" si="325"/>
        <v>0</v>
      </c>
      <c r="AR1219" s="43"/>
      <c r="AS1219" s="44"/>
    </row>
    <row r="1220" spans="1:45" outlineLevel="1" x14ac:dyDescent="0.25">
      <c r="A1220" s="28">
        <v>213</v>
      </c>
      <c r="B1220" s="43"/>
      <c r="C1220" s="43"/>
      <c r="D1220" s="43"/>
      <c r="E1220" s="43" t="str">
        <f t="shared" si="320"/>
        <v>Padrão 213</v>
      </c>
      <c r="F1220" s="43" t="str">
        <f t="shared" si="321"/>
        <v>Vazio</v>
      </c>
      <c r="G1220" s="46">
        <f t="shared" si="311"/>
        <v>0</v>
      </c>
      <c r="H1220" s="46">
        <f t="shared" si="312"/>
        <v>0</v>
      </c>
      <c r="I1220" s="28"/>
      <c r="J1220" s="337"/>
      <c r="K1220" s="46" t="str">
        <f t="shared" si="313"/>
        <v/>
      </c>
      <c r="L1220" s="46" t="str">
        <f t="shared" si="314"/>
        <v/>
      </c>
      <c r="M1220" s="338">
        <f t="shared" si="315"/>
        <v>0</v>
      </c>
      <c r="N1220" s="43"/>
      <c r="O1220" s="339" t="e">
        <f t="shared" si="263"/>
        <v>#N/A</v>
      </c>
      <c r="P1220" s="340" t="str">
        <f>IFERROR(VLOOKUP(O1220,NCM!$A$3:$D$99,COLUMN(head_porNCM_IPI)-COLUMN(head_porNCM_NCM)+1,FALSE),"")</f>
        <v/>
      </c>
      <c r="Q1220" s="43"/>
      <c r="R1220" s="78"/>
      <c r="S1220" s="341"/>
      <c r="T1220" s="28" t="s">
        <v>53</v>
      </c>
      <c r="U1220" s="28"/>
      <c r="V1220" s="28"/>
      <c r="W1220" s="43"/>
      <c r="X1220" s="342">
        <f t="shared" si="316"/>
        <v>0</v>
      </c>
      <c r="Y1220" s="342">
        <f t="shared" si="317"/>
        <v>0</v>
      </c>
      <c r="Z1220" s="46">
        <f t="shared" si="318"/>
        <v>0</v>
      </c>
      <c r="AA1220" s="46">
        <f t="shared" si="319"/>
        <v>0</v>
      </c>
      <c r="AB1220" s="43"/>
      <c r="AC1220" s="44"/>
      <c r="AD1220" s="31"/>
      <c r="AE1220" s="31"/>
      <c r="AF1220" s="31"/>
      <c r="AG1220" s="28" t="s">
        <v>53</v>
      </c>
      <c r="AH1220" s="46">
        <f t="shared" si="322"/>
        <v>0</v>
      </c>
      <c r="AI1220" s="43"/>
      <c r="AJ1220" s="28"/>
      <c r="AK1220" s="337"/>
      <c r="AL1220" s="43"/>
      <c r="AM1220" s="44">
        <f t="shared" si="323"/>
        <v>0</v>
      </c>
      <c r="AN1220" s="43"/>
      <c r="AO1220" s="28">
        <f t="shared" si="324"/>
        <v>0</v>
      </c>
      <c r="AP1220" s="43"/>
      <c r="AQ1220" s="323">
        <f t="shared" si="325"/>
        <v>0</v>
      </c>
      <c r="AR1220" s="43"/>
      <c r="AS1220" s="44"/>
    </row>
    <row r="1221" spans="1:45" outlineLevel="1" x14ac:dyDescent="0.25">
      <c r="A1221" s="28">
        <v>214</v>
      </c>
      <c r="B1221" s="43"/>
      <c r="C1221" s="43"/>
      <c r="D1221" s="43"/>
      <c r="E1221" s="43" t="str">
        <f t="shared" si="320"/>
        <v>Padrão 214</v>
      </c>
      <c r="F1221" s="43" t="str">
        <f t="shared" si="321"/>
        <v>Vazio</v>
      </c>
      <c r="G1221" s="46">
        <f t="shared" si="311"/>
        <v>0</v>
      </c>
      <c r="H1221" s="46">
        <f t="shared" si="312"/>
        <v>0</v>
      </c>
      <c r="I1221" s="28"/>
      <c r="J1221" s="337"/>
      <c r="K1221" s="46" t="str">
        <f t="shared" si="313"/>
        <v/>
      </c>
      <c r="L1221" s="46" t="str">
        <f t="shared" si="314"/>
        <v/>
      </c>
      <c r="M1221" s="338">
        <f t="shared" si="315"/>
        <v>0</v>
      </c>
      <c r="N1221" s="43"/>
      <c r="O1221" s="339" t="e">
        <f t="shared" si="263"/>
        <v>#N/A</v>
      </c>
      <c r="P1221" s="340" t="str">
        <f>IFERROR(VLOOKUP(O1221,NCM!$A$3:$D$99,COLUMN(head_porNCM_IPI)-COLUMN(head_porNCM_NCM)+1,FALSE),"")</f>
        <v/>
      </c>
      <c r="Q1221" s="43"/>
      <c r="R1221" s="78"/>
      <c r="S1221" s="341"/>
      <c r="T1221" s="28" t="s">
        <v>53</v>
      </c>
      <c r="U1221" s="28"/>
      <c r="V1221" s="28"/>
      <c r="W1221" s="43"/>
      <c r="X1221" s="342">
        <f t="shared" si="316"/>
        <v>0</v>
      </c>
      <c r="Y1221" s="342">
        <f t="shared" si="317"/>
        <v>0</v>
      </c>
      <c r="Z1221" s="46">
        <f t="shared" si="318"/>
        <v>0</v>
      </c>
      <c r="AA1221" s="46">
        <f t="shared" si="319"/>
        <v>0</v>
      </c>
      <c r="AB1221" s="43"/>
      <c r="AC1221" s="44"/>
      <c r="AD1221" s="31"/>
      <c r="AE1221" s="31"/>
      <c r="AF1221" s="31"/>
      <c r="AG1221" s="28" t="s">
        <v>53</v>
      </c>
      <c r="AH1221" s="46">
        <f t="shared" si="322"/>
        <v>0</v>
      </c>
      <c r="AI1221" s="43"/>
      <c r="AJ1221" s="28"/>
      <c r="AK1221" s="337"/>
      <c r="AL1221" s="43"/>
      <c r="AM1221" s="44">
        <f t="shared" si="323"/>
        <v>0</v>
      </c>
      <c r="AN1221" s="43"/>
      <c r="AO1221" s="28">
        <f t="shared" si="324"/>
        <v>0</v>
      </c>
      <c r="AP1221" s="43"/>
      <c r="AQ1221" s="323">
        <f t="shared" si="325"/>
        <v>0</v>
      </c>
      <c r="AR1221" s="43"/>
      <c r="AS1221" s="44"/>
    </row>
    <row r="1222" spans="1:45" outlineLevel="1" x14ac:dyDescent="0.25">
      <c r="A1222" s="28">
        <v>215</v>
      </c>
      <c r="B1222" s="43"/>
      <c r="C1222" s="43"/>
      <c r="D1222" s="43"/>
      <c r="E1222" s="43" t="str">
        <f t="shared" si="320"/>
        <v>Padrão 215</v>
      </c>
      <c r="F1222" s="43" t="str">
        <f t="shared" si="321"/>
        <v>Vazio</v>
      </c>
      <c r="G1222" s="46">
        <f t="shared" si="311"/>
        <v>0</v>
      </c>
      <c r="H1222" s="46">
        <f t="shared" si="312"/>
        <v>0</v>
      </c>
      <c r="I1222" s="28"/>
      <c r="J1222" s="337"/>
      <c r="K1222" s="46" t="str">
        <f t="shared" si="313"/>
        <v/>
      </c>
      <c r="L1222" s="46" t="str">
        <f t="shared" si="314"/>
        <v/>
      </c>
      <c r="M1222" s="338">
        <f t="shared" si="315"/>
        <v>0</v>
      </c>
      <c r="N1222" s="43"/>
      <c r="O1222" s="339" t="e">
        <f t="shared" si="263"/>
        <v>#N/A</v>
      </c>
      <c r="P1222" s="340" t="str">
        <f>IFERROR(VLOOKUP(O1222,NCM!$A$3:$D$99,COLUMN(head_porNCM_IPI)-COLUMN(head_porNCM_NCM)+1,FALSE),"")</f>
        <v/>
      </c>
      <c r="Q1222" s="43"/>
      <c r="R1222" s="78"/>
      <c r="S1222" s="341"/>
      <c r="T1222" s="28" t="s">
        <v>53</v>
      </c>
      <c r="U1222" s="28"/>
      <c r="V1222" s="28"/>
      <c r="W1222" s="43"/>
      <c r="X1222" s="342">
        <f t="shared" si="316"/>
        <v>0</v>
      </c>
      <c r="Y1222" s="342">
        <f t="shared" si="317"/>
        <v>0</v>
      </c>
      <c r="Z1222" s="46">
        <f t="shared" si="318"/>
        <v>0</v>
      </c>
      <c r="AA1222" s="46">
        <f t="shared" si="319"/>
        <v>0</v>
      </c>
      <c r="AB1222" s="43"/>
      <c r="AC1222" s="44"/>
      <c r="AD1222" s="31"/>
      <c r="AE1222" s="31"/>
      <c r="AF1222" s="31"/>
      <c r="AG1222" s="28" t="s">
        <v>53</v>
      </c>
      <c r="AH1222" s="46">
        <f t="shared" si="322"/>
        <v>0</v>
      </c>
      <c r="AI1222" s="43"/>
      <c r="AJ1222" s="28"/>
      <c r="AK1222" s="337"/>
      <c r="AL1222" s="43"/>
      <c r="AM1222" s="44">
        <f t="shared" si="323"/>
        <v>0</v>
      </c>
      <c r="AN1222" s="43"/>
      <c r="AO1222" s="28">
        <f t="shared" si="324"/>
        <v>0</v>
      </c>
      <c r="AP1222" s="43"/>
      <c r="AQ1222" s="323">
        <f t="shared" si="325"/>
        <v>0</v>
      </c>
      <c r="AR1222" s="43"/>
      <c r="AS1222" s="44"/>
    </row>
    <row r="1223" spans="1:45" outlineLevel="1" x14ac:dyDescent="0.25">
      <c r="A1223" s="28">
        <v>216</v>
      </c>
      <c r="B1223" s="43"/>
      <c r="C1223" s="43"/>
      <c r="D1223" s="43"/>
      <c r="E1223" s="43" t="str">
        <f t="shared" si="320"/>
        <v>Padrão 216</v>
      </c>
      <c r="F1223" s="43" t="str">
        <f t="shared" si="321"/>
        <v>Vazio</v>
      </c>
      <c r="G1223" s="46">
        <f t="shared" si="287"/>
        <v>0</v>
      </c>
      <c r="H1223" s="46">
        <f t="shared" si="288"/>
        <v>0</v>
      </c>
      <c r="I1223" s="28"/>
      <c r="J1223" s="337"/>
      <c r="K1223" s="46" t="str">
        <f t="shared" si="289"/>
        <v/>
      </c>
      <c r="L1223" s="46" t="str">
        <f t="shared" si="290"/>
        <v/>
      </c>
      <c r="M1223" s="338">
        <f t="shared" si="291"/>
        <v>0</v>
      </c>
      <c r="N1223" s="43"/>
      <c r="O1223" s="339" t="e">
        <f t="shared" si="263"/>
        <v>#N/A</v>
      </c>
      <c r="P1223" s="340" t="str">
        <f>IFERROR(VLOOKUP(O1223,NCM!$A$3:$D$99,COLUMN(head_porNCM_IPI)-COLUMN(head_porNCM_NCM)+1,FALSE),"")</f>
        <v/>
      </c>
      <c r="Q1223" s="43"/>
      <c r="R1223" s="78"/>
      <c r="S1223" s="341"/>
      <c r="T1223" s="28" t="s">
        <v>53</v>
      </c>
      <c r="U1223" s="28"/>
      <c r="V1223" s="28"/>
      <c r="W1223" s="43"/>
      <c r="X1223" s="342">
        <f t="shared" si="292"/>
        <v>0</v>
      </c>
      <c r="Y1223" s="342">
        <f t="shared" si="293"/>
        <v>0</v>
      </c>
      <c r="Z1223" s="46">
        <f t="shared" si="294"/>
        <v>0</v>
      </c>
      <c r="AA1223" s="46">
        <f t="shared" si="295"/>
        <v>0</v>
      </c>
      <c r="AB1223" s="43"/>
      <c r="AC1223" s="44"/>
      <c r="AD1223" s="31"/>
      <c r="AE1223" s="31"/>
      <c r="AF1223" s="31"/>
      <c r="AG1223" s="28" t="s">
        <v>53</v>
      </c>
      <c r="AH1223" s="46">
        <f t="shared" si="322"/>
        <v>0</v>
      </c>
      <c r="AI1223" s="43"/>
      <c r="AJ1223" s="28"/>
      <c r="AK1223" s="337"/>
      <c r="AL1223" s="43"/>
      <c r="AM1223" s="44">
        <f t="shared" si="323"/>
        <v>0</v>
      </c>
      <c r="AN1223" s="43"/>
      <c r="AO1223" s="28">
        <f t="shared" si="324"/>
        <v>0</v>
      </c>
      <c r="AP1223" s="43"/>
      <c r="AQ1223" s="323">
        <f t="shared" si="325"/>
        <v>0</v>
      </c>
      <c r="AR1223" s="43"/>
      <c r="AS1223" s="44"/>
    </row>
    <row r="1224" spans="1:45" outlineLevel="1" x14ac:dyDescent="0.25">
      <c r="A1224" s="28">
        <v>217</v>
      </c>
      <c r="B1224" s="43"/>
      <c r="C1224" s="43"/>
      <c r="D1224" s="43"/>
      <c r="E1224" s="43" t="str">
        <f t="shared" si="320"/>
        <v>Padrão 217</v>
      </c>
      <c r="F1224" s="43" t="str">
        <f t="shared" si="321"/>
        <v>Vazio</v>
      </c>
      <c r="G1224" s="46">
        <f t="shared" si="287"/>
        <v>0</v>
      </c>
      <c r="H1224" s="46">
        <f t="shared" si="288"/>
        <v>0</v>
      </c>
      <c r="I1224" s="28"/>
      <c r="J1224" s="337"/>
      <c r="K1224" s="46" t="str">
        <f t="shared" si="289"/>
        <v/>
      </c>
      <c r="L1224" s="46" t="str">
        <f t="shared" si="290"/>
        <v/>
      </c>
      <c r="M1224" s="338">
        <f t="shared" si="291"/>
        <v>0</v>
      </c>
      <c r="N1224" s="43"/>
      <c r="O1224" s="339" t="e">
        <f t="shared" si="263"/>
        <v>#N/A</v>
      </c>
      <c r="P1224" s="340" t="str">
        <f>IFERROR(VLOOKUP(O1224,NCM!$A$3:$D$99,COLUMN(head_porNCM_IPI)-COLUMN(head_porNCM_NCM)+1,FALSE),"")</f>
        <v/>
      </c>
      <c r="Q1224" s="43"/>
      <c r="R1224" s="78"/>
      <c r="S1224" s="341"/>
      <c r="T1224" s="28" t="s">
        <v>53</v>
      </c>
      <c r="U1224" s="28"/>
      <c r="V1224" s="28"/>
      <c r="W1224" s="43"/>
      <c r="X1224" s="342">
        <f t="shared" si="292"/>
        <v>0</v>
      </c>
      <c r="Y1224" s="342">
        <f t="shared" si="293"/>
        <v>0</v>
      </c>
      <c r="Z1224" s="46">
        <f t="shared" si="294"/>
        <v>0</v>
      </c>
      <c r="AA1224" s="46">
        <f t="shared" si="295"/>
        <v>0</v>
      </c>
      <c r="AB1224" s="43"/>
      <c r="AC1224" s="44"/>
      <c r="AD1224" s="31"/>
      <c r="AE1224" s="31"/>
      <c r="AF1224" s="31"/>
      <c r="AG1224" s="28" t="s">
        <v>53</v>
      </c>
      <c r="AH1224" s="46">
        <f t="shared" si="322"/>
        <v>0</v>
      </c>
      <c r="AI1224" s="43"/>
      <c r="AJ1224" s="28"/>
      <c r="AK1224" s="337"/>
      <c r="AL1224" s="43"/>
      <c r="AM1224" s="44">
        <f t="shared" si="323"/>
        <v>0</v>
      </c>
      <c r="AN1224" s="43"/>
      <c r="AO1224" s="28">
        <f t="shared" si="324"/>
        <v>0</v>
      </c>
      <c r="AP1224" s="43"/>
      <c r="AQ1224" s="323">
        <f t="shared" si="325"/>
        <v>0</v>
      </c>
      <c r="AR1224" s="43"/>
      <c r="AS1224" s="44"/>
    </row>
    <row r="1225" spans="1:45" outlineLevel="1" x14ac:dyDescent="0.25">
      <c r="A1225" s="28">
        <v>218</v>
      </c>
      <c r="B1225" s="43"/>
      <c r="C1225" s="43"/>
      <c r="D1225" s="43"/>
      <c r="E1225" s="43" t="str">
        <f t="shared" si="320"/>
        <v>Padrão 218</v>
      </c>
      <c r="F1225" s="43" t="str">
        <f t="shared" si="321"/>
        <v>Vazio</v>
      </c>
      <c r="G1225" s="46">
        <f t="shared" si="287"/>
        <v>0</v>
      </c>
      <c r="H1225" s="46">
        <f t="shared" si="288"/>
        <v>0</v>
      </c>
      <c r="I1225" s="28"/>
      <c r="J1225" s="337"/>
      <c r="K1225" s="46" t="str">
        <f t="shared" si="289"/>
        <v/>
      </c>
      <c r="L1225" s="46" t="str">
        <f t="shared" si="290"/>
        <v/>
      </c>
      <c r="M1225" s="338">
        <f t="shared" si="291"/>
        <v>0</v>
      </c>
      <c r="N1225" s="43"/>
      <c r="O1225" s="339" t="e">
        <f t="shared" si="263"/>
        <v>#N/A</v>
      </c>
      <c r="P1225" s="340" t="str">
        <f>IFERROR(VLOOKUP(O1225,NCM!$A$3:$D$99,COLUMN(head_porNCM_IPI)-COLUMN(head_porNCM_NCM)+1,FALSE),"")</f>
        <v/>
      </c>
      <c r="Q1225" s="43"/>
      <c r="R1225" s="78"/>
      <c r="S1225" s="341"/>
      <c r="T1225" s="28" t="s">
        <v>53</v>
      </c>
      <c r="U1225" s="28"/>
      <c r="V1225" s="28"/>
      <c r="W1225" s="43"/>
      <c r="X1225" s="342">
        <f t="shared" si="292"/>
        <v>0</v>
      </c>
      <c r="Y1225" s="342">
        <f t="shared" si="293"/>
        <v>0</v>
      </c>
      <c r="Z1225" s="46">
        <f t="shared" si="294"/>
        <v>0</v>
      </c>
      <c r="AA1225" s="46">
        <f t="shared" si="295"/>
        <v>0</v>
      </c>
      <c r="AB1225" s="43"/>
      <c r="AC1225" s="44"/>
      <c r="AD1225" s="31"/>
      <c r="AE1225" s="31"/>
      <c r="AF1225" s="31"/>
      <c r="AG1225" s="28" t="s">
        <v>53</v>
      </c>
      <c r="AH1225" s="46">
        <f t="shared" si="322"/>
        <v>0</v>
      </c>
      <c r="AI1225" s="43"/>
      <c r="AJ1225" s="28"/>
      <c r="AK1225" s="337"/>
      <c r="AL1225" s="43"/>
      <c r="AM1225" s="44">
        <f t="shared" si="323"/>
        <v>0</v>
      </c>
      <c r="AN1225" s="43"/>
      <c r="AO1225" s="28">
        <f t="shared" si="324"/>
        <v>0</v>
      </c>
      <c r="AP1225" s="43"/>
      <c r="AQ1225" s="323">
        <f t="shared" si="325"/>
        <v>0</v>
      </c>
      <c r="AR1225" s="43"/>
      <c r="AS1225" s="44"/>
    </row>
    <row r="1226" spans="1:45" outlineLevel="1" x14ac:dyDescent="0.25">
      <c r="A1226" s="28">
        <v>219</v>
      </c>
      <c r="B1226" s="43"/>
      <c r="C1226" s="43"/>
      <c r="D1226" s="43"/>
      <c r="E1226" s="43" t="str">
        <f t="shared" si="320"/>
        <v>Padrão 219</v>
      </c>
      <c r="F1226" s="43" t="str">
        <f t="shared" si="321"/>
        <v>Vazio</v>
      </c>
      <c r="G1226" s="46">
        <f t="shared" si="287"/>
        <v>0</v>
      </c>
      <c r="H1226" s="46">
        <f t="shared" si="288"/>
        <v>0</v>
      </c>
      <c r="I1226" s="28"/>
      <c r="J1226" s="337"/>
      <c r="K1226" s="46" t="str">
        <f t="shared" si="289"/>
        <v/>
      </c>
      <c r="L1226" s="46" t="str">
        <f t="shared" si="290"/>
        <v/>
      </c>
      <c r="M1226" s="338">
        <f t="shared" si="291"/>
        <v>0</v>
      </c>
      <c r="N1226" s="43"/>
      <c r="O1226" s="339" t="e">
        <f t="shared" si="263"/>
        <v>#N/A</v>
      </c>
      <c r="P1226" s="340" t="str">
        <f>IFERROR(VLOOKUP(O1226,NCM!$A$3:$D$99,COLUMN(head_porNCM_IPI)-COLUMN(head_porNCM_NCM)+1,FALSE),"")</f>
        <v/>
      </c>
      <c r="Q1226" s="43"/>
      <c r="R1226" s="78"/>
      <c r="S1226" s="341"/>
      <c r="T1226" s="28" t="s">
        <v>53</v>
      </c>
      <c r="U1226" s="28"/>
      <c r="V1226" s="28"/>
      <c r="W1226" s="43"/>
      <c r="X1226" s="342">
        <f t="shared" si="292"/>
        <v>0</v>
      </c>
      <c r="Y1226" s="342">
        <f t="shared" si="293"/>
        <v>0</v>
      </c>
      <c r="Z1226" s="46">
        <f t="shared" si="294"/>
        <v>0</v>
      </c>
      <c r="AA1226" s="46">
        <f t="shared" si="295"/>
        <v>0</v>
      </c>
      <c r="AB1226" s="43"/>
      <c r="AC1226" s="44"/>
      <c r="AD1226" s="31"/>
      <c r="AE1226" s="31"/>
      <c r="AF1226" s="31"/>
      <c r="AG1226" s="28" t="s">
        <v>53</v>
      </c>
      <c r="AH1226" s="46">
        <f t="shared" si="322"/>
        <v>0</v>
      </c>
      <c r="AI1226" s="43"/>
      <c r="AJ1226" s="28"/>
      <c r="AK1226" s="337"/>
      <c r="AL1226" s="43"/>
      <c r="AM1226" s="44">
        <f t="shared" si="323"/>
        <v>0</v>
      </c>
      <c r="AN1226" s="43"/>
      <c r="AO1226" s="28">
        <f t="shared" si="324"/>
        <v>0</v>
      </c>
      <c r="AP1226" s="43"/>
      <c r="AQ1226" s="323">
        <f t="shared" si="325"/>
        <v>0</v>
      </c>
      <c r="AR1226" s="43"/>
      <c r="AS1226" s="44"/>
    </row>
    <row r="1227" spans="1:45" outlineLevel="1" x14ac:dyDescent="0.25">
      <c r="A1227" s="28">
        <v>220</v>
      </c>
      <c r="B1227" s="43"/>
      <c r="C1227" s="43"/>
      <c r="D1227" s="43"/>
      <c r="E1227" s="43" t="str">
        <f t="shared" si="320"/>
        <v>Padrão 220</v>
      </c>
      <c r="F1227" s="43" t="str">
        <f t="shared" si="321"/>
        <v>Vazio</v>
      </c>
      <c r="G1227" s="46">
        <f t="shared" si="287"/>
        <v>0</v>
      </c>
      <c r="H1227" s="46">
        <f t="shared" si="288"/>
        <v>0</v>
      </c>
      <c r="I1227" s="28"/>
      <c r="J1227" s="337"/>
      <c r="K1227" s="46" t="str">
        <f t="shared" si="289"/>
        <v/>
      </c>
      <c r="L1227" s="46" t="str">
        <f t="shared" si="290"/>
        <v/>
      </c>
      <c r="M1227" s="338">
        <f t="shared" si="291"/>
        <v>0</v>
      </c>
      <c r="N1227" s="43"/>
      <c r="O1227" s="339" t="e">
        <f t="shared" si="263"/>
        <v>#N/A</v>
      </c>
      <c r="P1227" s="340" t="str">
        <f>IFERROR(VLOOKUP(O1227,NCM!$A$3:$D$99,COLUMN(head_porNCM_IPI)-COLUMN(head_porNCM_NCM)+1,FALSE),"")</f>
        <v/>
      </c>
      <c r="Q1227" s="43"/>
      <c r="R1227" s="78"/>
      <c r="S1227" s="341"/>
      <c r="T1227" s="28" t="s">
        <v>53</v>
      </c>
      <c r="U1227" s="28"/>
      <c r="V1227" s="28"/>
      <c r="W1227" s="43"/>
      <c r="X1227" s="342">
        <f t="shared" si="292"/>
        <v>0</v>
      </c>
      <c r="Y1227" s="342">
        <f t="shared" si="293"/>
        <v>0</v>
      </c>
      <c r="Z1227" s="46">
        <f t="shared" si="294"/>
        <v>0</v>
      </c>
      <c r="AA1227" s="46">
        <f t="shared" si="295"/>
        <v>0</v>
      </c>
      <c r="AB1227" s="43"/>
      <c r="AC1227" s="44"/>
      <c r="AD1227" s="31"/>
      <c r="AE1227" s="31"/>
      <c r="AF1227" s="31"/>
      <c r="AG1227" s="28" t="s">
        <v>53</v>
      </c>
      <c r="AH1227" s="46">
        <f t="shared" si="322"/>
        <v>0</v>
      </c>
      <c r="AI1227" s="43"/>
      <c r="AJ1227" s="28"/>
      <c r="AK1227" s="337"/>
      <c r="AL1227" s="43"/>
      <c r="AM1227" s="44">
        <f t="shared" si="323"/>
        <v>0</v>
      </c>
      <c r="AN1227" s="43"/>
      <c r="AO1227" s="28">
        <f t="shared" si="324"/>
        <v>0</v>
      </c>
      <c r="AP1227" s="43"/>
      <c r="AQ1227" s="323">
        <f t="shared" si="325"/>
        <v>0</v>
      </c>
      <c r="AR1227" s="43"/>
      <c r="AS1227" s="44"/>
    </row>
    <row r="1228" spans="1:45" outlineLevel="1" x14ac:dyDescent="0.25">
      <c r="A1228" s="28">
        <v>221</v>
      </c>
      <c r="B1228" s="43"/>
      <c r="C1228" s="43"/>
      <c r="D1228" s="43"/>
      <c r="E1228" s="43" t="str">
        <f t="shared" si="320"/>
        <v>Padrão 221</v>
      </c>
      <c r="F1228" s="43" t="str">
        <f t="shared" si="321"/>
        <v>Vazio</v>
      </c>
      <c r="G1228" s="46">
        <f t="shared" si="287"/>
        <v>0</v>
      </c>
      <c r="H1228" s="46">
        <f t="shared" si="288"/>
        <v>0</v>
      </c>
      <c r="I1228" s="28"/>
      <c r="J1228" s="337"/>
      <c r="K1228" s="46" t="str">
        <f t="shared" si="289"/>
        <v/>
      </c>
      <c r="L1228" s="46" t="str">
        <f t="shared" si="290"/>
        <v/>
      </c>
      <c r="M1228" s="338">
        <f t="shared" si="291"/>
        <v>0</v>
      </c>
      <c r="N1228" s="43"/>
      <c r="O1228" s="339" t="e">
        <f t="shared" si="263"/>
        <v>#N/A</v>
      </c>
      <c r="P1228" s="340" t="str">
        <f>IFERROR(VLOOKUP(O1228,NCM!$A$3:$D$99,COLUMN(head_porNCM_IPI)-COLUMN(head_porNCM_NCM)+1,FALSE),"")</f>
        <v/>
      </c>
      <c r="Q1228" s="43"/>
      <c r="R1228" s="78"/>
      <c r="S1228" s="341"/>
      <c r="T1228" s="28" t="s">
        <v>53</v>
      </c>
      <c r="U1228" s="28"/>
      <c r="V1228" s="28"/>
      <c r="W1228" s="43"/>
      <c r="X1228" s="342">
        <f t="shared" si="292"/>
        <v>0</v>
      </c>
      <c r="Y1228" s="342">
        <f t="shared" si="293"/>
        <v>0</v>
      </c>
      <c r="Z1228" s="46">
        <f t="shared" si="294"/>
        <v>0</v>
      </c>
      <c r="AA1228" s="46">
        <f t="shared" si="295"/>
        <v>0</v>
      </c>
      <c r="AB1228" s="43"/>
      <c r="AC1228" s="44"/>
      <c r="AD1228" s="31"/>
      <c r="AE1228" s="31"/>
      <c r="AF1228" s="31"/>
      <c r="AG1228" s="28" t="s">
        <v>53</v>
      </c>
      <c r="AH1228" s="46">
        <f t="shared" si="322"/>
        <v>0</v>
      </c>
      <c r="AI1228" s="43"/>
      <c r="AJ1228" s="28"/>
      <c r="AK1228" s="337"/>
      <c r="AL1228" s="43"/>
      <c r="AM1228" s="44">
        <f t="shared" si="323"/>
        <v>0</v>
      </c>
      <c r="AN1228" s="43"/>
      <c r="AO1228" s="28">
        <f t="shared" si="324"/>
        <v>0</v>
      </c>
      <c r="AP1228" s="43"/>
      <c r="AQ1228" s="323">
        <f t="shared" si="325"/>
        <v>0</v>
      </c>
      <c r="AR1228" s="43"/>
      <c r="AS1228" s="44"/>
    </row>
    <row r="1229" spans="1:45" outlineLevel="1" x14ac:dyDescent="0.25">
      <c r="A1229" s="28">
        <v>222</v>
      </c>
      <c r="B1229" s="43"/>
      <c r="C1229" s="43"/>
      <c r="D1229" s="43"/>
      <c r="E1229" s="43" t="str">
        <f t="shared" si="320"/>
        <v>Padrão 222</v>
      </c>
      <c r="F1229" s="43" t="str">
        <f t="shared" si="321"/>
        <v>Vazio</v>
      </c>
      <c r="G1229" s="46">
        <f t="shared" ref="G1229:G1242" si="326">AC1229*(1-AD1229)</f>
        <v>0</v>
      </c>
      <c r="H1229" s="46">
        <f t="shared" ref="H1229:H1242" si="327">AC1229*(1-AD1229-pis_naocum-cofins_naocum)</f>
        <v>0</v>
      </c>
      <c r="I1229" s="28"/>
      <c r="J1229" s="337"/>
      <c r="K1229" s="46" t="str">
        <f t="shared" ref="K1229:K1242" si="328">IFERROR(G1229*J1229*VLOOKUP(I1229,tbl_cambio,2,FALSE),"")</f>
        <v/>
      </c>
      <c r="L1229" s="46" t="str">
        <f t="shared" ref="L1229:L1242" si="329">IFERROR(H1229*J1229*VLOOKUP(I1229,tbl_cambio,2,FALSE),"")</f>
        <v/>
      </c>
      <c r="M1229" s="338">
        <f t="shared" ref="M1229:M1242" si="330">SUMIF(col_item,"="&amp;E1229,col_qtd)</f>
        <v>0</v>
      </c>
      <c r="N1229" s="43"/>
      <c r="O1229" s="339" t="e">
        <f t="shared" si="263"/>
        <v>#N/A</v>
      </c>
      <c r="P1229" s="340" t="str">
        <f>IFERROR(VLOOKUP(O1229,NCM!$A$3:$D$99,COLUMN(head_porNCM_IPI)-COLUMN(head_porNCM_NCM)+1,FALSE),"")</f>
        <v/>
      </c>
      <c r="Q1229" s="43"/>
      <c r="R1229" s="78"/>
      <c r="S1229" s="341"/>
      <c r="T1229" s="28" t="s">
        <v>53</v>
      </c>
      <c r="U1229" s="28"/>
      <c r="V1229" s="28"/>
      <c r="W1229" s="43"/>
      <c r="X1229" s="342">
        <f t="shared" ref="X1229:X1242" si="331">(AC1229-Y1229)*AD1229</f>
        <v>0</v>
      </c>
      <c r="Y1229" s="342">
        <f t="shared" ref="Y1229:Y1242" si="332">AC1229-AC1229/(1+AE1229)</f>
        <v>0</v>
      </c>
      <c r="Z1229" s="46">
        <f t="shared" ref="Z1229:Z1242" si="333">(AC1229-Y1229)*pis_naocum</f>
        <v>0</v>
      </c>
      <c r="AA1229" s="46">
        <f t="shared" ref="AA1229:AA1242" si="334">(AC1229-Y1229)*cofins_naocum</f>
        <v>0</v>
      </c>
      <c r="AB1229" s="43"/>
      <c r="AC1229" s="44"/>
      <c r="AD1229" s="31"/>
      <c r="AE1229" s="31"/>
      <c r="AF1229" s="31"/>
      <c r="AG1229" s="28" t="s">
        <v>53</v>
      </c>
      <c r="AH1229" s="46">
        <f t="shared" si="322"/>
        <v>0</v>
      </c>
      <c r="AI1229" s="43"/>
      <c r="AJ1229" s="28"/>
      <c r="AK1229" s="337"/>
      <c r="AL1229" s="43"/>
      <c r="AM1229" s="44">
        <f t="shared" si="323"/>
        <v>0</v>
      </c>
      <c r="AN1229" s="43"/>
      <c r="AO1229" s="28">
        <f t="shared" si="324"/>
        <v>0</v>
      </c>
      <c r="AP1229" s="43"/>
      <c r="AQ1229" s="323">
        <f t="shared" si="325"/>
        <v>0</v>
      </c>
      <c r="AR1229" s="43"/>
      <c r="AS1229" s="44"/>
    </row>
    <row r="1230" spans="1:45" outlineLevel="1" x14ac:dyDescent="0.25">
      <c r="A1230" s="28">
        <v>223</v>
      </c>
      <c r="B1230" s="43"/>
      <c r="C1230" s="43"/>
      <c r="D1230" s="43"/>
      <c r="E1230" s="43" t="str">
        <f t="shared" si="320"/>
        <v>Padrão 223</v>
      </c>
      <c r="F1230" s="43" t="str">
        <f t="shared" si="321"/>
        <v>Vazio</v>
      </c>
      <c r="G1230" s="46">
        <f t="shared" si="326"/>
        <v>0</v>
      </c>
      <c r="H1230" s="46">
        <f t="shared" si="327"/>
        <v>0</v>
      </c>
      <c r="I1230" s="28"/>
      <c r="J1230" s="337"/>
      <c r="K1230" s="46" t="str">
        <f t="shared" si="328"/>
        <v/>
      </c>
      <c r="L1230" s="46" t="str">
        <f t="shared" si="329"/>
        <v/>
      </c>
      <c r="M1230" s="338">
        <f t="shared" si="330"/>
        <v>0</v>
      </c>
      <c r="N1230" s="43"/>
      <c r="O1230" s="339" t="e">
        <f t="shared" si="263"/>
        <v>#N/A</v>
      </c>
      <c r="P1230" s="340" t="str">
        <f>IFERROR(VLOOKUP(O1230,NCM!$A$3:$D$99,COLUMN(head_porNCM_IPI)-COLUMN(head_porNCM_NCM)+1,FALSE),"")</f>
        <v/>
      </c>
      <c r="Q1230" s="43"/>
      <c r="R1230" s="78"/>
      <c r="S1230" s="341"/>
      <c r="T1230" s="28" t="s">
        <v>53</v>
      </c>
      <c r="U1230" s="28"/>
      <c r="V1230" s="28"/>
      <c r="W1230" s="43"/>
      <c r="X1230" s="342">
        <f t="shared" si="331"/>
        <v>0</v>
      </c>
      <c r="Y1230" s="342">
        <f t="shared" si="332"/>
        <v>0</v>
      </c>
      <c r="Z1230" s="46">
        <f t="shared" si="333"/>
        <v>0</v>
      </c>
      <c r="AA1230" s="46">
        <f t="shared" si="334"/>
        <v>0</v>
      </c>
      <c r="AB1230" s="43"/>
      <c r="AC1230" s="44"/>
      <c r="AD1230" s="31"/>
      <c r="AE1230" s="31"/>
      <c r="AF1230" s="31"/>
      <c r="AG1230" s="28" t="s">
        <v>53</v>
      </c>
      <c r="AH1230" s="46">
        <f t="shared" si="322"/>
        <v>0</v>
      </c>
      <c r="AI1230" s="43"/>
      <c r="AJ1230" s="28"/>
      <c r="AK1230" s="337"/>
      <c r="AL1230" s="43"/>
      <c r="AM1230" s="44">
        <f t="shared" si="323"/>
        <v>0</v>
      </c>
      <c r="AN1230" s="43"/>
      <c r="AO1230" s="28">
        <f t="shared" si="324"/>
        <v>0</v>
      </c>
      <c r="AP1230" s="43"/>
      <c r="AQ1230" s="323">
        <f t="shared" si="325"/>
        <v>0</v>
      </c>
      <c r="AR1230" s="43"/>
      <c r="AS1230" s="44"/>
    </row>
    <row r="1231" spans="1:45" outlineLevel="1" x14ac:dyDescent="0.25">
      <c r="A1231" s="28">
        <v>224</v>
      </c>
      <c r="B1231" s="43"/>
      <c r="C1231" s="43"/>
      <c r="D1231" s="43"/>
      <c r="E1231" s="43" t="str">
        <f t="shared" si="320"/>
        <v>Padrão 224</v>
      </c>
      <c r="F1231" s="43" t="str">
        <f t="shared" si="321"/>
        <v>Vazio</v>
      </c>
      <c r="G1231" s="46">
        <f t="shared" si="326"/>
        <v>0</v>
      </c>
      <c r="H1231" s="46">
        <f t="shared" si="327"/>
        <v>0</v>
      </c>
      <c r="I1231" s="28"/>
      <c r="J1231" s="337"/>
      <c r="K1231" s="46" t="str">
        <f t="shared" si="328"/>
        <v/>
      </c>
      <c r="L1231" s="46" t="str">
        <f t="shared" si="329"/>
        <v/>
      </c>
      <c r="M1231" s="338">
        <f t="shared" si="330"/>
        <v>0</v>
      </c>
      <c r="N1231" s="43"/>
      <c r="O1231" s="339" t="e">
        <f t="shared" si="263"/>
        <v>#N/A</v>
      </c>
      <c r="P1231" s="340" t="str">
        <f>IFERROR(VLOOKUP(O1231,NCM!$A$3:$D$99,COLUMN(head_porNCM_IPI)-COLUMN(head_porNCM_NCM)+1,FALSE),"")</f>
        <v/>
      </c>
      <c r="Q1231" s="43"/>
      <c r="R1231" s="78"/>
      <c r="S1231" s="341"/>
      <c r="T1231" s="28" t="s">
        <v>53</v>
      </c>
      <c r="U1231" s="28"/>
      <c r="V1231" s="28"/>
      <c r="W1231" s="43"/>
      <c r="X1231" s="342">
        <f t="shared" si="331"/>
        <v>0</v>
      </c>
      <c r="Y1231" s="342">
        <f t="shared" si="332"/>
        <v>0</v>
      </c>
      <c r="Z1231" s="46">
        <f t="shared" si="333"/>
        <v>0</v>
      </c>
      <c r="AA1231" s="46">
        <f t="shared" si="334"/>
        <v>0</v>
      </c>
      <c r="AB1231" s="43"/>
      <c r="AC1231" s="44"/>
      <c r="AD1231" s="31"/>
      <c r="AE1231" s="31"/>
      <c r="AF1231" s="31"/>
      <c r="AG1231" s="28" t="s">
        <v>53</v>
      </c>
      <c r="AH1231" s="46">
        <f t="shared" si="322"/>
        <v>0</v>
      </c>
      <c r="AI1231" s="43"/>
      <c r="AJ1231" s="28"/>
      <c r="AK1231" s="337"/>
      <c r="AL1231" s="43"/>
      <c r="AM1231" s="44">
        <f t="shared" si="323"/>
        <v>0</v>
      </c>
      <c r="AN1231" s="43"/>
      <c r="AO1231" s="28">
        <f t="shared" si="324"/>
        <v>0</v>
      </c>
      <c r="AP1231" s="43"/>
      <c r="AQ1231" s="323">
        <f t="shared" si="325"/>
        <v>0</v>
      </c>
      <c r="AR1231" s="43"/>
      <c r="AS1231" s="44"/>
    </row>
    <row r="1232" spans="1:45" outlineLevel="1" x14ac:dyDescent="0.25">
      <c r="A1232" s="28">
        <v>225</v>
      </c>
      <c r="B1232" s="43"/>
      <c r="C1232" s="43"/>
      <c r="D1232" s="43"/>
      <c r="E1232" s="43" t="str">
        <f t="shared" si="320"/>
        <v>Padrão 225</v>
      </c>
      <c r="F1232" s="43" t="str">
        <f t="shared" si="321"/>
        <v>Vazio</v>
      </c>
      <c r="G1232" s="46">
        <f t="shared" si="326"/>
        <v>0</v>
      </c>
      <c r="H1232" s="46">
        <f t="shared" si="327"/>
        <v>0</v>
      </c>
      <c r="I1232" s="28"/>
      <c r="J1232" s="337"/>
      <c r="K1232" s="46" t="str">
        <f t="shared" si="328"/>
        <v/>
      </c>
      <c r="L1232" s="46" t="str">
        <f t="shared" si="329"/>
        <v/>
      </c>
      <c r="M1232" s="338">
        <f t="shared" si="330"/>
        <v>0</v>
      </c>
      <c r="N1232" s="43"/>
      <c r="O1232" s="339" t="e">
        <f t="shared" si="263"/>
        <v>#N/A</v>
      </c>
      <c r="P1232" s="340" t="str">
        <f>IFERROR(VLOOKUP(O1232,NCM!$A$3:$D$99,COLUMN(head_porNCM_IPI)-COLUMN(head_porNCM_NCM)+1,FALSE),"")</f>
        <v/>
      </c>
      <c r="Q1232" s="43"/>
      <c r="R1232" s="78"/>
      <c r="S1232" s="341"/>
      <c r="T1232" s="28" t="s">
        <v>53</v>
      </c>
      <c r="U1232" s="28"/>
      <c r="V1232" s="28"/>
      <c r="W1232" s="43"/>
      <c r="X1232" s="342">
        <f t="shared" si="331"/>
        <v>0</v>
      </c>
      <c r="Y1232" s="342">
        <f t="shared" si="332"/>
        <v>0</v>
      </c>
      <c r="Z1232" s="46">
        <f t="shared" si="333"/>
        <v>0</v>
      </c>
      <c r="AA1232" s="46">
        <f t="shared" si="334"/>
        <v>0</v>
      </c>
      <c r="AB1232" s="43"/>
      <c r="AC1232" s="44"/>
      <c r="AD1232" s="31"/>
      <c r="AE1232" s="31"/>
      <c r="AF1232" s="31"/>
      <c r="AG1232" s="28" t="s">
        <v>53</v>
      </c>
      <c r="AH1232" s="46">
        <f t="shared" si="322"/>
        <v>0</v>
      </c>
      <c r="AI1232" s="43"/>
      <c r="AJ1232" s="28"/>
      <c r="AK1232" s="337"/>
      <c r="AL1232" s="43"/>
      <c r="AM1232" s="44">
        <f t="shared" si="323"/>
        <v>0</v>
      </c>
      <c r="AN1232" s="43"/>
      <c r="AO1232" s="28">
        <f t="shared" si="324"/>
        <v>0</v>
      </c>
      <c r="AP1232" s="43"/>
      <c r="AQ1232" s="323">
        <f t="shared" si="325"/>
        <v>0</v>
      </c>
      <c r="AR1232" s="43"/>
      <c r="AS1232" s="44"/>
    </row>
    <row r="1233" spans="1:45" outlineLevel="1" x14ac:dyDescent="0.25">
      <c r="A1233" s="28">
        <v>226</v>
      </c>
      <c r="B1233" s="43"/>
      <c r="C1233" s="43"/>
      <c r="D1233" s="43"/>
      <c r="E1233" s="43" t="str">
        <f t="shared" si="320"/>
        <v>Padrão 226</v>
      </c>
      <c r="F1233" s="43" t="str">
        <f t="shared" si="321"/>
        <v>Vazio</v>
      </c>
      <c r="G1233" s="46">
        <f t="shared" si="326"/>
        <v>0</v>
      </c>
      <c r="H1233" s="46">
        <f t="shared" si="327"/>
        <v>0</v>
      </c>
      <c r="I1233" s="28"/>
      <c r="J1233" s="337"/>
      <c r="K1233" s="46" t="str">
        <f t="shared" si="328"/>
        <v/>
      </c>
      <c r="L1233" s="46" t="str">
        <f t="shared" si="329"/>
        <v/>
      </c>
      <c r="M1233" s="338">
        <f t="shared" si="330"/>
        <v>0</v>
      </c>
      <c r="N1233" s="43"/>
      <c r="O1233" s="339" t="e">
        <f t="shared" si="263"/>
        <v>#N/A</v>
      </c>
      <c r="P1233" s="340" t="str">
        <f>IFERROR(VLOOKUP(O1233,NCM!$A$3:$D$99,COLUMN(head_porNCM_IPI)-COLUMN(head_porNCM_NCM)+1,FALSE),"")</f>
        <v/>
      </c>
      <c r="Q1233" s="43"/>
      <c r="R1233" s="78"/>
      <c r="S1233" s="341"/>
      <c r="T1233" s="28" t="s">
        <v>53</v>
      </c>
      <c r="U1233" s="28"/>
      <c r="V1233" s="28"/>
      <c r="W1233" s="43"/>
      <c r="X1233" s="342">
        <f t="shared" si="331"/>
        <v>0</v>
      </c>
      <c r="Y1233" s="342">
        <f t="shared" si="332"/>
        <v>0</v>
      </c>
      <c r="Z1233" s="46">
        <f t="shared" si="333"/>
        <v>0</v>
      </c>
      <c r="AA1233" s="46">
        <f t="shared" si="334"/>
        <v>0</v>
      </c>
      <c r="AB1233" s="43"/>
      <c r="AC1233" s="44"/>
      <c r="AD1233" s="31"/>
      <c r="AE1233" s="31"/>
      <c r="AF1233" s="31"/>
      <c r="AG1233" s="28" t="s">
        <v>53</v>
      </c>
      <c r="AH1233" s="46">
        <f t="shared" si="322"/>
        <v>0</v>
      </c>
      <c r="AI1233" s="43"/>
      <c r="AJ1233" s="28"/>
      <c r="AK1233" s="337"/>
      <c r="AL1233" s="43"/>
      <c r="AM1233" s="44">
        <f t="shared" si="323"/>
        <v>0</v>
      </c>
      <c r="AN1233" s="43"/>
      <c r="AO1233" s="28">
        <f t="shared" si="324"/>
        <v>0</v>
      </c>
      <c r="AP1233" s="43"/>
      <c r="AQ1233" s="323">
        <f t="shared" si="325"/>
        <v>0</v>
      </c>
      <c r="AR1233" s="43"/>
      <c r="AS1233" s="44"/>
    </row>
    <row r="1234" spans="1:45" outlineLevel="1" x14ac:dyDescent="0.25">
      <c r="A1234" s="28">
        <v>227</v>
      </c>
      <c r="B1234" s="43"/>
      <c r="C1234" s="43"/>
      <c r="D1234" s="43"/>
      <c r="E1234" s="43" t="str">
        <f t="shared" si="320"/>
        <v>Padrão 227</v>
      </c>
      <c r="F1234" s="43" t="str">
        <f t="shared" si="321"/>
        <v>Vazio</v>
      </c>
      <c r="G1234" s="46">
        <f t="shared" si="326"/>
        <v>0</v>
      </c>
      <c r="H1234" s="46">
        <f t="shared" si="327"/>
        <v>0</v>
      </c>
      <c r="I1234" s="28"/>
      <c r="J1234" s="337"/>
      <c r="K1234" s="46" t="str">
        <f t="shared" si="328"/>
        <v/>
      </c>
      <c r="L1234" s="46" t="str">
        <f t="shared" si="329"/>
        <v/>
      </c>
      <c r="M1234" s="338">
        <f t="shared" si="330"/>
        <v>0</v>
      </c>
      <c r="N1234" s="43"/>
      <c r="O1234" s="339" t="e">
        <f t="shared" si="263"/>
        <v>#N/A</v>
      </c>
      <c r="P1234" s="340" t="str">
        <f>IFERROR(VLOOKUP(O1234,NCM!$A$3:$D$99,COLUMN(head_porNCM_IPI)-COLUMN(head_porNCM_NCM)+1,FALSE),"")</f>
        <v/>
      </c>
      <c r="Q1234" s="43"/>
      <c r="R1234" s="78"/>
      <c r="S1234" s="341"/>
      <c r="T1234" s="28" t="s">
        <v>53</v>
      </c>
      <c r="U1234" s="28"/>
      <c r="V1234" s="28"/>
      <c r="W1234" s="43"/>
      <c r="X1234" s="342">
        <f t="shared" si="331"/>
        <v>0</v>
      </c>
      <c r="Y1234" s="342">
        <f t="shared" si="332"/>
        <v>0</v>
      </c>
      <c r="Z1234" s="46">
        <f t="shared" si="333"/>
        <v>0</v>
      </c>
      <c r="AA1234" s="46">
        <f t="shared" si="334"/>
        <v>0</v>
      </c>
      <c r="AB1234" s="43"/>
      <c r="AC1234" s="44"/>
      <c r="AD1234" s="31"/>
      <c r="AE1234" s="31"/>
      <c r="AF1234" s="31"/>
      <c r="AG1234" s="28" t="s">
        <v>53</v>
      </c>
      <c r="AH1234" s="46">
        <f t="shared" si="322"/>
        <v>0</v>
      </c>
      <c r="AI1234" s="43"/>
      <c r="AJ1234" s="28"/>
      <c r="AK1234" s="337"/>
      <c r="AL1234" s="43"/>
      <c r="AM1234" s="44">
        <f t="shared" si="323"/>
        <v>0</v>
      </c>
      <c r="AN1234" s="43"/>
      <c r="AO1234" s="28">
        <f t="shared" si="324"/>
        <v>0</v>
      </c>
      <c r="AP1234" s="43"/>
      <c r="AQ1234" s="323">
        <f t="shared" si="325"/>
        <v>0</v>
      </c>
      <c r="AR1234" s="43"/>
      <c r="AS1234" s="44"/>
    </row>
    <row r="1235" spans="1:45" outlineLevel="1" x14ac:dyDescent="0.25">
      <c r="A1235" s="28">
        <v>228</v>
      </c>
      <c r="B1235" s="43"/>
      <c r="C1235" s="43"/>
      <c r="D1235" s="43"/>
      <c r="E1235" s="43" t="str">
        <f t="shared" si="320"/>
        <v>Padrão 228</v>
      </c>
      <c r="F1235" s="43" t="str">
        <f t="shared" si="321"/>
        <v>Vazio</v>
      </c>
      <c r="G1235" s="46">
        <f t="shared" si="326"/>
        <v>0</v>
      </c>
      <c r="H1235" s="46">
        <f t="shared" si="327"/>
        <v>0</v>
      </c>
      <c r="I1235" s="28"/>
      <c r="J1235" s="337"/>
      <c r="K1235" s="46" t="str">
        <f t="shared" si="328"/>
        <v/>
      </c>
      <c r="L1235" s="46" t="str">
        <f t="shared" si="329"/>
        <v/>
      </c>
      <c r="M1235" s="338">
        <f t="shared" si="330"/>
        <v>0</v>
      </c>
      <c r="N1235" s="43"/>
      <c r="O1235" s="339" t="e">
        <f t="shared" si="263"/>
        <v>#N/A</v>
      </c>
      <c r="P1235" s="340" t="str">
        <f>IFERROR(VLOOKUP(O1235,NCM!$A$3:$D$99,COLUMN(head_porNCM_IPI)-COLUMN(head_porNCM_NCM)+1,FALSE),"")</f>
        <v/>
      </c>
      <c r="Q1235" s="43"/>
      <c r="R1235" s="78"/>
      <c r="S1235" s="341"/>
      <c r="T1235" s="28" t="s">
        <v>53</v>
      </c>
      <c r="U1235" s="28"/>
      <c r="V1235" s="28"/>
      <c r="W1235" s="43"/>
      <c r="X1235" s="342">
        <f t="shared" si="331"/>
        <v>0</v>
      </c>
      <c r="Y1235" s="342">
        <f t="shared" si="332"/>
        <v>0</v>
      </c>
      <c r="Z1235" s="46">
        <f t="shared" si="333"/>
        <v>0</v>
      </c>
      <c r="AA1235" s="46">
        <f t="shared" si="334"/>
        <v>0</v>
      </c>
      <c r="AB1235" s="43"/>
      <c r="AC1235" s="44"/>
      <c r="AD1235" s="31"/>
      <c r="AE1235" s="31"/>
      <c r="AF1235" s="31"/>
      <c r="AG1235" s="28" t="s">
        <v>53</v>
      </c>
      <c r="AH1235" s="46">
        <f t="shared" si="322"/>
        <v>0</v>
      </c>
      <c r="AI1235" s="43"/>
      <c r="AJ1235" s="28"/>
      <c r="AK1235" s="337"/>
      <c r="AL1235" s="43"/>
      <c r="AM1235" s="44">
        <f t="shared" si="323"/>
        <v>0</v>
      </c>
      <c r="AN1235" s="43"/>
      <c r="AO1235" s="28">
        <f t="shared" si="324"/>
        <v>0</v>
      </c>
      <c r="AP1235" s="43"/>
      <c r="AQ1235" s="323">
        <f t="shared" si="325"/>
        <v>0</v>
      </c>
      <c r="AR1235" s="43"/>
      <c r="AS1235" s="44"/>
    </row>
    <row r="1236" spans="1:45" outlineLevel="1" x14ac:dyDescent="0.25">
      <c r="A1236" s="28">
        <v>229</v>
      </c>
      <c r="B1236" s="43"/>
      <c r="C1236" s="43"/>
      <c r="D1236" s="43"/>
      <c r="E1236" s="43" t="str">
        <f t="shared" si="320"/>
        <v>Padrão 229</v>
      </c>
      <c r="F1236" s="43" t="str">
        <f t="shared" si="321"/>
        <v>Vazio</v>
      </c>
      <c r="G1236" s="46">
        <f t="shared" si="326"/>
        <v>0</v>
      </c>
      <c r="H1236" s="46">
        <f t="shared" si="327"/>
        <v>0</v>
      </c>
      <c r="I1236" s="28"/>
      <c r="J1236" s="337"/>
      <c r="K1236" s="46" t="str">
        <f t="shared" si="328"/>
        <v/>
      </c>
      <c r="L1236" s="46" t="str">
        <f t="shared" si="329"/>
        <v/>
      </c>
      <c r="M1236" s="338">
        <f t="shared" si="330"/>
        <v>0</v>
      </c>
      <c r="N1236" s="43"/>
      <c r="O1236" s="339" t="e">
        <f t="shared" si="263"/>
        <v>#N/A</v>
      </c>
      <c r="P1236" s="340" t="str">
        <f>IFERROR(VLOOKUP(O1236,NCM!$A$3:$D$99,COLUMN(head_porNCM_IPI)-COLUMN(head_porNCM_NCM)+1,FALSE),"")</f>
        <v/>
      </c>
      <c r="Q1236" s="43"/>
      <c r="R1236" s="78"/>
      <c r="S1236" s="341"/>
      <c r="T1236" s="28" t="s">
        <v>53</v>
      </c>
      <c r="U1236" s="28"/>
      <c r="V1236" s="28"/>
      <c r="W1236" s="43"/>
      <c r="X1236" s="342">
        <f t="shared" si="331"/>
        <v>0</v>
      </c>
      <c r="Y1236" s="342">
        <f t="shared" si="332"/>
        <v>0</v>
      </c>
      <c r="Z1236" s="46">
        <f t="shared" si="333"/>
        <v>0</v>
      </c>
      <c r="AA1236" s="46">
        <f t="shared" si="334"/>
        <v>0</v>
      </c>
      <c r="AB1236" s="43"/>
      <c r="AC1236" s="44"/>
      <c r="AD1236" s="31"/>
      <c r="AE1236" s="31"/>
      <c r="AF1236" s="31"/>
      <c r="AG1236" s="28" t="s">
        <v>53</v>
      </c>
      <c r="AH1236" s="46">
        <f t="shared" si="322"/>
        <v>0</v>
      </c>
      <c r="AI1236" s="43"/>
      <c r="AJ1236" s="28"/>
      <c r="AK1236" s="337"/>
      <c r="AL1236" s="43"/>
      <c r="AM1236" s="44">
        <f t="shared" si="323"/>
        <v>0</v>
      </c>
      <c r="AN1236" s="43"/>
      <c r="AO1236" s="28">
        <f t="shared" si="324"/>
        <v>0</v>
      </c>
      <c r="AP1236" s="43"/>
      <c r="AQ1236" s="323">
        <f t="shared" si="325"/>
        <v>0</v>
      </c>
      <c r="AR1236" s="43"/>
      <c r="AS1236" s="44"/>
    </row>
    <row r="1237" spans="1:45" outlineLevel="1" x14ac:dyDescent="0.25">
      <c r="A1237" s="28">
        <v>230</v>
      </c>
      <c r="B1237" s="43"/>
      <c r="C1237" s="43"/>
      <c r="D1237" s="43"/>
      <c r="E1237" s="43" t="str">
        <f t="shared" si="320"/>
        <v>Padrão 230</v>
      </c>
      <c r="F1237" s="43" t="str">
        <f t="shared" si="321"/>
        <v>Vazio</v>
      </c>
      <c r="G1237" s="46">
        <f t="shared" si="326"/>
        <v>0</v>
      </c>
      <c r="H1237" s="46">
        <f t="shared" si="327"/>
        <v>0</v>
      </c>
      <c r="I1237" s="28"/>
      <c r="J1237" s="337"/>
      <c r="K1237" s="46" t="str">
        <f t="shared" si="328"/>
        <v/>
      </c>
      <c r="L1237" s="46" t="str">
        <f t="shared" si="329"/>
        <v/>
      </c>
      <c r="M1237" s="338">
        <f t="shared" si="330"/>
        <v>0</v>
      </c>
      <c r="N1237" s="43"/>
      <c r="O1237" s="339" t="e">
        <f t="shared" si="263"/>
        <v>#N/A</v>
      </c>
      <c r="P1237" s="340" t="str">
        <f>IFERROR(VLOOKUP(O1237,NCM!$A$3:$D$99,COLUMN(head_porNCM_IPI)-COLUMN(head_porNCM_NCM)+1,FALSE),"")</f>
        <v/>
      </c>
      <c r="Q1237" s="43"/>
      <c r="R1237" s="78"/>
      <c r="S1237" s="341"/>
      <c r="T1237" s="28" t="s">
        <v>53</v>
      </c>
      <c r="U1237" s="28"/>
      <c r="V1237" s="28"/>
      <c r="W1237" s="43"/>
      <c r="X1237" s="342">
        <f t="shared" si="331"/>
        <v>0</v>
      </c>
      <c r="Y1237" s="342">
        <f t="shared" si="332"/>
        <v>0</v>
      </c>
      <c r="Z1237" s="46">
        <f t="shared" si="333"/>
        <v>0</v>
      </c>
      <c r="AA1237" s="46">
        <f t="shared" si="334"/>
        <v>0</v>
      </c>
      <c r="AB1237" s="43"/>
      <c r="AC1237" s="44"/>
      <c r="AD1237" s="31"/>
      <c r="AE1237" s="31"/>
      <c r="AF1237" s="31"/>
      <c r="AG1237" s="28" t="s">
        <v>53</v>
      </c>
      <c r="AH1237" s="46">
        <f t="shared" si="322"/>
        <v>0</v>
      </c>
      <c r="AI1237" s="43"/>
      <c r="AJ1237" s="28"/>
      <c r="AK1237" s="337"/>
      <c r="AL1237" s="43"/>
      <c r="AM1237" s="44">
        <f t="shared" si="323"/>
        <v>0</v>
      </c>
      <c r="AN1237" s="43"/>
      <c r="AO1237" s="28">
        <f t="shared" si="324"/>
        <v>0</v>
      </c>
      <c r="AP1237" s="43"/>
      <c r="AQ1237" s="323">
        <f t="shared" si="325"/>
        <v>0</v>
      </c>
      <c r="AR1237" s="43"/>
      <c r="AS1237" s="44"/>
    </row>
    <row r="1238" spans="1:45" outlineLevel="1" x14ac:dyDescent="0.25">
      <c r="A1238" s="28">
        <v>231</v>
      </c>
      <c r="B1238" s="43"/>
      <c r="C1238" s="43"/>
      <c r="D1238" s="43"/>
      <c r="E1238" s="43" t="str">
        <f t="shared" si="320"/>
        <v>Padrão 231</v>
      </c>
      <c r="F1238" s="43" t="str">
        <f t="shared" si="321"/>
        <v>Vazio</v>
      </c>
      <c r="G1238" s="46">
        <f t="shared" si="326"/>
        <v>0</v>
      </c>
      <c r="H1238" s="46">
        <f t="shared" si="327"/>
        <v>0</v>
      </c>
      <c r="I1238" s="28"/>
      <c r="J1238" s="337"/>
      <c r="K1238" s="46" t="str">
        <f t="shared" si="328"/>
        <v/>
      </c>
      <c r="L1238" s="46" t="str">
        <f t="shared" si="329"/>
        <v/>
      </c>
      <c r="M1238" s="338">
        <f t="shared" si="330"/>
        <v>0</v>
      </c>
      <c r="N1238" s="43"/>
      <c r="O1238" s="339" t="e">
        <f t="shared" si="263"/>
        <v>#N/A</v>
      </c>
      <c r="P1238" s="340" t="str">
        <f>IFERROR(VLOOKUP(O1238,NCM!$A$3:$D$99,COLUMN(head_porNCM_IPI)-COLUMN(head_porNCM_NCM)+1,FALSE),"")</f>
        <v/>
      </c>
      <c r="Q1238" s="43"/>
      <c r="R1238" s="78"/>
      <c r="S1238" s="341"/>
      <c r="T1238" s="28" t="s">
        <v>53</v>
      </c>
      <c r="U1238" s="28"/>
      <c r="V1238" s="28"/>
      <c r="W1238" s="43"/>
      <c r="X1238" s="342">
        <f t="shared" si="331"/>
        <v>0</v>
      </c>
      <c r="Y1238" s="342">
        <f t="shared" si="332"/>
        <v>0</v>
      </c>
      <c r="Z1238" s="46">
        <f t="shared" si="333"/>
        <v>0</v>
      </c>
      <c r="AA1238" s="46">
        <f t="shared" si="334"/>
        <v>0</v>
      </c>
      <c r="AB1238" s="43"/>
      <c r="AC1238" s="44"/>
      <c r="AD1238" s="31"/>
      <c r="AE1238" s="31"/>
      <c r="AF1238" s="31"/>
      <c r="AG1238" s="28" t="s">
        <v>53</v>
      </c>
      <c r="AH1238" s="46">
        <f t="shared" si="322"/>
        <v>0</v>
      </c>
      <c r="AI1238" s="43"/>
      <c r="AJ1238" s="28"/>
      <c r="AK1238" s="337"/>
      <c r="AL1238" s="43"/>
      <c r="AM1238" s="44">
        <f t="shared" si="323"/>
        <v>0</v>
      </c>
      <c r="AN1238" s="43"/>
      <c r="AO1238" s="28">
        <f t="shared" si="324"/>
        <v>0</v>
      </c>
      <c r="AP1238" s="43"/>
      <c r="AQ1238" s="323">
        <f t="shared" si="325"/>
        <v>0</v>
      </c>
      <c r="AR1238" s="43"/>
      <c r="AS1238" s="44"/>
    </row>
    <row r="1239" spans="1:45" outlineLevel="1" x14ac:dyDescent="0.25">
      <c r="A1239" s="28">
        <v>232</v>
      </c>
      <c r="B1239" s="43"/>
      <c r="C1239" s="43"/>
      <c r="D1239" s="43"/>
      <c r="E1239" s="43" t="str">
        <f t="shared" si="320"/>
        <v>Padrão 232</v>
      </c>
      <c r="F1239" s="43" t="str">
        <f t="shared" si="321"/>
        <v>Vazio</v>
      </c>
      <c r="G1239" s="46">
        <f t="shared" si="326"/>
        <v>0</v>
      </c>
      <c r="H1239" s="46">
        <f t="shared" si="327"/>
        <v>0</v>
      </c>
      <c r="I1239" s="28"/>
      <c r="J1239" s="337"/>
      <c r="K1239" s="46" t="str">
        <f t="shared" si="328"/>
        <v/>
      </c>
      <c r="L1239" s="46" t="str">
        <f t="shared" si="329"/>
        <v/>
      </c>
      <c r="M1239" s="338">
        <f t="shared" si="330"/>
        <v>0</v>
      </c>
      <c r="N1239" s="43"/>
      <c r="O1239" s="339" t="e">
        <f t="shared" si="263"/>
        <v>#N/A</v>
      </c>
      <c r="P1239" s="340" t="str">
        <f>IFERROR(VLOOKUP(O1239,NCM!$A$3:$D$99,COLUMN(head_porNCM_IPI)-COLUMN(head_porNCM_NCM)+1,FALSE),"")</f>
        <v/>
      </c>
      <c r="Q1239" s="43"/>
      <c r="R1239" s="78"/>
      <c r="S1239" s="341"/>
      <c r="T1239" s="28" t="s">
        <v>53</v>
      </c>
      <c r="U1239" s="28"/>
      <c r="V1239" s="28"/>
      <c r="W1239" s="43"/>
      <c r="X1239" s="342">
        <f t="shared" si="331"/>
        <v>0</v>
      </c>
      <c r="Y1239" s="342">
        <f t="shared" si="332"/>
        <v>0</v>
      </c>
      <c r="Z1239" s="46">
        <f t="shared" si="333"/>
        <v>0</v>
      </c>
      <c r="AA1239" s="46">
        <f t="shared" si="334"/>
        <v>0</v>
      </c>
      <c r="AB1239" s="43"/>
      <c r="AC1239" s="44"/>
      <c r="AD1239" s="31"/>
      <c r="AE1239" s="31"/>
      <c r="AF1239" s="31"/>
      <c r="AG1239" s="28" t="s">
        <v>53</v>
      </c>
      <c r="AH1239" s="46">
        <f t="shared" si="322"/>
        <v>0</v>
      </c>
      <c r="AI1239" s="43"/>
      <c r="AJ1239" s="28"/>
      <c r="AK1239" s="337"/>
      <c r="AL1239" s="43"/>
      <c r="AM1239" s="44">
        <f t="shared" si="323"/>
        <v>0</v>
      </c>
      <c r="AN1239" s="43"/>
      <c r="AO1239" s="28">
        <f t="shared" si="324"/>
        <v>0</v>
      </c>
      <c r="AP1239" s="43"/>
      <c r="AQ1239" s="323">
        <f t="shared" si="325"/>
        <v>0</v>
      </c>
      <c r="AR1239" s="43"/>
      <c r="AS1239" s="44"/>
    </row>
    <row r="1240" spans="1:45" outlineLevel="1" x14ac:dyDescent="0.25">
      <c r="A1240" s="28">
        <v>233</v>
      </c>
      <c r="B1240" s="43"/>
      <c r="C1240" s="43"/>
      <c r="D1240" s="43"/>
      <c r="E1240" s="43" t="str">
        <f t="shared" si="320"/>
        <v>Padrão 233</v>
      </c>
      <c r="F1240" s="43" t="str">
        <f t="shared" si="321"/>
        <v>Vazio</v>
      </c>
      <c r="G1240" s="46">
        <f t="shared" si="326"/>
        <v>0</v>
      </c>
      <c r="H1240" s="46">
        <f t="shared" si="327"/>
        <v>0</v>
      </c>
      <c r="I1240" s="28"/>
      <c r="J1240" s="337"/>
      <c r="K1240" s="46" t="str">
        <f t="shared" si="328"/>
        <v/>
      </c>
      <c r="L1240" s="46" t="str">
        <f t="shared" si="329"/>
        <v/>
      </c>
      <c r="M1240" s="338">
        <f t="shared" si="330"/>
        <v>0</v>
      </c>
      <c r="N1240" s="43"/>
      <c r="O1240" s="339" t="e">
        <f t="shared" si="263"/>
        <v>#N/A</v>
      </c>
      <c r="P1240" s="340" t="str">
        <f>IFERROR(VLOOKUP(O1240,NCM!$A$3:$D$99,COLUMN(head_porNCM_IPI)-COLUMN(head_porNCM_NCM)+1,FALSE),"")</f>
        <v/>
      </c>
      <c r="Q1240" s="43"/>
      <c r="R1240" s="78"/>
      <c r="S1240" s="341"/>
      <c r="T1240" s="28" t="s">
        <v>53</v>
      </c>
      <c r="U1240" s="28"/>
      <c r="V1240" s="28"/>
      <c r="W1240" s="43"/>
      <c r="X1240" s="342">
        <f t="shared" si="331"/>
        <v>0</v>
      </c>
      <c r="Y1240" s="342">
        <f t="shared" si="332"/>
        <v>0</v>
      </c>
      <c r="Z1240" s="46">
        <f t="shared" si="333"/>
        <v>0</v>
      </c>
      <c r="AA1240" s="46">
        <f t="shared" si="334"/>
        <v>0</v>
      </c>
      <c r="AB1240" s="43"/>
      <c r="AC1240" s="44"/>
      <c r="AD1240" s="31"/>
      <c r="AE1240" s="31"/>
      <c r="AF1240" s="31"/>
      <c r="AG1240" s="28" t="s">
        <v>53</v>
      </c>
      <c r="AH1240" s="46">
        <f t="shared" si="322"/>
        <v>0</v>
      </c>
      <c r="AI1240" s="43"/>
      <c r="AJ1240" s="28"/>
      <c r="AK1240" s="337"/>
      <c r="AL1240" s="43"/>
      <c r="AM1240" s="44">
        <f t="shared" si="323"/>
        <v>0</v>
      </c>
      <c r="AN1240" s="43"/>
      <c r="AO1240" s="28">
        <f t="shared" si="324"/>
        <v>0</v>
      </c>
      <c r="AP1240" s="43"/>
      <c r="AQ1240" s="323">
        <f t="shared" si="325"/>
        <v>0</v>
      </c>
      <c r="AR1240" s="43"/>
      <c r="AS1240" s="44"/>
    </row>
    <row r="1241" spans="1:45" outlineLevel="1" x14ac:dyDescent="0.25">
      <c r="A1241" s="28">
        <v>234</v>
      </c>
      <c r="B1241" s="43"/>
      <c r="C1241" s="43"/>
      <c r="D1241" s="43"/>
      <c r="E1241" s="43" t="str">
        <f t="shared" si="320"/>
        <v>Padrão 234</v>
      </c>
      <c r="F1241" s="43" t="str">
        <f t="shared" si="321"/>
        <v>Vazio</v>
      </c>
      <c r="G1241" s="46">
        <f t="shared" si="326"/>
        <v>0</v>
      </c>
      <c r="H1241" s="46">
        <f t="shared" si="327"/>
        <v>0</v>
      </c>
      <c r="I1241" s="28"/>
      <c r="J1241" s="337"/>
      <c r="K1241" s="46" t="str">
        <f t="shared" si="328"/>
        <v/>
      </c>
      <c r="L1241" s="46" t="str">
        <f t="shared" si="329"/>
        <v/>
      </c>
      <c r="M1241" s="338">
        <f t="shared" si="330"/>
        <v>0</v>
      </c>
      <c r="N1241" s="43"/>
      <c r="O1241" s="339" t="e">
        <f t="shared" si="263"/>
        <v>#N/A</v>
      </c>
      <c r="P1241" s="340" t="str">
        <f>IFERROR(VLOOKUP(O1241,NCM!$A$3:$D$99,COLUMN(head_porNCM_IPI)-COLUMN(head_porNCM_NCM)+1,FALSE),"")</f>
        <v/>
      </c>
      <c r="Q1241" s="43"/>
      <c r="R1241" s="78"/>
      <c r="S1241" s="341"/>
      <c r="T1241" s="28" t="s">
        <v>53</v>
      </c>
      <c r="U1241" s="28"/>
      <c r="V1241" s="28"/>
      <c r="W1241" s="43"/>
      <c r="X1241" s="342">
        <f t="shared" si="331"/>
        <v>0</v>
      </c>
      <c r="Y1241" s="342">
        <f t="shared" si="332"/>
        <v>0</v>
      </c>
      <c r="Z1241" s="46">
        <f t="shared" si="333"/>
        <v>0</v>
      </c>
      <c r="AA1241" s="46">
        <f t="shared" si="334"/>
        <v>0</v>
      </c>
      <c r="AB1241" s="43"/>
      <c r="AC1241" s="44"/>
      <c r="AD1241" s="31"/>
      <c r="AE1241" s="31"/>
      <c r="AF1241" s="31"/>
      <c r="AG1241" s="28" t="s">
        <v>53</v>
      </c>
      <c r="AH1241" s="46">
        <f t="shared" si="322"/>
        <v>0</v>
      </c>
      <c r="AI1241" s="43"/>
      <c r="AJ1241" s="28"/>
      <c r="AK1241" s="337"/>
      <c r="AL1241" s="43"/>
      <c r="AM1241" s="44">
        <f t="shared" si="323"/>
        <v>0</v>
      </c>
      <c r="AN1241" s="43"/>
      <c r="AO1241" s="28">
        <f t="shared" si="324"/>
        <v>0</v>
      </c>
      <c r="AP1241" s="43"/>
      <c r="AQ1241" s="323">
        <f t="shared" si="325"/>
        <v>0</v>
      </c>
      <c r="AR1241" s="43"/>
      <c r="AS1241" s="44"/>
    </row>
    <row r="1242" spans="1:45" outlineLevel="1" x14ac:dyDescent="0.25">
      <c r="A1242" s="28">
        <v>235</v>
      </c>
      <c r="B1242" s="43"/>
      <c r="C1242" s="43"/>
      <c r="D1242" s="43"/>
      <c r="E1242" s="43" t="str">
        <f t="shared" si="320"/>
        <v>Padrão 235</v>
      </c>
      <c r="F1242" s="43" t="str">
        <f t="shared" si="321"/>
        <v>Vazio</v>
      </c>
      <c r="G1242" s="46">
        <f t="shared" si="326"/>
        <v>0</v>
      </c>
      <c r="H1242" s="46">
        <f t="shared" si="327"/>
        <v>0</v>
      </c>
      <c r="I1242" s="28"/>
      <c r="J1242" s="337"/>
      <c r="K1242" s="46" t="str">
        <f t="shared" si="328"/>
        <v/>
      </c>
      <c r="L1242" s="46" t="str">
        <f t="shared" si="329"/>
        <v/>
      </c>
      <c r="M1242" s="338">
        <f t="shared" si="330"/>
        <v>0</v>
      </c>
      <c r="N1242" s="43"/>
      <c r="O1242" s="339" t="e">
        <f t="shared" si="263"/>
        <v>#N/A</v>
      </c>
      <c r="P1242" s="340" t="str">
        <f>IFERROR(VLOOKUP(O1242,NCM!$A$3:$D$99,COLUMN(head_porNCM_IPI)-COLUMN(head_porNCM_NCM)+1,FALSE),"")</f>
        <v/>
      </c>
      <c r="Q1242" s="43"/>
      <c r="R1242" s="78"/>
      <c r="S1242" s="341"/>
      <c r="T1242" s="28" t="s">
        <v>53</v>
      </c>
      <c r="U1242" s="28"/>
      <c r="V1242" s="28"/>
      <c r="W1242" s="43"/>
      <c r="X1242" s="342">
        <f t="shared" si="331"/>
        <v>0</v>
      </c>
      <c r="Y1242" s="342">
        <f t="shared" si="332"/>
        <v>0</v>
      </c>
      <c r="Z1242" s="46">
        <f t="shared" si="333"/>
        <v>0</v>
      </c>
      <c r="AA1242" s="46">
        <f t="shared" si="334"/>
        <v>0</v>
      </c>
      <c r="AB1242" s="43"/>
      <c r="AC1242" s="44"/>
      <c r="AD1242" s="31"/>
      <c r="AE1242" s="31"/>
      <c r="AF1242" s="31"/>
      <c r="AG1242" s="28" t="s">
        <v>53</v>
      </c>
      <c r="AH1242" s="46">
        <f t="shared" si="322"/>
        <v>0</v>
      </c>
      <c r="AI1242" s="43"/>
      <c r="AJ1242" s="28"/>
      <c r="AK1242" s="337"/>
      <c r="AL1242" s="43"/>
      <c r="AM1242" s="44">
        <f t="shared" si="323"/>
        <v>0</v>
      </c>
      <c r="AN1242" s="43"/>
      <c r="AO1242" s="28">
        <f t="shared" si="324"/>
        <v>0</v>
      </c>
      <c r="AP1242" s="43"/>
      <c r="AQ1242" s="323">
        <f t="shared" si="325"/>
        <v>0</v>
      </c>
      <c r="AR1242" s="43"/>
      <c r="AS1242" s="44"/>
    </row>
    <row r="1243" spans="1:45" outlineLevel="1" x14ac:dyDescent="0.25">
      <c r="A1243" s="28">
        <v>236</v>
      </c>
      <c r="B1243" s="43"/>
      <c r="C1243" s="43"/>
      <c r="D1243" s="43"/>
      <c r="E1243" s="43" t="str">
        <f t="shared" si="320"/>
        <v>Padrão 236</v>
      </c>
      <c r="F1243" s="43" t="str">
        <f t="shared" si="321"/>
        <v>Vazio</v>
      </c>
      <c r="G1243" s="46">
        <f t="shared" si="287"/>
        <v>0</v>
      </c>
      <c r="H1243" s="46">
        <f t="shared" si="288"/>
        <v>0</v>
      </c>
      <c r="I1243" s="28"/>
      <c r="J1243" s="337"/>
      <c r="K1243" s="46" t="str">
        <f t="shared" si="289"/>
        <v/>
      </c>
      <c r="L1243" s="46" t="str">
        <f t="shared" si="290"/>
        <v/>
      </c>
      <c r="M1243" s="338">
        <f t="shared" si="291"/>
        <v>0</v>
      </c>
      <c r="N1243" s="43"/>
      <c r="O1243" s="339" t="e">
        <f t="shared" si="263"/>
        <v>#N/A</v>
      </c>
      <c r="P1243" s="340" t="str">
        <f>IFERROR(VLOOKUP(O1243,NCM!$A$3:$D$99,COLUMN(head_porNCM_IPI)-COLUMN(head_porNCM_NCM)+1,FALSE),"")</f>
        <v/>
      </c>
      <c r="Q1243" s="43"/>
      <c r="R1243" s="78"/>
      <c r="S1243" s="341"/>
      <c r="T1243" s="28" t="s">
        <v>53</v>
      </c>
      <c r="U1243" s="28"/>
      <c r="V1243" s="28"/>
      <c r="W1243" s="43"/>
      <c r="X1243" s="342">
        <f t="shared" si="292"/>
        <v>0</v>
      </c>
      <c r="Y1243" s="342">
        <f t="shared" si="293"/>
        <v>0</v>
      </c>
      <c r="Z1243" s="46">
        <f t="shared" si="294"/>
        <v>0</v>
      </c>
      <c r="AA1243" s="46">
        <f t="shared" si="295"/>
        <v>0</v>
      </c>
      <c r="AB1243" s="43"/>
      <c r="AC1243" s="44"/>
      <c r="AD1243" s="31"/>
      <c r="AE1243" s="31"/>
      <c r="AF1243" s="31"/>
      <c r="AG1243" s="28" t="s">
        <v>53</v>
      </c>
      <c r="AH1243" s="46">
        <f t="shared" si="322"/>
        <v>0</v>
      </c>
      <c r="AI1243" s="43"/>
      <c r="AJ1243" s="28"/>
      <c r="AK1243" s="337"/>
      <c r="AL1243" s="43"/>
      <c r="AM1243" s="44">
        <f t="shared" si="323"/>
        <v>0</v>
      </c>
      <c r="AN1243" s="43"/>
      <c r="AO1243" s="28">
        <f t="shared" si="324"/>
        <v>0</v>
      </c>
      <c r="AP1243" s="43"/>
      <c r="AQ1243" s="323">
        <f t="shared" si="325"/>
        <v>0</v>
      </c>
      <c r="AR1243" s="43"/>
      <c r="AS1243" s="44"/>
    </row>
    <row r="1244" spans="1:45" outlineLevel="1" x14ac:dyDescent="0.25">
      <c r="A1244" s="28">
        <v>237</v>
      </c>
      <c r="B1244" s="43"/>
      <c r="C1244" s="43"/>
      <c r="D1244" s="43"/>
      <c r="E1244" s="43" t="str">
        <f t="shared" si="320"/>
        <v>Padrão 237</v>
      </c>
      <c r="F1244" s="43" t="str">
        <f t="shared" si="321"/>
        <v>Vazio</v>
      </c>
      <c r="G1244" s="46">
        <f t="shared" si="287"/>
        <v>0</v>
      </c>
      <c r="H1244" s="46">
        <f t="shared" si="288"/>
        <v>0</v>
      </c>
      <c r="I1244" s="28"/>
      <c r="J1244" s="337"/>
      <c r="K1244" s="46" t="str">
        <f t="shared" si="289"/>
        <v/>
      </c>
      <c r="L1244" s="46" t="str">
        <f t="shared" si="290"/>
        <v/>
      </c>
      <c r="M1244" s="338">
        <f t="shared" si="291"/>
        <v>0</v>
      </c>
      <c r="N1244" s="43"/>
      <c r="O1244" s="339" t="e">
        <f t="shared" si="263"/>
        <v>#N/A</v>
      </c>
      <c r="P1244" s="340" t="str">
        <f>IFERROR(VLOOKUP(O1244,NCM!$A$3:$D$99,COLUMN(head_porNCM_IPI)-COLUMN(head_porNCM_NCM)+1,FALSE),"")</f>
        <v/>
      </c>
      <c r="Q1244" s="43"/>
      <c r="R1244" s="78"/>
      <c r="S1244" s="341"/>
      <c r="T1244" s="28" t="s">
        <v>53</v>
      </c>
      <c r="U1244" s="28"/>
      <c r="V1244" s="28"/>
      <c r="W1244" s="43"/>
      <c r="X1244" s="342">
        <f t="shared" si="292"/>
        <v>0</v>
      </c>
      <c r="Y1244" s="342">
        <f t="shared" si="293"/>
        <v>0</v>
      </c>
      <c r="Z1244" s="46">
        <f t="shared" si="294"/>
        <v>0</v>
      </c>
      <c r="AA1244" s="46">
        <f t="shared" si="295"/>
        <v>0</v>
      </c>
      <c r="AB1244" s="43"/>
      <c r="AC1244" s="44"/>
      <c r="AD1244" s="31"/>
      <c r="AE1244" s="31"/>
      <c r="AF1244" s="31"/>
      <c r="AG1244" s="28" t="s">
        <v>53</v>
      </c>
      <c r="AH1244" s="46">
        <f t="shared" si="322"/>
        <v>0</v>
      </c>
      <c r="AI1244" s="43"/>
      <c r="AJ1244" s="28"/>
      <c r="AK1244" s="337"/>
      <c r="AL1244" s="43"/>
      <c r="AM1244" s="44">
        <f t="shared" si="323"/>
        <v>0</v>
      </c>
      <c r="AN1244" s="43"/>
      <c r="AO1244" s="28">
        <f t="shared" si="324"/>
        <v>0</v>
      </c>
      <c r="AP1244" s="43"/>
      <c r="AQ1244" s="323">
        <f t="shared" si="325"/>
        <v>0</v>
      </c>
      <c r="AR1244" s="43"/>
      <c r="AS1244" s="44"/>
    </row>
    <row r="1245" spans="1:45" outlineLevel="1" x14ac:dyDescent="0.25">
      <c r="A1245" s="28">
        <v>238</v>
      </c>
      <c r="B1245" s="43"/>
      <c r="C1245" s="43"/>
      <c r="D1245" s="43"/>
      <c r="E1245" s="43" t="str">
        <f t="shared" si="320"/>
        <v>Padrão 238</v>
      </c>
      <c r="F1245" s="43" t="str">
        <f t="shared" si="321"/>
        <v>Vazio</v>
      </c>
      <c r="G1245" s="46">
        <f t="shared" si="287"/>
        <v>0</v>
      </c>
      <c r="H1245" s="46">
        <f t="shared" si="288"/>
        <v>0</v>
      </c>
      <c r="I1245" s="28"/>
      <c r="J1245" s="337"/>
      <c r="K1245" s="46" t="str">
        <f t="shared" si="289"/>
        <v/>
      </c>
      <c r="L1245" s="46" t="str">
        <f t="shared" si="290"/>
        <v/>
      </c>
      <c r="M1245" s="338">
        <f t="shared" si="291"/>
        <v>0</v>
      </c>
      <c r="N1245" s="43"/>
      <c r="O1245" s="339" t="e">
        <f t="shared" si="263"/>
        <v>#N/A</v>
      </c>
      <c r="P1245" s="340" t="str">
        <f>IFERROR(VLOOKUP(O1245,NCM!$A$3:$D$99,COLUMN(head_porNCM_IPI)-COLUMN(head_porNCM_NCM)+1,FALSE),"")</f>
        <v/>
      </c>
      <c r="Q1245" s="43"/>
      <c r="R1245" s="78"/>
      <c r="S1245" s="341"/>
      <c r="T1245" s="28" t="s">
        <v>53</v>
      </c>
      <c r="U1245" s="28"/>
      <c r="V1245" s="28"/>
      <c r="W1245" s="43"/>
      <c r="X1245" s="342">
        <f t="shared" si="292"/>
        <v>0</v>
      </c>
      <c r="Y1245" s="342">
        <f t="shared" si="293"/>
        <v>0</v>
      </c>
      <c r="Z1245" s="46">
        <f t="shared" si="294"/>
        <v>0</v>
      </c>
      <c r="AA1245" s="46">
        <f t="shared" si="295"/>
        <v>0</v>
      </c>
      <c r="AB1245" s="43"/>
      <c r="AC1245" s="44"/>
      <c r="AD1245" s="31"/>
      <c r="AE1245" s="31"/>
      <c r="AF1245" s="31"/>
      <c r="AG1245" s="28" t="s">
        <v>53</v>
      </c>
      <c r="AH1245" s="46">
        <f t="shared" si="322"/>
        <v>0</v>
      </c>
      <c r="AI1245" s="43"/>
      <c r="AJ1245" s="28"/>
      <c r="AK1245" s="337"/>
      <c r="AL1245" s="43"/>
      <c r="AM1245" s="44">
        <f t="shared" si="323"/>
        <v>0</v>
      </c>
      <c r="AN1245" s="43"/>
      <c r="AO1245" s="28">
        <f t="shared" si="324"/>
        <v>0</v>
      </c>
      <c r="AP1245" s="43"/>
      <c r="AQ1245" s="323">
        <f t="shared" si="325"/>
        <v>0</v>
      </c>
      <c r="AR1245" s="43"/>
      <c r="AS1245" s="44"/>
    </row>
    <row r="1246" spans="1:45" outlineLevel="1" x14ac:dyDescent="0.25">
      <c r="A1246" s="28">
        <v>239</v>
      </c>
      <c r="B1246" s="43"/>
      <c r="C1246" s="43"/>
      <c r="D1246" s="43"/>
      <c r="E1246" s="43" t="str">
        <f t="shared" si="320"/>
        <v>Padrão 239</v>
      </c>
      <c r="F1246" s="43" t="str">
        <f t="shared" si="321"/>
        <v>Vazio</v>
      </c>
      <c r="G1246" s="46">
        <f t="shared" si="258"/>
        <v>0</v>
      </c>
      <c r="H1246" s="46">
        <f t="shared" si="259"/>
        <v>0</v>
      </c>
      <c r="I1246" s="28"/>
      <c r="J1246" s="337"/>
      <c r="K1246" s="46" t="str">
        <f t="shared" si="260"/>
        <v/>
      </c>
      <c r="L1246" s="46" t="str">
        <f t="shared" si="261"/>
        <v/>
      </c>
      <c r="M1246" s="338">
        <f t="shared" si="262"/>
        <v>0</v>
      </c>
      <c r="N1246" s="43"/>
      <c r="O1246" s="339" t="e">
        <f t="shared" si="263"/>
        <v>#N/A</v>
      </c>
      <c r="P1246" s="340" t="str">
        <f>IFERROR(VLOOKUP(O1246,NCM!$A$3:$D$99,COLUMN(head_porNCM_IPI)-COLUMN(head_porNCM_NCM)+1,FALSE),"")</f>
        <v/>
      </c>
      <c r="Q1246" s="43"/>
      <c r="R1246" s="78"/>
      <c r="S1246" s="341"/>
      <c r="T1246" s="28" t="s">
        <v>53</v>
      </c>
      <c r="U1246" s="28"/>
      <c r="V1246" s="28"/>
      <c r="W1246" s="43"/>
      <c r="X1246" s="342">
        <f t="shared" si="264"/>
        <v>0</v>
      </c>
      <c r="Y1246" s="342">
        <f t="shared" si="265"/>
        <v>0</v>
      </c>
      <c r="Z1246" s="46">
        <f t="shared" si="266"/>
        <v>0</v>
      </c>
      <c r="AA1246" s="46">
        <f t="shared" si="267"/>
        <v>0</v>
      </c>
      <c r="AB1246" s="43"/>
      <c r="AC1246" s="44"/>
      <c r="AD1246" s="31"/>
      <c r="AE1246" s="31"/>
      <c r="AF1246" s="31"/>
      <c r="AG1246" s="28" t="s">
        <v>53</v>
      </c>
      <c r="AH1246" s="46">
        <f t="shared" si="322"/>
        <v>0</v>
      </c>
      <c r="AI1246" s="43"/>
      <c r="AJ1246" s="28"/>
      <c r="AK1246" s="337"/>
      <c r="AL1246" s="43"/>
      <c r="AM1246" s="44">
        <f t="shared" si="323"/>
        <v>0</v>
      </c>
      <c r="AN1246" s="43"/>
      <c r="AO1246" s="28">
        <f t="shared" si="324"/>
        <v>0</v>
      </c>
      <c r="AP1246" s="43"/>
      <c r="AQ1246" s="323">
        <f t="shared" si="325"/>
        <v>0</v>
      </c>
      <c r="AR1246" s="43"/>
      <c r="AS1246" s="44"/>
    </row>
    <row r="1247" spans="1:45" outlineLevel="1" x14ac:dyDescent="0.25">
      <c r="A1247" s="28">
        <v>240</v>
      </c>
      <c r="B1247" s="43"/>
      <c r="C1247" s="43"/>
      <c r="D1247" s="43"/>
      <c r="E1247" s="43" t="str">
        <f t="shared" si="320"/>
        <v>Padrão 240</v>
      </c>
      <c r="F1247" s="43" t="str">
        <f t="shared" si="321"/>
        <v>Vazio</v>
      </c>
      <c r="G1247" s="46">
        <f t="shared" si="258"/>
        <v>0</v>
      </c>
      <c r="H1247" s="46">
        <f t="shared" si="259"/>
        <v>0</v>
      </c>
      <c r="I1247" s="28"/>
      <c r="J1247" s="337"/>
      <c r="K1247" s="46" t="str">
        <f t="shared" si="260"/>
        <v/>
      </c>
      <c r="L1247" s="46" t="str">
        <f t="shared" si="261"/>
        <v/>
      </c>
      <c r="M1247" s="338">
        <f t="shared" si="262"/>
        <v>0</v>
      </c>
      <c r="N1247" s="43"/>
      <c r="O1247" s="339" t="e">
        <f t="shared" si="263"/>
        <v>#N/A</v>
      </c>
      <c r="P1247" s="340" t="str">
        <f>IFERROR(VLOOKUP(O1247,NCM!$A$3:$D$99,COLUMN(head_porNCM_IPI)-COLUMN(head_porNCM_NCM)+1,FALSE),"")</f>
        <v/>
      </c>
      <c r="Q1247" s="43"/>
      <c r="R1247" s="78"/>
      <c r="S1247" s="341"/>
      <c r="T1247" s="28" t="s">
        <v>53</v>
      </c>
      <c r="U1247" s="28"/>
      <c r="V1247" s="28"/>
      <c r="W1247" s="43"/>
      <c r="X1247" s="342">
        <f t="shared" si="264"/>
        <v>0</v>
      </c>
      <c r="Y1247" s="342">
        <f t="shared" si="265"/>
        <v>0</v>
      </c>
      <c r="Z1247" s="46">
        <f t="shared" si="266"/>
        <v>0</v>
      </c>
      <c r="AA1247" s="46">
        <f t="shared" si="267"/>
        <v>0</v>
      </c>
      <c r="AB1247" s="43"/>
      <c r="AC1247" s="44"/>
      <c r="AD1247" s="31"/>
      <c r="AE1247" s="31"/>
      <c r="AF1247" s="31"/>
      <c r="AG1247" s="28" t="s">
        <v>53</v>
      </c>
      <c r="AH1247" s="46">
        <f t="shared" si="322"/>
        <v>0</v>
      </c>
      <c r="AI1247" s="43"/>
      <c r="AJ1247" s="28"/>
      <c r="AK1247" s="337"/>
      <c r="AL1247" s="43"/>
      <c r="AM1247" s="44">
        <f t="shared" si="323"/>
        <v>0</v>
      </c>
      <c r="AN1247" s="43"/>
      <c r="AO1247" s="28">
        <f t="shared" si="324"/>
        <v>0</v>
      </c>
      <c r="AP1247" s="43"/>
      <c r="AQ1247" s="323">
        <f t="shared" si="325"/>
        <v>0</v>
      </c>
      <c r="AR1247" s="43"/>
      <c r="AS1247" s="44"/>
    </row>
    <row r="1248" spans="1:45" outlineLevel="1" x14ac:dyDescent="0.25">
      <c r="A1248" s="28">
        <v>241</v>
      </c>
      <c r="B1248" s="43"/>
      <c r="C1248" s="43"/>
      <c r="D1248" s="43"/>
      <c r="E1248" s="43" t="str">
        <f t="shared" si="320"/>
        <v>Padrão 241</v>
      </c>
      <c r="F1248" s="43" t="str">
        <f t="shared" si="321"/>
        <v>Vazio</v>
      </c>
      <c r="G1248" s="46">
        <f t="shared" si="258"/>
        <v>0</v>
      </c>
      <c r="H1248" s="46">
        <f t="shared" si="259"/>
        <v>0</v>
      </c>
      <c r="I1248" s="28"/>
      <c r="J1248" s="337"/>
      <c r="K1248" s="46" t="str">
        <f t="shared" si="260"/>
        <v/>
      </c>
      <c r="L1248" s="46" t="str">
        <f t="shared" si="261"/>
        <v/>
      </c>
      <c r="M1248" s="338">
        <f t="shared" si="262"/>
        <v>0</v>
      </c>
      <c r="N1248" s="43"/>
      <c r="O1248" s="339" t="e">
        <f t="shared" si="263"/>
        <v>#N/A</v>
      </c>
      <c r="P1248" s="340" t="str">
        <f>IFERROR(VLOOKUP(O1248,NCM!$A$3:$D$99,COLUMN(head_porNCM_IPI)-COLUMN(head_porNCM_NCM)+1,FALSE),"")</f>
        <v/>
      </c>
      <c r="Q1248" s="43"/>
      <c r="R1248" s="78"/>
      <c r="S1248" s="341"/>
      <c r="T1248" s="28" t="s">
        <v>53</v>
      </c>
      <c r="U1248" s="28"/>
      <c r="V1248" s="28"/>
      <c r="W1248" s="43"/>
      <c r="X1248" s="342">
        <f t="shared" si="264"/>
        <v>0</v>
      </c>
      <c r="Y1248" s="342">
        <f t="shared" si="265"/>
        <v>0</v>
      </c>
      <c r="Z1248" s="46">
        <f t="shared" si="266"/>
        <v>0</v>
      </c>
      <c r="AA1248" s="46">
        <f t="shared" si="267"/>
        <v>0</v>
      </c>
      <c r="AB1248" s="43"/>
      <c r="AC1248" s="44"/>
      <c r="AD1248" s="31"/>
      <c r="AE1248" s="31"/>
      <c r="AF1248" s="31"/>
      <c r="AG1248" s="28" t="s">
        <v>53</v>
      </c>
      <c r="AH1248" s="46">
        <f t="shared" si="322"/>
        <v>0</v>
      </c>
      <c r="AI1248" s="43"/>
      <c r="AJ1248" s="28"/>
      <c r="AK1248" s="337"/>
      <c r="AL1248" s="43"/>
      <c r="AM1248" s="44">
        <f t="shared" si="323"/>
        <v>0</v>
      </c>
      <c r="AN1248" s="43"/>
      <c r="AO1248" s="28">
        <f t="shared" si="324"/>
        <v>0</v>
      </c>
      <c r="AP1248" s="43"/>
      <c r="AQ1248" s="323">
        <f t="shared" si="325"/>
        <v>0</v>
      </c>
      <c r="AR1248" s="43"/>
      <c r="AS1248" s="44"/>
    </row>
    <row r="1249" spans="1:45" outlineLevel="1" x14ac:dyDescent="0.25">
      <c r="A1249" s="28">
        <v>242</v>
      </c>
      <c r="B1249" s="43"/>
      <c r="C1249" s="43"/>
      <c r="D1249" s="43"/>
      <c r="E1249" s="43" t="str">
        <f t="shared" si="320"/>
        <v>Padrão 242</v>
      </c>
      <c r="F1249" s="43" t="str">
        <f>HLOOKUP(A1249,std_tbl3,ROW(row_std_descr)-ROW(row_std_head)+2,FALSE)</f>
        <v>Vazio</v>
      </c>
      <c r="G1249" s="46">
        <f t="shared" si="258"/>
        <v>0</v>
      </c>
      <c r="H1249" s="46">
        <f t="shared" si="259"/>
        <v>0</v>
      </c>
      <c r="I1249" s="28"/>
      <c r="J1249" s="337"/>
      <c r="K1249" s="46" t="str">
        <f t="shared" si="260"/>
        <v/>
      </c>
      <c r="L1249" s="46" t="str">
        <f t="shared" si="261"/>
        <v/>
      </c>
      <c r="M1249" s="338">
        <f t="shared" si="262"/>
        <v>0</v>
      </c>
      <c r="N1249" s="43"/>
      <c r="O1249" s="339" t="e">
        <f t="shared" si="263"/>
        <v>#N/A</v>
      </c>
      <c r="P1249" s="340" t="str">
        <f>IFERROR(VLOOKUP(O1249,NCM!$A$3:$D$99,COLUMN(head_porNCM_IPI)-COLUMN(head_porNCM_NCM)+1,FALSE),"")</f>
        <v/>
      </c>
      <c r="Q1249" s="43"/>
      <c r="R1249" s="78"/>
      <c r="S1249" s="341"/>
      <c r="T1249" s="28" t="s">
        <v>53</v>
      </c>
      <c r="U1249" s="28"/>
      <c r="V1249" s="28"/>
      <c r="W1249" s="43"/>
      <c r="X1249" s="342">
        <f t="shared" si="264"/>
        <v>0</v>
      </c>
      <c r="Y1249" s="342">
        <f t="shared" si="265"/>
        <v>0</v>
      </c>
      <c r="Z1249" s="46">
        <f t="shared" si="266"/>
        <v>0</v>
      </c>
      <c r="AA1249" s="46">
        <f t="shared" si="267"/>
        <v>0</v>
      </c>
      <c r="AB1249" s="43"/>
      <c r="AC1249" s="44"/>
      <c r="AD1249" s="31"/>
      <c r="AE1249" s="31"/>
      <c r="AF1249" s="31"/>
      <c r="AG1249" s="28" t="s">
        <v>53</v>
      </c>
      <c r="AH1249" s="46">
        <f t="shared" si="322"/>
        <v>0</v>
      </c>
      <c r="AI1249" s="43"/>
      <c r="AJ1249" s="28"/>
      <c r="AK1249" s="337"/>
      <c r="AL1249" s="43"/>
      <c r="AM1249" s="44">
        <f t="shared" si="323"/>
        <v>0</v>
      </c>
      <c r="AN1249" s="43"/>
      <c r="AO1249" s="28">
        <f t="shared" si="324"/>
        <v>0</v>
      </c>
      <c r="AP1249" s="43"/>
      <c r="AQ1249" s="323">
        <f t="shared" si="325"/>
        <v>0</v>
      </c>
      <c r="AR1249" s="43"/>
      <c r="AS1249" s="44"/>
    </row>
    <row r="1250" spans="1:45" outlineLevel="1" x14ac:dyDescent="0.25">
      <c r="A1250" s="28">
        <v>243</v>
      </c>
      <c r="B1250" s="43"/>
      <c r="C1250" s="43"/>
      <c r="D1250" s="43"/>
      <c r="E1250" s="43" t="str">
        <f t="shared" si="320"/>
        <v>Padrão 243</v>
      </c>
      <c r="F1250" s="43" t="str">
        <f t="shared" si="321"/>
        <v>Vazio</v>
      </c>
      <c r="G1250" s="46">
        <f t="shared" si="258"/>
        <v>0</v>
      </c>
      <c r="H1250" s="46">
        <f t="shared" si="259"/>
        <v>0</v>
      </c>
      <c r="I1250" s="28"/>
      <c r="J1250" s="337"/>
      <c r="K1250" s="46" t="str">
        <f t="shared" si="260"/>
        <v/>
      </c>
      <c r="L1250" s="46" t="str">
        <f t="shared" si="261"/>
        <v/>
      </c>
      <c r="M1250" s="338">
        <f t="shared" si="262"/>
        <v>0</v>
      </c>
      <c r="N1250" s="43"/>
      <c r="O1250" s="339" t="e">
        <f t="shared" si="263"/>
        <v>#N/A</v>
      </c>
      <c r="P1250" s="340" t="str">
        <f>IFERROR(VLOOKUP(O1250,NCM!$A$3:$D$99,COLUMN(head_porNCM_IPI)-COLUMN(head_porNCM_NCM)+1,FALSE),"")</f>
        <v/>
      </c>
      <c r="Q1250" s="43"/>
      <c r="R1250" s="78"/>
      <c r="S1250" s="341"/>
      <c r="T1250" s="28" t="s">
        <v>53</v>
      </c>
      <c r="U1250" s="28"/>
      <c r="V1250" s="28"/>
      <c r="W1250" s="43"/>
      <c r="X1250" s="342">
        <f t="shared" si="264"/>
        <v>0</v>
      </c>
      <c r="Y1250" s="342">
        <f t="shared" si="265"/>
        <v>0</v>
      </c>
      <c r="Z1250" s="46">
        <f t="shared" si="266"/>
        <v>0</v>
      </c>
      <c r="AA1250" s="46">
        <f t="shared" si="267"/>
        <v>0</v>
      </c>
      <c r="AB1250" s="43"/>
      <c r="AC1250" s="44"/>
      <c r="AD1250" s="31"/>
      <c r="AE1250" s="31"/>
      <c r="AF1250" s="31"/>
      <c r="AG1250" s="28" t="s">
        <v>53</v>
      </c>
      <c r="AH1250" s="46">
        <f t="shared" si="322"/>
        <v>0</v>
      </c>
      <c r="AI1250" s="43"/>
      <c r="AJ1250" s="28"/>
      <c r="AK1250" s="337"/>
      <c r="AL1250" s="43"/>
      <c r="AM1250" s="44">
        <f t="shared" si="323"/>
        <v>0</v>
      </c>
      <c r="AN1250" s="43"/>
      <c r="AO1250" s="28">
        <f t="shared" si="324"/>
        <v>0</v>
      </c>
      <c r="AP1250" s="43"/>
      <c r="AQ1250" s="323">
        <f t="shared" si="325"/>
        <v>0</v>
      </c>
      <c r="AR1250" s="43"/>
      <c r="AS1250" s="44"/>
    </row>
    <row r="1251" spans="1:45" outlineLevel="1" x14ac:dyDescent="0.25">
      <c r="A1251" s="28">
        <v>244</v>
      </c>
      <c r="B1251" s="43"/>
      <c r="C1251" s="43"/>
      <c r="D1251" s="43"/>
      <c r="E1251" s="43" t="str">
        <f t="shared" si="320"/>
        <v>Padrão 244</v>
      </c>
      <c r="F1251" s="43" t="str">
        <f t="shared" si="321"/>
        <v>Vazio</v>
      </c>
      <c r="G1251" s="46">
        <f t="shared" si="258"/>
        <v>0</v>
      </c>
      <c r="H1251" s="46">
        <f t="shared" si="259"/>
        <v>0</v>
      </c>
      <c r="I1251" s="28"/>
      <c r="J1251" s="337"/>
      <c r="K1251" s="46" t="str">
        <f t="shared" si="260"/>
        <v/>
      </c>
      <c r="L1251" s="46" t="str">
        <f t="shared" si="261"/>
        <v/>
      </c>
      <c r="M1251" s="338">
        <f t="shared" si="262"/>
        <v>0</v>
      </c>
      <c r="N1251" s="43"/>
      <c r="O1251" s="339" t="e">
        <f t="shared" si="263"/>
        <v>#N/A</v>
      </c>
      <c r="P1251" s="340" t="str">
        <f>IFERROR(VLOOKUP(O1251,NCM!$A$3:$D$99,COLUMN(head_porNCM_IPI)-COLUMN(head_porNCM_NCM)+1,FALSE),"")</f>
        <v/>
      </c>
      <c r="Q1251" s="43"/>
      <c r="R1251" s="78"/>
      <c r="S1251" s="341"/>
      <c r="T1251" s="28" t="s">
        <v>53</v>
      </c>
      <c r="U1251" s="28"/>
      <c r="V1251" s="28"/>
      <c r="W1251" s="43"/>
      <c r="X1251" s="342">
        <f t="shared" si="264"/>
        <v>0</v>
      </c>
      <c r="Y1251" s="342">
        <f t="shared" si="265"/>
        <v>0</v>
      </c>
      <c r="Z1251" s="46">
        <f t="shared" si="266"/>
        <v>0</v>
      </c>
      <c r="AA1251" s="46">
        <f t="shared" si="267"/>
        <v>0</v>
      </c>
      <c r="AB1251" s="43"/>
      <c r="AC1251" s="44"/>
      <c r="AD1251" s="31"/>
      <c r="AE1251" s="31"/>
      <c r="AF1251" s="31"/>
      <c r="AG1251" s="28" t="s">
        <v>53</v>
      </c>
      <c r="AH1251" s="46">
        <f t="shared" si="322"/>
        <v>0</v>
      </c>
      <c r="AI1251" s="43"/>
      <c r="AJ1251" s="28"/>
      <c r="AK1251" s="337"/>
      <c r="AL1251" s="43"/>
      <c r="AM1251" s="44">
        <f t="shared" si="323"/>
        <v>0</v>
      </c>
      <c r="AN1251" s="43"/>
      <c r="AO1251" s="28">
        <f t="shared" si="324"/>
        <v>0</v>
      </c>
      <c r="AP1251" s="43"/>
      <c r="AQ1251" s="323">
        <f t="shared" si="325"/>
        <v>0</v>
      </c>
      <c r="AR1251" s="43"/>
      <c r="AS1251" s="44"/>
    </row>
    <row r="1252" spans="1:45" outlineLevel="1" x14ac:dyDescent="0.25">
      <c r="A1252" s="28">
        <v>245</v>
      </c>
      <c r="B1252" s="43"/>
      <c r="C1252" s="43"/>
      <c r="D1252" s="43"/>
      <c r="E1252" s="43" t="str">
        <f t="shared" si="320"/>
        <v>Padrão 245</v>
      </c>
      <c r="F1252" s="43" t="str">
        <f t="shared" si="321"/>
        <v>Vazio</v>
      </c>
      <c r="G1252" s="46">
        <f t="shared" si="258"/>
        <v>0</v>
      </c>
      <c r="H1252" s="46">
        <f t="shared" si="259"/>
        <v>0</v>
      </c>
      <c r="I1252" s="28"/>
      <c r="J1252" s="337"/>
      <c r="K1252" s="46" t="str">
        <f t="shared" si="260"/>
        <v/>
      </c>
      <c r="L1252" s="46" t="str">
        <f t="shared" si="261"/>
        <v/>
      </c>
      <c r="M1252" s="338">
        <f t="shared" si="262"/>
        <v>0</v>
      </c>
      <c r="N1252" s="43"/>
      <c r="O1252" s="339" t="e">
        <f t="shared" si="263"/>
        <v>#N/A</v>
      </c>
      <c r="P1252" s="340" t="str">
        <f>IFERROR(VLOOKUP(O1252,NCM!$A$3:$D$99,COLUMN(head_porNCM_IPI)-COLUMN(head_porNCM_NCM)+1,FALSE),"")</f>
        <v/>
      </c>
      <c r="Q1252" s="43"/>
      <c r="R1252" s="78"/>
      <c r="S1252" s="341"/>
      <c r="T1252" s="28" t="s">
        <v>53</v>
      </c>
      <c r="U1252" s="28"/>
      <c r="V1252" s="28"/>
      <c r="W1252" s="43"/>
      <c r="X1252" s="342">
        <f t="shared" si="264"/>
        <v>0</v>
      </c>
      <c r="Y1252" s="342">
        <f t="shared" si="265"/>
        <v>0</v>
      </c>
      <c r="Z1252" s="46">
        <f t="shared" si="266"/>
        <v>0</v>
      </c>
      <c r="AA1252" s="46">
        <f t="shared" si="267"/>
        <v>0</v>
      </c>
      <c r="AB1252" s="43"/>
      <c r="AC1252" s="44"/>
      <c r="AD1252" s="31"/>
      <c r="AE1252" s="31"/>
      <c r="AF1252" s="31"/>
      <c r="AG1252" s="28" t="s">
        <v>53</v>
      </c>
      <c r="AH1252" s="46">
        <f t="shared" si="322"/>
        <v>0</v>
      </c>
      <c r="AI1252" s="43"/>
      <c r="AJ1252" s="28"/>
      <c r="AK1252" s="337"/>
      <c r="AL1252" s="43"/>
      <c r="AM1252" s="44">
        <f t="shared" si="323"/>
        <v>0</v>
      </c>
      <c r="AN1252" s="43"/>
      <c r="AO1252" s="28">
        <f t="shared" si="324"/>
        <v>0</v>
      </c>
      <c r="AP1252" s="43"/>
      <c r="AQ1252" s="323">
        <f t="shared" si="325"/>
        <v>0</v>
      </c>
      <c r="AR1252" s="43"/>
      <c r="AS1252" s="44"/>
    </row>
    <row r="1253" spans="1:45" outlineLevel="1" x14ac:dyDescent="0.25">
      <c r="A1253" s="28">
        <v>246</v>
      </c>
      <c r="B1253" s="43"/>
      <c r="C1253" s="43"/>
      <c r="D1253" s="43"/>
      <c r="E1253" s="43" t="str">
        <f t="shared" si="320"/>
        <v>Padrão 246</v>
      </c>
      <c r="F1253" s="43" t="str">
        <f t="shared" si="321"/>
        <v>Vazio</v>
      </c>
      <c r="G1253" s="46">
        <f t="shared" si="258"/>
        <v>0</v>
      </c>
      <c r="H1253" s="46">
        <f t="shared" si="259"/>
        <v>0</v>
      </c>
      <c r="I1253" s="28"/>
      <c r="J1253" s="337"/>
      <c r="K1253" s="46" t="str">
        <f t="shared" si="260"/>
        <v/>
      </c>
      <c r="L1253" s="46" t="str">
        <f t="shared" si="261"/>
        <v/>
      </c>
      <c r="M1253" s="338">
        <f t="shared" si="262"/>
        <v>0</v>
      </c>
      <c r="N1253" s="43"/>
      <c r="O1253" s="339" t="e">
        <f t="shared" si="263"/>
        <v>#N/A</v>
      </c>
      <c r="P1253" s="340" t="str">
        <f>IFERROR(VLOOKUP(O1253,NCM!$A$3:$D$99,COLUMN(head_porNCM_IPI)-COLUMN(head_porNCM_NCM)+1,FALSE),"")</f>
        <v/>
      </c>
      <c r="Q1253" s="43"/>
      <c r="R1253" s="78"/>
      <c r="S1253" s="341"/>
      <c r="T1253" s="28" t="s">
        <v>53</v>
      </c>
      <c r="U1253" s="28"/>
      <c r="V1253" s="28"/>
      <c r="W1253" s="43"/>
      <c r="X1253" s="342">
        <f t="shared" si="264"/>
        <v>0</v>
      </c>
      <c r="Y1253" s="342">
        <f t="shared" si="265"/>
        <v>0</v>
      </c>
      <c r="Z1253" s="46">
        <f t="shared" si="266"/>
        <v>0</v>
      </c>
      <c r="AA1253" s="46">
        <f t="shared" si="267"/>
        <v>0</v>
      </c>
      <c r="AB1253" s="43"/>
      <c r="AC1253" s="44"/>
      <c r="AD1253" s="31"/>
      <c r="AE1253" s="31"/>
      <c r="AF1253" s="31"/>
      <c r="AG1253" s="28" t="s">
        <v>53</v>
      </c>
      <c r="AH1253" s="46">
        <f t="shared" si="322"/>
        <v>0</v>
      </c>
      <c r="AI1253" s="43"/>
      <c r="AJ1253" s="28"/>
      <c r="AK1253" s="337"/>
      <c r="AL1253" s="43"/>
      <c r="AM1253" s="44">
        <f t="shared" si="323"/>
        <v>0</v>
      </c>
      <c r="AN1253" s="43"/>
      <c r="AO1253" s="28">
        <f t="shared" si="324"/>
        <v>0</v>
      </c>
      <c r="AP1253" s="43"/>
      <c r="AQ1253" s="323">
        <f t="shared" si="325"/>
        <v>0</v>
      </c>
      <c r="AR1253" s="43"/>
      <c r="AS1253" s="44"/>
    </row>
    <row r="1254" spans="1:45" outlineLevel="1" x14ac:dyDescent="0.25">
      <c r="A1254" s="28">
        <v>247</v>
      </c>
      <c r="B1254" s="43"/>
      <c r="C1254" s="43"/>
      <c r="D1254" s="43"/>
      <c r="E1254" s="43" t="str">
        <f t="shared" si="320"/>
        <v>Padrão 247</v>
      </c>
      <c r="F1254" s="43" t="str">
        <f t="shared" si="321"/>
        <v>Vazio</v>
      </c>
      <c r="G1254" s="46">
        <f t="shared" si="258"/>
        <v>0</v>
      </c>
      <c r="H1254" s="46">
        <f t="shared" si="259"/>
        <v>0</v>
      </c>
      <c r="I1254" s="28"/>
      <c r="J1254" s="337"/>
      <c r="K1254" s="46" t="str">
        <f t="shared" si="260"/>
        <v/>
      </c>
      <c r="L1254" s="46" t="str">
        <f t="shared" si="261"/>
        <v/>
      </c>
      <c r="M1254" s="338">
        <f t="shared" si="262"/>
        <v>0</v>
      </c>
      <c r="N1254" s="43"/>
      <c r="O1254" s="339" t="e">
        <f t="shared" si="263"/>
        <v>#N/A</v>
      </c>
      <c r="P1254" s="340" t="str">
        <f>IFERROR(VLOOKUP(O1254,NCM!$A$3:$D$99,COLUMN(head_porNCM_IPI)-COLUMN(head_porNCM_NCM)+1,FALSE),"")</f>
        <v/>
      </c>
      <c r="Q1254" s="43"/>
      <c r="R1254" s="78"/>
      <c r="S1254" s="341"/>
      <c r="T1254" s="28" t="s">
        <v>53</v>
      </c>
      <c r="U1254" s="28"/>
      <c r="V1254" s="28"/>
      <c r="W1254" s="43"/>
      <c r="X1254" s="342">
        <f t="shared" si="264"/>
        <v>0</v>
      </c>
      <c r="Y1254" s="342">
        <f t="shared" si="265"/>
        <v>0</v>
      </c>
      <c r="Z1254" s="46">
        <f t="shared" si="266"/>
        <v>0</v>
      </c>
      <c r="AA1254" s="46">
        <f t="shared" si="267"/>
        <v>0</v>
      </c>
      <c r="AB1254" s="43"/>
      <c r="AC1254" s="44"/>
      <c r="AD1254" s="31"/>
      <c r="AE1254" s="31"/>
      <c r="AF1254" s="31"/>
      <c r="AG1254" s="28" t="s">
        <v>53</v>
      </c>
      <c r="AH1254" s="46">
        <f t="shared" si="322"/>
        <v>0</v>
      </c>
      <c r="AI1254" s="43"/>
      <c r="AJ1254" s="28"/>
      <c r="AK1254" s="337"/>
      <c r="AL1254" s="43"/>
      <c r="AM1254" s="44">
        <f t="shared" si="323"/>
        <v>0</v>
      </c>
      <c r="AN1254" s="43"/>
      <c r="AO1254" s="28">
        <f t="shared" si="324"/>
        <v>0</v>
      </c>
      <c r="AP1254" s="43"/>
      <c r="AQ1254" s="323">
        <f t="shared" si="325"/>
        <v>0</v>
      </c>
      <c r="AR1254" s="43"/>
      <c r="AS1254" s="44"/>
    </row>
    <row r="1255" spans="1:45" outlineLevel="1" x14ac:dyDescent="0.25">
      <c r="A1255" s="28">
        <v>248</v>
      </c>
      <c r="B1255" s="43"/>
      <c r="C1255" s="43"/>
      <c r="D1255" s="43"/>
      <c r="E1255" s="43" t="str">
        <f t="shared" si="320"/>
        <v>Padrão 248</v>
      </c>
      <c r="F1255" s="43" t="str">
        <f t="shared" si="321"/>
        <v>Vazio</v>
      </c>
      <c r="G1255" s="46">
        <f t="shared" si="258"/>
        <v>0</v>
      </c>
      <c r="H1255" s="46">
        <f t="shared" si="259"/>
        <v>0</v>
      </c>
      <c r="I1255" s="28"/>
      <c r="J1255" s="337"/>
      <c r="K1255" s="46" t="str">
        <f t="shared" si="260"/>
        <v/>
      </c>
      <c r="L1255" s="46" t="str">
        <f t="shared" si="261"/>
        <v/>
      </c>
      <c r="M1255" s="338">
        <f t="shared" si="262"/>
        <v>0</v>
      </c>
      <c r="N1255" s="43"/>
      <c r="O1255" s="339" t="e">
        <f t="shared" si="263"/>
        <v>#N/A</v>
      </c>
      <c r="P1255" s="340" t="str">
        <f>IFERROR(VLOOKUP(O1255,NCM!$A$3:$D$99,COLUMN(head_porNCM_IPI)-COLUMN(head_porNCM_NCM)+1,FALSE),"")</f>
        <v/>
      </c>
      <c r="Q1255" s="43"/>
      <c r="R1255" s="78"/>
      <c r="S1255" s="341"/>
      <c r="T1255" s="28" t="s">
        <v>53</v>
      </c>
      <c r="U1255" s="28"/>
      <c r="V1255" s="28"/>
      <c r="W1255" s="43"/>
      <c r="X1255" s="342">
        <f t="shared" si="264"/>
        <v>0</v>
      </c>
      <c r="Y1255" s="342">
        <f t="shared" si="265"/>
        <v>0</v>
      </c>
      <c r="Z1255" s="46">
        <f t="shared" si="266"/>
        <v>0</v>
      </c>
      <c r="AA1255" s="46">
        <f t="shared" si="267"/>
        <v>0</v>
      </c>
      <c r="AB1255" s="43"/>
      <c r="AC1255" s="44"/>
      <c r="AD1255" s="31"/>
      <c r="AE1255" s="31"/>
      <c r="AF1255" s="31"/>
      <c r="AG1255" s="28" t="s">
        <v>53</v>
      </c>
      <c r="AH1255" s="46">
        <f t="shared" si="322"/>
        <v>0</v>
      </c>
      <c r="AI1255" s="43"/>
      <c r="AJ1255" s="28"/>
      <c r="AK1255" s="337"/>
      <c r="AL1255" s="43"/>
      <c r="AM1255" s="44">
        <f t="shared" si="323"/>
        <v>0</v>
      </c>
      <c r="AN1255" s="43"/>
      <c r="AO1255" s="28">
        <f t="shared" si="324"/>
        <v>0</v>
      </c>
      <c r="AP1255" s="43"/>
      <c r="AQ1255" s="323">
        <f t="shared" si="325"/>
        <v>0</v>
      </c>
      <c r="AR1255" s="43"/>
      <c r="AS1255" s="44"/>
    </row>
    <row r="1256" spans="1:45" outlineLevel="1" x14ac:dyDescent="0.25">
      <c r="A1256" s="28">
        <v>249</v>
      </c>
      <c r="B1256" s="43"/>
      <c r="C1256" s="43"/>
      <c r="D1256" s="43"/>
      <c r="E1256" s="43" t="str">
        <f t="shared" si="320"/>
        <v>Padrão 249</v>
      </c>
      <c r="F1256" s="43" t="str">
        <f t="shared" si="321"/>
        <v>Vazio</v>
      </c>
      <c r="G1256" s="46">
        <f t="shared" si="258"/>
        <v>0</v>
      </c>
      <c r="H1256" s="46">
        <f t="shared" si="259"/>
        <v>0</v>
      </c>
      <c r="I1256" s="28"/>
      <c r="J1256" s="337"/>
      <c r="K1256" s="46" t="str">
        <f t="shared" si="260"/>
        <v/>
      </c>
      <c r="L1256" s="46" t="str">
        <f t="shared" si="261"/>
        <v/>
      </c>
      <c r="M1256" s="338">
        <f t="shared" si="262"/>
        <v>0</v>
      </c>
      <c r="N1256" s="43"/>
      <c r="O1256" s="339" t="e">
        <f t="shared" si="263"/>
        <v>#N/A</v>
      </c>
      <c r="P1256" s="340" t="str">
        <f>IFERROR(VLOOKUP(O1256,NCM!$A$3:$D$99,COLUMN(head_porNCM_IPI)-COLUMN(head_porNCM_NCM)+1,FALSE),"")</f>
        <v/>
      </c>
      <c r="Q1256" s="43"/>
      <c r="R1256" s="78"/>
      <c r="S1256" s="341"/>
      <c r="T1256" s="28" t="s">
        <v>53</v>
      </c>
      <c r="U1256" s="28"/>
      <c r="V1256" s="28"/>
      <c r="W1256" s="43"/>
      <c r="X1256" s="342">
        <f t="shared" si="264"/>
        <v>0</v>
      </c>
      <c r="Y1256" s="342">
        <f t="shared" si="265"/>
        <v>0</v>
      </c>
      <c r="Z1256" s="46">
        <f t="shared" si="266"/>
        <v>0</v>
      </c>
      <c r="AA1256" s="46">
        <f t="shared" si="267"/>
        <v>0</v>
      </c>
      <c r="AB1256" s="43"/>
      <c r="AC1256" s="44"/>
      <c r="AD1256" s="31"/>
      <c r="AE1256" s="31"/>
      <c r="AF1256" s="31"/>
      <c r="AG1256" s="28" t="s">
        <v>53</v>
      </c>
      <c r="AH1256" s="46">
        <f t="shared" si="322"/>
        <v>0</v>
      </c>
      <c r="AI1256" s="43"/>
      <c r="AJ1256" s="28"/>
      <c r="AK1256" s="337"/>
      <c r="AL1256" s="43"/>
      <c r="AM1256" s="44">
        <f t="shared" si="323"/>
        <v>0</v>
      </c>
      <c r="AN1256" s="43"/>
      <c r="AO1256" s="28">
        <f t="shared" si="324"/>
        <v>0</v>
      </c>
      <c r="AP1256" s="43"/>
      <c r="AQ1256" s="323">
        <f t="shared" si="325"/>
        <v>0</v>
      </c>
      <c r="AR1256" s="43"/>
      <c r="AS1256" s="44"/>
    </row>
    <row r="1257" spans="1:45" outlineLevel="1" x14ac:dyDescent="0.25">
      <c r="A1257" s="28">
        <v>250</v>
      </c>
      <c r="B1257" s="43"/>
      <c r="C1257" s="43"/>
      <c r="D1257" s="43"/>
      <c r="E1257" s="43" t="str">
        <f t="shared" ref="E1257:E1266" si="335">HLOOKUP(A1257,std_tbl3,2,FALSE)</f>
        <v>Padrão 250</v>
      </c>
      <c r="F1257" s="43" t="str">
        <f t="shared" ref="F1257:F1266" si="336">HLOOKUP(A1257,std_tbl3,ROW(row_std_descr)-ROW(row_std_head)+2,FALSE)</f>
        <v>Vazio</v>
      </c>
      <c r="G1257" s="46">
        <f t="shared" ref="G1257:G1266" si="337">AC1257*(1-AD1257)</f>
        <v>0</v>
      </c>
      <c r="H1257" s="46">
        <f t="shared" ref="H1257:H1266" si="338">AC1257*(1-AD1257-pis_naocum-cofins_naocum)</f>
        <v>0</v>
      </c>
      <c r="I1257" s="28"/>
      <c r="J1257" s="337"/>
      <c r="K1257" s="46" t="str">
        <f t="shared" ref="K1257:K1266" si="339">IFERROR(G1257*J1257*VLOOKUP(I1257,tbl_cambio,2,FALSE),"")</f>
        <v/>
      </c>
      <c r="L1257" s="46" t="str">
        <f t="shared" ref="L1257:L1266" si="340">IFERROR(H1257*J1257*VLOOKUP(I1257,tbl_cambio,2,FALSE),"")</f>
        <v/>
      </c>
      <c r="M1257" s="338">
        <f t="shared" ref="M1257:M1266" si="341">SUMIF(col_item,"="&amp;E1257,col_qtd)</f>
        <v>0</v>
      </c>
      <c r="N1257" s="43"/>
      <c r="O1257" s="339" t="e">
        <f t="shared" si="263"/>
        <v>#N/A</v>
      </c>
      <c r="P1257" s="340" t="str">
        <f>IFERROR(VLOOKUP(O1257,NCM!$A$3:$D$99,COLUMN(head_porNCM_IPI)-COLUMN(head_porNCM_NCM)+1,FALSE),"")</f>
        <v/>
      </c>
      <c r="Q1257" s="43"/>
      <c r="R1257" s="78"/>
      <c r="S1257" s="341"/>
      <c r="T1257" s="28" t="s">
        <v>53</v>
      </c>
      <c r="U1257" s="28"/>
      <c r="V1257" s="28"/>
      <c r="W1257" s="43"/>
      <c r="X1257" s="342">
        <f t="shared" ref="X1257:X1266" si="342">(AC1257-Y1257)*AD1257</f>
        <v>0</v>
      </c>
      <c r="Y1257" s="342">
        <f t="shared" ref="Y1257:Y1266" si="343">AC1257-AC1257/(1+AE1257)</f>
        <v>0</v>
      </c>
      <c r="Z1257" s="46">
        <f t="shared" ref="Z1257:Z1266" si="344">(AC1257-Y1257)*pis_naocum</f>
        <v>0</v>
      </c>
      <c r="AA1257" s="46">
        <f t="shared" ref="AA1257:AA1266" si="345">(AC1257-Y1257)*cofins_naocum</f>
        <v>0</v>
      </c>
      <c r="AB1257" s="43"/>
      <c r="AC1257" s="44"/>
      <c r="AD1257" s="31"/>
      <c r="AE1257" s="31"/>
      <c r="AF1257" s="31"/>
      <c r="AG1257" s="28" t="s">
        <v>53</v>
      </c>
      <c r="AH1257" s="46">
        <f t="shared" ref="AH1257:AH1266" si="346">AC1257*(1+AE1257)</f>
        <v>0</v>
      </c>
      <c r="AI1257" s="43"/>
      <c r="AJ1257" s="28"/>
      <c r="AK1257" s="337"/>
      <c r="AL1257" s="43"/>
      <c r="AM1257" s="44">
        <f t="shared" si="323"/>
        <v>0</v>
      </c>
      <c r="AN1257" s="43"/>
      <c r="AO1257" s="28">
        <f t="shared" ref="AO1257:AO1266" si="347">IF(T1257="Sim",ROUNDUP(M1257*sobress_pc,0),0)</f>
        <v>0</v>
      </c>
      <c r="AP1257" s="43"/>
      <c r="AQ1257" s="323">
        <f t="shared" ref="AQ1257:AQ1266" si="348">SUMIFS(col_custoTotal,col_fatdir,"Não",col_item,E1257)</f>
        <v>0</v>
      </c>
      <c r="AR1257" s="43"/>
      <c r="AS1257" s="44"/>
    </row>
    <row r="1258" spans="1:45" outlineLevel="1" x14ac:dyDescent="0.25">
      <c r="A1258" s="28">
        <v>251</v>
      </c>
      <c r="B1258" s="43"/>
      <c r="C1258" s="43"/>
      <c r="D1258" s="43"/>
      <c r="E1258" s="43" t="str">
        <f t="shared" si="335"/>
        <v>Fabiano</v>
      </c>
      <c r="F1258" s="43" t="str">
        <f t="shared" si="336"/>
        <v>Fabiano composto por: 2x painel; 1x relé falha disjuntor (4TC/4TP/30BI/20BO); 1x chave FTLP10.</v>
      </c>
      <c r="G1258" s="46">
        <f t="shared" si="337"/>
        <v>0</v>
      </c>
      <c r="H1258" s="46">
        <f t="shared" si="338"/>
        <v>0</v>
      </c>
      <c r="I1258" s="28"/>
      <c r="J1258" s="337"/>
      <c r="K1258" s="46" t="str">
        <f t="shared" si="339"/>
        <v/>
      </c>
      <c r="L1258" s="46" t="str">
        <f t="shared" si="340"/>
        <v/>
      </c>
      <c r="M1258" s="338">
        <f t="shared" si="341"/>
        <v>0</v>
      </c>
      <c r="N1258" s="43"/>
      <c r="O1258" s="339" t="e">
        <f t="shared" si="263"/>
        <v>#N/A</v>
      </c>
      <c r="P1258" s="340" t="str">
        <f>IFERROR(VLOOKUP(O1258,NCM!$A$3:$D$99,COLUMN(head_porNCM_IPI)-COLUMN(head_porNCM_NCM)+1,FALSE),"")</f>
        <v/>
      </c>
      <c r="Q1258" s="43"/>
      <c r="R1258" s="78"/>
      <c r="S1258" s="341"/>
      <c r="T1258" s="28" t="s">
        <v>53</v>
      </c>
      <c r="U1258" s="28"/>
      <c r="V1258" s="28"/>
      <c r="W1258" s="43"/>
      <c r="X1258" s="342">
        <f t="shared" si="342"/>
        <v>0</v>
      </c>
      <c r="Y1258" s="342">
        <f t="shared" si="343"/>
        <v>0</v>
      </c>
      <c r="Z1258" s="46">
        <f t="shared" si="344"/>
        <v>0</v>
      </c>
      <c r="AA1258" s="46">
        <f t="shared" si="345"/>
        <v>0</v>
      </c>
      <c r="AB1258" s="43"/>
      <c r="AC1258" s="44"/>
      <c r="AD1258" s="31"/>
      <c r="AE1258" s="31"/>
      <c r="AF1258" s="31"/>
      <c r="AG1258" s="28" t="s">
        <v>53</v>
      </c>
      <c r="AH1258" s="46">
        <f t="shared" si="346"/>
        <v>0</v>
      </c>
      <c r="AI1258" s="43"/>
      <c r="AJ1258" s="28"/>
      <c r="AK1258" s="337"/>
      <c r="AL1258" s="43"/>
      <c r="AM1258" s="44">
        <f t="shared" si="323"/>
        <v>0</v>
      </c>
      <c r="AN1258" s="43"/>
      <c r="AO1258" s="28">
        <f t="shared" si="347"/>
        <v>0</v>
      </c>
      <c r="AP1258" s="43"/>
      <c r="AQ1258" s="323">
        <f t="shared" si="348"/>
        <v>0</v>
      </c>
      <c r="AR1258" s="43"/>
      <c r="AS1258" s="44"/>
    </row>
    <row r="1259" spans="1:45" outlineLevel="1" x14ac:dyDescent="0.25">
      <c r="A1259" s="28">
        <v>252</v>
      </c>
      <c r="B1259" s="43"/>
      <c r="C1259" s="43"/>
      <c r="D1259" s="43"/>
      <c r="E1259" s="43" t="str">
        <f t="shared" si="335"/>
        <v>Padrão 252</v>
      </c>
      <c r="F1259" s="43" t="str">
        <f t="shared" si="336"/>
        <v>Padrão 252 composto por: 2x painel; 1x relé falha disjuntor (4TC/4TP/30BI/20BO).</v>
      </c>
      <c r="G1259" s="46">
        <f t="shared" si="337"/>
        <v>0</v>
      </c>
      <c r="H1259" s="46">
        <f t="shared" si="338"/>
        <v>0</v>
      </c>
      <c r="I1259" s="28"/>
      <c r="J1259" s="337"/>
      <c r="K1259" s="46" t="str">
        <f t="shared" si="339"/>
        <v/>
      </c>
      <c r="L1259" s="46" t="str">
        <f t="shared" si="340"/>
        <v/>
      </c>
      <c r="M1259" s="338">
        <f t="shared" si="341"/>
        <v>0</v>
      </c>
      <c r="N1259" s="43"/>
      <c r="O1259" s="339" t="e">
        <f t="shared" si="263"/>
        <v>#N/A</v>
      </c>
      <c r="P1259" s="340" t="str">
        <f>IFERROR(VLOOKUP(O1259,NCM!$A$3:$D$99,COLUMN(head_porNCM_IPI)-COLUMN(head_porNCM_NCM)+1,FALSE),"")</f>
        <v/>
      </c>
      <c r="Q1259" s="43"/>
      <c r="R1259" s="78"/>
      <c r="S1259" s="341"/>
      <c r="T1259" s="28" t="s">
        <v>53</v>
      </c>
      <c r="U1259" s="28"/>
      <c r="V1259" s="28"/>
      <c r="W1259" s="43"/>
      <c r="X1259" s="342">
        <f t="shared" si="342"/>
        <v>0</v>
      </c>
      <c r="Y1259" s="342">
        <f t="shared" si="343"/>
        <v>0</v>
      </c>
      <c r="Z1259" s="46">
        <f t="shared" si="344"/>
        <v>0</v>
      </c>
      <c r="AA1259" s="46">
        <f t="shared" si="345"/>
        <v>0</v>
      </c>
      <c r="AB1259" s="43"/>
      <c r="AC1259" s="44"/>
      <c r="AD1259" s="31"/>
      <c r="AE1259" s="31"/>
      <c r="AF1259" s="31"/>
      <c r="AG1259" s="28" t="s">
        <v>53</v>
      </c>
      <c r="AH1259" s="46">
        <f t="shared" si="346"/>
        <v>0</v>
      </c>
      <c r="AI1259" s="43"/>
      <c r="AJ1259" s="28"/>
      <c r="AK1259" s="337"/>
      <c r="AL1259" s="43"/>
      <c r="AM1259" s="44">
        <f t="shared" si="323"/>
        <v>0</v>
      </c>
      <c r="AN1259" s="43"/>
      <c r="AO1259" s="28">
        <f t="shared" si="347"/>
        <v>0</v>
      </c>
      <c r="AP1259" s="43"/>
      <c r="AQ1259" s="323">
        <f t="shared" si="348"/>
        <v>0</v>
      </c>
      <c r="AR1259" s="43"/>
      <c r="AS1259" s="44"/>
    </row>
    <row r="1260" spans="1:45" outlineLevel="1" x14ac:dyDescent="0.25">
      <c r="A1260" s="28">
        <v>253</v>
      </c>
      <c r="B1260" s="43"/>
      <c r="C1260" s="43"/>
      <c r="D1260" s="43"/>
      <c r="E1260" s="43" t="str">
        <f t="shared" si="335"/>
        <v>Padrão 253</v>
      </c>
      <c r="F1260" s="43" t="str">
        <f t="shared" si="336"/>
        <v>Padrão 253 composto por: 2x painel; 1x relé falha disjuntor (4TC/4TP/30BI/20BO).</v>
      </c>
      <c r="G1260" s="46">
        <f t="shared" si="337"/>
        <v>0</v>
      </c>
      <c r="H1260" s="46">
        <f t="shared" si="338"/>
        <v>0</v>
      </c>
      <c r="I1260" s="28"/>
      <c r="J1260" s="337"/>
      <c r="K1260" s="46" t="str">
        <f t="shared" si="339"/>
        <v/>
      </c>
      <c r="L1260" s="46" t="str">
        <f t="shared" si="340"/>
        <v/>
      </c>
      <c r="M1260" s="338">
        <f t="shared" si="341"/>
        <v>0</v>
      </c>
      <c r="N1260" s="43"/>
      <c r="O1260" s="339" t="e">
        <f t="shared" si="263"/>
        <v>#N/A</v>
      </c>
      <c r="P1260" s="340" t="str">
        <f>IFERROR(VLOOKUP(O1260,NCM!$A$3:$D$99,COLUMN(head_porNCM_IPI)-COLUMN(head_porNCM_NCM)+1,FALSE),"")</f>
        <v/>
      </c>
      <c r="Q1260" s="43"/>
      <c r="R1260" s="78"/>
      <c r="S1260" s="341"/>
      <c r="T1260" s="28" t="s">
        <v>53</v>
      </c>
      <c r="U1260" s="28"/>
      <c r="V1260" s="28"/>
      <c r="W1260" s="43"/>
      <c r="X1260" s="342">
        <f t="shared" si="342"/>
        <v>0</v>
      </c>
      <c r="Y1260" s="342">
        <f t="shared" si="343"/>
        <v>0</v>
      </c>
      <c r="Z1260" s="46">
        <f t="shared" si="344"/>
        <v>0</v>
      </c>
      <c r="AA1260" s="46">
        <f t="shared" si="345"/>
        <v>0</v>
      </c>
      <c r="AB1260" s="43"/>
      <c r="AC1260" s="44"/>
      <c r="AD1260" s="31"/>
      <c r="AE1260" s="31"/>
      <c r="AF1260" s="31"/>
      <c r="AG1260" s="28" t="s">
        <v>53</v>
      </c>
      <c r="AH1260" s="46">
        <f t="shared" si="346"/>
        <v>0</v>
      </c>
      <c r="AI1260" s="43"/>
      <c r="AJ1260" s="28"/>
      <c r="AK1260" s="337"/>
      <c r="AL1260" s="43"/>
      <c r="AM1260" s="44">
        <f t="shared" si="323"/>
        <v>0</v>
      </c>
      <c r="AN1260" s="43"/>
      <c r="AO1260" s="28">
        <f t="shared" si="347"/>
        <v>0</v>
      </c>
      <c r="AP1260" s="43"/>
      <c r="AQ1260" s="323">
        <f t="shared" si="348"/>
        <v>0</v>
      </c>
      <c r="AR1260" s="43"/>
      <c r="AS1260" s="44"/>
    </row>
    <row r="1261" spans="1:45" outlineLevel="1" x14ac:dyDescent="0.25">
      <c r="A1261" s="28">
        <v>254</v>
      </c>
      <c r="B1261" s="43"/>
      <c r="C1261" s="43"/>
      <c r="D1261" s="43"/>
      <c r="E1261" s="43" t="str">
        <f t="shared" si="335"/>
        <v>Padrão 254</v>
      </c>
      <c r="F1261" s="43" t="str">
        <f t="shared" si="336"/>
        <v>Padrão 254 composto por: 2x painel; 1x relé falha disjuntor (4TC/4TP/30BI/20BO).</v>
      </c>
      <c r="G1261" s="46">
        <f t="shared" si="337"/>
        <v>0</v>
      </c>
      <c r="H1261" s="46">
        <f t="shared" si="338"/>
        <v>0</v>
      </c>
      <c r="I1261" s="28"/>
      <c r="J1261" s="337"/>
      <c r="K1261" s="46" t="str">
        <f t="shared" si="339"/>
        <v/>
      </c>
      <c r="L1261" s="46" t="str">
        <f t="shared" si="340"/>
        <v/>
      </c>
      <c r="M1261" s="338">
        <f t="shared" si="341"/>
        <v>0</v>
      </c>
      <c r="N1261" s="43"/>
      <c r="O1261" s="339" t="e">
        <f t="shared" si="263"/>
        <v>#N/A</v>
      </c>
      <c r="P1261" s="340" t="str">
        <f>IFERROR(VLOOKUP(O1261,NCM!$A$3:$D$99,COLUMN(head_porNCM_IPI)-COLUMN(head_porNCM_NCM)+1,FALSE),"")</f>
        <v/>
      </c>
      <c r="Q1261" s="43"/>
      <c r="R1261" s="78"/>
      <c r="S1261" s="341"/>
      <c r="T1261" s="28" t="s">
        <v>53</v>
      </c>
      <c r="U1261" s="28"/>
      <c r="V1261" s="28"/>
      <c r="W1261" s="43"/>
      <c r="X1261" s="342">
        <f t="shared" si="342"/>
        <v>0</v>
      </c>
      <c r="Y1261" s="342">
        <f t="shared" si="343"/>
        <v>0</v>
      </c>
      <c r="Z1261" s="46">
        <f t="shared" si="344"/>
        <v>0</v>
      </c>
      <c r="AA1261" s="46">
        <f t="shared" si="345"/>
        <v>0</v>
      </c>
      <c r="AB1261" s="43"/>
      <c r="AC1261" s="44"/>
      <c r="AD1261" s="31"/>
      <c r="AE1261" s="31"/>
      <c r="AF1261" s="31"/>
      <c r="AG1261" s="28" t="s">
        <v>53</v>
      </c>
      <c r="AH1261" s="46">
        <f t="shared" si="346"/>
        <v>0</v>
      </c>
      <c r="AI1261" s="43"/>
      <c r="AJ1261" s="28"/>
      <c r="AK1261" s="337"/>
      <c r="AL1261" s="43"/>
      <c r="AM1261" s="44">
        <f t="shared" si="323"/>
        <v>0</v>
      </c>
      <c r="AN1261" s="43"/>
      <c r="AO1261" s="28">
        <f t="shared" si="347"/>
        <v>0</v>
      </c>
      <c r="AP1261" s="43"/>
      <c r="AQ1261" s="323">
        <f t="shared" si="348"/>
        <v>0</v>
      </c>
      <c r="AR1261" s="43"/>
      <c r="AS1261" s="44"/>
    </row>
    <row r="1262" spans="1:45" outlineLevel="1" x14ac:dyDescent="0.25">
      <c r="A1262" s="28">
        <v>255</v>
      </c>
      <c r="B1262" s="43"/>
      <c r="C1262" s="43"/>
      <c r="D1262" s="43"/>
      <c r="E1262" s="43" t="str">
        <f t="shared" si="335"/>
        <v>Padrão 255</v>
      </c>
      <c r="F1262" s="43" t="str">
        <f t="shared" si="336"/>
        <v>Padrão 255 composto por: 2x painel; 1x relé falha disjuntor (4TC/4TP/30BI/20BO).</v>
      </c>
      <c r="G1262" s="46">
        <f t="shared" si="337"/>
        <v>0</v>
      </c>
      <c r="H1262" s="46">
        <f t="shared" si="338"/>
        <v>0</v>
      </c>
      <c r="I1262" s="28"/>
      <c r="J1262" s="337"/>
      <c r="K1262" s="46" t="str">
        <f t="shared" si="339"/>
        <v/>
      </c>
      <c r="L1262" s="46" t="str">
        <f t="shared" si="340"/>
        <v/>
      </c>
      <c r="M1262" s="338">
        <f t="shared" si="341"/>
        <v>0</v>
      </c>
      <c r="N1262" s="43"/>
      <c r="O1262" s="339" t="e">
        <f t="shared" ref="O1262:O1266" si="349">std_ncm</f>
        <v>#N/A</v>
      </c>
      <c r="P1262" s="340" t="str">
        <f>IFERROR(VLOOKUP(O1262,NCM!$A$3:$D$99,COLUMN(head_porNCM_IPI)-COLUMN(head_porNCM_NCM)+1,FALSE),"")</f>
        <v/>
      </c>
      <c r="Q1262" s="43"/>
      <c r="R1262" s="78"/>
      <c r="S1262" s="341"/>
      <c r="T1262" s="28" t="s">
        <v>53</v>
      </c>
      <c r="U1262" s="28"/>
      <c r="V1262" s="28"/>
      <c r="W1262" s="43"/>
      <c r="X1262" s="342">
        <f t="shared" si="342"/>
        <v>0</v>
      </c>
      <c r="Y1262" s="342">
        <f t="shared" si="343"/>
        <v>0</v>
      </c>
      <c r="Z1262" s="46">
        <f t="shared" si="344"/>
        <v>0</v>
      </c>
      <c r="AA1262" s="46">
        <f t="shared" si="345"/>
        <v>0</v>
      </c>
      <c r="AB1262" s="43"/>
      <c r="AC1262" s="44"/>
      <c r="AD1262" s="31"/>
      <c r="AE1262" s="31"/>
      <c r="AF1262" s="31"/>
      <c r="AG1262" s="28" t="s">
        <v>53</v>
      </c>
      <c r="AH1262" s="46">
        <f t="shared" si="346"/>
        <v>0</v>
      </c>
      <c r="AI1262" s="43"/>
      <c r="AJ1262" s="28"/>
      <c r="AK1262" s="337"/>
      <c r="AL1262" s="43"/>
      <c r="AM1262" s="44">
        <f t="shared" si="323"/>
        <v>0</v>
      </c>
      <c r="AN1262" s="43"/>
      <c r="AO1262" s="28">
        <f t="shared" si="347"/>
        <v>0</v>
      </c>
      <c r="AP1262" s="43"/>
      <c r="AQ1262" s="323">
        <f t="shared" si="348"/>
        <v>0</v>
      </c>
      <c r="AR1262" s="43"/>
      <c r="AS1262" s="44"/>
    </row>
    <row r="1263" spans="1:45" outlineLevel="1" x14ac:dyDescent="0.25">
      <c r="A1263" s="28">
        <v>256</v>
      </c>
      <c r="B1263" s="43"/>
      <c r="C1263" s="43"/>
      <c r="D1263" s="43"/>
      <c r="E1263" s="43" t="str">
        <f t="shared" si="335"/>
        <v>Padrão 256</v>
      </c>
      <c r="F1263" s="43" t="str">
        <f t="shared" si="336"/>
        <v>Padrão 256 composto por: 2x painel; 1x relé falha disjuntor (4TC/4TP/30BI/20BO).</v>
      </c>
      <c r="G1263" s="46">
        <f t="shared" si="337"/>
        <v>0</v>
      </c>
      <c r="H1263" s="46">
        <f t="shared" si="338"/>
        <v>0</v>
      </c>
      <c r="I1263" s="28"/>
      <c r="J1263" s="337"/>
      <c r="K1263" s="46" t="str">
        <f t="shared" si="339"/>
        <v/>
      </c>
      <c r="L1263" s="46" t="str">
        <f t="shared" si="340"/>
        <v/>
      </c>
      <c r="M1263" s="338">
        <f t="shared" si="341"/>
        <v>0</v>
      </c>
      <c r="N1263" s="43"/>
      <c r="O1263" s="339" t="e">
        <f t="shared" si="349"/>
        <v>#N/A</v>
      </c>
      <c r="P1263" s="340" t="str">
        <f>IFERROR(VLOOKUP(O1263,NCM!$A$3:$D$99,COLUMN(head_porNCM_IPI)-COLUMN(head_porNCM_NCM)+1,FALSE),"")</f>
        <v/>
      </c>
      <c r="Q1263" s="43"/>
      <c r="R1263" s="78"/>
      <c r="S1263" s="341"/>
      <c r="T1263" s="28" t="s">
        <v>53</v>
      </c>
      <c r="U1263" s="28"/>
      <c r="V1263" s="28"/>
      <c r="W1263" s="43"/>
      <c r="X1263" s="342">
        <f t="shared" si="342"/>
        <v>0</v>
      </c>
      <c r="Y1263" s="342">
        <f t="shared" si="343"/>
        <v>0</v>
      </c>
      <c r="Z1263" s="46">
        <f t="shared" si="344"/>
        <v>0</v>
      </c>
      <c r="AA1263" s="46">
        <f t="shared" si="345"/>
        <v>0</v>
      </c>
      <c r="AB1263" s="43"/>
      <c r="AC1263" s="44"/>
      <c r="AD1263" s="31"/>
      <c r="AE1263" s="31"/>
      <c r="AF1263" s="31"/>
      <c r="AG1263" s="28" t="s">
        <v>53</v>
      </c>
      <c r="AH1263" s="46">
        <f t="shared" si="346"/>
        <v>0</v>
      </c>
      <c r="AI1263" s="43"/>
      <c r="AJ1263" s="28"/>
      <c r="AK1263" s="337"/>
      <c r="AL1263" s="43"/>
      <c r="AM1263" s="44">
        <f t="shared" si="323"/>
        <v>0</v>
      </c>
      <c r="AN1263" s="43"/>
      <c r="AO1263" s="28">
        <f t="shared" si="347"/>
        <v>0</v>
      </c>
      <c r="AP1263" s="43"/>
      <c r="AQ1263" s="323">
        <f t="shared" si="348"/>
        <v>0</v>
      </c>
      <c r="AR1263" s="43"/>
      <c r="AS1263" s="44"/>
    </row>
    <row r="1264" spans="1:45" outlineLevel="1" x14ac:dyDescent="0.25">
      <c r="A1264" s="28">
        <v>257</v>
      </c>
      <c r="B1264" s="43"/>
      <c r="C1264" s="43"/>
      <c r="D1264" s="43"/>
      <c r="E1264" s="43" t="str">
        <f t="shared" si="335"/>
        <v>Padrão 257</v>
      </c>
      <c r="F1264" s="43" t="str">
        <f t="shared" si="336"/>
        <v>Padrão 257 composto por: 2x painel; 1x relé falha disjuntor (4TC/4TP/30BI/20BO).</v>
      </c>
      <c r="G1264" s="46">
        <f t="shared" si="337"/>
        <v>0</v>
      </c>
      <c r="H1264" s="46">
        <f t="shared" si="338"/>
        <v>0</v>
      </c>
      <c r="I1264" s="28"/>
      <c r="J1264" s="337"/>
      <c r="K1264" s="46" t="str">
        <f t="shared" si="339"/>
        <v/>
      </c>
      <c r="L1264" s="46" t="str">
        <f t="shared" si="340"/>
        <v/>
      </c>
      <c r="M1264" s="338">
        <f t="shared" si="341"/>
        <v>0</v>
      </c>
      <c r="N1264" s="43"/>
      <c r="O1264" s="339" t="e">
        <f t="shared" si="349"/>
        <v>#N/A</v>
      </c>
      <c r="P1264" s="340" t="str">
        <f>IFERROR(VLOOKUP(O1264,NCM!$A$3:$D$99,COLUMN(head_porNCM_IPI)-COLUMN(head_porNCM_NCM)+1,FALSE),"")</f>
        <v/>
      </c>
      <c r="Q1264" s="43"/>
      <c r="R1264" s="78"/>
      <c r="S1264" s="341"/>
      <c r="T1264" s="28" t="s">
        <v>53</v>
      </c>
      <c r="U1264" s="28"/>
      <c r="V1264" s="28"/>
      <c r="W1264" s="43"/>
      <c r="X1264" s="342">
        <f t="shared" si="342"/>
        <v>0</v>
      </c>
      <c r="Y1264" s="342">
        <f t="shared" si="343"/>
        <v>0</v>
      </c>
      <c r="Z1264" s="46">
        <f t="shared" si="344"/>
        <v>0</v>
      </c>
      <c r="AA1264" s="46">
        <f t="shared" si="345"/>
        <v>0</v>
      </c>
      <c r="AB1264" s="43"/>
      <c r="AC1264" s="44"/>
      <c r="AD1264" s="31"/>
      <c r="AE1264" s="31"/>
      <c r="AF1264" s="31"/>
      <c r="AG1264" s="28" t="s">
        <v>53</v>
      </c>
      <c r="AH1264" s="46">
        <f t="shared" si="346"/>
        <v>0</v>
      </c>
      <c r="AI1264" s="43"/>
      <c r="AJ1264" s="28"/>
      <c r="AK1264" s="337"/>
      <c r="AL1264" s="43"/>
      <c r="AM1264" s="44">
        <f t="shared" si="323"/>
        <v>0</v>
      </c>
      <c r="AN1264" s="43"/>
      <c r="AO1264" s="28">
        <f t="shared" si="347"/>
        <v>0</v>
      </c>
      <c r="AP1264" s="43"/>
      <c r="AQ1264" s="323">
        <f t="shared" si="348"/>
        <v>0</v>
      </c>
      <c r="AR1264" s="43"/>
      <c r="AS1264" s="44"/>
    </row>
    <row r="1265" spans="1:45" outlineLevel="1" x14ac:dyDescent="0.25">
      <c r="A1265" s="28">
        <v>258</v>
      </c>
      <c r="B1265" s="43"/>
      <c r="C1265" s="43"/>
      <c r="D1265" s="43"/>
      <c r="E1265" s="43" t="str">
        <f t="shared" si="335"/>
        <v>Padrão 258</v>
      </c>
      <c r="F1265" s="43" t="str">
        <f t="shared" si="336"/>
        <v>Padrão 258 composto por: 2x painel; 1x relé falha disjuntor (4TC/4TP/30BI/20BO).</v>
      </c>
      <c r="G1265" s="46">
        <f t="shared" si="337"/>
        <v>0</v>
      </c>
      <c r="H1265" s="46">
        <f t="shared" si="338"/>
        <v>0</v>
      </c>
      <c r="I1265" s="28"/>
      <c r="J1265" s="337"/>
      <c r="K1265" s="46" t="str">
        <f t="shared" si="339"/>
        <v/>
      </c>
      <c r="L1265" s="46" t="str">
        <f t="shared" si="340"/>
        <v/>
      </c>
      <c r="M1265" s="338">
        <f t="shared" si="341"/>
        <v>0</v>
      </c>
      <c r="N1265" s="43"/>
      <c r="O1265" s="339" t="e">
        <f t="shared" si="349"/>
        <v>#N/A</v>
      </c>
      <c r="P1265" s="340" t="str">
        <f>IFERROR(VLOOKUP(O1265,NCM!$A$3:$D$99,COLUMN(head_porNCM_IPI)-COLUMN(head_porNCM_NCM)+1,FALSE),"")</f>
        <v/>
      </c>
      <c r="Q1265" s="43"/>
      <c r="R1265" s="78"/>
      <c r="S1265" s="341"/>
      <c r="T1265" s="28" t="s">
        <v>53</v>
      </c>
      <c r="U1265" s="28"/>
      <c r="V1265" s="28"/>
      <c r="W1265" s="43"/>
      <c r="X1265" s="342">
        <f t="shared" si="342"/>
        <v>0</v>
      </c>
      <c r="Y1265" s="342">
        <f t="shared" si="343"/>
        <v>0</v>
      </c>
      <c r="Z1265" s="46">
        <f t="shared" si="344"/>
        <v>0</v>
      </c>
      <c r="AA1265" s="46">
        <f t="shared" si="345"/>
        <v>0</v>
      </c>
      <c r="AB1265" s="43"/>
      <c r="AC1265" s="44"/>
      <c r="AD1265" s="31"/>
      <c r="AE1265" s="31"/>
      <c r="AF1265" s="31"/>
      <c r="AG1265" s="28" t="s">
        <v>53</v>
      </c>
      <c r="AH1265" s="46">
        <f t="shared" si="346"/>
        <v>0</v>
      </c>
      <c r="AI1265" s="43"/>
      <c r="AJ1265" s="28"/>
      <c r="AK1265" s="337"/>
      <c r="AL1265" s="43"/>
      <c r="AM1265" s="44">
        <f t="shared" si="323"/>
        <v>0</v>
      </c>
      <c r="AN1265" s="43"/>
      <c r="AO1265" s="28">
        <f t="shared" si="347"/>
        <v>0</v>
      </c>
      <c r="AP1265" s="43"/>
      <c r="AQ1265" s="323">
        <f t="shared" si="348"/>
        <v>0</v>
      </c>
      <c r="AR1265" s="43"/>
      <c r="AS1265" s="44"/>
    </row>
    <row r="1266" spans="1:45" outlineLevel="1" x14ac:dyDescent="0.25">
      <c r="A1266" s="28">
        <v>259</v>
      </c>
      <c r="B1266" s="43"/>
      <c r="C1266" s="43"/>
      <c r="D1266" s="43"/>
      <c r="E1266" s="43" t="str">
        <f t="shared" si="335"/>
        <v>Padrão 259</v>
      </c>
      <c r="F1266" s="43" t="str">
        <f t="shared" si="336"/>
        <v>Padrão 259 composto por: 2x painel; 1x relé falha disjuntor (4TC/4TP/30BI/20BO).</v>
      </c>
      <c r="G1266" s="46">
        <f t="shared" si="337"/>
        <v>0</v>
      </c>
      <c r="H1266" s="46">
        <f t="shared" si="338"/>
        <v>0</v>
      </c>
      <c r="I1266" s="28"/>
      <c r="J1266" s="337"/>
      <c r="K1266" s="46" t="str">
        <f t="shared" si="339"/>
        <v/>
      </c>
      <c r="L1266" s="46" t="str">
        <f t="shared" si="340"/>
        <v/>
      </c>
      <c r="M1266" s="338">
        <f t="shared" si="341"/>
        <v>0</v>
      </c>
      <c r="N1266" s="43"/>
      <c r="O1266" s="339" t="e">
        <f t="shared" si="349"/>
        <v>#N/A</v>
      </c>
      <c r="P1266" s="340" t="str">
        <f>IFERROR(VLOOKUP(O1266,NCM!$A$3:$D$99,COLUMN(head_porNCM_IPI)-COLUMN(head_porNCM_NCM)+1,FALSE),"")</f>
        <v/>
      </c>
      <c r="Q1266" s="43"/>
      <c r="R1266" s="78"/>
      <c r="S1266" s="341"/>
      <c r="T1266" s="28" t="s">
        <v>53</v>
      </c>
      <c r="U1266" s="28"/>
      <c r="V1266" s="28"/>
      <c r="W1266" s="43"/>
      <c r="X1266" s="342">
        <f t="shared" si="342"/>
        <v>0</v>
      </c>
      <c r="Y1266" s="342">
        <f t="shared" si="343"/>
        <v>0</v>
      </c>
      <c r="Z1266" s="46">
        <f t="shared" si="344"/>
        <v>0</v>
      </c>
      <c r="AA1266" s="46">
        <f t="shared" si="345"/>
        <v>0</v>
      </c>
      <c r="AB1266" s="43"/>
      <c r="AC1266" s="44"/>
      <c r="AD1266" s="31"/>
      <c r="AE1266" s="31"/>
      <c r="AF1266" s="31"/>
      <c r="AG1266" s="28" t="s">
        <v>53</v>
      </c>
      <c r="AH1266" s="46">
        <f t="shared" si="346"/>
        <v>0</v>
      </c>
      <c r="AI1266" s="43"/>
      <c r="AJ1266" s="28"/>
      <c r="AK1266" s="337"/>
      <c r="AL1266" s="43"/>
      <c r="AM1266" s="44">
        <f t="shared" si="323"/>
        <v>0</v>
      </c>
      <c r="AN1266" s="43"/>
      <c r="AO1266" s="28">
        <f t="shared" si="347"/>
        <v>0</v>
      </c>
      <c r="AP1266" s="43"/>
      <c r="AQ1266" s="323">
        <f t="shared" si="348"/>
        <v>0</v>
      </c>
      <c r="AR1266" s="43"/>
      <c r="AS1266" s="44"/>
    </row>
    <row r="1267" spans="1:45" outlineLevel="1" x14ac:dyDescent="0.25">
      <c r="A1267" s="28">
        <v>260</v>
      </c>
      <c r="B1267" s="43"/>
      <c r="C1267" s="43"/>
      <c r="D1267" s="43"/>
      <c r="E1267" s="43" t="str">
        <f t="shared" si="320"/>
        <v>Padrão 260</v>
      </c>
      <c r="F1267" s="43" t="str">
        <f t="shared" si="321"/>
        <v>Padrão 260 composto por: 1x painel.</v>
      </c>
      <c r="G1267" s="46">
        <f t="shared" si="258"/>
        <v>0</v>
      </c>
      <c r="H1267" s="46">
        <f t="shared" si="259"/>
        <v>0</v>
      </c>
      <c r="I1267" s="28"/>
      <c r="J1267" s="337"/>
      <c r="K1267" s="46" t="str">
        <f t="shared" si="260"/>
        <v/>
      </c>
      <c r="L1267" s="46" t="str">
        <f t="shared" si="261"/>
        <v/>
      </c>
      <c r="M1267" s="338">
        <f t="shared" si="262"/>
        <v>0</v>
      </c>
      <c r="N1267" s="43"/>
      <c r="O1267" s="339" t="e">
        <f t="shared" si="263"/>
        <v>#N/A</v>
      </c>
      <c r="P1267" s="340" t="str">
        <f>IFERROR(VLOOKUP(O1267,NCM!$A$3:$D$99,COLUMN(head_porNCM_IPI)-COLUMN(head_porNCM_NCM)+1,FALSE),"")</f>
        <v/>
      </c>
      <c r="Q1267" s="43"/>
      <c r="R1267" s="78"/>
      <c r="S1267" s="341"/>
      <c r="T1267" s="28" t="s">
        <v>53</v>
      </c>
      <c r="U1267" s="28"/>
      <c r="V1267" s="28"/>
      <c r="W1267" s="43"/>
      <c r="X1267" s="342">
        <f t="shared" si="264"/>
        <v>0</v>
      </c>
      <c r="Y1267" s="342">
        <f t="shared" si="265"/>
        <v>0</v>
      </c>
      <c r="Z1267" s="46">
        <f t="shared" si="266"/>
        <v>0</v>
      </c>
      <c r="AA1267" s="46">
        <f t="shared" si="267"/>
        <v>0</v>
      </c>
      <c r="AB1267" s="43"/>
      <c r="AC1267" s="44"/>
      <c r="AD1267" s="31"/>
      <c r="AE1267" s="31"/>
      <c r="AF1267" s="31"/>
      <c r="AG1267" s="28" t="s">
        <v>53</v>
      </c>
      <c r="AH1267" s="46">
        <f t="shared" si="322"/>
        <v>0</v>
      </c>
      <c r="AI1267" s="43"/>
      <c r="AJ1267" s="28"/>
      <c r="AK1267" s="337"/>
      <c r="AL1267" s="43"/>
      <c r="AM1267" s="44">
        <f t="shared" si="323"/>
        <v>0</v>
      </c>
      <c r="AN1267" s="43"/>
      <c r="AO1267" s="28">
        <f t="shared" si="324"/>
        <v>0</v>
      </c>
      <c r="AP1267" s="43"/>
      <c r="AQ1267" s="323">
        <f t="shared" si="325"/>
        <v>0</v>
      </c>
      <c r="AR1267" s="43"/>
      <c r="AS1267" s="44"/>
    </row>
    <row r="1268" spans="1:45" s="351" customFormat="1" x14ac:dyDescent="0.25">
      <c r="A1268" s="345" t="s">
        <v>66</v>
      </c>
      <c r="B1268" s="343"/>
      <c r="C1268" s="343" t="s">
        <v>366</v>
      </c>
      <c r="D1268" s="343"/>
      <c r="E1268" s="343"/>
      <c r="F1268" s="343"/>
      <c r="G1268" s="344"/>
      <c r="H1268" s="344"/>
      <c r="I1268" s="343"/>
      <c r="J1268" s="343"/>
      <c r="K1268" s="343"/>
      <c r="L1268" s="343"/>
      <c r="M1268" s="343"/>
      <c r="N1268" s="343"/>
      <c r="O1268" s="343"/>
      <c r="P1268" s="343"/>
      <c r="Q1268" s="343"/>
      <c r="R1268" s="343"/>
      <c r="S1268" s="343"/>
      <c r="T1268" s="343"/>
      <c r="U1268" s="345"/>
      <c r="V1268" s="345"/>
      <c r="W1268" s="343"/>
      <c r="X1268" s="343"/>
      <c r="Y1268" s="343"/>
      <c r="Z1268" s="343"/>
      <c r="AA1268" s="343"/>
      <c r="AB1268" s="343"/>
      <c r="AC1268" s="343"/>
      <c r="AD1268" s="343"/>
      <c r="AE1268" s="343"/>
      <c r="AF1268" s="343"/>
      <c r="AG1268" s="343"/>
      <c r="AH1268" s="343"/>
      <c r="AI1268" s="343"/>
      <c r="AJ1268" s="343"/>
      <c r="AK1268" s="343"/>
      <c r="AL1268" s="343"/>
      <c r="AM1268" s="344"/>
      <c r="AN1268" s="343"/>
      <c r="AO1268" s="345"/>
      <c r="AP1268" s="343"/>
      <c r="AQ1268" s="343"/>
      <c r="AR1268" s="343"/>
      <c r="AS1268" s="343"/>
    </row>
    <row r="1269" spans="1:45" x14ac:dyDescent="0.25">
      <c r="A1269" s="28"/>
      <c r="B1269" s="43"/>
      <c r="C1269" s="43"/>
      <c r="D1269" s="43"/>
      <c r="E1269" s="43"/>
      <c r="F1269" s="43"/>
      <c r="G1269" s="46">
        <f t="shared" ref="G1269" si="350">AC1269*(1-AD1269)</f>
        <v>0</v>
      </c>
      <c r="H1269" s="46">
        <f t="shared" ref="H1269" si="351">AC1269*(1-AD1269-pis_naocum-cofins_naocum)</f>
        <v>0</v>
      </c>
      <c r="I1269" s="28"/>
      <c r="J1269" s="337"/>
      <c r="K1269" s="46" t="str">
        <f t="shared" ref="K1269" si="352">IFERROR(G1269*J1269*VLOOKUP(I1269,tbl_cambio,2,FALSE),"")</f>
        <v/>
      </c>
      <c r="L1269" s="46" t="str">
        <f t="shared" ref="L1269" si="353">IFERROR(H1269*J1269*VLOOKUP(I1269,tbl_cambio,2,FALSE),"")</f>
        <v/>
      </c>
      <c r="M1269" s="338">
        <f t="shared" ref="M1269" si="354">SUMIF(col_item,"="&amp;E1269,col_qtd)</f>
        <v>0</v>
      </c>
      <c r="N1269" s="43"/>
      <c r="O1269" s="339"/>
      <c r="P1269" s="340" t="str">
        <f>IFERROR(VLOOKUP(O1269,NCM!$A$3:$D$99,COLUMN(head_porNCM_IPI)-COLUMN(head_porNCM_NCM)+1,FALSE),"")</f>
        <v/>
      </c>
      <c r="Q1269" s="43"/>
      <c r="R1269" s="78"/>
      <c r="S1269" s="341"/>
      <c r="T1269" s="28" t="s">
        <v>53</v>
      </c>
      <c r="U1269" s="28"/>
      <c r="V1269" s="28"/>
      <c r="W1269" s="43"/>
      <c r="X1269" s="342">
        <f>(AC1269-Y1269)*AD1269</f>
        <v>0</v>
      </c>
      <c r="Y1269" s="342">
        <f>AC1269-AC1269/(1+AE1269)</f>
        <v>0</v>
      </c>
      <c r="Z1269" s="46">
        <f t="shared" ref="Z1269" si="355">(AC1269-Y1269)*pis_naocum</f>
        <v>0</v>
      </c>
      <c r="AA1269" s="46">
        <f t="shared" ref="AA1269" si="356">(AC1269-Y1269)*cofins_naocum</f>
        <v>0</v>
      </c>
      <c r="AB1269" s="43"/>
      <c r="AC1269" s="44"/>
      <c r="AD1269" s="31"/>
      <c r="AE1269" s="31"/>
      <c r="AF1269" s="31"/>
      <c r="AG1269" s="28" t="s">
        <v>53</v>
      </c>
      <c r="AH1269" s="46">
        <f>AC1269*(1+AE1269)</f>
        <v>0</v>
      </c>
      <c r="AI1269" s="43"/>
      <c r="AJ1269" s="28"/>
      <c r="AK1269" s="337"/>
      <c r="AL1269" s="43"/>
      <c r="AM1269" s="44">
        <f>IF(AND(AJ1269&lt;&gt;"",AK1269&gt;0),AQ1269*(VLOOKUP(AJ1269,tbl_cambio,2,FALSE)/AK1269-1),0)</f>
        <v>0</v>
      </c>
      <c r="AN1269" s="43"/>
      <c r="AO1269" s="28">
        <f>IF(T1269="Sim",ROUNDUP(M1269*sobress_pc,0),0)</f>
        <v>0</v>
      </c>
      <c r="AP1269" s="43"/>
      <c r="AQ1269" s="323">
        <f>SUMIFS(col_custoTotal,col_fatdir,"Não",col_item,E1269)</f>
        <v>0</v>
      </c>
      <c r="AR1269" s="43"/>
      <c r="AS1269" s="44">
        <f>IFERROR(AH1269*VLOOKUP(I1269,tbl_cambio,2,FALSE),0)</f>
        <v>0</v>
      </c>
    </row>
    <row r="1270" spans="1:45" s="350" customFormat="1" x14ac:dyDescent="0.25">
      <c r="A1270" s="336" t="s">
        <v>66</v>
      </c>
      <c r="B1270" s="334"/>
      <c r="C1270" s="349" t="s">
        <v>370</v>
      </c>
      <c r="D1270" s="349"/>
      <c r="E1270" s="334"/>
      <c r="F1270" s="334"/>
      <c r="G1270" s="335"/>
      <c r="H1270" s="335"/>
      <c r="I1270" s="334"/>
      <c r="J1270" s="334"/>
      <c r="K1270" s="334"/>
      <c r="L1270" s="334"/>
      <c r="M1270" s="334"/>
      <c r="N1270" s="334"/>
      <c r="O1270" s="334"/>
      <c r="P1270" s="334"/>
      <c r="Q1270" s="334"/>
      <c r="R1270" s="334"/>
      <c r="S1270" s="334"/>
      <c r="T1270" s="334"/>
      <c r="U1270" s="336"/>
      <c r="V1270" s="336"/>
      <c r="W1270" s="334"/>
      <c r="X1270" s="334"/>
      <c r="Y1270" s="334"/>
      <c r="Z1270" s="334"/>
      <c r="AA1270" s="334"/>
      <c r="AB1270" s="334"/>
      <c r="AC1270" s="334"/>
      <c r="AD1270" s="334"/>
      <c r="AE1270" s="334"/>
      <c r="AF1270" s="334"/>
      <c r="AG1270" s="334"/>
      <c r="AH1270" s="334"/>
      <c r="AI1270" s="334"/>
      <c r="AJ1270" s="334"/>
      <c r="AK1270" s="334"/>
      <c r="AL1270" s="334"/>
      <c r="AM1270" s="335"/>
      <c r="AN1270" s="334"/>
      <c r="AO1270" s="336"/>
      <c r="AP1270" s="334"/>
      <c r="AQ1270" s="334"/>
      <c r="AR1270" s="334"/>
      <c r="AS1270" s="334"/>
    </row>
    <row r="1272" spans="1:45" x14ac:dyDescent="0.25">
      <c r="E1272" s="220" t="s">
        <v>312</v>
      </c>
    </row>
    <row r="1273" spans="1:45" x14ac:dyDescent="0.25">
      <c r="E1273" s="221">
        <v>0.1</v>
      </c>
    </row>
  </sheetData>
  <autoFilter ref="A44:AS1268" xr:uid="{8FA1040B-9B6D-46FE-84D6-0A879B4C25B3}"/>
  <mergeCells count="3">
    <mergeCell ref="X43:AA43"/>
    <mergeCell ref="AD43:AG43"/>
    <mergeCell ref="AJ43:AK43"/>
  </mergeCells>
  <conditionalFormatting sqref="A57:XFD1270 A45:XFD53">
    <cfRule type="expression" dxfId="24" priority="37">
      <formula>IF($D45&lt;&gt;"",TRUE,FALSE)</formula>
    </cfRule>
    <cfRule type="expression" dxfId="23" priority="38">
      <formula>IF($M45&gt;0,TRUE,FALSE)</formula>
    </cfRule>
  </conditionalFormatting>
  <conditionalFormatting sqref="AO57:AO1048576 M57:M1048576 AO1:AO53 M1:M53">
    <cfRule type="cellIs" dxfId="22" priority="36" operator="equal">
      <formula>0</formula>
    </cfRule>
  </conditionalFormatting>
  <conditionalFormatting sqref="AM44">
    <cfRule type="cellIs" dxfId="21" priority="34" operator="equal">
      <formula>0</formula>
    </cfRule>
  </conditionalFormatting>
  <conditionalFormatting sqref="A54:XFD54">
    <cfRule type="expression" dxfId="20" priority="12">
      <formula>IF($D54&lt;&gt;"",TRUE,FALSE)</formula>
    </cfRule>
    <cfRule type="expression" dxfId="19" priority="13">
      <formula>IF($M54&gt;0,TRUE,FALSE)</formula>
    </cfRule>
  </conditionalFormatting>
  <conditionalFormatting sqref="M54 AO54">
    <cfRule type="cellIs" dxfId="18" priority="11" operator="equal">
      <formula>0</formula>
    </cfRule>
  </conditionalFormatting>
  <conditionalFormatting sqref="A56:XFD56">
    <cfRule type="expression" dxfId="17" priority="7">
      <formula>IF($D56&lt;&gt;"",TRUE,FALSE)</formula>
    </cfRule>
    <cfRule type="expression" dxfId="16" priority="8">
      <formula>IF($M56&gt;0,TRUE,FALSE)</formula>
    </cfRule>
  </conditionalFormatting>
  <conditionalFormatting sqref="AO56 M56">
    <cfRule type="cellIs" dxfId="15" priority="6" operator="equal">
      <formula>0</formula>
    </cfRule>
  </conditionalFormatting>
  <conditionalFormatting sqref="A55:XFD55">
    <cfRule type="expression" dxfId="14" priority="2">
      <formula>IF($D55&lt;&gt;"",TRUE,FALSE)</formula>
    </cfRule>
    <cfRule type="expression" dxfId="13" priority="3">
      <formula>IF($M55&gt;0,TRUE,FALSE)</formula>
    </cfRule>
  </conditionalFormatting>
  <conditionalFormatting sqref="AO55 M55">
    <cfRule type="cellIs" dxfId="12" priority="1" operator="equal">
      <formula>0</formula>
    </cfRule>
  </conditionalFormatting>
  <dataValidations count="4">
    <dataValidation type="list" allowBlank="1" showInputMessage="1" showErrorMessage="1" sqref="AG1269 T1269 AG1008:AG1267 T1008:T1267 T59:T1006 AG59:AG1006 T45:T56 AG45:AG56" xr:uid="{00000000-0002-0000-0400-000000000000}">
      <formula1>tblSimNao</formula1>
    </dataValidation>
    <dataValidation type="list" allowBlank="1" showInputMessage="1" showErrorMessage="1" sqref="N1269 N1008:N1267 N59:N1006 N45:N56" xr:uid="{00000000-0002-0000-0400-000001000000}">
      <formula1>tbl_tipoWBS_mat</formula1>
    </dataValidation>
    <dataValidation type="list" allowBlank="1" showInputMessage="1" showErrorMessage="1" sqref="R1269 R1008:R1267 R59:R1006 R45:R56" xr:uid="{00000000-0002-0000-0400-000002000000}">
      <formula1>tbm_natureza</formula1>
    </dataValidation>
    <dataValidation type="list" allowBlank="1" showInputMessage="1" showErrorMessage="1" sqref="AJ1269 I1269 AJ1008:AJ1267 I1008:I1267 I59:I1006 AJ59:AJ1006 I45:I56 AJ45:AJ56" xr:uid="{00000000-0002-0000-0400-000003000000}">
      <formula1>$A$39:$A$42</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NCM!$A$3:$A$99</xm:f>
          </x14:formula1>
          <xm:sqref>O1008:O1267</xm:sqref>
        </x14:dataValidation>
        <x14:dataValidation type="list" allowBlank="1" showInputMessage="1" showErrorMessage="1" xr:uid="{00000000-0002-0000-0400-000005000000}">
          <x14:formula1>
            <xm:f>NCM!$A$3:$A$100</xm:f>
          </x14:formula1>
          <xm:sqref>O1269 O56 O55 O59:O1006 O53 O45:O52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theme="9" tint="0.39997558519241921"/>
  </sheetPr>
  <dimension ref="A1:AB115"/>
  <sheetViews>
    <sheetView zoomScale="80" zoomScaleNormal="80" workbookViewId="0">
      <pane xSplit="2" ySplit="2" topLeftCell="C3" activePane="bottomRight" state="frozen"/>
      <selection pane="topRight" activeCell="B1" sqref="B1"/>
      <selection pane="bottomLeft" activeCell="A3" sqref="A3"/>
      <selection pane="bottomRight" activeCell="C7" sqref="C7"/>
    </sheetView>
  </sheetViews>
  <sheetFormatPr defaultColWidth="9.109375" defaultRowHeight="13.2" zeroHeight="1" outlineLevelCol="1" x14ac:dyDescent="0.25"/>
  <cols>
    <col min="1" max="1" width="8.6640625" style="524" hidden="1" customWidth="1"/>
    <col min="2" max="2" width="30.6640625" style="1" customWidth="1"/>
    <col min="3" max="3" width="53" style="1" customWidth="1"/>
    <col min="4" max="4" width="24.6640625" style="1" customWidth="1"/>
    <col min="5" max="5" width="23.6640625" style="1" customWidth="1"/>
    <col min="6" max="9" width="12.6640625" style="1" customWidth="1"/>
    <col min="10" max="12" width="15.6640625" style="1" customWidth="1"/>
    <col min="13" max="15" width="10.6640625" style="1" customWidth="1"/>
    <col min="16" max="16" width="13.6640625" style="1" customWidth="1"/>
    <col min="17" max="17" width="16.6640625" style="1" customWidth="1"/>
    <col min="18" max="18" width="15.6640625" style="1" customWidth="1"/>
    <col min="19" max="23" width="15.6640625" style="1" customWidth="1" outlineLevel="1"/>
    <col min="24" max="24" width="15.6640625" style="1" customWidth="1"/>
    <col min="25" max="25" width="2.6640625" style="1" customWidth="1"/>
    <col min="26" max="26" width="15.6640625" style="1" customWidth="1"/>
    <col min="27" max="27" width="2.6640625" style="1" customWidth="1"/>
    <col min="28" max="28" width="15.6640625" style="736" customWidth="1"/>
    <col min="29" max="16384" width="9.109375" style="1"/>
  </cols>
  <sheetData>
    <row r="1" spans="1:28" ht="20.100000000000001" customHeight="1" x14ac:dyDescent="0.25">
      <c r="B1" s="629"/>
      <c r="C1" s="629"/>
      <c r="D1" s="874" t="s">
        <v>307</v>
      </c>
      <c r="E1" s="874"/>
      <c r="F1" s="874"/>
      <c r="G1" s="874" t="s">
        <v>306</v>
      </c>
      <c r="H1" s="874"/>
      <c r="I1" s="874"/>
      <c r="J1" s="874"/>
      <c r="K1" s="874"/>
      <c r="L1" s="624" t="s">
        <v>305</v>
      </c>
      <c r="M1" s="80"/>
      <c r="N1" s="80"/>
      <c r="O1" s="80"/>
      <c r="P1" s="80"/>
      <c r="Q1" s="80"/>
      <c r="R1" s="80"/>
      <c r="S1" s="80"/>
      <c r="T1" s="80"/>
      <c r="U1" s="80"/>
      <c r="V1" s="80"/>
      <c r="W1" s="80"/>
      <c r="X1" s="625"/>
    </row>
    <row r="2" spans="1:28" s="74" customFormat="1" ht="20.100000000000001" customHeight="1" x14ac:dyDescent="0.25">
      <c r="A2" s="524"/>
      <c r="B2" s="81" t="s">
        <v>189</v>
      </c>
      <c r="C2" s="81" t="s">
        <v>190</v>
      </c>
      <c r="D2" s="82" t="s">
        <v>193</v>
      </c>
      <c r="E2" s="82" t="s">
        <v>292</v>
      </c>
      <c r="F2" s="82" t="s">
        <v>291</v>
      </c>
      <c r="G2" s="82" t="s">
        <v>293</v>
      </c>
      <c r="H2" s="82" t="s">
        <v>294</v>
      </c>
      <c r="I2" s="82" t="s">
        <v>295</v>
      </c>
      <c r="J2" s="82" t="s">
        <v>296</v>
      </c>
      <c r="K2" s="82" t="s">
        <v>297</v>
      </c>
      <c r="L2" s="82" t="s">
        <v>309</v>
      </c>
      <c r="M2" s="82" t="s">
        <v>293</v>
      </c>
      <c r="N2" s="82" t="s">
        <v>294</v>
      </c>
      <c r="O2" s="82" t="s">
        <v>770</v>
      </c>
      <c r="P2" s="82" t="s">
        <v>771</v>
      </c>
      <c r="Q2" s="82" t="s">
        <v>769</v>
      </c>
      <c r="R2" s="82" t="s">
        <v>303</v>
      </c>
      <c r="S2" s="90" t="str">
        <f>Parametrização!F8</f>
        <v>avião</v>
      </c>
      <c r="T2" s="90" t="str">
        <f>Parametrização!F9</f>
        <v>taxi</v>
      </c>
      <c r="U2" s="90" t="str">
        <f>Parametrização!F10</f>
        <v>carro/dia</v>
      </c>
      <c r="V2" s="90" t="str">
        <f>Parametrização!F11</f>
        <v>hosped./dia</v>
      </c>
      <c r="W2" s="90" t="str">
        <f>Parametrização!F12</f>
        <v>refeição/dia</v>
      </c>
      <c r="X2" s="82" t="s">
        <v>304</v>
      </c>
      <c r="Z2" s="82" t="s">
        <v>365</v>
      </c>
      <c r="AB2" s="737" t="s">
        <v>1096</v>
      </c>
    </row>
    <row r="3" spans="1:28" ht="30" customHeight="1" x14ac:dyDescent="0.25">
      <c r="A3" s="526" t="b">
        <f t="shared" ref="A3" si="0">IF(SUMIF(col_item,"="&amp;B3,col_qtd)&gt;0,TRUE,FALSE)</f>
        <v>1</v>
      </c>
      <c r="B3" s="630" t="s">
        <v>1133</v>
      </c>
      <c r="C3" s="43" t="s">
        <v>1134</v>
      </c>
      <c r="D3" s="78" t="s">
        <v>155</v>
      </c>
      <c r="E3" s="78" t="s">
        <v>288</v>
      </c>
      <c r="F3" s="46">
        <f t="shared" ref="F3" si="1">IFERROR(VLOOKUP(E3,tbl_hh,2,FALSE),"")</f>
        <v>62</v>
      </c>
      <c r="G3" s="634">
        <v>1</v>
      </c>
      <c r="H3" s="810">
        <v>2</v>
      </c>
      <c r="I3" s="634">
        <v>8.8000000000000007</v>
      </c>
      <c r="J3" s="593">
        <f>G3*H3*I3</f>
        <v>17.600000000000001</v>
      </c>
      <c r="K3" s="46">
        <f>IFERROR(F3*J3,"")</f>
        <v>1091.2</v>
      </c>
      <c r="L3" s="77" t="s">
        <v>2357</v>
      </c>
      <c r="M3" s="634">
        <f t="shared" ref="M3" si="2">IF($L3&lt;&gt;"Não",G3,0)</f>
        <v>1</v>
      </c>
      <c r="N3" s="634">
        <f t="shared" ref="N3" si="3">IF($L3&lt;&gt;"Não",H3,0)</f>
        <v>2</v>
      </c>
      <c r="O3" s="634">
        <v>1</v>
      </c>
      <c r="P3" s="626">
        <v>1</v>
      </c>
      <c r="Q3" s="634">
        <v>1</v>
      </c>
      <c r="R3" s="636"/>
      <c r="S3" s="46">
        <f>mlookup(Parametrização!$G$8:$J$12,$L3,Parametrização!$G$7:$J$7,S$2,Parametrização!$F$8:$F$12)</f>
        <v>500</v>
      </c>
      <c r="T3" s="46">
        <f>mlookup(Parametrização!$G$8:$J$12,$L3,Parametrização!$G$7:$J$7,T$2,Parametrização!$F$8:$F$12)</f>
        <v>0</v>
      </c>
      <c r="U3" s="46">
        <f>mlookup(Parametrização!$G$8:$J$12,$L3,Parametrização!$G$7:$J$7,U$2,Parametrização!$F$8:$F$12)</f>
        <v>240</v>
      </c>
      <c r="V3" s="46">
        <f>mlookup(Parametrização!$G$8:$J$12,$L3,Parametrização!$G$7:$J$7,V$2,Parametrização!$F$8:$F$12)</f>
        <v>220</v>
      </c>
      <c r="W3" s="46">
        <f>mlookup(Parametrização!$G$8:$J$12,$L3,Parametrização!$G$7:$J$7,W$2,Parametrização!$F$8:$F$12)</f>
        <v>90</v>
      </c>
      <c r="X3" s="46">
        <f>(S3+T3)*P3*M3+U3*O3*N3+W3*M3*N3+V3*M3*N3/Q3+R3</f>
        <v>1600</v>
      </c>
      <c r="Y3" s="43"/>
      <c r="Z3" s="45">
        <f t="shared" ref="Z3" si="4">IFERROR(VLOOKUP(B3,tbl_Escopo,COLUMN(col_brutounitario)-COLUMN(col_item)+1,FALSE)/J3,0)</f>
        <v>188.58739224497552</v>
      </c>
      <c r="AB3" s="738">
        <f t="shared" ref="AB3" si="5">1/Q3</f>
        <v>1</v>
      </c>
    </row>
    <row r="4" spans="1:28" ht="50.1" customHeight="1" x14ac:dyDescent="0.25">
      <c r="A4" s="526" t="b">
        <f t="shared" ref="A4" si="6">IF(SUMIF(col_item,"="&amp;B4,col_qtd)&gt;0,TRUE,FALSE)</f>
        <v>1</v>
      </c>
      <c r="B4" s="630" t="s">
        <v>1123</v>
      </c>
      <c r="C4" s="631" t="s">
        <v>3126</v>
      </c>
      <c r="D4" s="78" t="s">
        <v>155</v>
      </c>
      <c r="E4" s="78" t="s">
        <v>288</v>
      </c>
      <c r="F4" s="46">
        <f t="shared" ref="F4" si="7">IFERROR(VLOOKUP(E4,tbl_hh,2,FALSE),"")</f>
        <v>62</v>
      </c>
      <c r="G4" s="634">
        <v>1</v>
      </c>
      <c r="H4" s="634">
        <v>30</v>
      </c>
      <c r="I4" s="634">
        <v>8.8000000000000007</v>
      </c>
      <c r="J4" s="593">
        <f>G4*H4*I4</f>
        <v>264</v>
      </c>
      <c r="K4" s="46">
        <f>IFERROR(F4*J4,"")</f>
        <v>16368</v>
      </c>
      <c r="L4" s="77" t="s">
        <v>53</v>
      </c>
      <c r="M4" s="634">
        <f t="shared" ref="M4" si="8">IF($L4&lt;&gt;"Não",G4,0)</f>
        <v>0</v>
      </c>
      <c r="N4" s="634">
        <f t="shared" ref="N4" si="9">IF($L4&lt;&gt;"Não",H4,0)</f>
        <v>0</v>
      </c>
      <c r="O4" s="634">
        <v>1</v>
      </c>
      <c r="P4" s="626">
        <v>1</v>
      </c>
      <c r="Q4" s="634">
        <v>1</v>
      </c>
      <c r="R4" s="636"/>
      <c r="S4" s="46">
        <f>mlookup(Parametrização!$G$8:$J$12,$L4,Parametrização!$G$7:$J$7,S$2,Parametrização!$F$8:$F$12)</f>
        <v>0</v>
      </c>
      <c r="T4" s="46">
        <f>mlookup(Parametrização!$G$8:$J$12,$L4,Parametrização!$G$7:$J$7,T$2,Parametrização!$F$8:$F$12)</f>
        <v>0</v>
      </c>
      <c r="U4" s="46">
        <f>mlookup(Parametrização!$G$8:$J$12,$L4,Parametrização!$G$7:$J$7,U$2,Parametrização!$F$8:$F$12)</f>
        <v>0</v>
      </c>
      <c r="V4" s="46">
        <f>mlookup(Parametrização!$G$8:$J$12,$L4,Parametrização!$G$7:$J$7,V$2,Parametrização!$F$8:$F$12)</f>
        <v>0</v>
      </c>
      <c r="W4" s="46">
        <f>mlookup(Parametrização!$G$8:$J$12,$L4,Parametrização!$G$7:$J$7,W$2,Parametrização!$F$8:$F$12)</f>
        <v>0</v>
      </c>
      <c r="X4" s="46">
        <f t="shared" ref="X4" si="10">(S4+T4)*P4*M4+U4*O4*N4+W4*M4*N4+V4*M4*N4/Q4+R4</f>
        <v>0</v>
      </c>
      <c r="Y4" s="43"/>
      <c r="Z4" s="45">
        <f t="shared" ref="Z4" si="11">IFERROR(VLOOKUP(B4,tbl_Escopo,COLUMN(col_brutounitario)-COLUMN(col_item)+1,FALSE)/J4,0)</f>
        <v>188.58739224497552</v>
      </c>
      <c r="AB4" s="738">
        <f t="shared" ref="AB4" si="12">1/Q4</f>
        <v>1</v>
      </c>
    </row>
    <row r="5" spans="1:28" ht="30" customHeight="1" x14ac:dyDescent="0.25">
      <c r="A5" s="526" t="b">
        <f t="shared" ref="A5:A10" si="13">IF(SUMIF(col_item,"="&amp;B5,col_qtd)&gt;0,TRUE,FALSE)</f>
        <v>1</v>
      </c>
      <c r="B5" s="630" t="s">
        <v>1118</v>
      </c>
      <c r="C5" s="43" t="s">
        <v>658</v>
      </c>
      <c r="D5" s="78" t="s">
        <v>158</v>
      </c>
      <c r="E5" s="78" t="s">
        <v>289</v>
      </c>
      <c r="F5" s="46">
        <f t="shared" ref="F5:F10" si="14">IFERROR(VLOOKUP(E5,tbl_hh,2,FALSE),"")</f>
        <v>30</v>
      </c>
      <c r="G5" s="634">
        <v>2</v>
      </c>
      <c r="H5" s="634">
        <f>7*painel_total</f>
        <v>14</v>
      </c>
      <c r="I5" s="634">
        <v>8.8000000000000007</v>
      </c>
      <c r="J5" s="593">
        <f>G5*H5*I5</f>
        <v>246.40000000000003</v>
      </c>
      <c r="K5" s="46">
        <f>IFERROR(F5*J5,"")</f>
        <v>7392.0000000000009</v>
      </c>
      <c r="L5" s="77" t="s">
        <v>53</v>
      </c>
      <c r="M5" s="634">
        <f t="shared" ref="M5:M10" si="15">IF($L5&lt;&gt;"Não",G5,0)</f>
        <v>0</v>
      </c>
      <c r="N5" s="634">
        <f t="shared" ref="N5:N10" si="16">IF($L5&lt;&gt;"Não",H5,0)</f>
        <v>0</v>
      </c>
      <c r="O5" s="634">
        <v>1</v>
      </c>
      <c r="P5" s="626">
        <v>1</v>
      </c>
      <c r="Q5" s="634">
        <v>1</v>
      </c>
      <c r="R5" s="636"/>
      <c r="S5" s="46">
        <f>mlookup(Parametrização!$G$8:$J$12,$L5,Parametrização!$G$7:$J$7,S$2,Parametrização!$F$8:$F$12)</f>
        <v>0</v>
      </c>
      <c r="T5" s="46">
        <f>mlookup(Parametrização!$G$8:$J$12,$L5,Parametrização!$G$7:$J$7,T$2,Parametrização!$F$8:$F$12)</f>
        <v>0</v>
      </c>
      <c r="U5" s="46">
        <f>mlookup(Parametrização!$G$8:$J$12,$L5,Parametrização!$G$7:$J$7,U$2,Parametrização!$F$8:$F$12)</f>
        <v>0</v>
      </c>
      <c r="V5" s="46">
        <f>mlookup(Parametrização!$G$8:$J$12,$L5,Parametrização!$G$7:$J$7,V$2,Parametrização!$F$8:$F$12)</f>
        <v>0</v>
      </c>
      <c r="W5" s="46">
        <f>mlookup(Parametrização!$G$8:$J$12,$L5,Parametrização!$G$7:$J$7,W$2,Parametrização!$F$8:$F$12)</f>
        <v>0</v>
      </c>
      <c r="X5" s="46">
        <f t="shared" ref="X5:X9" si="17">(S5+T5)*P5*M5+U5*O5*N5+W5*M5*N5+V5*M5*N5/Q5+R5</f>
        <v>0</v>
      </c>
      <c r="Y5" s="43"/>
      <c r="Z5" s="45">
        <f t="shared" ref="Z5:Z10" si="18">IFERROR(VLOOKUP(B5,tbl_Escopo,COLUMN(col_brutounitario)-COLUMN(col_item)+1,FALSE)/J5,0)</f>
        <v>36.956308808058346</v>
      </c>
      <c r="AB5" s="738">
        <f t="shared" ref="AB5:AB10" si="19">1/Q5</f>
        <v>1</v>
      </c>
    </row>
    <row r="6" spans="1:28" ht="30" customHeight="1" x14ac:dyDescent="0.25">
      <c r="A6" s="526" t="b">
        <f t="shared" ref="A6" si="20">IF(SUMIF(col_item,"="&amp;B6,col_qtd)&gt;0,TRUE,FALSE)</f>
        <v>1</v>
      </c>
      <c r="B6" s="630" t="s">
        <v>2355</v>
      </c>
      <c r="C6" s="43" t="s">
        <v>2356</v>
      </c>
      <c r="D6" s="78" t="s">
        <v>149</v>
      </c>
      <c r="E6" s="78" t="s">
        <v>289</v>
      </c>
      <c r="F6" s="46">
        <f t="shared" ref="F6" si="21">IFERROR(VLOOKUP(E6,tbl_hh,2,FALSE),"")</f>
        <v>30</v>
      </c>
      <c r="G6" s="634">
        <v>2</v>
      </c>
      <c r="H6" s="634">
        <v>5</v>
      </c>
      <c r="I6" s="634">
        <v>8.8000000000000007</v>
      </c>
      <c r="J6" s="593">
        <f>G6*H6*I6</f>
        <v>88</v>
      </c>
      <c r="K6" s="46">
        <f>IFERROR(F6*J6,"")</f>
        <v>2640</v>
      </c>
      <c r="L6" s="77" t="s">
        <v>2357</v>
      </c>
      <c r="M6" s="634">
        <f t="shared" ref="M6" si="22">IF($L6&lt;&gt;"Não",G6,0)</f>
        <v>2</v>
      </c>
      <c r="N6" s="634">
        <f t="shared" ref="N6" si="23">IF($L6&lt;&gt;"Não",H6,0)</f>
        <v>5</v>
      </c>
      <c r="O6" s="634">
        <v>1</v>
      </c>
      <c r="P6" s="626">
        <v>1</v>
      </c>
      <c r="Q6" s="634">
        <v>1</v>
      </c>
      <c r="R6" s="636"/>
      <c r="S6" s="46">
        <f>mlookup(Parametrização!$G$8:$J$12,$L6,Parametrização!$G$7:$J$7,S$2,Parametrização!$F$8:$F$12)</f>
        <v>500</v>
      </c>
      <c r="T6" s="46">
        <f>mlookup(Parametrização!$G$8:$J$12,$L6,Parametrização!$G$7:$J$7,T$2,Parametrização!$F$8:$F$12)</f>
        <v>0</v>
      </c>
      <c r="U6" s="46">
        <f>mlookup(Parametrização!$G$8:$J$12,$L6,Parametrização!$G$7:$J$7,U$2,Parametrização!$F$8:$F$12)</f>
        <v>240</v>
      </c>
      <c r="V6" s="46">
        <f>mlookup(Parametrização!$G$8:$J$12,$L6,Parametrização!$G$7:$J$7,V$2,Parametrização!$F$8:$F$12)</f>
        <v>220</v>
      </c>
      <c r="W6" s="46">
        <f>mlookup(Parametrização!$G$8:$J$12,$L6,Parametrização!$G$7:$J$7,W$2,Parametrização!$F$8:$F$12)</f>
        <v>90</v>
      </c>
      <c r="X6" s="46">
        <f>(S6+T6)*P6*M6+U6*O6*N6+W6*M6*N6+V6*M6*N6/Q6+R6</f>
        <v>5300</v>
      </c>
      <c r="Y6" s="43"/>
      <c r="Z6" s="45">
        <f t="shared" ref="Z6" si="24">IFERROR(VLOOKUP(B6,tbl_Escopo,COLUMN(col_brutounitario)-COLUMN(col_item)+1,FALSE)/J6,0)</f>
        <v>91.25196398950429</v>
      </c>
      <c r="AB6" s="738">
        <f t="shared" ref="AB6" si="25">1/Q6</f>
        <v>1</v>
      </c>
    </row>
    <row r="7" spans="1:28" ht="50.1" customHeight="1" x14ac:dyDescent="0.25">
      <c r="A7" s="526" t="b">
        <f t="shared" si="13"/>
        <v>1</v>
      </c>
      <c r="B7" s="630" t="s">
        <v>589</v>
      </c>
      <c r="C7" s="631" t="s">
        <v>3032</v>
      </c>
      <c r="D7" s="78" t="s">
        <v>156</v>
      </c>
      <c r="E7" s="78" t="s">
        <v>287</v>
      </c>
      <c r="F7" s="46">
        <f t="shared" si="14"/>
        <v>71</v>
      </c>
      <c r="G7" s="634">
        <v>1</v>
      </c>
      <c r="H7" s="634">
        <v>30</v>
      </c>
      <c r="I7" s="634">
        <v>8.8000000000000007</v>
      </c>
      <c r="J7" s="593">
        <f t="shared" ref="J7:J9" si="26">G7*H7*I7</f>
        <v>264</v>
      </c>
      <c r="K7" s="46">
        <f t="shared" ref="K7:K9" si="27">IFERROR(F7*J7,"")</f>
        <v>18744</v>
      </c>
      <c r="L7" s="77" t="s">
        <v>53</v>
      </c>
      <c r="M7" s="634">
        <f t="shared" si="15"/>
        <v>0</v>
      </c>
      <c r="N7" s="634">
        <f t="shared" si="16"/>
        <v>0</v>
      </c>
      <c r="O7" s="634">
        <v>1</v>
      </c>
      <c r="P7" s="626">
        <v>1</v>
      </c>
      <c r="Q7" s="634">
        <v>1</v>
      </c>
      <c r="R7" s="636"/>
      <c r="S7" s="46">
        <f>mlookup(Parametrização!$G$8:$J$12,$L7,Parametrização!$G$7:$J$7,S$2,Parametrização!$F$8:$F$12)</f>
        <v>0</v>
      </c>
      <c r="T7" s="46">
        <f>mlookup(Parametrização!$G$8:$J$12,$L7,Parametrização!$G$7:$J$7,T$2,Parametrização!$F$8:$F$12)</f>
        <v>0</v>
      </c>
      <c r="U7" s="46">
        <f>mlookup(Parametrização!$G$8:$J$12,$L7,Parametrização!$G$7:$J$7,U$2,Parametrização!$F$8:$F$12)</f>
        <v>0</v>
      </c>
      <c r="V7" s="46">
        <f>mlookup(Parametrização!$G$8:$J$12,$L7,Parametrização!$G$7:$J$7,V$2,Parametrização!$F$8:$F$12)</f>
        <v>0</v>
      </c>
      <c r="W7" s="46">
        <f>mlookup(Parametrização!$G$8:$J$12,$L7,Parametrização!$G$7:$J$7,W$2,Parametrização!$F$8:$F$12)</f>
        <v>0</v>
      </c>
      <c r="X7" s="46">
        <f t="shared" si="17"/>
        <v>0</v>
      </c>
      <c r="Y7" s="43"/>
      <c r="Z7" s="45">
        <f t="shared" si="18"/>
        <v>215.96298144182683</v>
      </c>
      <c r="AB7" s="738">
        <f t="shared" si="19"/>
        <v>1</v>
      </c>
    </row>
    <row r="8" spans="1:28" ht="30" customHeight="1" x14ac:dyDescent="0.25">
      <c r="A8" s="526" t="b">
        <f t="shared" si="13"/>
        <v>1</v>
      </c>
      <c r="B8" s="630" t="s">
        <v>1119</v>
      </c>
      <c r="C8" s="631" t="s">
        <v>308</v>
      </c>
      <c r="D8" s="78" t="s">
        <v>784</v>
      </c>
      <c r="E8" s="78" t="s">
        <v>287</v>
      </c>
      <c r="F8" s="46">
        <f t="shared" si="14"/>
        <v>71</v>
      </c>
      <c r="G8" s="634">
        <v>1</v>
      </c>
      <c r="H8" s="634">
        <v>15</v>
      </c>
      <c r="I8" s="634">
        <v>8.8000000000000007</v>
      </c>
      <c r="J8" s="593">
        <f t="shared" si="26"/>
        <v>132</v>
      </c>
      <c r="K8" s="46">
        <f t="shared" si="27"/>
        <v>9372</v>
      </c>
      <c r="L8" s="77" t="s">
        <v>53</v>
      </c>
      <c r="M8" s="634">
        <f t="shared" si="15"/>
        <v>0</v>
      </c>
      <c r="N8" s="634">
        <f t="shared" si="16"/>
        <v>0</v>
      </c>
      <c r="O8" s="634">
        <v>1</v>
      </c>
      <c r="P8" s="626">
        <v>1</v>
      </c>
      <c r="Q8" s="634">
        <v>1</v>
      </c>
      <c r="R8" s="636"/>
      <c r="S8" s="46">
        <f>mlookup(Parametrização!$G$8:$J$12,$L8,Parametrização!$G$7:$J$7,S$2,Parametrização!$F$8:$F$12)</f>
        <v>0</v>
      </c>
      <c r="T8" s="46">
        <f>mlookup(Parametrização!$G$8:$J$12,$L8,Parametrização!$G$7:$J$7,T$2,Parametrização!$F$8:$F$12)</f>
        <v>0</v>
      </c>
      <c r="U8" s="46">
        <f>mlookup(Parametrização!$G$8:$J$12,$L8,Parametrização!$G$7:$J$7,U$2,Parametrização!$F$8:$F$12)</f>
        <v>0</v>
      </c>
      <c r="V8" s="46">
        <f>mlookup(Parametrização!$G$8:$J$12,$L8,Parametrização!$G$7:$J$7,V$2,Parametrização!$F$8:$F$12)</f>
        <v>0</v>
      </c>
      <c r="W8" s="46">
        <f>mlookup(Parametrização!$G$8:$J$12,$L8,Parametrização!$G$7:$J$7,W$2,Parametrização!$F$8:$F$12)</f>
        <v>0</v>
      </c>
      <c r="X8" s="46">
        <f t="shared" si="17"/>
        <v>0</v>
      </c>
      <c r="Y8" s="43"/>
      <c r="Z8" s="45">
        <f t="shared" si="18"/>
        <v>215.96298144182683</v>
      </c>
      <c r="AB8" s="738">
        <f t="shared" si="19"/>
        <v>1</v>
      </c>
    </row>
    <row r="9" spans="1:28" ht="50.1" customHeight="1" x14ac:dyDescent="0.25">
      <c r="A9" s="526" t="b">
        <f t="shared" si="13"/>
        <v>1</v>
      </c>
      <c r="B9" s="630" t="s">
        <v>65</v>
      </c>
      <c r="C9" s="631" t="s">
        <v>1976</v>
      </c>
      <c r="D9" s="78" t="s">
        <v>784</v>
      </c>
      <c r="E9" s="78" t="s">
        <v>287</v>
      </c>
      <c r="F9" s="46">
        <f t="shared" si="14"/>
        <v>71</v>
      </c>
      <c r="G9" s="634">
        <v>1</v>
      </c>
      <c r="H9" s="634">
        <v>15</v>
      </c>
      <c r="I9" s="634">
        <v>8.8000000000000007</v>
      </c>
      <c r="J9" s="593">
        <f t="shared" si="26"/>
        <v>132</v>
      </c>
      <c r="K9" s="46">
        <f t="shared" si="27"/>
        <v>9372</v>
      </c>
      <c r="L9" s="77" t="s">
        <v>53</v>
      </c>
      <c r="M9" s="634">
        <f t="shared" si="15"/>
        <v>0</v>
      </c>
      <c r="N9" s="634">
        <f t="shared" si="16"/>
        <v>0</v>
      </c>
      <c r="O9" s="634">
        <v>1</v>
      </c>
      <c r="P9" s="626">
        <v>1</v>
      </c>
      <c r="Q9" s="634">
        <v>1</v>
      </c>
      <c r="R9" s="636"/>
      <c r="S9" s="46">
        <f>mlookup(Parametrização!$G$8:$J$12,$L9,Parametrização!$G$7:$J$7,S$2,Parametrização!$F$8:$F$12)</f>
        <v>0</v>
      </c>
      <c r="T9" s="46">
        <f>mlookup(Parametrização!$G$8:$J$12,$L9,Parametrização!$G$7:$J$7,T$2,Parametrização!$F$8:$F$12)</f>
        <v>0</v>
      </c>
      <c r="U9" s="46">
        <f>mlookup(Parametrização!$G$8:$J$12,$L9,Parametrização!$G$7:$J$7,U$2,Parametrização!$F$8:$F$12)</f>
        <v>0</v>
      </c>
      <c r="V9" s="46">
        <f>mlookup(Parametrização!$G$8:$J$12,$L9,Parametrização!$G$7:$J$7,V$2,Parametrização!$F$8:$F$12)</f>
        <v>0</v>
      </c>
      <c r="W9" s="46">
        <f>mlookup(Parametrização!$G$8:$J$12,$L9,Parametrização!$G$7:$J$7,W$2,Parametrização!$F$8:$F$12)</f>
        <v>0</v>
      </c>
      <c r="X9" s="46">
        <f t="shared" si="17"/>
        <v>0</v>
      </c>
      <c r="Y9" s="43"/>
      <c r="Z9" s="45">
        <f t="shared" si="18"/>
        <v>215.96298144182683</v>
      </c>
      <c r="AB9" s="738">
        <f t="shared" si="19"/>
        <v>1</v>
      </c>
    </row>
    <row r="10" spans="1:28" ht="60" customHeight="1" x14ac:dyDescent="0.25">
      <c r="A10" s="526" t="b">
        <f t="shared" si="13"/>
        <v>1</v>
      </c>
      <c r="B10" s="630" t="s">
        <v>762</v>
      </c>
      <c r="C10" s="631" t="s">
        <v>2299</v>
      </c>
      <c r="D10" s="78" t="s">
        <v>151</v>
      </c>
      <c r="E10" s="78" t="s">
        <v>287</v>
      </c>
      <c r="F10" s="46">
        <f t="shared" si="14"/>
        <v>71</v>
      </c>
      <c r="G10" s="634">
        <v>1</v>
      </c>
      <c r="H10" s="634">
        <v>40</v>
      </c>
      <c r="I10" s="634">
        <v>8.8000000000000007</v>
      </c>
      <c r="J10" s="593">
        <f>G10*H10*I10</f>
        <v>352</v>
      </c>
      <c r="K10" s="46">
        <f>IFERROR(F10*J10,"")</f>
        <v>24992</v>
      </c>
      <c r="L10" s="77" t="s">
        <v>2357</v>
      </c>
      <c r="M10" s="634">
        <f t="shared" si="15"/>
        <v>1</v>
      </c>
      <c r="N10" s="634">
        <f t="shared" si="16"/>
        <v>40</v>
      </c>
      <c r="O10" s="634">
        <v>1</v>
      </c>
      <c r="P10" s="626">
        <v>1</v>
      </c>
      <c r="Q10" s="634">
        <v>1</v>
      </c>
      <c r="R10" s="636"/>
      <c r="S10" s="46">
        <f>mlookup(Parametrização!$G$8:$J$12,$L10,Parametrização!$G$7:$J$7,S$2,Parametrização!$F$8:$F$12)</f>
        <v>500</v>
      </c>
      <c r="T10" s="46">
        <f>mlookup(Parametrização!$G$8:$J$12,$L10,Parametrização!$G$7:$J$7,T$2,Parametrização!$F$8:$F$12)</f>
        <v>0</v>
      </c>
      <c r="U10" s="46">
        <f>mlookup(Parametrização!$G$8:$J$12,$L10,Parametrização!$G$7:$J$7,U$2,Parametrização!$F$8:$F$12)</f>
        <v>240</v>
      </c>
      <c r="V10" s="46">
        <f>mlookup(Parametrização!$G$8:$J$12,$L10,Parametrização!$G$7:$J$7,V$2,Parametrização!$F$8:$F$12)</f>
        <v>220</v>
      </c>
      <c r="W10" s="46">
        <f>mlookup(Parametrização!$G$8:$J$12,$L10,Parametrização!$G$7:$J$7,W$2,Parametrização!$F$8:$F$12)</f>
        <v>90</v>
      </c>
      <c r="X10" s="46">
        <f>(S10+T10)*P10*M10+U10*O10*N10+W10*M10*N10+V10*M10*N10/Q10+R10</f>
        <v>22500</v>
      </c>
      <c r="Y10" s="43"/>
      <c r="Z10" s="45">
        <f t="shared" si="18"/>
        <v>215.96298144182683</v>
      </c>
      <c r="AB10" s="738">
        <f t="shared" si="19"/>
        <v>1</v>
      </c>
    </row>
    <row r="11" spans="1:28" ht="65.099999999999994" customHeight="1" x14ac:dyDescent="0.25">
      <c r="A11" s="526" t="b">
        <f t="shared" ref="A11" si="28">IF(SUMIF(col_item,"="&amp;B11,col_qtd)&gt;0,TRUE,FALSE)</f>
        <v>1</v>
      </c>
      <c r="B11" s="630" t="s">
        <v>30</v>
      </c>
      <c r="C11" s="631" t="s">
        <v>3033</v>
      </c>
      <c r="D11" s="78" t="s">
        <v>30</v>
      </c>
      <c r="E11" s="78" t="s">
        <v>287</v>
      </c>
      <c r="F11" s="46">
        <f t="shared" ref="F11" si="29">IFERROR(VLOOKUP(E11,tbl_hh,2,FALSE),"")</f>
        <v>71</v>
      </c>
      <c r="G11" s="634">
        <v>1</v>
      </c>
      <c r="H11" s="634">
        <v>5</v>
      </c>
      <c r="I11" s="634">
        <v>8.8000000000000007</v>
      </c>
      <c r="J11" s="593">
        <f t="shared" ref="J11" si="30">G11*H11*I11</f>
        <v>44</v>
      </c>
      <c r="K11" s="46">
        <f t="shared" ref="K11" si="31">IFERROR(F11*J11,"")</f>
        <v>3124</v>
      </c>
      <c r="L11" s="77" t="s">
        <v>2357</v>
      </c>
      <c r="M11" s="634">
        <f t="shared" ref="M11" si="32">IF($L11&lt;&gt;"Não",G11,0)</f>
        <v>1</v>
      </c>
      <c r="N11" s="634">
        <f t="shared" ref="N11" si="33">IF($L11&lt;&gt;"Não",H11,0)</f>
        <v>5</v>
      </c>
      <c r="O11" s="634">
        <v>1</v>
      </c>
      <c r="P11" s="626">
        <v>1</v>
      </c>
      <c r="Q11" s="634">
        <v>1</v>
      </c>
      <c r="R11" s="636"/>
      <c r="S11" s="46">
        <f>mlookup(Parametrização!$G$8:$J$12,$L11,Parametrização!$G$7:$J$7,S$2,Parametrização!$F$8:$F$12)</f>
        <v>500</v>
      </c>
      <c r="T11" s="46">
        <f>mlookup(Parametrização!$G$8:$J$12,$L11,Parametrização!$G$7:$J$7,T$2,Parametrização!$F$8:$F$12)</f>
        <v>0</v>
      </c>
      <c r="U11" s="46">
        <f>mlookup(Parametrização!$G$8:$J$12,$L11,Parametrização!$G$7:$J$7,U$2,Parametrização!$F$8:$F$12)</f>
        <v>240</v>
      </c>
      <c r="V11" s="46">
        <f>mlookup(Parametrização!$G$8:$J$12,$L11,Parametrização!$G$7:$J$7,V$2,Parametrização!$F$8:$F$12)</f>
        <v>220</v>
      </c>
      <c r="W11" s="46">
        <f>mlookup(Parametrização!$G$8:$J$12,$L11,Parametrização!$G$7:$J$7,W$2,Parametrização!$F$8:$F$12)</f>
        <v>90</v>
      </c>
      <c r="X11" s="46">
        <f t="shared" ref="X11" si="34">(S11+T11)*P11*M11+U11*O11*N11+W11*M11*N11+V11*M11*N11/Q11+R11</f>
        <v>3250</v>
      </c>
      <c r="Y11" s="43"/>
      <c r="Z11" s="45">
        <f t="shared" ref="Z11" si="35">IFERROR(VLOOKUP(B11,tbl_Escopo,COLUMN(col_brutounitario)-COLUMN(col_item)+1,FALSE)/J11,0)</f>
        <v>284.94672635147896</v>
      </c>
      <c r="AB11" s="738">
        <f t="shared" ref="AB11" si="36">1/Q11</f>
        <v>1</v>
      </c>
    </row>
    <row r="12" spans="1:28" ht="30" customHeight="1" x14ac:dyDescent="0.25">
      <c r="A12" s="526" t="b">
        <f>IF(SUMIF(col_item,"="&amp;B12,col_qtd)&gt;0,TRUE,FALSE)</f>
        <v>1</v>
      </c>
      <c r="B12" s="630" t="s">
        <v>29</v>
      </c>
      <c r="C12" s="632" t="s">
        <v>310</v>
      </c>
      <c r="D12" s="633" t="s">
        <v>29</v>
      </c>
      <c r="E12" s="633"/>
      <c r="F12" s="79" t="str">
        <f>IFERROR(VLOOKUP(E12,tbl_hh,2,FALSE),"")</f>
        <v/>
      </c>
      <c r="G12" s="635"/>
      <c r="H12" s="635"/>
      <c r="I12" s="635"/>
      <c r="J12" s="594">
        <f t="shared" ref="J12" si="37">G12*H12*I12</f>
        <v>0</v>
      </c>
      <c r="K12" s="528">
        <f>SUM(X3:X12)</f>
        <v>32650</v>
      </c>
      <c r="L12" s="77" t="s">
        <v>53</v>
      </c>
      <c r="M12" s="635">
        <f>IF($L12&lt;&gt;"Não",G12,0)</f>
        <v>0</v>
      </c>
      <c r="N12" s="635">
        <f>IF($L12&lt;&gt;"Não",H12,0)</f>
        <v>0</v>
      </c>
      <c r="O12" s="635">
        <v>1</v>
      </c>
      <c r="P12" s="627">
        <v>1</v>
      </c>
      <c r="Q12" s="635">
        <v>1</v>
      </c>
      <c r="R12" s="628"/>
      <c r="S12" s="79">
        <f>mlookup(Parametrização!$G$8:$J$12,$L12,Parametrização!$G$7:$J$7,S$2,Parametrização!$F$8:$F$12)</f>
        <v>0</v>
      </c>
      <c r="T12" s="79">
        <f>mlookup(Parametrização!$G$8:$J$12,$L12,Parametrização!$G$7:$J$7,T$2,Parametrização!$F$8:$F$12)</f>
        <v>0</v>
      </c>
      <c r="U12" s="79">
        <f>mlookup(Parametrização!$G$8:$J$12,$L12,Parametrização!$G$7:$J$7,U$2,Parametrização!$F$8:$F$12)</f>
        <v>0</v>
      </c>
      <c r="V12" s="79">
        <f>mlookup(Parametrização!$G$8:$J$12,$L12,Parametrização!$G$7:$J$7,V$2,Parametrização!$F$8:$F$12)</f>
        <v>0</v>
      </c>
      <c r="W12" s="79">
        <f>mlookup(Parametrização!$G$8:$J$12,$L12,Parametrização!$G$7:$J$7,W$2,Parametrização!$F$8:$F$12)</f>
        <v>0</v>
      </c>
      <c r="X12" s="79">
        <f>(S12+T12)*P12*M12+U12*O12*N12+W12*M12*N12+V12*M12*N12/Q12+R12</f>
        <v>0</v>
      </c>
      <c r="Y12" s="43"/>
      <c r="Z12" s="45">
        <f>IFERROR(VLOOKUP(B12,tbl_Escopo,COLUMN(col_brutounitario)-COLUMN(col_item)+1,FALSE)/J12,0)</f>
        <v>0</v>
      </c>
      <c r="AB12" s="738">
        <f>1/Q12</f>
        <v>1</v>
      </c>
    </row>
    <row r="13" spans="1:28" ht="30" customHeight="1" x14ac:dyDescent="0.25">
      <c r="A13" s="525" t="b">
        <f>IF(SUMIF(col_item,"="&amp;B13,col_qtd)&gt;0,TRUE,FALSE)</f>
        <v>1</v>
      </c>
      <c r="B13" s="630" t="s">
        <v>26</v>
      </c>
      <c r="C13" s="43" t="s">
        <v>311</v>
      </c>
      <c r="D13" s="78" t="s">
        <v>26</v>
      </c>
      <c r="E13" s="78"/>
      <c r="F13" s="46" t="str">
        <f>IFERROR(VLOOKUP(E13,tbl_hh,2,FALSE),"")</f>
        <v/>
      </c>
      <c r="G13" s="634"/>
      <c r="H13" s="634"/>
      <c r="I13" s="634"/>
      <c r="J13" s="593">
        <f>G13*H13*I13</f>
        <v>0</v>
      </c>
      <c r="K13" s="529">
        <f>comissao_custo</f>
        <v>14403.004055612413</v>
      </c>
      <c r="L13" s="77" t="s">
        <v>53</v>
      </c>
      <c r="M13" s="634">
        <f>IF($L13&lt;&gt;"Não",G13,0)</f>
        <v>0</v>
      </c>
      <c r="N13" s="634">
        <f>IF($L13&lt;&gt;"Não",H13,0)</f>
        <v>0</v>
      </c>
      <c r="O13" s="634">
        <v>1</v>
      </c>
      <c r="P13" s="626">
        <v>1</v>
      </c>
      <c r="Q13" s="634">
        <v>1</v>
      </c>
      <c r="R13" s="636"/>
      <c r="S13" s="46">
        <f>mlookup(Parametrização!$G$8:$J$12,$L13,Parametrização!$G$7:$J$7,S$2,Parametrização!$F$8:$F$12)</f>
        <v>0</v>
      </c>
      <c r="T13" s="46">
        <f>mlookup(Parametrização!$G$8:$J$12,$L13,Parametrização!$G$7:$J$7,T$2,Parametrização!$F$8:$F$12)</f>
        <v>0</v>
      </c>
      <c r="U13" s="46">
        <f>mlookup(Parametrização!$G$8:$J$12,$L13,Parametrização!$G$7:$J$7,U$2,Parametrização!$F$8:$F$12)</f>
        <v>0</v>
      </c>
      <c r="V13" s="46">
        <f>mlookup(Parametrização!$G$8:$J$12,$L13,Parametrização!$G$7:$J$7,V$2,Parametrização!$F$8:$F$12)</f>
        <v>0</v>
      </c>
      <c r="W13" s="46">
        <f>mlookup(Parametrização!$G$8:$J$12,$L13,Parametrização!$G$7:$J$7,W$2,Parametrização!$F$8:$F$12)</f>
        <v>0</v>
      </c>
      <c r="X13" s="46">
        <f>(S13+T13)*P13*M13+U13*O13*N13+W13*M13*N13+V13*M13*N13/Q13+R13</f>
        <v>0</v>
      </c>
      <c r="Y13" s="43"/>
      <c r="Z13" s="45">
        <f t="shared" ref="Z13" si="38">IFERROR(VLOOKUP(B13,tbl_Escopo,COLUMN(col_brutounitario)-COLUMN(col_item)+1,FALSE)/J13,0)</f>
        <v>0</v>
      </c>
      <c r="AB13" s="738">
        <f t="shared" ref="AB13" si="39">1/Q13</f>
        <v>1</v>
      </c>
    </row>
    <row r="14" spans="1:28" x14ac:dyDescent="0.25">
      <c r="A14" s="527"/>
      <c r="B14" s="80" t="s">
        <v>280</v>
      </c>
      <c r="C14" s="80"/>
      <c r="D14" s="80"/>
      <c r="E14" s="80"/>
      <c r="F14" s="80"/>
      <c r="G14" s="80"/>
      <c r="H14" s="80"/>
      <c r="I14" s="80"/>
      <c r="J14" s="80"/>
      <c r="K14" s="80"/>
      <c r="L14" s="80"/>
      <c r="M14" s="80"/>
      <c r="N14" s="80"/>
      <c r="O14" s="80"/>
      <c r="P14" s="80"/>
      <c r="Q14" s="80"/>
      <c r="R14" s="80"/>
      <c r="S14" s="735">
        <f>SUMPRODUCT(M13:M13,P13:P13,S13:S13)</f>
        <v>0</v>
      </c>
      <c r="T14" s="735">
        <f>SUMPRODUCT(M13:M13,P13:P13,T13:T13)</f>
        <v>0</v>
      </c>
      <c r="U14" s="735">
        <f>SUMPRODUCT(N13:N13,O13:O13,U13:U13)</f>
        <v>0</v>
      </c>
      <c r="V14" s="735">
        <f>SUMPRODUCT(M13:M13,N13:N13,V13:V13,AB13:AB13)</f>
        <v>0</v>
      </c>
      <c r="W14" s="735">
        <f>SUMPRODUCT(M13:M13,N13:N13,W13:W13)</f>
        <v>0</v>
      </c>
      <c r="X14" s="735" t="b">
        <f>IF(ABS(SUM(X13:X13)-SUM(S14:W14))&lt;0.01,TRUE,FALSE)</f>
        <v>1</v>
      </c>
      <c r="Y14" s="80"/>
      <c r="Z14" s="80"/>
    </row>
    <row r="15" spans="1:28" x14ac:dyDescent="0.25">
      <c r="A15" s="547"/>
    </row>
    <row r="16" spans="1:28" ht="13.8" x14ac:dyDescent="0.25">
      <c r="A16" s="547"/>
      <c r="F16" s="74"/>
      <c r="G16" s="74"/>
      <c r="H16" s="809"/>
      <c r="I16" s="809"/>
      <c r="J16" s="838">
        <f>SUM(J3:J4)</f>
        <v>281.60000000000002</v>
      </c>
      <c r="R16" s="734"/>
    </row>
    <row r="17" spans="1:10" x14ac:dyDescent="0.25">
      <c r="A17" s="547"/>
      <c r="E17" s="598"/>
      <c r="F17" s="74"/>
      <c r="G17" s="74"/>
      <c r="H17" s="809"/>
      <c r="I17" s="809"/>
    </row>
    <row r="18" spans="1:10" x14ac:dyDescent="0.25">
      <c r="A18" s="547"/>
      <c r="E18" s="598"/>
      <c r="F18" s="74"/>
      <c r="G18" s="74"/>
    </row>
    <row r="19" spans="1:10" x14ac:dyDescent="0.25">
      <c r="A19" s="547"/>
      <c r="F19" s="74"/>
      <c r="J19" s="838">
        <f>SUM(J7:J11)</f>
        <v>924</v>
      </c>
    </row>
    <row r="20" spans="1:10" x14ac:dyDescent="0.25">
      <c r="A20" s="547"/>
      <c r="J20" s="838">
        <f>J5</f>
        <v>246.40000000000003</v>
      </c>
    </row>
    <row r="21" spans="1:10" x14ac:dyDescent="0.25">
      <c r="A21" s="547"/>
      <c r="J21" s="838">
        <f>J6</f>
        <v>88</v>
      </c>
    </row>
    <row r="22" spans="1:10" x14ac:dyDescent="0.25">
      <c r="A22" s="547"/>
    </row>
    <row r="23" spans="1:10" x14ac:dyDescent="0.25">
      <c r="A23" s="547"/>
    </row>
    <row r="24" spans="1:10" x14ac:dyDescent="0.25">
      <c r="A24" s="547"/>
    </row>
    <row r="25" spans="1:10" x14ac:dyDescent="0.25"/>
    <row r="26" spans="1:10" x14ac:dyDescent="0.25"/>
    <row r="27" spans="1:10" x14ac:dyDescent="0.25"/>
    <row r="28" spans="1:10" x14ac:dyDescent="0.25"/>
    <row r="29" spans="1:10" x14ac:dyDescent="0.25"/>
    <row r="30" spans="1:10" x14ac:dyDescent="0.25"/>
    <row r="31" spans="1:10" x14ac:dyDescent="0.25"/>
    <row r="32" spans="1:10"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row r="60" x14ac:dyDescent="0.25"/>
    <row r="61" x14ac:dyDescent="0.25"/>
    <row r="62" x14ac:dyDescent="0.25"/>
    <row r="63" x14ac:dyDescent="0.25"/>
    <row r="64"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row r="77" x14ac:dyDescent="0.25"/>
    <row r="78" x14ac:dyDescent="0.25"/>
    <row r="79" x14ac:dyDescent="0.25"/>
    <row r="80"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row r="110" x14ac:dyDescent="0.25"/>
    <row r="111" x14ac:dyDescent="0.25"/>
    <row r="112" x14ac:dyDescent="0.25"/>
    <row r="113" x14ac:dyDescent="0.25"/>
    <row r="114" x14ac:dyDescent="0.25"/>
    <row r="115" x14ac:dyDescent="0.25"/>
  </sheetData>
  <mergeCells count="2">
    <mergeCell ref="G1:K1"/>
    <mergeCell ref="D1:F1"/>
  </mergeCells>
  <conditionalFormatting sqref="B1:B2 B4:B1048576">
    <cfRule type="expression" dxfId="11" priority="44">
      <formula>IF($A1,TRUE,FALSE)</formula>
    </cfRule>
  </conditionalFormatting>
  <conditionalFormatting sqref="L1:R2 L4:R1048576">
    <cfRule type="expression" dxfId="10" priority="40">
      <formula>IF($L1="Não",1,0)</formula>
    </cfRule>
  </conditionalFormatting>
  <conditionalFormatting sqref="B3">
    <cfRule type="expression" dxfId="9" priority="7">
      <formula>IF($A3,TRUE,FALSE)</formula>
    </cfRule>
  </conditionalFormatting>
  <conditionalFormatting sqref="L3:R3">
    <cfRule type="expression" dxfId="8" priority="6">
      <formula>IF($L3="Não",1,0)</formula>
    </cfRule>
  </conditionalFormatting>
  <pageMargins left="0.7" right="0.7" top="0.75" bottom="0.75" header="0.3" footer="0.3"/>
  <pageSetup paperSize="9" orientation="portrait" verticalDpi="0"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500-000000000000}">
          <x14:formula1>
            <xm:f>Parametrização!$B$17:$B$31</xm:f>
          </x14:formula1>
          <xm:sqref>E3:E13</xm:sqref>
        </x14:dataValidation>
        <x14:dataValidation type="list" allowBlank="1" showInputMessage="1" showErrorMessage="1" xr:uid="{00000000-0002-0000-0500-000001000000}">
          <x14:formula1>
            <xm:f>Tributos!$AG$22:$AG$34</xm:f>
          </x14:formula1>
          <xm:sqref>D3:D13</xm:sqref>
        </x14:dataValidation>
        <x14:dataValidation type="list" allowBlank="1" showInputMessage="1" showErrorMessage="1" xr:uid="{00000000-0002-0000-0500-000002000000}">
          <x14:formula1>
            <xm:f>Parametrização!$G$7:$J$7</xm:f>
          </x14:formula1>
          <xm:sqref>L3:L13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1">
    <tabColor theme="9" tint="0.39997558519241921"/>
  </sheetPr>
  <dimension ref="B2:JI227"/>
  <sheetViews>
    <sheetView zoomScale="80" zoomScaleNormal="80" workbookViewId="0">
      <pane xSplit="4" ySplit="3" topLeftCell="E4" activePane="bottomRight" state="frozen"/>
      <selection pane="topRight" activeCell="E1" sqref="E1"/>
      <selection pane="bottomLeft" activeCell="A4" sqref="A4"/>
      <selection pane="bottomRight" activeCell="C4" sqref="C4"/>
    </sheetView>
  </sheetViews>
  <sheetFormatPr defaultColWidth="9.109375" defaultRowHeight="13.2" x14ac:dyDescent="0.25"/>
  <cols>
    <col min="1" max="1" width="3.6640625" style="113" customWidth="1"/>
    <col min="2" max="2" width="5.6640625" style="113" customWidth="1"/>
    <col min="3" max="3" width="20.6640625" style="113" customWidth="1"/>
    <col min="4" max="4" width="30.6640625" style="113" customWidth="1"/>
    <col min="5" max="264" width="4.6640625" style="113" customWidth="1"/>
    <col min="265" max="265" width="3.6640625" style="113" customWidth="1"/>
    <col min="266" max="266" width="20.6640625" style="113" customWidth="1"/>
    <col min="267" max="267" width="30.6640625" style="113" customWidth="1"/>
    <col min="268" max="269" width="14.6640625" style="113" customWidth="1"/>
    <col min="270" max="16384" width="9.109375" style="113"/>
  </cols>
  <sheetData>
    <row r="2" spans="2:269" s="115" customFormat="1" ht="15" customHeight="1" x14ac:dyDescent="0.25">
      <c r="E2" s="174">
        <v>1</v>
      </c>
      <c r="F2" s="174">
        <v>2</v>
      </c>
      <c r="G2" s="174">
        <v>3</v>
      </c>
      <c r="H2" s="174">
        <v>4</v>
      </c>
      <c r="I2" s="174">
        <v>5</v>
      </c>
      <c r="J2" s="174">
        <v>6</v>
      </c>
      <c r="K2" s="174">
        <v>7</v>
      </c>
      <c r="L2" s="174">
        <v>8</v>
      </c>
      <c r="M2" s="174">
        <v>9</v>
      </c>
      <c r="N2" s="174">
        <v>10</v>
      </c>
      <c r="O2" s="174">
        <v>11</v>
      </c>
      <c r="P2" s="174">
        <v>12</v>
      </c>
      <c r="Q2" s="174">
        <v>13</v>
      </c>
      <c r="R2" s="174">
        <v>14</v>
      </c>
      <c r="S2" s="174">
        <v>15</v>
      </c>
      <c r="T2" s="174">
        <v>16</v>
      </c>
      <c r="U2" s="174">
        <v>17</v>
      </c>
      <c r="V2" s="174">
        <v>18</v>
      </c>
      <c r="W2" s="174">
        <v>19</v>
      </c>
      <c r="X2" s="174">
        <v>20</v>
      </c>
      <c r="Y2" s="174">
        <v>21</v>
      </c>
      <c r="Z2" s="174">
        <v>22</v>
      </c>
      <c r="AA2" s="174">
        <v>23</v>
      </c>
      <c r="AB2" s="174">
        <v>24</v>
      </c>
      <c r="AC2" s="174">
        <v>25</v>
      </c>
      <c r="AD2" s="174">
        <v>26</v>
      </c>
      <c r="AE2" s="174">
        <v>27</v>
      </c>
      <c r="AF2" s="174">
        <v>28</v>
      </c>
      <c r="AG2" s="174">
        <v>29</v>
      </c>
      <c r="AH2" s="174">
        <v>30</v>
      </c>
      <c r="AI2" s="174">
        <v>31</v>
      </c>
      <c r="AJ2" s="174">
        <v>32</v>
      </c>
      <c r="AK2" s="174">
        <v>33</v>
      </c>
      <c r="AL2" s="174">
        <v>34</v>
      </c>
      <c r="AM2" s="174">
        <v>35</v>
      </c>
      <c r="AN2" s="174">
        <v>36</v>
      </c>
      <c r="AO2" s="174">
        <v>37</v>
      </c>
      <c r="AP2" s="174">
        <v>38</v>
      </c>
      <c r="AQ2" s="174">
        <v>39</v>
      </c>
      <c r="AR2" s="174">
        <v>40</v>
      </c>
      <c r="AS2" s="174">
        <v>41</v>
      </c>
      <c r="AT2" s="174">
        <v>42</v>
      </c>
      <c r="AU2" s="174">
        <v>43</v>
      </c>
      <c r="AV2" s="174">
        <v>44</v>
      </c>
      <c r="AW2" s="174">
        <v>45</v>
      </c>
      <c r="AX2" s="174">
        <v>46</v>
      </c>
      <c r="AY2" s="174">
        <v>47</v>
      </c>
      <c r="AZ2" s="174">
        <v>48</v>
      </c>
      <c r="BA2" s="174">
        <v>49</v>
      </c>
      <c r="BB2" s="174">
        <v>50</v>
      </c>
      <c r="BC2" s="174">
        <v>51</v>
      </c>
      <c r="BD2" s="174">
        <v>52</v>
      </c>
      <c r="BE2" s="174">
        <v>53</v>
      </c>
      <c r="BF2" s="174">
        <v>54</v>
      </c>
      <c r="BG2" s="174">
        <v>55</v>
      </c>
      <c r="BH2" s="174">
        <v>56</v>
      </c>
      <c r="BI2" s="174">
        <v>57</v>
      </c>
      <c r="BJ2" s="174">
        <v>58</v>
      </c>
      <c r="BK2" s="174">
        <v>59</v>
      </c>
      <c r="BL2" s="174">
        <v>60</v>
      </c>
      <c r="BM2" s="174">
        <v>61</v>
      </c>
      <c r="BN2" s="174">
        <v>62</v>
      </c>
      <c r="BO2" s="174">
        <v>63</v>
      </c>
      <c r="BP2" s="174">
        <v>64</v>
      </c>
      <c r="BQ2" s="174">
        <v>65</v>
      </c>
      <c r="BR2" s="174">
        <v>66</v>
      </c>
      <c r="BS2" s="174">
        <v>67</v>
      </c>
      <c r="BT2" s="174">
        <v>68</v>
      </c>
      <c r="BU2" s="174">
        <v>69</v>
      </c>
      <c r="BV2" s="174">
        <v>70</v>
      </c>
      <c r="BW2" s="174">
        <v>71</v>
      </c>
      <c r="BX2" s="174">
        <v>72</v>
      </c>
      <c r="BY2" s="174">
        <v>73</v>
      </c>
      <c r="BZ2" s="174">
        <v>74</v>
      </c>
      <c r="CA2" s="174">
        <v>75</v>
      </c>
      <c r="CB2" s="174">
        <v>76</v>
      </c>
      <c r="CC2" s="174">
        <v>77</v>
      </c>
      <c r="CD2" s="174">
        <v>78</v>
      </c>
      <c r="CE2" s="174">
        <v>79</v>
      </c>
      <c r="CF2" s="174">
        <v>80</v>
      </c>
      <c r="CG2" s="174">
        <v>81</v>
      </c>
      <c r="CH2" s="174">
        <v>82</v>
      </c>
      <c r="CI2" s="174">
        <v>83</v>
      </c>
      <c r="CJ2" s="174">
        <v>84</v>
      </c>
      <c r="CK2" s="174">
        <v>85</v>
      </c>
      <c r="CL2" s="174">
        <v>86</v>
      </c>
      <c r="CM2" s="174">
        <v>87</v>
      </c>
      <c r="CN2" s="174">
        <v>88</v>
      </c>
      <c r="CO2" s="174">
        <v>89</v>
      </c>
      <c r="CP2" s="174">
        <v>90</v>
      </c>
      <c r="CQ2" s="174">
        <v>91</v>
      </c>
      <c r="CR2" s="174">
        <v>92</v>
      </c>
      <c r="CS2" s="174">
        <v>93</v>
      </c>
      <c r="CT2" s="174">
        <v>94</v>
      </c>
      <c r="CU2" s="174">
        <v>95</v>
      </c>
      <c r="CV2" s="174">
        <v>96</v>
      </c>
      <c r="CW2" s="174">
        <v>97</v>
      </c>
      <c r="CX2" s="174">
        <v>98</v>
      </c>
      <c r="CY2" s="174">
        <v>99</v>
      </c>
      <c r="CZ2" s="174">
        <v>100</v>
      </c>
      <c r="DA2" s="174">
        <v>101</v>
      </c>
      <c r="DB2" s="174">
        <v>102</v>
      </c>
      <c r="DC2" s="174">
        <v>103</v>
      </c>
      <c r="DD2" s="174">
        <v>104</v>
      </c>
      <c r="DE2" s="174">
        <v>105</v>
      </c>
      <c r="DF2" s="174">
        <v>106</v>
      </c>
      <c r="DG2" s="174">
        <v>107</v>
      </c>
      <c r="DH2" s="174">
        <v>108</v>
      </c>
      <c r="DI2" s="174">
        <v>109</v>
      </c>
      <c r="DJ2" s="174">
        <v>110</v>
      </c>
      <c r="DK2" s="174">
        <v>111</v>
      </c>
      <c r="DL2" s="174">
        <v>112</v>
      </c>
      <c r="DM2" s="174">
        <v>113</v>
      </c>
      <c r="DN2" s="174">
        <v>114</v>
      </c>
      <c r="DO2" s="174">
        <v>115</v>
      </c>
      <c r="DP2" s="174">
        <v>116</v>
      </c>
      <c r="DQ2" s="174">
        <v>117</v>
      </c>
      <c r="DR2" s="174">
        <v>118</v>
      </c>
      <c r="DS2" s="174">
        <v>119</v>
      </c>
      <c r="DT2" s="174">
        <v>120</v>
      </c>
      <c r="DU2" s="174">
        <v>121</v>
      </c>
      <c r="DV2" s="174">
        <v>122</v>
      </c>
      <c r="DW2" s="174">
        <v>123</v>
      </c>
      <c r="DX2" s="174">
        <v>124</v>
      </c>
      <c r="DY2" s="174">
        <v>125</v>
      </c>
      <c r="DZ2" s="174">
        <v>126</v>
      </c>
      <c r="EA2" s="174">
        <v>127</v>
      </c>
      <c r="EB2" s="174">
        <v>128</v>
      </c>
      <c r="EC2" s="174">
        <v>129</v>
      </c>
      <c r="ED2" s="174">
        <v>130</v>
      </c>
      <c r="EE2" s="174">
        <v>131</v>
      </c>
      <c r="EF2" s="174">
        <v>132</v>
      </c>
      <c r="EG2" s="174">
        <v>133</v>
      </c>
      <c r="EH2" s="174">
        <v>134</v>
      </c>
      <c r="EI2" s="174">
        <v>135</v>
      </c>
      <c r="EJ2" s="174">
        <v>136</v>
      </c>
      <c r="EK2" s="174">
        <v>137</v>
      </c>
      <c r="EL2" s="174">
        <v>138</v>
      </c>
      <c r="EM2" s="174">
        <v>139</v>
      </c>
      <c r="EN2" s="174">
        <v>140</v>
      </c>
      <c r="EO2" s="174">
        <v>141</v>
      </c>
      <c r="EP2" s="174">
        <v>142</v>
      </c>
      <c r="EQ2" s="174">
        <v>143</v>
      </c>
      <c r="ER2" s="174">
        <v>144</v>
      </c>
      <c r="ES2" s="174">
        <v>145</v>
      </c>
      <c r="ET2" s="174">
        <v>146</v>
      </c>
      <c r="EU2" s="174">
        <v>147</v>
      </c>
      <c r="EV2" s="174">
        <v>148</v>
      </c>
      <c r="EW2" s="174">
        <v>149</v>
      </c>
      <c r="EX2" s="174">
        <v>150</v>
      </c>
      <c r="EY2" s="174">
        <v>151</v>
      </c>
      <c r="EZ2" s="174">
        <v>152</v>
      </c>
      <c r="FA2" s="174">
        <v>153</v>
      </c>
      <c r="FB2" s="174">
        <v>154</v>
      </c>
      <c r="FC2" s="174">
        <v>155</v>
      </c>
      <c r="FD2" s="174">
        <v>156</v>
      </c>
      <c r="FE2" s="174">
        <v>157</v>
      </c>
      <c r="FF2" s="174">
        <v>158</v>
      </c>
      <c r="FG2" s="174">
        <v>159</v>
      </c>
      <c r="FH2" s="174">
        <v>160</v>
      </c>
      <c r="FI2" s="174">
        <v>161</v>
      </c>
      <c r="FJ2" s="174">
        <v>162</v>
      </c>
      <c r="FK2" s="174">
        <v>163</v>
      </c>
      <c r="FL2" s="174">
        <v>164</v>
      </c>
      <c r="FM2" s="174">
        <v>165</v>
      </c>
      <c r="FN2" s="174">
        <v>166</v>
      </c>
      <c r="FO2" s="174">
        <v>167</v>
      </c>
      <c r="FP2" s="174">
        <v>168</v>
      </c>
      <c r="FQ2" s="174">
        <v>169</v>
      </c>
      <c r="FR2" s="174">
        <v>170</v>
      </c>
      <c r="FS2" s="174">
        <v>171</v>
      </c>
      <c r="FT2" s="174">
        <v>172</v>
      </c>
      <c r="FU2" s="174">
        <v>173</v>
      </c>
      <c r="FV2" s="174">
        <v>174</v>
      </c>
      <c r="FW2" s="174">
        <v>175</v>
      </c>
      <c r="FX2" s="174">
        <v>176</v>
      </c>
      <c r="FY2" s="174">
        <v>177</v>
      </c>
      <c r="FZ2" s="174">
        <v>178</v>
      </c>
      <c r="GA2" s="174">
        <v>179</v>
      </c>
      <c r="GB2" s="174">
        <v>180</v>
      </c>
      <c r="GC2" s="174">
        <v>181</v>
      </c>
      <c r="GD2" s="174">
        <v>182</v>
      </c>
      <c r="GE2" s="174">
        <v>183</v>
      </c>
      <c r="GF2" s="174">
        <v>184</v>
      </c>
      <c r="GG2" s="174">
        <v>185</v>
      </c>
      <c r="GH2" s="174">
        <v>186</v>
      </c>
      <c r="GI2" s="174">
        <v>187</v>
      </c>
      <c r="GJ2" s="174">
        <v>188</v>
      </c>
      <c r="GK2" s="174">
        <v>189</v>
      </c>
      <c r="GL2" s="174">
        <v>190</v>
      </c>
      <c r="GM2" s="174">
        <v>191</v>
      </c>
      <c r="GN2" s="174">
        <v>192</v>
      </c>
      <c r="GO2" s="174">
        <v>193</v>
      </c>
      <c r="GP2" s="174">
        <v>194</v>
      </c>
      <c r="GQ2" s="174">
        <v>195</v>
      </c>
      <c r="GR2" s="174">
        <v>196</v>
      </c>
      <c r="GS2" s="174">
        <v>197</v>
      </c>
      <c r="GT2" s="174">
        <v>198</v>
      </c>
      <c r="GU2" s="174">
        <v>199</v>
      </c>
      <c r="GV2" s="174">
        <v>200</v>
      </c>
      <c r="GW2" s="174">
        <v>201</v>
      </c>
      <c r="GX2" s="174">
        <v>202</v>
      </c>
      <c r="GY2" s="174">
        <v>203</v>
      </c>
      <c r="GZ2" s="174">
        <v>204</v>
      </c>
      <c r="HA2" s="174">
        <v>205</v>
      </c>
      <c r="HB2" s="174">
        <v>206</v>
      </c>
      <c r="HC2" s="174">
        <v>207</v>
      </c>
      <c r="HD2" s="174">
        <v>208</v>
      </c>
      <c r="HE2" s="174">
        <v>209</v>
      </c>
      <c r="HF2" s="174">
        <v>210</v>
      </c>
      <c r="HG2" s="174">
        <v>211</v>
      </c>
      <c r="HH2" s="174">
        <v>212</v>
      </c>
      <c r="HI2" s="174">
        <v>213</v>
      </c>
      <c r="HJ2" s="174">
        <v>214</v>
      </c>
      <c r="HK2" s="174">
        <v>215</v>
      </c>
      <c r="HL2" s="174">
        <v>216</v>
      </c>
      <c r="HM2" s="174">
        <v>217</v>
      </c>
      <c r="HN2" s="174">
        <v>218</v>
      </c>
      <c r="HO2" s="174">
        <v>219</v>
      </c>
      <c r="HP2" s="174">
        <v>220</v>
      </c>
      <c r="HQ2" s="174">
        <v>221</v>
      </c>
      <c r="HR2" s="174">
        <v>222</v>
      </c>
      <c r="HS2" s="174">
        <v>223</v>
      </c>
      <c r="HT2" s="174">
        <v>224</v>
      </c>
      <c r="HU2" s="174">
        <v>225</v>
      </c>
      <c r="HV2" s="174">
        <v>226</v>
      </c>
      <c r="HW2" s="174">
        <v>227</v>
      </c>
      <c r="HX2" s="174">
        <v>228</v>
      </c>
      <c r="HY2" s="174">
        <v>229</v>
      </c>
      <c r="HZ2" s="174">
        <v>230</v>
      </c>
      <c r="IA2" s="174">
        <v>231</v>
      </c>
      <c r="IB2" s="174">
        <v>232</v>
      </c>
      <c r="IC2" s="174">
        <v>233</v>
      </c>
      <c r="ID2" s="174">
        <v>234</v>
      </c>
      <c r="IE2" s="174">
        <v>235</v>
      </c>
      <c r="IF2" s="174">
        <v>236</v>
      </c>
      <c r="IG2" s="174">
        <v>237</v>
      </c>
      <c r="IH2" s="174">
        <v>238</v>
      </c>
      <c r="II2" s="174">
        <v>239</v>
      </c>
      <c r="IJ2" s="174">
        <v>240</v>
      </c>
      <c r="IK2" s="174">
        <v>241</v>
      </c>
      <c r="IL2" s="174">
        <v>242</v>
      </c>
      <c r="IM2" s="174">
        <v>243</v>
      </c>
      <c r="IN2" s="174">
        <v>244</v>
      </c>
      <c r="IO2" s="174">
        <v>245</v>
      </c>
      <c r="IP2" s="174">
        <v>246</v>
      </c>
      <c r="IQ2" s="174">
        <v>247</v>
      </c>
      <c r="IR2" s="174">
        <v>248</v>
      </c>
      <c r="IS2" s="174">
        <v>249</v>
      </c>
      <c r="IT2" s="174">
        <v>250</v>
      </c>
      <c r="IU2" s="174">
        <v>251</v>
      </c>
      <c r="IV2" s="174">
        <v>252</v>
      </c>
      <c r="IW2" s="174">
        <v>253</v>
      </c>
      <c r="IX2" s="174">
        <v>254</v>
      </c>
      <c r="IY2" s="174">
        <v>255</v>
      </c>
      <c r="IZ2" s="174">
        <v>256</v>
      </c>
      <c r="JA2" s="174">
        <v>257</v>
      </c>
      <c r="JB2" s="174">
        <v>258</v>
      </c>
      <c r="JC2" s="174">
        <v>259</v>
      </c>
      <c r="JD2" s="174">
        <v>260</v>
      </c>
      <c r="JH2" s="877" t="s">
        <v>268</v>
      </c>
      <c r="JI2" s="877"/>
    </row>
    <row r="3" spans="2:269" s="384" customFormat="1" ht="150" customHeight="1" x14ac:dyDescent="0.25">
      <c r="C3" s="116" t="s">
        <v>189</v>
      </c>
      <c r="D3" s="116" t="s">
        <v>373</v>
      </c>
      <c r="E3" s="382" t="s">
        <v>841</v>
      </c>
      <c r="F3" s="382" t="s">
        <v>842</v>
      </c>
      <c r="G3" s="382" t="s">
        <v>843</v>
      </c>
      <c r="H3" s="382" t="s">
        <v>844</v>
      </c>
      <c r="I3" s="382" t="s">
        <v>845</v>
      </c>
      <c r="J3" s="382" t="s">
        <v>846</v>
      </c>
      <c r="K3" s="382" t="s">
        <v>847</v>
      </c>
      <c r="L3" s="382" t="s">
        <v>848</v>
      </c>
      <c r="M3" s="382" t="s">
        <v>849</v>
      </c>
      <c r="N3" s="382" t="s">
        <v>850</v>
      </c>
      <c r="O3" s="382" t="s">
        <v>851</v>
      </c>
      <c r="P3" s="382" t="s">
        <v>852</v>
      </c>
      <c r="Q3" s="382" t="s">
        <v>853</v>
      </c>
      <c r="R3" s="382" t="s">
        <v>854</v>
      </c>
      <c r="S3" s="382" t="s">
        <v>1111</v>
      </c>
      <c r="T3" s="382" t="s">
        <v>855</v>
      </c>
      <c r="U3" s="382" t="s">
        <v>856</v>
      </c>
      <c r="V3" s="382" t="s">
        <v>857</v>
      </c>
      <c r="W3" s="382" t="s">
        <v>858</v>
      </c>
      <c r="X3" s="382" t="s">
        <v>859</v>
      </c>
      <c r="Y3" s="382" t="s">
        <v>860</v>
      </c>
      <c r="Z3" s="382" t="s">
        <v>861</v>
      </c>
      <c r="AA3" s="382" t="s">
        <v>862</v>
      </c>
      <c r="AB3" s="382" t="s">
        <v>863</v>
      </c>
      <c r="AC3" s="382" t="s">
        <v>864</v>
      </c>
      <c r="AD3" s="382" t="s">
        <v>865</v>
      </c>
      <c r="AE3" s="382" t="s">
        <v>866</v>
      </c>
      <c r="AF3" s="382" t="s">
        <v>867</v>
      </c>
      <c r="AG3" s="382" t="s">
        <v>868</v>
      </c>
      <c r="AH3" s="382" t="s">
        <v>869</v>
      </c>
      <c r="AI3" s="382" t="s">
        <v>870</v>
      </c>
      <c r="AJ3" s="382" t="s">
        <v>871</v>
      </c>
      <c r="AK3" s="382" t="s">
        <v>872</v>
      </c>
      <c r="AL3" s="382" t="s">
        <v>873</v>
      </c>
      <c r="AM3" s="382" t="s">
        <v>874</v>
      </c>
      <c r="AN3" s="382" t="s">
        <v>875</v>
      </c>
      <c r="AO3" s="382" t="s">
        <v>876</v>
      </c>
      <c r="AP3" s="382" t="s">
        <v>877</v>
      </c>
      <c r="AQ3" s="382" t="s">
        <v>878</v>
      </c>
      <c r="AR3" s="382" t="s">
        <v>879</v>
      </c>
      <c r="AS3" s="382" t="s">
        <v>880</v>
      </c>
      <c r="AT3" s="382" t="s">
        <v>881</v>
      </c>
      <c r="AU3" s="382" t="s">
        <v>695</v>
      </c>
      <c r="AV3" s="382" t="s">
        <v>882</v>
      </c>
      <c r="AW3" s="382" t="s">
        <v>883</v>
      </c>
      <c r="AX3" s="382" t="s">
        <v>884</v>
      </c>
      <c r="AY3" s="382" t="s">
        <v>885</v>
      </c>
      <c r="AZ3" s="382" t="s">
        <v>886</v>
      </c>
      <c r="BA3" s="382" t="s">
        <v>887</v>
      </c>
      <c r="BB3" s="382" t="s">
        <v>888</v>
      </c>
      <c r="BC3" s="382" t="s">
        <v>889</v>
      </c>
      <c r="BD3" s="382" t="s">
        <v>890</v>
      </c>
      <c r="BE3" s="382" t="s">
        <v>891</v>
      </c>
      <c r="BF3" s="382" t="s">
        <v>892</v>
      </c>
      <c r="BG3" s="382" t="s">
        <v>383</v>
      </c>
      <c r="BH3" s="382" t="s">
        <v>384</v>
      </c>
      <c r="BI3" s="382" t="s">
        <v>385</v>
      </c>
      <c r="BJ3" s="382" t="s">
        <v>386</v>
      </c>
      <c r="BK3" s="382" t="s">
        <v>387</v>
      </c>
      <c r="BL3" s="382" t="s">
        <v>388</v>
      </c>
      <c r="BM3" s="382" t="s">
        <v>389</v>
      </c>
      <c r="BN3" s="382" t="s">
        <v>390</v>
      </c>
      <c r="BO3" s="382" t="s">
        <v>391</v>
      </c>
      <c r="BP3" s="382" t="s">
        <v>392</v>
      </c>
      <c r="BQ3" s="382" t="s">
        <v>393</v>
      </c>
      <c r="BR3" s="382" t="s">
        <v>394</v>
      </c>
      <c r="BS3" s="382" t="s">
        <v>395</v>
      </c>
      <c r="BT3" s="382" t="s">
        <v>396</v>
      </c>
      <c r="BU3" s="382" t="s">
        <v>397</v>
      </c>
      <c r="BV3" s="382" t="s">
        <v>398</v>
      </c>
      <c r="BW3" s="382" t="s">
        <v>399</v>
      </c>
      <c r="BX3" s="382" t="s">
        <v>400</v>
      </c>
      <c r="BY3" s="382" t="s">
        <v>401</v>
      </c>
      <c r="BZ3" s="382" t="s">
        <v>402</v>
      </c>
      <c r="CA3" s="382" t="s">
        <v>403</v>
      </c>
      <c r="CB3" s="382" t="s">
        <v>404</v>
      </c>
      <c r="CC3" s="382" t="s">
        <v>405</v>
      </c>
      <c r="CD3" s="382" t="s">
        <v>406</v>
      </c>
      <c r="CE3" s="382" t="s">
        <v>407</v>
      </c>
      <c r="CF3" s="382" t="s">
        <v>408</v>
      </c>
      <c r="CG3" s="382" t="s">
        <v>409</v>
      </c>
      <c r="CH3" s="382" t="s">
        <v>410</v>
      </c>
      <c r="CI3" s="382" t="s">
        <v>411</v>
      </c>
      <c r="CJ3" s="382" t="s">
        <v>412</v>
      </c>
      <c r="CK3" s="382" t="s">
        <v>413</v>
      </c>
      <c r="CL3" s="382" t="s">
        <v>414</v>
      </c>
      <c r="CM3" s="382" t="s">
        <v>415</v>
      </c>
      <c r="CN3" s="382" t="s">
        <v>416</v>
      </c>
      <c r="CO3" s="382" t="s">
        <v>417</v>
      </c>
      <c r="CP3" s="382" t="s">
        <v>418</v>
      </c>
      <c r="CQ3" s="382" t="s">
        <v>419</v>
      </c>
      <c r="CR3" s="382" t="s">
        <v>420</v>
      </c>
      <c r="CS3" s="382" t="s">
        <v>421</v>
      </c>
      <c r="CT3" s="382" t="s">
        <v>422</v>
      </c>
      <c r="CU3" s="382" t="s">
        <v>423</v>
      </c>
      <c r="CV3" s="382" t="s">
        <v>424</v>
      </c>
      <c r="CW3" s="382" t="s">
        <v>425</v>
      </c>
      <c r="CX3" s="382" t="s">
        <v>426</v>
      </c>
      <c r="CY3" s="382" t="s">
        <v>427</v>
      </c>
      <c r="CZ3" s="382" t="s">
        <v>428</v>
      </c>
      <c r="DA3" s="382" t="s">
        <v>429</v>
      </c>
      <c r="DB3" s="382" t="s">
        <v>430</v>
      </c>
      <c r="DC3" s="382" t="s">
        <v>431</v>
      </c>
      <c r="DD3" s="382" t="s">
        <v>432</v>
      </c>
      <c r="DE3" s="382" t="s">
        <v>433</v>
      </c>
      <c r="DF3" s="382" t="s">
        <v>434</v>
      </c>
      <c r="DG3" s="382" t="s">
        <v>435</v>
      </c>
      <c r="DH3" s="382" t="s">
        <v>436</v>
      </c>
      <c r="DI3" s="382" t="s">
        <v>437</v>
      </c>
      <c r="DJ3" s="382" t="s">
        <v>438</v>
      </c>
      <c r="DK3" s="382" t="s">
        <v>439</v>
      </c>
      <c r="DL3" s="382" t="s">
        <v>440</v>
      </c>
      <c r="DM3" s="382" t="s">
        <v>441</v>
      </c>
      <c r="DN3" s="382" t="s">
        <v>442</v>
      </c>
      <c r="DO3" s="382" t="s">
        <v>443</v>
      </c>
      <c r="DP3" s="382" t="s">
        <v>444</v>
      </c>
      <c r="DQ3" s="382" t="s">
        <v>445</v>
      </c>
      <c r="DR3" s="382" t="s">
        <v>446</v>
      </c>
      <c r="DS3" s="382" t="s">
        <v>447</v>
      </c>
      <c r="DT3" s="382" t="s">
        <v>448</v>
      </c>
      <c r="DU3" s="382" t="s">
        <v>449</v>
      </c>
      <c r="DV3" s="382" t="s">
        <v>450</v>
      </c>
      <c r="DW3" s="382" t="s">
        <v>451</v>
      </c>
      <c r="DX3" s="382" t="s">
        <v>452</v>
      </c>
      <c r="DY3" s="382" t="s">
        <v>453</v>
      </c>
      <c r="DZ3" s="382" t="s">
        <v>454</v>
      </c>
      <c r="EA3" s="382" t="s">
        <v>455</v>
      </c>
      <c r="EB3" s="382" t="s">
        <v>456</v>
      </c>
      <c r="EC3" s="382" t="s">
        <v>457</v>
      </c>
      <c r="ED3" s="382" t="s">
        <v>458</v>
      </c>
      <c r="EE3" s="382" t="s">
        <v>459</v>
      </c>
      <c r="EF3" s="382" t="s">
        <v>460</v>
      </c>
      <c r="EG3" s="382" t="s">
        <v>461</v>
      </c>
      <c r="EH3" s="382" t="s">
        <v>462</v>
      </c>
      <c r="EI3" s="382" t="s">
        <v>463</v>
      </c>
      <c r="EJ3" s="382" t="s">
        <v>464</v>
      </c>
      <c r="EK3" s="382" t="s">
        <v>465</v>
      </c>
      <c r="EL3" s="382" t="s">
        <v>466</v>
      </c>
      <c r="EM3" s="382" t="s">
        <v>467</v>
      </c>
      <c r="EN3" s="382" t="s">
        <v>468</v>
      </c>
      <c r="EO3" s="382" t="s">
        <v>469</v>
      </c>
      <c r="EP3" s="382" t="s">
        <v>470</v>
      </c>
      <c r="EQ3" s="382" t="s">
        <v>471</v>
      </c>
      <c r="ER3" s="382" t="s">
        <v>472</v>
      </c>
      <c r="ES3" s="382" t="s">
        <v>473</v>
      </c>
      <c r="ET3" s="382" t="s">
        <v>474</v>
      </c>
      <c r="EU3" s="382" t="s">
        <v>475</v>
      </c>
      <c r="EV3" s="382" t="s">
        <v>476</v>
      </c>
      <c r="EW3" s="382" t="s">
        <v>477</v>
      </c>
      <c r="EX3" s="382" t="s">
        <v>478</v>
      </c>
      <c r="EY3" s="382" t="s">
        <v>479</v>
      </c>
      <c r="EZ3" s="382" t="s">
        <v>480</v>
      </c>
      <c r="FA3" s="382" t="s">
        <v>481</v>
      </c>
      <c r="FB3" s="382" t="s">
        <v>482</v>
      </c>
      <c r="FC3" s="382" t="s">
        <v>483</v>
      </c>
      <c r="FD3" s="382" t="s">
        <v>484</v>
      </c>
      <c r="FE3" s="382" t="s">
        <v>485</v>
      </c>
      <c r="FF3" s="382" t="s">
        <v>486</v>
      </c>
      <c r="FG3" s="382" t="s">
        <v>487</v>
      </c>
      <c r="FH3" s="382" t="s">
        <v>488</v>
      </c>
      <c r="FI3" s="382" t="s">
        <v>489</v>
      </c>
      <c r="FJ3" s="382" t="s">
        <v>490</v>
      </c>
      <c r="FK3" s="382" t="s">
        <v>491</v>
      </c>
      <c r="FL3" s="382" t="s">
        <v>492</v>
      </c>
      <c r="FM3" s="382" t="s">
        <v>493</v>
      </c>
      <c r="FN3" s="382" t="s">
        <v>494</v>
      </c>
      <c r="FO3" s="382" t="s">
        <v>495</v>
      </c>
      <c r="FP3" s="382" t="s">
        <v>496</v>
      </c>
      <c r="FQ3" s="382" t="s">
        <v>497</v>
      </c>
      <c r="FR3" s="382" t="s">
        <v>498</v>
      </c>
      <c r="FS3" s="382" t="s">
        <v>499</v>
      </c>
      <c r="FT3" s="382" t="s">
        <v>500</v>
      </c>
      <c r="FU3" s="382" t="s">
        <v>501</v>
      </c>
      <c r="FV3" s="382" t="s">
        <v>502</v>
      </c>
      <c r="FW3" s="382" t="s">
        <v>503</v>
      </c>
      <c r="FX3" s="382" t="s">
        <v>504</v>
      </c>
      <c r="FY3" s="382" t="s">
        <v>505</v>
      </c>
      <c r="FZ3" s="382" t="s">
        <v>506</v>
      </c>
      <c r="GA3" s="382" t="s">
        <v>507</v>
      </c>
      <c r="GB3" s="382" t="s">
        <v>508</v>
      </c>
      <c r="GC3" s="382" t="s">
        <v>509</v>
      </c>
      <c r="GD3" s="382" t="s">
        <v>510</v>
      </c>
      <c r="GE3" s="382" t="s">
        <v>511</v>
      </c>
      <c r="GF3" s="382" t="s">
        <v>512</v>
      </c>
      <c r="GG3" s="382" t="s">
        <v>513</v>
      </c>
      <c r="GH3" s="382" t="s">
        <v>514</v>
      </c>
      <c r="GI3" s="382" t="s">
        <v>515</v>
      </c>
      <c r="GJ3" s="382" t="s">
        <v>516</v>
      </c>
      <c r="GK3" s="382" t="s">
        <v>517</v>
      </c>
      <c r="GL3" s="382" t="s">
        <v>518</v>
      </c>
      <c r="GM3" s="382" t="s">
        <v>519</v>
      </c>
      <c r="GN3" s="382" t="s">
        <v>520</v>
      </c>
      <c r="GO3" s="382" t="s">
        <v>521</v>
      </c>
      <c r="GP3" s="382" t="s">
        <v>522</v>
      </c>
      <c r="GQ3" s="382" t="s">
        <v>523</v>
      </c>
      <c r="GR3" s="382" t="s">
        <v>524</v>
      </c>
      <c r="GS3" s="382" t="s">
        <v>525</v>
      </c>
      <c r="GT3" s="382" t="s">
        <v>526</v>
      </c>
      <c r="GU3" s="382" t="s">
        <v>527</v>
      </c>
      <c r="GV3" s="382" t="s">
        <v>528</v>
      </c>
      <c r="GW3" s="382" t="s">
        <v>529</v>
      </c>
      <c r="GX3" s="382" t="s">
        <v>530</v>
      </c>
      <c r="GY3" s="382" t="s">
        <v>531</v>
      </c>
      <c r="GZ3" s="382" t="s">
        <v>532</v>
      </c>
      <c r="HA3" s="382" t="s">
        <v>533</v>
      </c>
      <c r="HB3" s="382" t="s">
        <v>534</v>
      </c>
      <c r="HC3" s="382" t="s">
        <v>535</v>
      </c>
      <c r="HD3" s="382" t="s">
        <v>536</v>
      </c>
      <c r="HE3" s="382" t="s">
        <v>537</v>
      </c>
      <c r="HF3" s="382" t="s">
        <v>538</v>
      </c>
      <c r="HG3" s="382" t="s">
        <v>539</v>
      </c>
      <c r="HH3" s="382" t="s">
        <v>540</v>
      </c>
      <c r="HI3" s="382" t="s">
        <v>541</v>
      </c>
      <c r="HJ3" s="382" t="s">
        <v>542</v>
      </c>
      <c r="HK3" s="382" t="s">
        <v>543</v>
      </c>
      <c r="HL3" s="382" t="s">
        <v>544</v>
      </c>
      <c r="HM3" s="382" t="s">
        <v>545</v>
      </c>
      <c r="HN3" s="382" t="s">
        <v>546</v>
      </c>
      <c r="HO3" s="382" t="s">
        <v>547</v>
      </c>
      <c r="HP3" s="382" t="s">
        <v>548</v>
      </c>
      <c r="HQ3" s="382" t="s">
        <v>549</v>
      </c>
      <c r="HR3" s="382" t="s">
        <v>550</v>
      </c>
      <c r="HS3" s="382" t="s">
        <v>551</v>
      </c>
      <c r="HT3" s="382" t="s">
        <v>552</v>
      </c>
      <c r="HU3" s="382" t="s">
        <v>553</v>
      </c>
      <c r="HV3" s="382" t="s">
        <v>554</v>
      </c>
      <c r="HW3" s="382" t="s">
        <v>555</v>
      </c>
      <c r="HX3" s="382" t="s">
        <v>556</v>
      </c>
      <c r="HY3" s="382" t="s">
        <v>557</v>
      </c>
      <c r="HZ3" s="382" t="s">
        <v>558</v>
      </c>
      <c r="IA3" s="382" t="s">
        <v>559</v>
      </c>
      <c r="IB3" s="382" t="s">
        <v>560</v>
      </c>
      <c r="IC3" s="382" t="s">
        <v>561</v>
      </c>
      <c r="ID3" s="382" t="s">
        <v>562</v>
      </c>
      <c r="IE3" s="382" t="s">
        <v>563</v>
      </c>
      <c r="IF3" s="382" t="s">
        <v>564</v>
      </c>
      <c r="IG3" s="382" t="s">
        <v>565</v>
      </c>
      <c r="IH3" s="382" t="s">
        <v>566</v>
      </c>
      <c r="II3" s="382" t="s">
        <v>567</v>
      </c>
      <c r="IJ3" s="382" t="s">
        <v>568</v>
      </c>
      <c r="IK3" s="382" t="s">
        <v>569</v>
      </c>
      <c r="IL3" s="382" t="s">
        <v>570</v>
      </c>
      <c r="IM3" s="382" t="s">
        <v>571</v>
      </c>
      <c r="IN3" s="382" t="s">
        <v>572</v>
      </c>
      <c r="IO3" s="382" t="s">
        <v>573</v>
      </c>
      <c r="IP3" s="382" t="s">
        <v>574</v>
      </c>
      <c r="IQ3" s="382" t="s">
        <v>575</v>
      </c>
      <c r="IR3" s="382" t="s">
        <v>576</v>
      </c>
      <c r="IS3" s="382" t="s">
        <v>577</v>
      </c>
      <c r="IT3" s="382" t="s">
        <v>578</v>
      </c>
      <c r="IU3" s="382" t="s">
        <v>1022</v>
      </c>
      <c r="IV3" s="382" t="s">
        <v>579</v>
      </c>
      <c r="IW3" s="382" t="s">
        <v>580</v>
      </c>
      <c r="IX3" s="382" t="s">
        <v>581</v>
      </c>
      <c r="IY3" s="382" t="s">
        <v>582</v>
      </c>
      <c r="IZ3" s="382" t="s">
        <v>583</v>
      </c>
      <c r="JA3" s="382" t="s">
        <v>584</v>
      </c>
      <c r="JB3" s="382" t="s">
        <v>585</v>
      </c>
      <c r="JC3" s="382" t="s">
        <v>586</v>
      </c>
      <c r="JD3" s="382" t="s">
        <v>587</v>
      </c>
      <c r="JF3" s="116" t="s">
        <v>189</v>
      </c>
      <c r="JG3" s="116" t="s">
        <v>373</v>
      </c>
      <c r="JH3" s="385" t="s">
        <v>374</v>
      </c>
      <c r="JI3" s="385" t="s">
        <v>375</v>
      </c>
    </row>
    <row r="4" spans="2:269" ht="15" customHeight="1" x14ac:dyDescent="0.25">
      <c r="B4" s="113">
        <v>1</v>
      </c>
      <c r="C4" s="353" t="str">
        <f t="shared" ref="C4:C16" si="0">IF(JF4&lt;&gt;"",JF4,"")</f>
        <v>Painel P&amp;C</v>
      </c>
      <c r="D4" s="353" t="str">
        <f>IF(JG4&lt;&gt;"",JG4,"")</f>
        <v>painel</v>
      </c>
      <c r="E4" s="174">
        <v>2</v>
      </c>
      <c r="F4" s="174">
        <v>2</v>
      </c>
      <c r="G4" s="174">
        <v>2</v>
      </c>
      <c r="H4" s="174">
        <v>2</v>
      </c>
      <c r="I4" s="174">
        <v>1</v>
      </c>
      <c r="J4" s="174">
        <v>2</v>
      </c>
      <c r="K4" s="174">
        <v>2</v>
      </c>
      <c r="L4" s="174">
        <v>2</v>
      </c>
      <c r="M4" s="174">
        <v>2</v>
      </c>
      <c r="N4" s="174">
        <v>2</v>
      </c>
      <c r="O4" s="174">
        <v>2</v>
      </c>
      <c r="P4" s="174">
        <v>2</v>
      </c>
      <c r="Q4" s="174">
        <v>1</v>
      </c>
      <c r="R4" s="174">
        <v>2</v>
      </c>
      <c r="S4" s="174">
        <v>2</v>
      </c>
      <c r="T4" s="174">
        <v>2</v>
      </c>
      <c r="U4" s="174">
        <v>2</v>
      </c>
      <c r="V4" s="174">
        <v>2</v>
      </c>
      <c r="W4" s="174">
        <v>2</v>
      </c>
      <c r="X4" s="174">
        <v>2</v>
      </c>
      <c r="Y4" s="174">
        <v>1</v>
      </c>
      <c r="Z4" s="174">
        <v>1</v>
      </c>
      <c r="AA4" s="174">
        <v>2</v>
      </c>
      <c r="AB4" s="174">
        <v>2</v>
      </c>
      <c r="AC4" s="174">
        <v>2</v>
      </c>
      <c r="AD4" s="174">
        <v>2</v>
      </c>
      <c r="AE4" s="174">
        <v>2</v>
      </c>
      <c r="AF4" s="174">
        <v>2</v>
      </c>
      <c r="AG4" s="174">
        <v>1</v>
      </c>
      <c r="AH4" s="174">
        <v>1</v>
      </c>
      <c r="AI4" s="174">
        <v>1</v>
      </c>
      <c r="AJ4" s="174">
        <v>1</v>
      </c>
      <c r="AK4" s="174">
        <v>1</v>
      </c>
      <c r="AL4" s="174">
        <v>1</v>
      </c>
      <c r="AM4" s="174">
        <v>1</v>
      </c>
      <c r="AN4" s="174">
        <v>1</v>
      </c>
      <c r="AO4" s="174">
        <v>1</v>
      </c>
      <c r="AP4" s="174">
        <v>1</v>
      </c>
      <c r="AQ4" s="174">
        <v>1</v>
      </c>
      <c r="AR4" s="174">
        <v>1</v>
      </c>
      <c r="AS4" s="174">
        <v>1</v>
      </c>
      <c r="AT4" s="174"/>
      <c r="AU4" s="174"/>
      <c r="AV4" s="174"/>
      <c r="AW4" s="174"/>
      <c r="AX4" s="174"/>
      <c r="AY4" s="174"/>
      <c r="AZ4" s="174"/>
      <c r="BA4" s="174"/>
      <c r="BB4" s="174"/>
      <c r="BC4" s="174"/>
      <c r="BD4" s="174"/>
      <c r="BE4" s="174"/>
      <c r="BF4" s="174"/>
      <c r="BG4" s="174"/>
      <c r="BH4" s="174"/>
      <c r="BI4" s="174"/>
      <c r="BJ4" s="174"/>
      <c r="BK4" s="174"/>
      <c r="BL4" s="174"/>
      <c r="BM4" s="174"/>
      <c r="BN4" s="174"/>
      <c r="BO4" s="174"/>
      <c r="BP4" s="174"/>
      <c r="BQ4" s="174"/>
      <c r="BR4" s="174"/>
      <c r="BS4" s="174"/>
      <c r="BT4" s="174"/>
      <c r="BU4" s="174"/>
      <c r="BV4" s="174"/>
      <c r="BW4" s="174"/>
      <c r="BX4" s="174"/>
      <c r="BY4" s="174"/>
      <c r="BZ4" s="174"/>
      <c r="CA4" s="174"/>
      <c r="CB4" s="174"/>
      <c r="CC4" s="174"/>
      <c r="CD4" s="174"/>
      <c r="CE4" s="174"/>
      <c r="CF4" s="174"/>
      <c r="CG4" s="174"/>
      <c r="CH4" s="174"/>
      <c r="CI4" s="174"/>
      <c r="CJ4" s="174"/>
      <c r="CK4" s="174"/>
      <c r="CL4" s="174"/>
      <c r="CM4" s="174"/>
      <c r="CN4" s="174"/>
      <c r="CO4" s="174"/>
      <c r="CP4" s="174"/>
      <c r="CQ4" s="174"/>
      <c r="CR4" s="174"/>
      <c r="CS4" s="174"/>
      <c r="CT4" s="174"/>
      <c r="CU4" s="174"/>
      <c r="CV4" s="174"/>
      <c r="CW4" s="174"/>
      <c r="CX4" s="174"/>
      <c r="CY4" s="174"/>
      <c r="CZ4" s="174"/>
      <c r="DA4" s="174"/>
      <c r="DB4" s="174"/>
      <c r="DC4" s="174"/>
      <c r="DD4" s="174"/>
      <c r="DE4" s="174"/>
      <c r="DF4" s="174"/>
      <c r="DG4" s="174"/>
      <c r="DH4" s="174"/>
      <c r="DI4" s="174"/>
      <c r="DJ4" s="174"/>
      <c r="DK4" s="174"/>
      <c r="DL4" s="174"/>
      <c r="DM4" s="174"/>
      <c r="DN4" s="174"/>
      <c r="DO4" s="174"/>
      <c r="DP4" s="174"/>
      <c r="DQ4" s="174"/>
      <c r="DR4" s="174"/>
      <c r="DS4" s="174"/>
      <c r="DT4" s="174"/>
      <c r="DU4" s="174"/>
      <c r="DV4" s="174"/>
      <c r="DW4" s="174"/>
      <c r="DX4" s="174"/>
      <c r="DY4" s="174"/>
      <c r="DZ4" s="174"/>
      <c r="EA4" s="174"/>
      <c r="EB4" s="174"/>
      <c r="EC4" s="174"/>
      <c r="ED4" s="174"/>
      <c r="EE4" s="174"/>
      <c r="EF4" s="174"/>
      <c r="EG4" s="174"/>
      <c r="EH4" s="174"/>
      <c r="EI4" s="174"/>
      <c r="EJ4" s="174"/>
      <c r="EK4" s="174"/>
      <c r="EL4" s="174"/>
      <c r="EM4" s="174"/>
      <c r="EN4" s="174"/>
      <c r="EO4" s="174"/>
      <c r="EP4" s="174"/>
      <c r="EQ4" s="174"/>
      <c r="ER4" s="174"/>
      <c r="ES4" s="174"/>
      <c r="ET4" s="174"/>
      <c r="EU4" s="174"/>
      <c r="EV4" s="174"/>
      <c r="EW4" s="174"/>
      <c r="EX4" s="174"/>
      <c r="EY4" s="174"/>
      <c r="EZ4" s="174"/>
      <c r="FA4" s="174"/>
      <c r="FB4" s="174"/>
      <c r="FC4" s="174"/>
      <c r="FD4" s="174"/>
      <c r="FE4" s="174"/>
      <c r="FF4" s="174"/>
      <c r="FG4" s="174"/>
      <c r="FH4" s="174"/>
      <c r="FI4" s="174"/>
      <c r="FJ4" s="174"/>
      <c r="FK4" s="174"/>
      <c r="FL4" s="174"/>
      <c r="FM4" s="174"/>
      <c r="FN4" s="174"/>
      <c r="FO4" s="174"/>
      <c r="FP4" s="174"/>
      <c r="FQ4" s="174"/>
      <c r="FR4" s="174"/>
      <c r="FS4" s="174"/>
      <c r="FT4" s="174"/>
      <c r="FU4" s="174"/>
      <c r="FV4" s="174"/>
      <c r="FW4" s="174"/>
      <c r="FX4" s="174"/>
      <c r="FY4" s="174"/>
      <c r="FZ4" s="174"/>
      <c r="GA4" s="174"/>
      <c r="GB4" s="174"/>
      <c r="GC4" s="174"/>
      <c r="GD4" s="174"/>
      <c r="GE4" s="174"/>
      <c r="GF4" s="174"/>
      <c r="GG4" s="174"/>
      <c r="GH4" s="174"/>
      <c r="GI4" s="174"/>
      <c r="GJ4" s="174"/>
      <c r="GK4" s="174"/>
      <c r="GL4" s="174"/>
      <c r="GM4" s="174"/>
      <c r="GN4" s="174"/>
      <c r="GO4" s="174"/>
      <c r="GP4" s="174"/>
      <c r="GQ4" s="174"/>
      <c r="GR4" s="174"/>
      <c r="GS4" s="174"/>
      <c r="GT4" s="174"/>
      <c r="GU4" s="174"/>
      <c r="GV4" s="174"/>
      <c r="GW4" s="174"/>
      <c r="GX4" s="174"/>
      <c r="GY4" s="174"/>
      <c r="GZ4" s="174"/>
      <c r="HA4" s="174"/>
      <c r="HB4" s="174"/>
      <c r="HC4" s="174"/>
      <c r="HD4" s="174"/>
      <c r="HE4" s="174"/>
      <c r="HF4" s="174"/>
      <c r="HG4" s="174"/>
      <c r="HH4" s="174"/>
      <c r="HI4" s="174"/>
      <c r="HJ4" s="174"/>
      <c r="HK4" s="174"/>
      <c r="HL4" s="174"/>
      <c r="HM4" s="174"/>
      <c r="HN4" s="174"/>
      <c r="HO4" s="174"/>
      <c r="HP4" s="174"/>
      <c r="HQ4" s="174"/>
      <c r="HR4" s="174"/>
      <c r="HS4" s="174"/>
      <c r="HT4" s="174"/>
      <c r="HU4" s="174"/>
      <c r="HV4" s="174"/>
      <c r="HW4" s="174"/>
      <c r="HX4" s="174"/>
      <c r="HY4" s="174"/>
      <c r="HZ4" s="174"/>
      <c r="IA4" s="174"/>
      <c r="IB4" s="174"/>
      <c r="IC4" s="174"/>
      <c r="ID4" s="174"/>
      <c r="IE4" s="174"/>
      <c r="IF4" s="174"/>
      <c r="IG4" s="174"/>
      <c r="IH4" s="174"/>
      <c r="II4" s="174"/>
      <c r="IJ4" s="174"/>
      <c r="IK4" s="174"/>
      <c r="IL4" s="174"/>
      <c r="IM4" s="174"/>
      <c r="IN4" s="174"/>
      <c r="IO4" s="174"/>
      <c r="IP4" s="174"/>
      <c r="IQ4" s="174"/>
      <c r="IR4" s="174"/>
      <c r="IS4" s="174"/>
      <c r="IT4" s="174"/>
      <c r="IU4" s="75"/>
      <c r="IV4" s="75"/>
      <c r="IW4" s="75"/>
      <c r="IX4" s="75"/>
      <c r="IY4" s="75"/>
      <c r="IZ4" s="75"/>
      <c r="JA4" s="75"/>
      <c r="JB4" s="75"/>
      <c r="JC4" s="75"/>
      <c r="JD4" s="75">
        <v>1</v>
      </c>
      <c r="JF4" s="710" t="s">
        <v>682</v>
      </c>
      <c r="JG4" s="710" t="s">
        <v>893</v>
      </c>
      <c r="JH4" s="178">
        <f t="shared" ref="JH4:JH67" si="1">IF(JF4&lt;&gt;"",VLOOKUP(JF4,tbl_materiais,COLUMN(head_mat_CLreal)-COLUMN(head_mat_item)+1,FALSE),0)</f>
        <v>14950.127399999999</v>
      </c>
      <c r="JI4" s="174">
        <f t="shared" ref="JI4:JI67" si="2">IF(JF4&lt;&gt;"",SUMPRODUCT(E4:JD4,$E$215:$JD$215),0)</f>
        <v>0</v>
      </c>
    </row>
    <row r="5" spans="2:269" ht="15" customHeight="1" x14ac:dyDescent="0.25">
      <c r="B5" s="113">
        <v>2</v>
      </c>
      <c r="C5" s="353" t="str">
        <f t="shared" si="0"/>
        <v>Painel Automação</v>
      </c>
      <c r="D5" s="353" t="str">
        <f t="shared" ref="D5:D213" si="3">IF(JG5&lt;&gt;"",JG5,"")</f>
        <v>painel</v>
      </c>
      <c r="E5" s="174"/>
      <c r="F5" s="174"/>
      <c r="G5" s="174"/>
      <c r="H5" s="174"/>
      <c r="I5" s="174"/>
      <c r="J5" s="174"/>
      <c r="K5" s="174"/>
      <c r="L5" s="174"/>
      <c r="M5" s="174"/>
      <c r="N5" s="174"/>
      <c r="O5" s="174"/>
      <c r="P5" s="174"/>
      <c r="Q5" s="174"/>
      <c r="R5" s="174"/>
      <c r="S5" s="174"/>
      <c r="T5" s="174"/>
      <c r="U5" s="174"/>
      <c r="V5" s="174"/>
      <c r="W5" s="174"/>
      <c r="X5" s="174"/>
      <c r="Y5" s="174"/>
      <c r="Z5" s="174"/>
      <c r="AA5" s="174"/>
      <c r="AB5" s="174"/>
      <c r="AC5" s="174"/>
      <c r="AD5" s="174"/>
      <c r="AE5" s="174"/>
      <c r="AF5" s="174"/>
      <c r="AG5" s="174"/>
      <c r="AH5" s="174"/>
      <c r="AI5" s="174"/>
      <c r="AJ5" s="174"/>
      <c r="AK5" s="174"/>
      <c r="AL5" s="174"/>
      <c r="AM5" s="174"/>
      <c r="AN5" s="174"/>
      <c r="AO5" s="174"/>
      <c r="AP5" s="174"/>
      <c r="AQ5" s="174"/>
      <c r="AR5" s="174"/>
      <c r="AS5" s="174"/>
      <c r="AT5" s="174">
        <v>1</v>
      </c>
      <c r="AU5" s="174">
        <v>2</v>
      </c>
      <c r="AV5" s="174">
        <v>1</v>
      </c>
      <c r="AW5" s="174">
        <v>1</v>
      </c>
      <c r="AX5" s="174">
        <v>1</v>
      </c>
      <c r="AY5" s="174"/>
      <c r="AZ5" s="174">
        <v>1</v>
      </c>
      <c r="BA5" s="174">
        <v>1</v>
      </c>
      <c r="BB5" s="174">
        <v>1</v>
      </c>
      <c r="BC5" s="174">
        <v>1</v>
      </c>
      <c r="BD5" s="174"/>
      <c r="BE5" s="174"/>
      <c r="BF5" s="174"/>
      <c r="BG5" s="174"/>
      <c r="BH5" s="174"/>
      <c r="BI5" s="174"/>
      <c r="BJ5" s="174"/>
      <c r="BK5" s="174"/>
      <c r="BL5" s="174"/>
      <c r="BM5" s="174"/>
      <c r="BN5" s="174"/>
      <c r="BO5" s="174"/>
      <c r="BP5" s="174"/>
      <c r="BQ5" s="174"/>
      <c r="BR5" s="174"/>
      <c r="BS5" s="174"/>
      <c r="BT5" s="174"/>
      <c r="BU5" s="174"/>
      <c r="BV5" s="174"/>
      <c r="BW5" s="174"/>
      <c r="BX5" s="174"/>
      <c r="BY5" s="174"/>
      <c r="BZ5" s="174"/>
      <c r="CA5" s="174"/>
      <c r="CB5" s="174"/>
      <c r="CC5" s="174"/>
      <c r="CD5" s="174"/>
      <c r="CE5" s="174"/>
      <c r="CF5" s="174"/>
      <c r="CG5" s="174"/>
      <c r="CH5" s="174"/>
      <c r="CI5" s="174"/>
      <c r="CJ5" s="174"/>
      <c r="CK5" s="174"/>
      <c r="CL5" s="174"/>
      <c r="CM5" s="174"/>
      <c r="CN5" s="174"/>
      <c r="CO5" s="174"/>
      <c r="CP5" s="174"/>
      <c r="CQ5" s="174"/>
      <c r="CR5" s="174"/>
      <c r="CS5" s="174"/>
      <c r="CT5" s="174"/>
      <c r="CU5" s="174"/>
      <c r="CV5" s="174"/>
      <c r="CW5" s="174"/>
      <c r="CX5" s="174"/>
      <c r="CY5" s="174"/>
      <c r="CZ5" s="174"/>
      <c r="DA5" s="174"/>
      <c r="DB5" s="174"/>
      <c r="DC5" s="174"/>
      <c r="DD5" s="174"/>
      <c r="DE5" s="174"/>
      <c r="DF5" s="174"/>
      <c r="DG5" s="174"/>
      <c r="DH5" s="174"/>
      <c r="DI5" s="174"/>
      <c r="DJ5" s="174"/>
      <c r="DK5" s="174"/>
      <c r="DL5" s="174"/>
      <c r="DM5" s="174"/>
      <c r="DN5" s="174"/>
      <c r="DO5" s="174"/>
      <c r="DP5" s="174"/>
      <c r="DQ5" s="174"/>
      <c r="DR5" s="174"/>
      <c r="DS5" s="174"/>
      <c r="DT5" s="174"/>
      <c r="DU5" s="174"/>
      <c r="DV5" s="174"/>
      <c r="DW5" s="174"/>
      <c r="DX5" s="174"/>
      <c r="DY5" s="174"/>
      <c r="DZ5" s="174"/>
      <c r="EA5" s="174"/>
      <c r="EB5" s="174"/>
      <c r="EC5" s="174"/>
      <c r="ED5" s="174"/>
      <c r="EE5" s="174"/>
      <c r="EF5" s="174"/>
      <c r="EG5" s="174"/>
      <c r="EH5" s="174"/>
      <c r="EI5" s="174"/>
      <c r="EJ5" s="174"/>
      <c r="EK5" s="174"/>
      <c r="EL5" s="174"/>
      <c r="EM5" s="174"/>
      <c r="EN5" s="174"/>
      <c r="EO5" s="174"/>
      <c r="EP5" s="174"/>
      <c r="EQ5" s="174"/>
      <c r="ER5" s="174"/>
      <c r="ES5" s="174"/>
      <c r="ET5" s="174"/>
      <c r="EU5" s="174"/>
      <c r="EV5" s="174"/>
      <c r="EW5" s="174"/>
      <c r="EX5" s="174"/>
      <c r="EY5" s="174"/>
      <c r="EZ5" s="174"/>
      <c r="FA5" s="174"/>
      <c r="FB5" s="174"/>
      <c r="FC5" s="174"/>
      <c r="FD5" s="174"/>
      <c r="FE5" s="174"/>
      <c r="FF5" s="174"/>
      <c r="FG5" s="174"/>
      <c r="FH5" s="174"/>
      <c r="FI5" s="174"/>
      <c r="FJ5" s="174"/>
      <c r="FK5" s="174"/>
      <c r="FL5" s="174"/>
      <c r="FM5" s="174"/>
      <c r="FN5" s="174"/>
      <c r="FO5" s="174"/>
      <c r="FP5" s="174"/>
      <c r="FQ5" s="174"/>
      <c r="FR5" s="174"/>
      <c r="FS5" s="174"/>
      <c r="FT5" s="174"/>
      <c r="FU5" s="174"/>
      <c r="FV5" s="174"/>
      <c r="FW5" s="174"/>
      <c r="FX5" s="174"/>
      <c r="FY5" s="174"/>
      <c r="FZ5" s="174"/>
      <c r="GA5" s="174"/>
      <c r="GB5" s="174"/>
      <c r="GC5" s="174"/>
      <c r="GD5" s="174"/>
      <c r="GE5" s="174"/>
      <c r="GF5" s="174"/>
      <c r="GG5" s="174"/>
      <c r="GH5" s="174"/>
      <c r="GI5" s="174"/>
      <c r="GJ5" s="174"/>
      <c r="GK5" s="174"/>
      <c r="GL5" s="174"/>
      <c r="GM5" s="174"/>
      <c r="GN5" s="174"/>
      <c r="GO5" s="174"/>
      <c r="GP5" s="174"/>
      <c r="GQ5" s="174"/>
      <c r="GR5" s="174"/>
      <c r="GS5" s="174"/>
      <c r="GT5" s="174"/>
      <c r="GU5" s="174"/>
      <c r="GV5" s="174"/>
      <c r="GW5" s="174"/>
      <c r="GX5" s="174"/>
      <c r="GY5" s="174"/>
      <c r="GZ5" s="174"/>
      <c r="HA5" s="174"/>
      <c r="HB5" s="174"/>
      <c r="HC5" s="174"/>
      <c r="HD5" s="174"/>
      <c r="HE5" s="174"/>
      <c r="HF5" s="174"/>
      <c r="HG5" s="174"/>
      <c r="HH5" s="174"/>
      <c r="HI5" s="174"/>
      <c r="HJ5" s="174"/>
      <c r="HK5" s="174"/>
      <c r="HL5" s="174"/>
      <c r="HM5" s="174"/>
      <c r="HN5" s="174"/>
      <c r="HO5" s="174"/>
      <c r="HP5" s="174"/>
      <c r="HQ5" s="174"/>
      <c r="HR5" s="174"/>
      <c r="HS5" s="174"/>
      <c r="HT5" s="174"/>
      <c r="HU5" s="174"/>
      <c r="HV5" s="174"/>
      <c r="HW5" s="174"/>
      <c r="HX5" s="174"/>
      <c r="HY5" s="174"/>
      <c r="HZ5" s="174"/>
      <c r="IA5" s="174"/>
      <c r="IB5" s="174"/>
      <c r="IC5" s="174"/>
      <c r="ID5" s="174"/>
      <c r="IE5" s="174"/>
      <c r="IF5" s="174"/>
      <c r="IG5" s="174"/>
      <c r="IH5" s="174"/>
      <c r="II5" s="174"/>
      <c r="IJ5" s="174"/>
      <c r="IK5" s="174"/>
      <c r="IL5" s="174"/>
      <c r="IM5" s="174"/>
      <c r="IN5" s="174"/>
      <c r="IO5" s="174"/>
      <c r="IP5" s="174"/>
      <c r="IQ5" s="174"/>
      <c r="IR5" s="174"/>
      <c r="IS5" s="174"/>
      <c r="IT5" s="174"/>
      <c r="IU5" s="75"/>
      <c r="IV5" s="75"/>
      <c r="IW5" s="75"/>
      <c r="IX5" s="75"/>
      <c r="IY5" s="75"/>
      <c r="IZ5" s="75"/>
      <c r="JA5" s="75"/>
      <c r="JB5" s="75"/>
      <c r="JC5" s="75"/>
      <c r="JD5" s="75"/>
      <c r="JF5" s="710" t="s">
        <v>683</v>
      </c>
      <c r="JG5" s="710" t="s">
        <v>893</v>
      </c>
      <c r="JH5" s="178">
        <f t="shared" si="1"/>
        <v>10432.7124</v>
      </c>
      <c r="JI5" s="174">
        <f t="shared" si="2"/>
        <v>0</v>
      </c>
    </row>
    <row r="6" spans="2:269" ht="15" customHeight="1" x14ac:dyDescent="0.25">
      <c r="B6" s="113">
        <v>3</v>
      </c>
      <c r="C6" s="353" t="str">
        <f t="shared" si="0"/>
        <v>Painel Interface</v>
      </c>
      <c r="D6" s="353" t="str">
        <f t="shared" si="3"/>
        <v>painel</v>
      </c>
      <c r="E6" s="174"/>
      <c r="F6" s="174"/>
      <c r="G6" s="174"/>
      <c r="H6" s="174"/>
      <c r="I6" s="174"/>
      <c r="J6" s="174"/>
      <c r="K6" s="174"/>
      <c r="L6" s="174"/>
      <c r="M6" s="174"/>
      <c r="N6" s="174"/>
      <c r="O6" s="174"/>
      <c r="P6" s="174"/>
      <c r="Q6" s="174"/>
      <c r="R6" s="174"/>
      <c r="S6" s="174"/>
      <c r="T6" s="174"/>
      <c r="U6" s="174"/>
      <c r="V6" s="174"/>
      <c r="W6" s="174"/>
      <c r="X6" s="174"/>
      <c r="Y6" s="174"/>
      <c r="Z6" s="174"/>
      <c r="AA6" s="174"/>
      <c r="AB6" s="174"/>
      <c r="AC6" s="174"/>
      <c r="AD6" s="174"/>
      <c r="AE6" s="174"/>
      <c r="AF6" s="174"/>
      <c r="AG6" s="174"/>
      <c r="AH6" s="174"/>
      <c r="AI6" s="174"/>
      <c r="AJ6" s="174"/>
      <c r="AK6" s="174"/>
      <c r="AL6" s="174"/>
      <c r="AM6" s="174"/>
      <c r="AN6" s="174"/>
      <c r="AO6" s="174"/>
      <c r="AP6" s="174"/>
      <c r="AQ6" s="174"/>
      <c r="AR6" s="174"/>
      <c r="AS6" s="174"/>
      <c r="AT6" s="174"/>
      <c r="AU6" s="174"/>
      <c r="AV6" s="174"/>
      <c r="AW6" s="174"/>
      <c r="AX6" s="174"/>
      <c r="AY6" s="174">
        <v>1</v>
      </c>
      <c r="AZ6" s="174"/>
      <c r="BA6" s="174"/>
      <c r="BB6" s="174"/>
      <c r="BC6" s="174"/>
      <c r="BD6" s="174"/>
      <c r="BE6" s="174"/>
      <c r="BF6" s="174"/>
      <c r="BG6" s="174"/>
      <c r="BH6" s="174"/>
      <c r="BI6" s="174"/>
      <c r="BJ6" s="174"/>
      <c r="BK6" s="174"/>
      <c r="BL6" s="174"/>
      <c r="BM6" s="174"/>
      <c r="BN6" s="174"/>
      <c r="BO6" s="174"/>
      <c r="BP6" s="174"/>
      <c r="BQ6" s="174"/>
      <c r="BR6" s="174"/>
      <c r="BS6" s="174"/>
      <c r="BT6" s="174"/>
      <c r="BU6" s="174"/>
      <c r="BV6" s="174"/>
      <c r="BW6" s="174"/>
      <c r="BX6" s="174"/>
      <c r="BY6" s="174"/>
      <c r="BZ6" s="174"/>
      <c r="CA6" s="174"/>
      <c r="CB6" s="174"/>
      <c r="CC6" s="174"/>
      <c r="CD6" s="174"/>
      <c r="CE6" s="174"/>
      <c r="CF6" s="174"/>
      <c r="CG6" s="174"/>
      <c r="CH6" s="174"/>
      <c r="CI6" s="174"/>
      <c r="CJ6" s="174"/>
      <c r="CK6" s="174"/>
      <c r="CL6" s="174"/>
      <c r="CM6" s="174"/>
      <c r="CN6" s="174"/>
      <c r="CO6" s="174"/>
      <c r="CP6" s="174"/>
      <c r="CQ6" s="174"/>
      <c r="CR6" s="174"/>
      <c r="CS6" s="174"/>
      <c r="CT6" s="174"/>
      <c r="CU6" s="174"/>
      <c r="CV6" s="174"/>
      <c r="CW6" s="174"/>
      <c r="CX6" s="174"/>
      <c r="CY6" s="174"/>
      <c r="CZ6" s="174"/>
      <c r="DA6" s="174"/>
      <c r="DB6" s="174"/>
      <c r="DC6" s="174"/>
      <c r="DD6" s="174"/>
      <c r="DE6" s="174"/>
      <c r="DF6" s="174"/>
      <c r="DG6" s="174"/>
      <c r="DH6" s="174"/>
      <c r="DI6" s="174"/>
      <c r="DJ6" s="174"/>
      <c r="DK6" s="174"/>
      <c r="DL6" s="174"/>
      <c r="DM6" s="174"/>
      <c r="DN6" s="174"/>
      <c r="DO6" s="174"/>
      <c r="DP6" s="174"/>
      <c r="DQ6" s="174"/>
      <c r="DR6" s="174"/>
      <c r="DS6" s="174"/>
      <c r="DT6" s="174"/>
      <c r="DU6" s="174"/>
      <c r="DV6" s="174"/>
      <c r="DW6" s="174"/>
      <c r="DX6" s="174"/>
      <c r="DY6" s="174"/>
      <c r="DZ6" s="174"/>
      <c r="EA6" s="174"/>
      <c r="EB6" s="174"/>
      <c r="EC6" s="174"/>
      <c r="ED6" s="174"/>
      <c r="EE6" s="174"/>
      <c r="EF6" s="174"/>
      <c r="EG6" s="174"/>
      <c r="EH6" s="174"/>
      <c r="EI6" s="174"/>
      <c r="EJ6" s="174"/>
      <c r="EK6" s="174"/>
      <c r="EL6" s="174"/>
      <c r="EM6" s="174"/>
      <c r="EN6" s="174"/>
      <c r="EO6" s="174"/>
      <c r="EP6" s="174"/>
      <c r="EQ6" s="174"/>
      <c r="ER6" s="174"/>
      <c r="ES6" s="174"/>
      <c r="ET6" s="174"/>
      <c r="EU6" s="174"/>
      <c r="EV6" s="174"/>
      <c r="EW6" s="174"/>
      <c r="EX6" s="174"/>
      <c r="EY6" s="174"/>
      <c r="EZ6" s="174"/>
      <c r="FA6" s="174"/>
      <c r="FB6" s="174"/>
      <c r="FC6" s="174"/>
      <c r="FD6" s="174"/>
      <c r="FE6" s="174"/>
      <c r="FF6" s="174"/>
      <c r="FG6" s="174"/>
      <c r="FH6" s="174"/>
      <c r="FI6" s="174"/>
      <c r="FJ6" s="174"/>
      <c r="FK6" s="174"/>
      <c r="FL6" s="174"/>
      <c r="FM6" s="174"/>
      <c r="FN6" s="174"/>
      <c r="FO6" s="174"/>
      <c r="FP6" s="174"/>
      <c r="FQ6" s="174"/>
      <c r="FR6" s="174"/>
      <c r="FS6" s="174"/>
      <c r="FT6" s="174"/>
      <c r="FU6" s="174"/>
      <c r="FV6" s="174"/>
      <c r="FW6" s="174"/>
      <c r="FX6" s="174"/>
      <c r="FY6" s="174"/>
      <c r="FZ6" s="174"/>
      <c r="GA6" s="174"/>
      <c r="GB6" s="174"/>
      <c r="GC6" s="174"/>
      <c r="GD6" s="174"/>
      <c r="GE6" s="174"/>
      <c r="GF6" s="174"/>
      <c r="GG6" s="174"/>
      <c r="GH6" s="174"/>
      <c r="GI6" s="174"/>
      <c r="GJ6" s="174"/>
      <c r="GK6" s="174"/>
      <c r="GL6" s="174"/>
      <c r="GM6" s="174"/>
      <c r="GN6" s="174"/>
      <c r="GO6" s="174"/>
      <c r="GP6" s="174"/>
      <c r="GQ6" s="174"/>
      <c r="GR6" s="174"/>
      <c r="GS6" s="174"/>
      <c r="GT6" s="174"/>
      <c r="GU6" s="174"/>
      <c r="GV6" s="174"/>
      <c r="GW6" s="174"/>
      <c r="GX6" s="174"/>
      <c r="GY6" s="174"/>
      <c r="GZ6" s="174"/>
      <c r="HA6" s="174"/>
      <c r="HB6" s="174"/>
      <c r="HC6" s="174"/>
      <c r="HD6" s="174"/>
      <c r="HE6" s="174"/>
      <c r="HF6" s="174"/>
      <c r="HG6" s="174"/>
      <c r="HH6" s="174"/>
      <c r="HI6" s="174"/>
      <c r="HJ6" s="174"/>
      <c r="HK6" s="174"/>
      <c r="HL6" s="174"/>
      <c r="HM6" s="174"/>
      <c r="HN6" s="174"/>
      <c r="HO6" s="174"/>
      <c r="HP6" s="174"/>
      <c r="HQ6" s="174"/>
      <c r="HR6" s="174"/>
      <c r="HS6" s="174"/>
      <c r="HT6" s="174"/>
      <c r="HU6" s="174"/>
      <c r="HV6" s="174"/>
      <c r="HW6" s="174"/>
      <c r="HX6" s="174"/>
      <c r="HY6" s="174"/>
      <c r="HZ6" s="174"/>
      <c r="IA6" s="174"/>
      <c r="IB6" s="174"/>
      <c r="IC6" s="174"/>
      <c r="ID6" s="174"/>
      <c r="IE6" s="174"/>
      <c r="IF6" s="174"/>
      <c r="IG6" s="174"/>
      <c r="IH6" s="174"/>
      <c r="II6" s="174"/>
      <c r="IJ6" s="174"/>
      <c r="IK6" s="174"/>
      <c r="IL6" s="174"/>
      <c r="IM6" s="174"/>
      <c r="IN6" s="174"/>
      <c r="IO6" s="174"/>
      <c r="IP6" s="174"/>
      <c r="IQ6" s="174"/>
      <c r="IR6" s="174"/>
      <c r="IS6" s="174"/>
      <c r="IT6" s="174"/>
      <c r="IU6" s="75">
        <v>2</v>
      </c>
      <c r="IV6" s="75">
        <v>2</v>
      </c>
      <c r="IW6" s="75">
        <v>2</v>
      </c>
      <c r="IX6" s="75">
        <v>2</v>
      </c>
      <c r="IY6" s="75">
        <v>2</v>
      </c>
      <c r="IZ6" s="75">
        <v>2</v>
      </c>
      <c r="JA6" s="75">
        <v>2</v>
      </c>
      <c r="JB6" s="75">
        <v>2</v>
      </c>
      <c r="JC6" s="75">
        <v>2</v>
      </c>
      <c r="JD6" s="75"/>
      <c r="JF6" s="710" t="s">
        <v>785</v>
      </c>
      <c r="JG6" s="710" t="s">
        <v>893</v>
      </c>
      <c r="JH6" s="178" t="e">
        <f t="shared" si="1"/>
        <v>#N/A</v>
      </c>
      <c r="JI6" s="174">
        <f t="shared" si="2"/>
        <v>0</v>
      </c>
    </row>
    <row r="7" spans="2:269" ht="15" customHeight="1" x14ac:dyDescent="0.25">
      <c r="B7" s="113">
        <v>4</v>
      </c>
      <c r="C7" s="353" t="str">
        <f t="shared" si="0"/>
        <v/>
      </c>
      <c r="D7" s="353" t="str">
        <f t="shared" si="3"/>
        <v/>
      </c>
      <c r="E7" s="174"/>
      <c r="F7" s="174"/>
      <c r="G7" s="174"/>
      <c r="H7" s="174"/>
      <c r="I7" s="174"/>
      <c r="J7" s="174"/>
      <c r="K7" s="174"/>
      <c r="L7" s="174"/>
      <c r="M7" s="174"/>
      <c r="N7" s="174"/>
      <c r="O7" s="174"/>
      <c r="P7" s="174"/>
      <c r="Q7" s="174"/>
      <c r="R7" s="174"/>
      <c r="S7" s="174"/>
      <c r="T7" s="174"/>
      <c r="U7" s="174"/>
      <c r="V7" s="174"/>
      <c r="W7" s="174"/>
      <c r="X7" s="174"/>
      <c r="Y7" s="174"/>
      <c r="Z7" s="174"/>
      <c r="AA7" s="174"/>
      <c r="AB7" s="174"/>
      <c r="AC7" s="174"/>
      <c r="AD7" s="174"/>
      <c r="AE7" s="174"/>
      <c r="AF7" s="174"/>
      <c r="AG7" s="174"/>
      <c r="AH7" s="174"/>
      <c r="AI7" s="174"/>
      <c r="AJ7" s="174"/>
      <c r="AK7" s="174"/>
      <c r="AL7" s="174"/>
      <c r="AM7" s="174"/>
      <c r="AN7" s="174"/>
      <c r="AO7" s="174"/>
      <c r="AP7" s="174"/>
      <c r="AQ7" s="174"/>
      <c r="AR7" s="174"/>
      <c r="AS7" s="174"/>
      <c r="AT7" s="174"/>
      <c r="AU7" s="174"/>
      <c r="AV7" s="174"/>
      <c r="AW7" s="174"/>
      <c r="AX7" s="174"/>
      <c r="AY7" s="174"/>
      <c r="AZ7" s="174"/>
      <c r="BA7" s="174"/>
      <c r="BB7" s="174"/>
      <c r="BC7" s="174"/>
      <c r="BD7" s="174"/>
      <c r="BE7" s="174"/>
      <c r="BF7" s="174"/>
      <c r="BG7" s="174"/>
      <c r="BH7" s="174"/>
      <c r="BI7" s="174"/>
      <c r="BJ7" s="174"/>
      <c r="BK7" s="174"/>
      <c r="BL7" s="174"/>
      <c r="BM7" s="174"/>
      <c r="BN7" s="174"/>
      <c r="BO7" s="174"/>
      <c r="BP7" s="174"/>
      <c r="BQ7" s="174"/>
      <c r="BR7" s="174"/>
      <c r="BS7" s="174"/>
      <c r="BT7" s="174"/>
      <c r="BU7" s="174"/>
      <c r="BV7" s="174"/>
      <c r="BW7" s="174"/>
      <c r="BX7" s="174"/>
      <c r="BY7" s="174"/>
      <c r="BZ7" s="174"/>
      <c r="CA7" s="174"/>
      <c r="CB7" s="174"/>
      <c r="CC7" s="174"/>
      <c r="CD7" s="174"/>
      <c r="CE7" s="174"/>
      <c r="CF7" s="174"/>
      <c r="CG7" s="174"/>
      <c r="CH7" s="174"/>
      <c r="CI7" s="174"/>
      <c r="CJ7" s="174"/>
      <c r="CK7" s="174"/>
      <c r="CL7" s="174"/>
      <c r="CM7" s="174"/>
      <c r="CN7" s="174"/>
      <c r="CO7" s="174"/>
      <c r="CP7" s="174"/>
      <c r="CQ7" s="174"/>
      <c r="CR7" s="174"/>
      <c r="CS7" s="174"/>
      <c r="CT7" s="174"/>
      <c r="CU7" s="174"/>
      <c r="CV7" s="174"/>
      <c r="CW7" s="174"/>
      <c r="CX7" s="174"/>
      <c r="CY7" s="174"/>
      <c r="CZ7" s="174"/>
      <c r="DA7" s="174"/>
      <c r="DB7" s="174"/>
      <c r="DC7" s="174"/>
      <c r="DD7" s="174"/>
      <c r="DE7" s="174"/>
      <c r="DF7" s="174"/>
      <c r="DG7" s="174"/>
      <c r="DH7" s="174"/>
      <c r="DI7" s="174"/>
      <c r="DJ7" s="174"/>
      <c r="DK7" s="174"/>
      <c r="DL7" s="174"/>
      <c r="DM7" s="174"/>
      <c r="DN7" s="174"/>
      <c r="DO7" s="174"/>
      <c r="DP7" s="174"/>
      <c r="DQ7" s="174"/>
      <c r="DR7" s="174"/>
      <c r="DS7" s="174"/>
      <c r="DT7" s="174"/>
      <c r="DU7" s="174"/>
      <c r="DV7" s="174"/>
      <c r="DW7" s="174"/>
      <c r="DX7" s="174"/>
      <c r="DY7" s="174"/>
      <c r="DZ7" s="174"/>
      <c r="EA7" s="174"/>
      <c r="EB7" s="174"/>
      <c r="EC7" s="174"/>
      <c r="ED7" s="174"/>
      <c r="EE7" s="174"/>
      <c r="EF7" s="174"/>
      <c r="EG7" s="174"/>
      <c r="EH7" s="174"/>
      <c r="EI7" s="174"/>
      <c r="EJ7" s="174"/>
      <c r="EK7" s="174"/>
      <c r="EL7" s="174"/>
      <c r="EM7" s="174"/>
      <c r="EN7" s="174"/>
      <c r="EO7" s="174"/>
      <c r="EP7" s="174"/>
      <c r="EQ7" s="174"/>
      <c r="ER7" s="174"/>
      <c r="ES7" s="174"/>
      <c r="ET7" s="174"/>
      <c r="EU7" s="174"/>
      <c r="EV7" s="174"/>
      <c r="EW7" s="174"/>
      <c r="EX7" s="174"/>
      <c r="EY7" s="174"/>
      <c r="EZ7" s="174"/>
      <c r="FA7" s="174"/>
      <c r="FB7" s="174"/>
      <c r="FC7" s="174"/>
      <c r="FD7" s="174"/>
      <c r="FE7" s="174"/>
      <c r="FF7" s="174"/>
      <c r="FG7" s="174"/>
      <c r="FH7" s="174"/>
      <c r="FI7" s="174"/>
      <c r="FJ7" s="174"/>
      <c r="FK7" s="174"/>
      <c r="FL7" s="174"/>
      <c r="FM7" s="174"/>
      <c r="FN7" s="174"/>
      <c r="FO7" s="174"/>
      <c r="FP7" s="174"/>
      <c r="FQ7" s="174"/>
      <c r="FR7" s="174"/>
      <c r="FS7" s="174"/>
      <c r="FT7" s="174"/>
      <c r="FU7" s="174"/>
      <c r="FV7" s="174"/>
      <c r="FW7" s="174"/>
      <c r="FX7" s="174"/>
      <c r="FY7" s="174"/>
      <c r="FZ7" s="174"/>
      <c r="GA7" s="174"/>
      <c r="GB7" s="174"/>
      <c r="GC7" s="174"/>
      <c r="GD7" s="174"/>
      <c r="GE7" s="174"/>
      <c r="GF7" s="174"/>
      <c r="GG7" s="174"/>
      <c r="GH7" s="174"/>
      <c r="GI7" s="174"/>
      <c r="GJ7" s="174"/>
      <c r="GK7" s="174"/>
      <c r="GL7" s="174"/>
      <c r="GM7" s="174"/>
      <c r="GN7" s="174"/>
      <c r="GO7" s="174"/>
      <c r="GP7" s="174"/>
      <c r="GQ7" s="174"/>
      <c r="GR7" s="174"/>
      <c r="GS7" s="174"/>
      <c r="GT7" s="174"/>
      <c r="GU7" s="174"/>
      <c r="GV7" s="174"/>
      <c r="GW7" s="174"/>
      <c r="GX7" s="174"/>
      <c r="GY7" s="174"/>
      <c r="GZ7" s="174"/>
      <c r="HA7" s="174"/>
      <c r="HB7" s="174"/>
      <c r="HC7" s="174"/>
      <c r="HD7" s="174"/>
      <c r="HE7" s="174"/>
      <c r="HF7" s="174"/>
      <c r="HG7" s="174"/>
      <c r="HH7" s="174"/>
      <c r="HI7" s="174"/>
      <c r="HJ7" s="174"/>
      <c r="HK7" s="174"/>
      <c r="HL7" s="174"/>
      <c r="HM7" s="174"/>
      <c r="HN7" s="174"/>
      <c r="HO7" s="174"/>
      <c r="HP7" s="174"/>
      <c r="HQ7" s="174"/>
      <c r="HR7" s="174"/>
      <c r="HS7" s="174"/>
      <c r="HT7" s="174"/>
      <c r="HU7" s="174"/>
      <c r="HV7" s="174"/>
      <c r="HW7" s="174"/>
      <c r="HX7" s="174"/>
      <c r="HY7" s="174"/>
      <c r="HZ7" s="174"/>
      <c r="IA7" s="174"/>
      <c r="IB7" s="174"/>
      <c r="IC7" s="174"/>
      <c r="ID7" s="174"/>
      <c r="IE7" s="174"/>
      <c r="IF7" s="174"/>
      <c r="IG7" s="174"/>
      <c r="IH7" s="174"/>
      <c r="II7" s="174"/>
      <c r="IJ7" s="174"/>
      <c r="IK7" s="174"/>
      <c r="IL7" s="174"/>
      <c r="IM7" s="174"/>
      <c r="IN7" s="174"/>
      <c r="IO7" s="174"/>
      <c r="IP7" s="174"/>
      <c r="IQ7" s="174"/>
      <c r="IR7" s="174"/>
      <c r="IS7" s="174"/>
      <c r="IT7" s="174"/>
      <c r="IU7" s="75"/>
      <c r="IV7" s="75"/>
      <c r="IW7" s="75"/>
      <c r="IX7" s="75"/>
      <c r="IY7" s="75"/>
      <c r="IZ7" s="75"/>
      <c r="JA7" s="75"/>
      <c r="JB7" s="75"/>
      <c r="JC7" s="75"/>
      <c r="JD7" s="75"/>
      <c r="JF7" s="710"/>
      <c r="JG7" s="710"/>
      <c r="JH7" s="178">
        <f t="shared" si="1"/>
        <v>0</v>
      </c>
      <c r="JI7" s="174">
        <f t="shared" si="2"/>
        <v>0</v>
      </c>
    </row>
    <row r="8" spans="2:269" ht="15" customHeight="1" x14ac:dyDescent="0.25">
      <c r="B8" s="113">
        <v>5</v>
      </c>
      <c r="C8" s="353" t="str">
        <f t="shared" si="0"/>
        <v>RDP (4I/4U)</v>
      </c>
      <c r="D8" s="353" t="str">
        <f t="shared" si="3"/>
        <v>RDP (4TC/4TP)</v>
      </c>
      <c r="E8" s="174">
        <v>1</v>
      </c>
      <c r="F8" s="174"/>
      <c r="G8" s="174">
        <v>1</v>
      </c>
      <c r="H8" s="174"/>
      <c r="I8" s="174"/>
      <c r="J8" s="174"/>
      <c r="K8" s="174"/>
      <c r="L8" s="174"/>
      <c r="M8" s="174"/>
      <c r="N8" s="174">
        <v>1</v>
      </c>
      <c r="O8" s="174">
        <v>1</v>
      </c>
      <c r="P8" s="174"/>
      <c r="Q8" s="174"/>
      <c r="R8" s="174"/>
      <c r="S8" s="174">
        <v>1</v>
      </c>
      <c r="T8" s="174"/>
      <c r="U8" s="174"/>
      <c r="V8" s="174"/>
      <c r="W8" s="174"/>
      <c r="X8" s="174"/>
      <c r="Y8" s="174">
        <v>1</v>
      </c>
      <c r="Z8" s="174"/>
      <c r="AA8" s="174"/>
      <c r="AB8" s="174"/>
      <c r="AC8" s="174"/>
      <c r="AD8" s="174"/>
      <c r="AE8" s="174"/>
      <c r="AF8" s="174"/>
      <c r="AG8" s="174">
        <v>1</v>
      </c>
      <c r="AH8" s="174"/>
      <c r="AI8" s="174"/>
      <c r="AJ8" s="174"/>
      <c r="AK8" s="174"/>
      <c r="AL8" s="174"/>
      <c r="AM8" s="174"/>
      <c r="AN8" s="174"/>
      <c r="AO8" s="174"/>
      <c r="AP8" s="174"/>
      <c r="AQ8" s="174"/>
      <c r="AR8" s="174"/>
      <c r="AS8" s="174"/>
      <c r="AT8" s="174"/>
      <c r="AU8" s="174"/>
      <c r="AV8" s="174"/>
      <c r="AW8" s="174"/>
      <c r="AX8" s="174"/>
      <c r="AY8" s="174"/>
      <c r="AZ8" s="174"/>
      <c r="BA8" s="174"/>
      <c r="BB8" s="174"/>
      <c r="BC8" s="174"/>
      <c r="BD8" s="174"/>
      <c r="BE8" s="174"/>
      <c r="BF8" s="174"/>
      <c r="BG8" s="174"/>
      <c r="BH8" s="174"/>
      <c r="BI8" s="174"/>
      <c r="BJ8" s="174"/>
      <c r="BK8" s="174"/>
      <c r="BL8" s="174"/>
      <c r="BM8" s="174"/>
      <c r="BN8" s="174"/>
      <c r="BO8" s="174"/>
      <c r="BP8" s="174"/>
      <c r="BQ8" s="174"/>
      <c r="BR8" s="174"/>
      <c r="BS8" s="174"/>
      <c r="BT8" s="174"/>
      <c r="BU8" s="174"/>
      <c r="BV8" s="174"/>
      <c r="BW8" s="174"/>
      <c r="BX8" s="174"/>
      <c r="BY8" s="174"/>
      <c r="BZ8" s="174"/>
      <c r="CA8" s="174"/>
      <c r="CB8" s="174"/>
      <c r="CC8" s="174"/>
      <c r="CD8" s="174"/>
      <c r="CE8" s="174"/>
      <c r="CF8" s="174"/>
      <c r="CG8" s="174"/>
      <c r="CH8" s="174"/>
      <c r="CI8" s="174"/>
      <c r="CJ8" s="174"/>
      <c r="CK8" s="174"/>
      <c r="CL8" s="174"/>
      <c r="CM8" s="174"/>
      <c r="CN8" s="174"/>
      <c r="CO8" s="174"/>
      <c r="CP8" s="174"/>
      <c r="CQ8" s="174"/>
      <c r="CR8" s="174"/>
      <c r="CS8" s="174"/>
      <c r="CT8" s="174"/>
      <c r="CU8" s="174"/>
      <c r="CV8" s="174"/>
      <c r="CW8" s="174"/>
      <c r="CX8" s="174"/>
      <c r="CY8" s="174"/>
      <c r="CZ8" s="174"/>
      <c r="DA8" s="174"/>
      <c r="DB8" s="174"/>
      <c r="DC8" s="174"/>
      <c r="DD8" s="174"/>
      <c r="DE8" s="174"/>
      <c r="DF8" s="174"/>
      <c r="DG8" s="174"/>
      <c r="DH8" s="174"/>
      <c r="DI8" s="174"/>
      <c r="DJ8" s="174"/>
      <c r="DK8" s="174"/>
      <c r="DL8" s="174"/>
      <c r="DM8" s="174"/>
      <c r="DN8" s="174"/>
      <c r="DO8" s="174"/>
      <c r="DP8" s="174"/>
      <c r="DQ8" s="174"/>
      <c r="DR8" s="174"/>
      <c r="DS8" s="174"/>
      <c r="DT8" s="174"/>
      <c r="DU8" s="174"/>
      <c r="DV8" s="174"/>
      <c r="DW8" s="174"/>
      <c r="DX8" s="174"/>
      <c r="DY8" s="174"/>
      <c r="DZ8" s="174"/>
      <c r="EA8" s="174"/>
      <c r="EB8" s="174"/>
      <c r="EC8" s="174"/>
      <c r="ED8" s="174"/>
      <c r="EE8" s="174"/>
      <c r="EF8" s="174"/>
      <c r="EG8" s="174"/>
      <c r="EH8" s="174"/>
      <c r="EI8" s="174"/>
      <c r="EJ8" s="174"/>
      <c r="EK8" s="174"/>
      <c r="EL8" s="174"/>
      <c r="EM8" s="174"/>
      <c r="EN8" s="174"/>
      <c r="EO8" s="174"/>
      <c r="EP8" s="174"/>
      <c r="EQ8" s="174"/>
      <c r="ER8" s="174"/>
      <c r="ES8" s="174"/>
      <c r="ET8" s="174"/>
      <c r="EU8" s="174"/>
      <c r="EV8" s="174"/>
      <c r="EW8" s="174"/>
      <c r="EX8" s="174"/>
      <c r="EY8" s="174"/>
      <c r="EZ8" s="174"/>
      <c r="FA8" s="174"/>
      <c r="FB8" s="174"/>
      <c r="FC8" s="174"/>
      <c r="FD8" s="174"/>
      <c r="FE8" s="174"/>
      <c r="FF8" s="174"/>
      <c r="FG8" s="174"/>
      <c r="FH8" s="174"/>
      <c r="FI8" s="174"/>
      <c r="FJ8" s="174"/>
      <c r="FK8" s="174"/>
      <c r="FL8" s="174"/>
      <c r="FM8" s="174"/>
      <c r="FN8" s="174"/>
      <c r="FO8" s="174"/>
      <c r="FP8" s="174"/>
      <c r="FQ8" s="174"/>
      <c r="FR8" s="174"/>
      <c r="FS8" s="174"/>
      <c r="FT8" s="174"/>
      <c r="FU8" s="174"/>
      <c r="FV8" s="174"/>
      <c r="FW8" s="174"/>
      <c r="FX8" s="174"/>
      <c r="FY8" s="174"/>
      <c r="FZ8" s="174"/>
      <c r="GA8" s="174"/>
      <c r="GB8" s="174"/>
      <c r="GC8" s="174"/>
      <c r="GD8" s="174"/>
      <c r="GE8" s="174"/>
      <c r="GF8" s="174"/>
      <c r="GG8" s="174"/>
      <c r="GH8" s="174"/>
      <c r="GI8" s="174"/>
      <c r="GJ8" s="174"/>
      <c r="GK8" s="174"/>
      <c r="GL8" s="174"/>
      <c r="GM8" s="174"/>
      <c r="GN8" s="174"/>
      <c r="GO8" s="174"/>
      <c r="GP8" s="174"/>
      <c r="GQ8" s="174"/>
      <c r="GR8" s="174"/>
      <c r="GS8" s="174"/>
      <c r="GT8" s="174"/>
      <c r="GU8" s="174"/>
      <c r="GV8" s="174"/>
      <c r="GW8" s="174"/>
      <c r="GX8" s="174"/>
      <c r="GY8" s="174"/>
      <c r="GZ8" s="174"/>
      <c r="HA8" s="174"/>
      <c r="HB8" s="174"/>
      <c r="HC8" s="174"/>
      <c r="HD8" s="174"/>
      <c r="HE8" s="174"/>
      <c r="HF8" s="174"/>
      <c r="HG8" s="174"/>
      <c r="HH8" s="174"/>
      <c r="HI8" s="174"/>
      <c r="HJ8" s="174"/>
      <c r="HK8" s="174"/>
      <c r="HL8" s="174"/>
      <c r="HM8" s="174"/>
      <c r="HN8" s="174"/>
      <c r="HO8" s="174"/>
      <c r="HP8" s="174"/>
      <c r="HQ8" s="174"/>
      <c r="HR8" s="174"/>
      <c r="HS8" s="174"/>
      <c r="HT8" s="174"/>
      <c r="HU8" s="174"/>
      <c r="HV8" s="174"/>
      <c r="HW8" s="174"/>
      <c r="HX8" s="174"/>
      <c r="HY8" s="174"/>
      <c r="HZ8" s="174"/>
      <c r="IA8" s="174"/>
      <c r="IB8" s="174"/>
      <c r="IC8" s="174"/>
      <c r="ID8" s="174"/>
      <c r="IE8" s="174"/>
      <c r="IF8" s="174"/>
      <c r="IG8" s="174"/>
      <c r="IH8" s="174"/>
      <c r="II8" s="174"/>
      <c r="IJ8" s="174"/>
      <c r="IK8" s="174"/>
      <c r="IL8" s="174"/>
      <c r="IM8" s="174"/>
      <c r="IN8" s="174"/>
      <c r="IO8" s="174"/>
      <c r="IP8" s="174"/>
      <c r="IQ8" s="174"/>
      <c r="IR8" s="174"/>
      <c r="IS8" s="174"/>
      <c r="IT8" s="174"/>
      <c r="IU8" s="75"/>
      <c r="IV8" s="75"/>
      <c r="IW8" s="75"/>
      <c r="IX8" s="75"/>
      <c r="IY8" s="75"/>
      <c r="IZ8" s="75"/>
      <c r="JA8" s="75"/>
      <c r="JB8" s="75"/>
      <c r="JC8" s="75"/>
      <c r="JD8" s="75"/>
      <c r="JF8" s="710" t="s">
        <v>812</v>
      </c>
      <c r="JG8" s="710" t="s">
        <v>894</v>
      </c>
      <c r="JH8" s="178">
        <f t="shared" si="1"/>
        <v>13132.093078125003</v>
      </c>
      <c r="JI8" s="174">
        <f t="shared" si="2"/>
        <v>0</v>
      </c>
    </row>
    <row r="9" spans="2:269" ht="15" customHeight="1" x14ac:dyDescent="0.25">
      <c r="B9" s="113">
        <v>6</v>
      </c>
      <c r="C9" s="353" t="str">
        <f t="shared" si="0"/>
        <v>RDP (8I/8U)</v>
      </c>
      <c r="D9" s="353" t="str">
        <f t="shared" si="3"/>
        <v>RDP (8TC/8TP)</v>
      </c>
      <c r="E9" s="174"/>
      <c r="F9" s="174">
        <v>1</v>
      </c>
      <c r="G9" s="174"/>
      <c r="H9" s="174">
        <v>1</v>
      </c>
      <c r="I9" s="174"/>
      <c r="J9" s="174"/>
      <c r="K9" s="174"/>
      <c r="L9" s="174"/>
      <c r="M9" s="174"/>
      <c r="N9" s="174"/>
      <c r="O9" s="174"/>
      <c r="P9" s="174">
        <v>1</v>
      </c>
      <c r="Q9" s="174"/>
      <c r="R9" s="174"/>
      <c r="S9" s="174"/>
      <c r="T9" s="174"/>
      <c r="U9" s="174"/>
      <c r="V9" s="174"/>
      <c r="W9" s="174"/>
      <c r="X9" s="174"/>
      <c r="Y9" s="174"/>
      <c r="Z9" s="174"/>
      <c r="AA9" s="174">
        <v>1</v>
      </c>
      <c r="AB9" s="174"/>
      <c r="AC9" s="174"/>
      <c r="AD9" s="174"/>
      <c r="AE9" s="174"/>
      <c r="AF9" s="174"/>
      <c r="AG9" s="174"/>
      <c r="AH9" s="174"/>
      <c r="AI9" s="174"/>
      <c r="AJ9" s="174"/>
      <c r="AK9" s="174"/>
      <c r="AL9" s="174"/>
      <c r="AM9" s="174"/>
      <c r="AN9" s="174"/>
      <c r="AO9" s="174"/>
      <c r="AP9" s="174"/>
      <c r="AQ9" s="174"/>
      <c r="AR9" s="174"/>
      <c r="AS9" s="174"/>
      <c r="AT9" s="174"/>
      <c r="AU9" s="174"/>
      <c r="AV9" s="174"/>
      <c r="AW9" s="174"/>
      <c r="AX9" s="174"/>
      <c r="AY9" s="174"/>
      <c r="AZ9" s="174"/>
      <c r="BA9" s="174"/>
      <c r="BB9" s="174"/>
      <c r="BC9" s="174"/>
      <c r="BD9" s="174"/>
      <c r="BE9" s="174"/>
      <c r="BF9" s="174"/>
      <c r="BG9" s="174"/>
      <c r="BH9" s="174"/>
      <c r="BI9" s="174"/>
      <c r="BJ9" s="174"/>
      <c r="BK9" s="174"/>
      <c r="BL9" s="174"/>
      <c r="BM9" s="174"/>
      <c r="BN9" s="174"/>
      <c r="BO9" s="174"/>
      <c r="BP9" s="174"/>
      <c r="BQ9" s="174"/>
      <c r="BR9" s="174"/>
      <c r="BS9" s="174"/>
      <c r="BT9" s="174"/>
      <c r="BU9" s="174"/>
      <c r="BV9" s="174"/>
      <c r="BW9" s="174"/>
      <c r="BX9" s="174"/>
      <c r="BY9" s="174"/>
      <c r="BZ9" s="174"/>
      <c r="CA9" s="174"/>
      <c r="CB9" s="174"/>
      <c r="CC9" s="174"/>
      <c r="CD9" s="174"/>
      <c r="CE9" s="174"/>
      <c r="CF9" s="174"/>
      <c r="CG9" s="174"/>
      <c r="CH9" s="174"/>
      <c r="CI9" s="174"/>
      <c r="CJ9" s="174"/>
      <c r="CK9" s="174"/>
      <c r="CL9" s="174"/>
      <c r="CM9" s="174"/>
      <c r="CN9" s="174"/>
      <c r="CO9" s="174"/>
      <c r="CP9" s="174"/>
      <c r="CQ9" s="174"/>
      <c r="CR9" s="174"/>
      <c r="CS9" s="174"/>
      <c r="CT9" s="174"/>
      <c r="CU9" s="174"/>
      <c r="CV9" s="174"/>
      <c r="CW9" s="174"/>
      <c r="CX9" s="174"/>
      <c r="CY9" s="174"/>
      <c r="CZ9" s="174"/>
      <c r="DA9" s="174"/>
      <c r="DB9" s="174"/>
      <c r="DC9" s="174"/>
      <c r="DD9" s="174"/>
      <c r="DE9" s="174"/>
      <c r="DF9" s="174"/>
      <c r="DG9" s="174"/>
      <c r="DH9" s="174"/>
      <c r="DI9" s="174"/>
      <c r="DJ9" s="174"/>
      <c r="DK9" s="174"/>
      <c r="DL9" s="174"/>
      <c r="DM9" s="174"/>
      <c r="DN9" s="174"/>
      <c r="DO9" s="174"/>
      <c r="DP9" s="174"/>
      <c r="DQ9" s="174"/>
      <c r="DR9" s="174"/>
      <c r="DS9" s="174"/>
      <c r="DT9" s="174"/>
      <c r="DU9" s="174"/>
      <c r="DV9" s="174"/>
      <c r="DW9" s="174"/>
      <c r="DX9" s="174"/>
      <c r="DY9" s="174"/>
      <c r="DZ9" s="174"/>
      <c r="EA9" s="174"/>
      <c r="EB9" s="174"/>
      <c r="EC9" s="174"/>
      <c r="ED9" s="174"/>
      <c r="EE9" s="174"/>
      <c r="EF9" s="174"/>
      <c r="EG9" s="174"/>
      <c r="EH9" s="174"/>
      <c r="EI9" s="174"/>
      <c r="EJ9" s="174"/>
      <c r="EK9" s="174"/>
      <c r="EL9" s="174"/>
      <c r="EM9" s="174"/>
      <c r="EN9" s="174"/>
      <c r="EO9" s="174"/>
      <c r="EP9" s="174"/>
      <c r="EQ9" s="174"/>
      <c r="ER9" s="174"/>
      <c r="ES9" s="174"/>
      <c r="ET9" s="174"/>
      <c r="EU9" s="174"/>
      <c r="EV9" s="174"/>
      <c r="EW9" s="174"/>
      <c r="EX9" s="174"/>
      <c r="EY9" s="174"/>
      <c r="EZ9" s="174"/>
      <c r="FA9" s="174"/>
      <c r="FB9" s="174"/>
      <c r="FC9" s="174"/>
      <c r="FD9" s="174"/>
      <c r="FE9" s="174"/>
      <c r="FF9" s="174"/>
      <c r="FG9" s="174"/>
      <c r="FH9" s="174"/>
      <c r="FI9" s="174"/>
      <c r="FJ9" s="174"/>
      <c r="FK9" s="174"/>
      <c r="FL9" s="174"/>
      <c r="FM9" s="174"/>
      <c r="FN9" s="174"/>
      <c r="FO9" s="174"/>
      <c r="FP9" s="174"/>
      <c r="FQ9" s="174"/>
      <c r="FR9" s="174"/>
      <c r="FS9" s="174"/>
      <c r="FT9" s="174"/>
      <c r="FU9" s="174"/>
      <c r="FV9" s="174"/>
      <c r="FW9" s="174"/>
      <c r="FX9" s="174"/>
      <c r="FY9" s="174"/>
      <c r="FZ9" s="174"/>
      <c r="GA9" s="174"/>
      <c r="GB9" s="174"/>
      <c r="GC9" s="174"/>
      <c r="GD9" s="174"/>
      <c r="GE9" s="174"/>
      <c r="GF9" s="174"/>
      <c r="GG9" s="174"/>
      <c r="GH9" s="174"/>
      <c r="GI9" s="174"/>
      <c r="GJ9" s="174"/>
      <c r="GK9" s="174"/>
      <c r="GL9" s="174"/>
      <c r="GM9" s="174"/>
      <c r="GN9" s="174"/>
      <c r="GO9" s="174"/>
      <c r="GP9" s="174"/>
      <c r="GQ9" s="174"/>
      <c r="GR9" s="174"/>
      <c r="GS9" s="174"/>
      <c r="GT9" s="174"/>
      <c r="GU9" s="174"/>
      <c r="GV9" s="174"/>
      <c r="GW9" s="174"/>
      <c r="GX9" s="174"/>
      <c r="GY9" s="174"/>
      <c r="GZ9" s="174"/>
      <c r="HA9" s="174"/>
      <c r="HB9" s="174"/>
      <c r="HC9" s="174"/>
      <c r="HD9" s="174"/>
      <c r="HE9" s="174"/>
      <c r="HF9" s="174"/>
      <c r="HG9" s="174"/>
      <c r="HH9" s="174"/>
      <c r="HI9" s="174"/>
      <c r="HJ9" s="174"/>
      <c r="HK9" s="174"/>
      <c r="HL9" s="174"/>
      <c r="HM9" s="174"/>
      <c r="HN9" s="174"/>
      <c r="HO9" s="174"/>
      <c r="HP9" s="174"/>
      <c r="HQ9" s="174"/>
      <c r="HR9" s="174"/>
      <c r="HS9" s="174"/>
      <c r="HT9" s="174"/>
      <c r="HU9" s="174"/>
      <c r="HV9" s="174"/>
      <c r="HW9" s="174"/>
      <c r="HX9" s="174"/>
      <c r="HY9" s="174"/>
      <c r="HZ9" s="174"/>
      <c r="IA9" s="174"/>
      <c r="IB9" s="174"/>
      <c r="IC9" s="174"/>
      <c r="ID9" s="174"/>
      <c r="IE9" s="174"/>
      <c r="IF9" s="174"/>
      <c r="IG9" s="174"/>
      <c r="IH9" s="174"/>
      <c r="II9" s="174"/>
      <c r="IJ9" s="174"/>
      <c r="IK9" s="174"/>
      <c r="IL9" s="174"/>
      <c r="IM9" s="174"/>
      <c r="IN9" s="174"/>
      <c r="IO9" s="174"/>
      <c r="IP9" s="174"/>
      <c r="IQ9" s="174"/>
      <c r="IR9" s="174"/>
      <c r="IS9" s="174"/>
      <c r="IT9" s="174"/>
      <c r="IU9" s="75"/>
      <c r="IV9" s="75"/>
      <c r="IW9" s="75"/>
      <c r="IX9" s="75"/>
      <c r="IY9" s="75"/>
      <c r="IZ9" s="75"/>
      <c r="JA9" s="75"/>
      <c r="JB9" s="75"/>
      <c r="JC9" s="75"/>
      <c r="JD9" s="75"/>
      <c r="JF9" s="710" t="s">
        <v>813</v>
      </c>
      <c r="JG9" s="710" t="s">
        <v>895</v>
      </c>
      <c r="JH9" s="178">
        <f t="shared" si="1"/>
        <v>19816.884281250004</v>
      </c>
      <c r="JI9" s="174">
        <f t="shared" si="2"/>
        <v>0</v>
      </c>
    </row>
    <row r="10" spans="2:269" ht="15" customHeight="1" x14ac:dyDescent="0.25">
      <c r="B10" s="113">
        <v>7</v>
      </c>
      <c r="C10" s="353" t="str">
        <f t="shared" si="0"/>
        <v>RDP (12I/12U)</v>
      </c>
      <c r="D10" s="353" t="str">
        <f t="shared" si="3"/>
        <v>RDP (12TC/12TP)</v>
      </c>
      <c r="E10" s="174"/>
      <c r="F10" s="174"/>
      <c r="G10" s="174"/>
      <c r="H10" s="174"/>
      <c r="I10" s="174"/>
      <c r="J10" s="174">
        <v>1</v>
      </c>
      <c r="K10" s="174"/>
      <c r="L10" s="174"/>
      <c r="M10" s="174"/>
      <c r="N10" s="174"/>
      <c r="O10" s="174"/>
      <c r="P10" s="174"/>
      <c r="Q10" s="174"/>
      <c r="R10" s="174">
        <v>1</v>
      </c>
      <c r="S10" s="174"/>
      <c r="T10" s="174"/>
      <c r="U10" s="174"/>
      <c r="V10" s="174"/>
      <c r="W10" s="174"/>
      <c r="X10" s="174"/>
      <c r="Y10" s="174"/>
      <c r="Z10" s="174"/>
      <c r="AA10" s="174"/>
      <c r="AB10" s="174"/>
      <c r="AC10" s="174"/>
      <c r="AD10" s="174"/>
      <c r="AE10" s="174"/>
      <c r="AF10" s="174"/>
      <c r="AG10" s="174"/>
      <c r="AH10" s="174"/>
      <c r="AI10" s="174"/>
      <c r="AJ10" s="174"/>
      <c r="AK10" s="174"/>
      <c r="AL10" s="174"/>
      <c r="AM10" s="174"/>
      <c r="AN10" s="174"/>
      <c r="AO10" s="174"/>
      <c r="AP10" s="174"/>
      <c r="AQ10" s="174"/>
      <c r="AR10" s="174"/>
      <c r="AS10" s="174"/>
      <c r="AT10" s="174"/>
      <c r="AU10" s="174"/>
      <c r="AV10" s="174"/>
      <c r="AW10" s="174"/>
      <c r="AX10" s="174"/>
      <c r="AY10" s="174"/>
      <c r="AZ10" s="174"/>
      <c r="BA10" s="174"/>
      <c r="BB10" s="174"/>
      <c r="BC10" s="174"/>
      <c r="BD10" s="174"/>
      <c r="BE10" s="174"/>
      <c r="BF10" s="174"/>
      <c r="BG10" s="174"/>
      <c r="BH10" s="174"/>
      <c r="BI10" s="174"/>
      <c r="BJ10" s="174"/>
      <c r="BK10" s="174"/>
      <c r="BL10" s="174"/>
      <c r="BM10" s="174"/>
      <c r="BN10" s="174"/>
      <c r="BO10" s="174"/>
      <c r="BP10" s="174"/>
      <c r="BQ10" s="174"/>
      <c r="BR10" s="174"/>
      <c r="BS10" s="174"/>
      <c r="BT10" s="174"/>
      <c r="BU10" s="174"/>
      <c r="BV10" s="174"/>
      <c r="BW10" s="174"/>
      <c r="BX10" s="174"/>
      <c r="BY10" s="174"/>
      <c r="BZ10" s="174"/>
      <c r="CA10" s="174"/>
      <c r="CB10" s="174"/>
      <c r="CC10" s="174"/>
      <c r="CD10" s="174"/>
      <c r="CE10" s="174"/>
      <c r="CF10" s="174"/>
      <c r="CG10" s="174"/>
      <c r="CH10" s="174"/>
      <c r="CI10" s="174"/>
      <c r="CJ10" s="174"/>
      <c r="CK10" s="174"/>
      <c r="CL10" s="174"/>
      <c r="CM10" s="174"/>
      <c r="CN10" s="174"/>
      <c r="CO10" s="174"/>
      <c r="CP10" s="174"/>
      <c r="CQ10" s="174"/>
      <c r="CR10" s="174"/>
      <c r="CS10" s="174"/>
      <c r="CT10" s="174"/>
      <c r="CU10" s="174"/>
      <c r="CV10" s="174"/>
      <c r="CW10" s="174"/>
      <c r="CX10" s="174"/>
      <c r="CY10" s="174"/>
      <c r="CZ10" s="174"/>
      <c r="DA10" s="174"/>
      <c r="DB10" s="174"/>
      <c r="DC10" s="174"/>
      <c r="DD10" s="174"/>
      <c r="DE10" s="174"/>
      <c r="DF10" s="174"/>
      <c r="DG10" s="174"/>
      <c r="DH10" s="174"/>
      <c r="DI10" s="174"/>
      <c r="DJ10" s="174"/>
      <c r="DK10" s="174"/>
      <c r="DL10" s="174"/>
      <c r="DM10" s="174"/>
      <c r="DN10" s="174"/>
      <c r="DO10" s="174"/>
      <c r="DP10" s="174"/>
      <c r="DQ10" s="174"/>
      <c r="DR10" s="174"/>
      <c r="DS10" s="174"/>
      <c r="DT10" s="174"/>
      <c r="DU10" s="174"/>
      <c r="DV10" s="174"/>
      <c r="DW10" s="174"/>
      <c r="DX10" s="174"/>
      <c r="DY10" s="174"/>
      <c r="DZ10" s="174"/>
      <c r="EA10" s="174"/>
      <c r="EB10" s="174"/>
      <c r="EC10" s="174"/>
      <c r="ED10" s="174"/>
      <c r="EE10" s="174"/>
      <c r="EF10" s="174"/>
      <c r="EG10" s="174"/>
      <c r="EH10" s="174"/>
      <c r="EI10" s="174"/>
      <c r="EJ10" s="174"/>
      <c r="EK10" s="174"/>
      <c r="EL10" s="174"/>
      <c r="EM10" s="174"/>
      <c r="EN10" s="174"/>
      <c r="EO10" s="174"/>
      <c r="EP10" s="174"/>
      <c r="EQ10" s="174"/>
      <c r="ER10" s="174"/>
      <c r="ES10" s="174"/>
      <c r="ET10" s="174"/>
      <c r="EU10" s="174"/>
      <c r="EV10" s="174"/>
      <c r="EW10" s="174"/>
      <c r="EX10" s="174"/>
      <c r="EY10" s="174"/>
      <c r="EZ10" s="174"/>
      <c r="FA10" s="174"/>
      <c r="FB10" s="174"/>
      <c r="FC10" s="174"/>
      <c r="FD10" s="174"/>
      <c r="FE10" s="174"/>
      <c r="FF10" s="174"/>
      <c r="FG10" s="174"/>
      <c r="FH10" s="174"/>
      <c r="FI10" s="174"/>
      <c r="FJ10" s="174"/>
      <c r="FK10" s="174"/>
      <c r="FL10" s="174"/>
      <c r="FM10" s="174"/>
      <c r="FN10" s="174"/>
      <c r="FO10" s="174"/>
      <c r="FP10" s="174"/>
      <c r="FQ10" s="174"/>
      <c r="FR10" s="174"/>
      <c r="FS10" s="174"/>
      <c r="FT10" s="174"/>
      <c r="FU10" s="174"/>
      <c r="FV10" s="174"/>
      <c r="FW10" s="174"/>
      <c r="FX10" s="174"/>
      <c r="FY10" s="174"/>
      <c r="FZ10" s="174"/>
      <c r="GA10" s="174"/>
      <c r="GB10" s="174"/>
      <c r="GC10" s="174"/>
      <c r="GD10" s="174"/>
      <c r="GE10" s="174"/>
      <c r="GF10" s="174"/>
      <c r="GG10" s="174"/>
      <c r="GH10" s="174"/>
      <c r="GI10" s="174"/>
      <c r="GJ10" s="174"/>
      <c r="GK10" s="174"/>
      <c r="GL10" s="174"/>
      <c r="GM10" s="174"/>
      <c r="GN10" s="174"/>
      <c r="GO10" s="174"/>
      <c r="GP10" s="174"/>
      <c r="GQ10" s="174"/>
      <c r="GR10" s="174"/>
      <c r="GS10" s="174"/>
      <c r="GT10" s="174"/>
      <c r="GU10" s="174"/>
      <c r="GV10" s="174"/>
      <c r="GW10" s="174"/>
      <c r="GX10" s="174"/>
      <c r="GY10" s="174"/>
      <c r="GZ10" s="174"/>
      <c r="HA10" s="174"/>
      <c r="HB10" s="174"/>
      <c r="HC10" s="174"/>
      <c r="HD10" s="174"/>
      <c r="HE10" s="174"/>
      <c r="HF10" s="174"/>
      <c r="HG10" s="174"/>
      <c r="HH10" s="174"/>
      <c r="HI10" s="174"/>
      <c r="HJ10" s="174"/>
      <c r="HK10" s="174"/>
      <c r="HL10" s="174"/>
      <c r="HM10" s="174"/>
      <c r="HN10" s="174"/>
      <c r="HO10" s="174"/>
      <c r="HP10" s="174"/>
      <c r="HQ10" s="174"/>
      <c r="HR10" s="174"/>
      <c r="HS10" s="174"/>
      <c r="HT10" s="174"/>
      <c r="HU10" s="174"/>
      <c r="HV10" s="174"/>
      <c r="HW10" s="174"/>
      <c r="HX10" s="174"/>
      <c r="HY10" s="174"/>
      <c r="HZ10" s="174"/>
      <c r="IA10" s="174"/>
      <c r="IB10" s="174"/>
      <c r="IC10" s="174"/>
      <c r="ID10" s="174"/>
      <c r="IE10" s="174"/>
      <c r="IF10" s="174"/>
      <c r="IG10" s="174"/>
      <c r="IH10" s="174"/>
      <c r="II10" s="174"/>
      <c r="IJ10" s="174"/>
      <c r="IK10" s="174"/>
      <c r="IL10" s="174"/>
      <c r="IM10" s="174"/>
      <c r="IN10" s="174"/>
      <c r="IO10" s="174"/>
      <c r="IP10" s="174"/>
      <c r="IQ10" s="174"/>
      <c r="IR10" s="174"/>
      <c r="IS10" s="174"/>
      <c r="IT10" s="174"/>
      <c r="IU10" s="75"/>
      <c r="IV10" s="75"/>
      <c r="IW10" s="75"/>
      <c r="IX10" s="75"/>
      <c r="IY10" s="75"/>
      <c r="IZ10" s="75"/>
      <c r="JA10" s="75"/>
      <c r="JB10" s="75"/>
      <c r="JC10" s="75"/>
      <c r="JD10" s="75"/>
      <c r="JF10" s="710" t="s">
        <v>814</v>
      </c>
      <c r="JG10" s="710" t="s">
        <v>896</v>
      </c>
      <c r="JH10" s="178">
        <f t="shared" si="1"/>
        <v>32948.977359375</v>
      </c>
      <c r="JI10" s="174">
        <f t="shared" si="2"/>
        <v>0</v>
      </c>
    </row>
    <row r="11" spans="2:269" ht="15" customHeight="1" x14ac:dyDescent="0.25">
      <c r="B11" s="113">
        <v>8</v>
      </c>
      <c r="C11" s="353" t="str">
        <f t="shared" si="0"/>
        <v>Relé 21</v>
      </c>
      <c r="D11" s="353" t="str">
        <f t="shared" si="3"/>
        <v>relé de distância (4TC/4TP/40BI/30BO)</v>
      </c>
      <c r="E11" s="174">
        <v>2</v>
      </c>
      <c r="F11" s="174">
        <v>2</v>
      </c>
      <c r="G11" s="174">
        <v>2</v>
      </c>
      <c r="H11" s="174">
        <v>2</v>
      </c>
      <c r="I11" s="174"/>
      <c r="J11" s="174"/>
      <c r="K11" s="174"/>
      <c r="L11" s="174"/>
      <c r="M11" s="174"/>
      <c r="N11" s="174"/>
      <c r="O11" s="174">
        <v>2</v>
      </c>
      <c r="P11" s="174">
        <v>2</v>
      </c>
      <c r="Q11" s="174"/>
      <c r="R11" s="174"/>
      <c r="S11" s="174"/>
      <c r="T11" s="174"/>
      <c r="U11" s="174"/>
      <c r="V11" s="174"/>
      <c r="W11" s="174"/>
      <c r="X11" s="174"/>
      <c r="Y11" s="174">
        <v>2</v>
      </c>
      <c r="Z11" s="174"/>
      <c r="AA11" s="174"/>
      <c r="AB11" s="174"/>
      <c r="AC11" s="174"/>
      <c r="AD11" s="174"/>
      <c r="AE11" s="174"/>
      <c r="AF11" s="174"/>
      <c r="AG11" s="174"/>
      <c r="AH11" s="174"/>
      <c r="AI11" s="174"/>
      <c r="AJ11" s="174"/>
      <c r="AK11" s="174"/>
      <c r="AL11" s="174"/>
      <c r="AM11" s="174"/>
      <c r="AN11" s="174"/>
      <c r="AO11" s="174"/>
      <c r="AP11" s="174"/>
      <c r="AQ11" s="174"/>
      <c r="AR11" s="174"/>
      <c r="AS11" s="174"/>
      <c r="AT11" s="174"/>
      <c r="AU11" s="174"/>
      <c r="AV11" s="174"/>
      <c r="AW11" s="174"/>
      <c r="AX11" s="174"/>
      <c r="AY11" s="174"/>
      <c r="AZ11" s="174"/>
      <c r="BA11" s="174"/>
      <c r="BB11" s="174"/>
      <c r="BC11" s="174"/>
      <c r="BD11" s="174"/>
      <c r="BE11" s="174"/>
      <c r="BF11" s="174"/>
      <c r="BG11" s="174"/>
      <c r="BH11" s="174"/>
      <c r="BI11" s="174"/>
      <c r="BJ11" s="174"/>
      <c r="BK11" s="174"/>
      <c r="BL11" s="174"/>
      <c r="BM11" s="174"/>
      <c r="BN11" s="174"/>
      <c r="BO11" s="174"/>
      <c r="BP11" s="174"/>
      <c r="BQ11" s="174"/>
      <c r="BR11" s="174"/>
      <c r="BS11" s="174"/>
      <c r="BT11" s="174"/>
      <c r="BU11" s="174"/>
      <c r="BV11" s="174"/>
      <c r="BW11" s="174"/>
      <c r="BX11" s="174"/>
      <c r="BY11" s="174"/>
      <c r="BZ11" s="174"/>
      <c r="CA11" s="174"/>
      <c r="CB11" s="174"/>
      <c r="CC11" s="174"/>
      <c r="CD11" s="174"/>
      <c r="CE11" s="174"/>
      <c r="CF11" s="174"/>
      <c r="CG11" s="174"/>
      <c r="CH11" s="174"/>
      <c r="CI11" s="174"/>
      <c r="CJ11" s="174"/>
      <c r="CK11" s="174"/>
      <c r="CL11" s="174"/>
      <c r="CM11" s="174"/>
      <c r="CN11" s="174"/>
      <c r="CO11" s="174"/>
      <c r="CP11" s="174"/>
      <c r="CQ11" s="174"/>
      <c r="CR11" s="174"/>
      <c r="CS11" s="174"/>
      <c r="CT11" s="174"/>
      <c r="CU11" s="174"/>
      <c r="CV11" s="174"/>
      <c r="CW11" s="174"/>
      <c r="CX11" s="174"/>
      <c r="CY11" s="174"/>
      <c r="CZ11" s="174"/>
      <c r="DA11" s="174"/>
      <c r="DB11" s="174"/>
      <c r="DC11" s="174"/>
      <c r="DD11" s="174"/>
      <c r="DE11" s="174"/>
      <c r="DF11" s="174"/>
      <c r="DG11" s="174"/>
      <c r="DH11" s="174"/>
      <c r="DI11" s="174"/>
      <c r="DJ11" s="174"/>
      <c r="DK11" s="174"/>
      <c r="DL11" s="174"/>
      <c r="DM11" s="174"/>
      <c r="DN11" s="174"/>
      <c r="DO11" s="174"/>
      <c r="DP11" s="174"/>
      <c r="DQ11" s="174"/>
      <c r="DR11" s="174"/>
      <c r="DS11" s="174"/>
      <c r="DT11" s="174"/>
      <c r="DU11" s="174"/>
      <c r="DV11" s="174"/>
      <c r="DW11" s="174"/>
      <c r="DX11" s="174"/>
      <c r="DY11" s="174"/>
      <c r="DZ11" s="174"/>
      <c r="EA11" s="174"/>
      <c r="EB11" s="174"/>
      <c r="EC11" s="174"/>
      <c r="ED11" s="174"/>
      <c r="EE11" s="174"/>
      <c r="EF11" s="174"/>
      <c r="EG11" s="174"/>
      <c r="EH11" s="174"/>
      <c r="EI11" s="174"/>
      <c r="EJ11" s="174"/>
      <c r="EK11" s="174"/>
      <c r="EL11" s="174"/>
      <c r="EM11" s="174"/>
      <c r="EN11" s="174"/>
      <c r="EO11" s="174"/>
      <c r="EP11" s="174"/>
      <c r="EQ11" s="174"/>
      <c r="ER11" s="174"/>
      <c r="ES11" s="174"/>
      <c r="ET11" s="174"/>
      <c r="EU11" s="174"/>
      <c r="EV11" s="174"/>
      <c r="EW11" s="174"/>
      <c r="EX11" s="174"/>
      <c r="EY11" s="174"/>
      <c r="EZ11" s="174"/>
      <c r="FA11" s="174"/>
      <c r="FB11" s="174"/>
      <c r="FC11" s="174"/>
      <c r="FD11" s="174"/>
      <c r="FE11" s="174"/>
      <c r="FF11" s="174"/>
      <c r="FG11" s="174"/>
      <c r="FH11" s="174"/>
      <c r="FI11" s="174"/>
      <c r="FJ11" s="174"/>
      <c r="FK11" s="174"/>
      <c r="FL11" s="174"/>
      <c r="FM11" s="174"/>
      <c r="FN11" s="174"/>
      <c r="FO11" s="174"/>
      <c r="FP11" s="174"/>
      <c r="FQ11" s="174"/>
      <c r="FR11" s="174"/>
      <c r="FS11" s="174"/>
      <c r="FT11" s="174"/>
      <c r="FU11" s="174"/>
      <c r="FV11" s="174"/>
      <c r="FW11" s="174"/>
      <c r="FX11" s="174"/>
      <c r="FY11" s="174"/>
      <c r="FZ11" s="174"/>
      <c r="GA11" s="174"/>
      <c r="GB11" s="174"/>
      <c r="GC11" s="174"/>
      <c r="GD11" s="174"/>
      <c r="GE11" s="174"/>
      <c r="GF11" s="174"/>
      <c r="GG11" s="174"/>
      <c r="GH11" s="174"/>
      <c r="GI11" s="174"/>
      <c r="GJ11" s="174"/>
      <c r="GK11" s="174"/>
      <c r="GL11" s="174"/>
      <c r="GM11" s="174"/>
      <c r="GN11" s="174"/>
      <c r="GO11" s="174"/>
      <c r="GP11" s="174"/>
      <c r="GQ11" s="174"/>
      <c r="GR11" s="174"/>
      <c r="GS11" s="174"/>
      <c r="GT11" s="174"/>
      <c r="GU11" s="174"/>
      <c r="GV11" s="174"/>
      <c r="GW11" s="174"/>
      <c r="GX11" s="174"/>
      <c r="GY11" s="174"/>
      <c r="GZ11" s="174"/>
      <c r="HA11" s="174"/>
      <c r="HB11" s="174"/>
      <c r="HC11" s="174"/>
      <c r="HD11" s="174"/>
      <c r="HE11" s="174"/>
      <c r="HF11" s="174"/>
      <c r="HG11" s="174"/>
      <c r="HH11" s="174"/>
      <c r="HI11" s="174"/>
      <c r="HJ11" s="174"/>
      <c r="HK11" s="174"/>
      <c r="HL11" s="174"/>
      <c r="HM11" s="174"/>
      <c r="HN11" s="174"/>
      <c r="HO11" s="174"/>
      <c r="HP11" s="174"/>
      <c r="HQ11" s="174"/>
      <c r="HR11" s="174"/>
      <c r="HS11" s="174"/>
      <c r="HT11" s="174"/>
      <c r="HU11" s="174"/>
      <c r="HV11" s="174"/>
      <c r="HW11" s="174"/>
      <c r="HX11" s="174"/>
      <c r="HY11" s="174"/>
      <c r="HZ11" s="174"/>
      <c r="IA11" s="174"/>
      <c r="IB11" s="174"/>
      <c r="IC11" s="174"/>
      <c r="ID11" s="174"/>
      <c r="IE11" s="174"/>
      <c r="IF11" s="174"/>
      <c r="IG11" s="174"/>
      <c r="IH11" s="174"/>
      <c r="II11" s="174"/>
      <c r="IJ11" s="174"/>
      <c r="IK11" s="174"/>
      <c r="IL11" s="174"/>
      <c r="IM11" s="174"/>
      <c r="IN11" s="174"/>
      <c r="IO11" s="174"/>
      <c r="IP11" s="174"/>
      <c r="IQ11" s="174"/>
      <c r="IR11" s="174"/>
      <c r="IS11" s="174"/>
      <c r="IT11" s="174"/>
      <c r="IU11" s="75"/>
      <c r="IV11" s="75"/>
      <c r="IW11" s="75"/>
      <c r="IX11" s="75"/>
      <c r="IY11" s="75"/>
      <c r="IZ11" s="75"/>
      <c r="JA11" s="75"/>
      <c r="JB11" s="75"/>
      <c r="JC11" s="75"/>
      <c r="JD11" s="75"/>
      <c r="JF11" s="710" t="s">
        <v>815</v>
      </c>
      <c r="JG11" s="710" t="s">
        <v>897</v>
      </c>
      <c r="JH11" s="178">
        <f t="shared" si="1"/>
        <v>34904.386125000005</v>
      </c>
      <c r="JI11" s="174">
        <f t="shared" si="2"/>
        <v>0</v>
      </c>
    </row>
    <row r="12" spans="2:269" ht="15" customHeight="1" x14ac:dyDescent="0.25">
      <c r="B12" s="113">
        <v>9</v>
      </c>
      <c r="C12" s="353" t="str">
        <f t="shared" si="0"/>
        <v>Relé 21+87L</v>
      </c>
      <c r="D12" s="353" t="str">
        <f t="shared" si="3"/>
        <v>relé de distância e diferencial de linha (4TC/4TP/40BI/30BO)</v>
      </c>
      <c r="E12" s="174"/>
      <c r="F12" s="174"/>
      <c r="G12" s="174"/>
      <c r="H12" s="174"/>
      <c r="I12" s="174"/>
      <c r="J12" s="174"/>
      <c r="K12" s="174"/>
      <c r="L12" s="174"/>
      <c r="M12" s="174"/>
      <c r="N12" s="174"/>
      <c r="O12" s="174"/>
      <c r="P12" s="174"/>
      <c r="Q12" s="174"/>
      <c r="R12" s="174"/>
      <c r="S12" s="174"/>
      <c r="T12" s="174"/>
      <c r="U12" s="174"/>
      <c r="V12" s="174"/>
      <c r="W12" s="174"/>
      <c r="X12" s="174"/>
      <c r="Y12" s="174"/>
      <c r="Z12" s="174"/>
      <c r="AA12" s="174"/>
      <c r="AB12" s="174"/>
      <c r="AC12" s="174"/>
      <c r="AD12" s="174"/>
      <c r="AE12" s="174"/>
      <c r="AF12" s="174"/>
      <c r="AG12" s="174"/>
      <c r="AH12" s="174"/>
      <c r="AI12" s="174"/>
      <c r="AJ12" s="174"/>
      <c r="AK12" s="174"/>
      <c r="AL12" s="174"/>
      <c r="AM12" s="174"/>
      <c r="AN12" s="174"/>
      <c r="AO12" s="174"/>
      <c r="AP12" s="174"/>
      <c r="AQ12" s="174"/>
      <c r="AR12" s="174"/>
      <c r="AS12" s="174"/>
      <c r="AT12" s="174"/>
      <c r="AU12" s="174"/>
      <c r="AV12" s="174"/>
      <c r="AW12" s="174"/>
      <c r="AX12" s="174"/>
      <c r="AY12" s="174"/>
      <c r="AZ12" s="174"/>
      <c r="BA12" s="174"/>
      <c r="BB12" s="174"/>
      <c r="BC12" s="174"/>
      <c r="BD12" s="174"/>
      <c r="BE12" s="174"/>
      <c r="BF12" s="174"/>
      <c r="BG12" s="174"/>
      <c r="BH12" s="174"/>
      <c r="BI12" s="174"/>
      <c r="BJ12" s="174"/>
      <c r="BK12" s="174"/>
      <c r="BL12" s="174"/>
      <c r="BM12" s="174"/>
      <c r="BN12" s="174"/>
      <c r="BO12" s="174"/>
      <c r="BP12" s="174"/>
      <c r="BQ12" s="174"/>
      <c r="BR12" s="174"/>
      <c r="BS12" s="174"/>
      <c r="BT12" s="174"/>
      <c r="BU12" s="174"/>
      <c r="BV12" s="174"/>
      <c r="BW12" s="174"/>
      <c r="BX12" s="174"/>
      <c r="BY12" s="174"/>
      <c r="BZ12" s="174"/>
      <c r="CA12" s="174"/>
      <c r="CB12" s="174"/>
      <c r="CC12" s="174"/>
      <c r="CD12" s="174"/>
      <c r="CE12" s="174"/>
      <c r="CF12" s="174"/>
      <c r="CG12" s="174"/>
      <c r="CH12" s="174"/>
      <c r="CI12" s="174"/>
      <c r="CJ12" s="174"/>
      <c r="CK12" s="174"/>
      <c r="CL12" s="174"/>
      <c r="CM12" s="174"/>
      <c r="CN12" s="174"/>
      <c r="CO12" s="174"/>
      <c r="CP12" s="174"/>
      <c r="CQ12" s="174"/>
      <c r="CR12" s="174"/>
      <c r="CS12" s="174"/>
      <c r="CT12" s="174"/>
      <c r="CU12" s="174"/>
      <c r="CV12" s="174"/>
      <c r="CW12" s="174"/>
      <c r="CX12" s="174"/>
      <c r="CY12" s="174"/>
      <c r="CZ12" s="174"/>
      <c r="DA12" s="174"/>
      <c r="DB12" s="174"/>
      <c r="DC12" s="174"/>
      <c r="DD12" s="174"/>
      <c r="DE12" s="174"/>
      <c r="DF12" s="174"/>
      <c r="DG12" s="174"/>
      <c r="DH12" s="174"/>
      <c r="DI12" s="174"/>
      <c r="DJ12" s="174"/>
      <c r="DK12" s="174"/>
      <c r="DL12" s="174"/>
      <c r="DM12" s="174"/>
      <c r="DN12" s="174"/>
      <c r="DO12" s="174"/>
      <c r="DP12" s="174"/>
      <c r="DQ12" s="174"/>
      <c r="DR12" s="174"/>
      <c r="DS12" s="174"/>
      <c r="DT12" s="174"/>
      <c r="DU12" s="174"/>
      <c r="DV12" s="174"/>
      <c r="DW12" s="174"/>
      <c r="DX12" s="174"/>
      <c r="DY12" s="174"/>
      <c r="DZ12" s="174"/>
      <c r="EA12" s="174"/>
      <c r="EB12" s="174"/>
      <c r="EC12" s="174"/>
      <c r="ED12" s="174"/>
      <c r="EE12" s="174"/>
      <c r="EF12" s="174"/>
      <c r="EG12" s="174"/>
      <c r="EH12" s="174"/>
      <c r="EI12" s="174"/>
      <c r="EJ12" s="174"/>
      <c r="EK12" s="174"/>
      <c r="EL12" s="174"/>
      <c r="EM12" s="174"/>
      <c r="EN12" s="174"/>
      <c r="EO12" s="174"/>
      <c r="EP12" s="174"/>
      <c r="EQ12" s="174"/>
      <c r="ER12" s="174"/>
      <c r="ES12" s="174"/>
      <c r="ET12" s="174"/>
      <c r="EU12" s="174"/>
      <c r="EV12" s="174"/>
      <c r="EW12" s="174"/>
      <c r="EX12" s="174"/>
      <c r="EY12" s="174"/>
      <c r="EZ12" s="174"/>
      <c r="FA12" s="174"/>
      <c r="FB12" s="174"/>
      <c r="FC12" s="174"/>
      <c r="FD12" s="174"/>
      <c r="FE12" s="174"/>
      <c r="FF12" s="174"/>
      <c r="FG12" s="174"/>
      <c r="FH12" s="174"/>
      <c r="FI12" s="174"/>
      <c r="FJ12" s="174"/>
      <c r="FK12" s="174"/>
      <c r="FL12" s="174"/>
      <c r="FM12" s="174"/>
      <c r="FN12" s="174"/>
      <c r="FO12" s="174"/>
      <c r="FP12" s="174"/>
      <c r="FQ12" s="174"/>
      <c r="FR12" s="174"/>
      <c r="FS12" s="174"/>
      <c r="FT12" s="174"/>
      <c r="FU12" s="174"/>
      <c r="FV12" s="174"/>
      <c r="FW12" s="174"/>
      <c r="FX12" s="174"/>
      <c r="FY12" s="174"/>
      <c r="FZ12" s="174"/>
      <c r="GA12" s="174"/>
      <c r="GB12" s="174"/>
      <c r="GC12" s="174"/>
      <c r="GD12" s="174"/>
      <c r="GE12" s="174"/>
      <c r="GF12" s="174"/>
      <c r="GG12" s="174"/>
      <c r="GH12" s="174"/>
      <c r="GI12" s="174"/>
      <c r="GJ12" s="174"/>
      <c r="GK12" s="174"/>
      <c r="GL12" s="174"/>
      <c r="GM12" s="174"/>
      <c r="GN12" s="174"/>
      <c r="GO12" s="174"/>
      <c r="GP12" s="174"/>
      <c r="GQ12" s="174"/>
      <c r="GR12" s="174"/>
      <c r="GS12" s="174"/>
      <c r="GT12" s="174"/>
      <c r="GU12" s="174"/>
      <c r="GV12" s="174"/>
      <c r="GW12" s="174"/>
      <c r="GX12" s="174"/>
      <c r="GY12" s="174"/>
      <c r="GZ12" s="174"/>
      <c r="HA12" s="174"/>
      <c r="HB12" s="174"/>
      <c r="HC12" s="174"/>
      <c r="HD12" s="174"/>
      <c r="HE12" s="174"/>
      <c r="HF12" s="174"/>
      <c r="HG12" s="174"/>
      <c r="HH12" s="174"/>
      <c r="HI12" s="174"/>
      <c r="HJ12" s="174"/>
      <c r="HK12" s="174"/>
      <c r="HL12" s="174"/>
      <c r="HM12" s="174"/>
      <c r="HN12" s="174"/>
      <c r="HO12" s="174"/>
      <c r="HP12" s="174"/>
      <c r="HQ12" s="174"/>
      <c r="HR12" s="174"/>
      <c r="HS12" s="174"/>
      <c r="HT12" s="174"/>
      <c r="HU12" s="174"/>
      <c r="HV12" s="174"/>
      <c r="HW12" s="174"/>
      <c r="HX12" s="174"/>
      <c r="HY12" s="174"/>
      <c r="HZ12" s="174"/>
      <c r="IA12" s="174"/>
      <c r="IB12" s="174"/>
      <c r="IC12" s="174"/>
      <c r="ID12" s="174"/>
      <c r="IE12" s="174"/>
      <c r="IF12" s="174"/>
      <c r="IG12" s="174"/>
      <c r="IH12" s="174"/>
      <c r="II12" s="174"/>
      <c r="IJ12" s="174"/>
      <c r="IK12" s="174"/>
      <c r="IL12" s="174"/>
      <c r="IM12" s="174"/>
      <c r="IN12" s="174"/>
      <c r="IO12" s="174"/>
      <c r="IP12" s="174"/>
      <c r="IQ12" s="174"/>
      <c r="IR12" s="174"/>
      <c r="IS12" s="174"/>
      <c r="IT12" s="174"/>
      <c r="IU12" s="75"/>
      <c r="IV12" s="75"/>
      <c r="IW12" s="75"/>
      <c r="IX12" s="75"/>
      <c r="IY12" s="75"/>
      <c r="IZ12" s="75"/>
      <c r="JA12" s="75"/>
      <c r="JB12" s="75"/>
      <c r="JC12" s="75"/>
      <c r="JD12" s="75"/>
      <c r="JF12" s="710" t="s">
        <v>816</v>
      </c>
      <c r="JG12" s="710" t="s">
        <v>898</v>
      </c>
      <c r="JH12" s="178">
        <f t="shared" si="1"/>
        <v>44279.479125000005</v>
      </c>
      <c r="JI12" s="174">
        <f t="shared" si="2"/>
        <v>0</v>
      </c>
    </row>
    <row r="13" spans="2:269" ht="15" customHeight="1" x14ac:dyDescent="0.25">
      <c r="B13" s="113">
        <v>10</v>
      </c>
      <c r="C13" s="353" t="str">
        <f t="shared" si="0"/>
        <v>Relé 87L</v>
      </c>
      <c r="D13" s="353" t="str">
        <f t="shared" si="3"/>
        <v>relé diferencial de linha (4TC/4TP/40BI/30BO)</v>
      </c>
      <c r="E13" s="174"/>
      <c r="F13" s="174"/>
      <c r="G13" s="174"/>
      <c r="H13" s="174"/>
      <c r="I13" s="174"/>
      <c r="J13" s="174"/>
      <c r="K13" s="174"/>
      <c r="L13" s="174"/>
      <c r="M13" s="174"/>
      <c r="N13" s="174"/>
      <c r="O13" s="174"/>
      <c r="P13" s="174"/>
      <c r="Q13" s="174"/>
      <c r="R13" s="174"/>
      <c r="S13" s="174"/>
      <c r="T13" s="174"/>
      <c r="U13" s="174"/>
      <c r="V13" s="174"/>
      <c r="W13" s="174"/>
      <c r="X13" s="174"/>
      <c r="Y13" s="174"/>
      <c r="Z13" s="174"/>
      <c r="AA13" s="174"/>
      <c r="AB13" s="174"/>
      <c r="AC13" s="174"/>
      <c r="AD13" s="174"/>
      <c r="AE13" s="174"/>
      <c r="AF13" s="174"/>
      <c r="AG13" s="174"/>
      <c r="AH13" s="174"/>
      <c r="AI13" s="174"/>
      <c r="AJ13" s="174"/>
      <c r="AK13" s="174"/>
      <c r="AL13" s="174"/>
      <c r="AM13" s="174"/>
      <c r="AN13" s="174"/>
      <c r="AO13" s="174"/>
      <c r="AP13" s="174"/>
      <c r="AQ13" s="174"/>
      <c r="AR13" s="174"/>
      <c r="AS13" s="174"/>
      <c r="AT13" s="174"/>
      <c r="AU13" s="174"/>
      <c r="AV13" s="174"/>
      <c r="AW13" s="174"/>
      <c r="AX13" s="174"/>
      <c r="AY13" s="174"/>
      <c r="AZ13" s="174"/>
      <c r="BA13" s="174"/>
      <c r="BB13" s="174"/>
      <c r="BC13" s="174"/>
      <c r="BD13" s="174"/>
      <c r="BE13" s="174"/>
      <c r="BF13" s="174"/>
      <c r="BG13" s="174"/>
      <c r="BH13" s="174"/>
      <c r="BI13" s="174"/>
      <c r="BJ13" s="174"/>
      <c r="BK13" s="174"/>
      <c r="BL13" s="174"/>
      <c r="BM13" s="174"/>
      <c r="BN13" s="174"/>
      <c r="BO13" s="174"/>
      <c r="BP13" s="174"/>
      <c r="BQ13" s="174"/>
      <c r="BR13" s="174"/>
      <c r="BS13" s="174"/>
      <c r="BT13" s="174"/>
      <c r="BU13" s="174"/>
      <c r="BV13" s="174"/>
      <c r="BW13" s="174"/>
      <c r="BX13" s="174"/>
      <c r="BY13" s="174"/>
      <c r="BZ13" s="174"/>
      <c r="CA13" s="174"/>
      <c r="CB13" s="174"/>
      <c r="CC13" s="174"/>
      <c r="CD13" s="174"/>
      <c r="CE13" s="174"/>
      <c r="CF13" s="174"/>
      <c r="CG13" s="174"/>
      <c r="CH13" s="174"/>
      <c r="CI13" s="174"/>
      <c r="CJ13" s="174"/>
      <c r="CK13" s="174"/>
      <c r="CL13" s="174"/>
      <c r="CM13" s="174"/>
      <c r="CN13" s="174"/>
      <c r="CO13" s="174"/>
      <c r="CP13" s="174"/>
      <c r="CQ13" s="174"/>
      <c r="CR13" s="174"/>
      <c r="CS13" s="174"/>
      <c r="CT13" s="174"/>
      <c r="CU13" s="174"/>
      <c r="CV13" s="174"/>
      <c r="CW13" s="174"/>
      <c r="CX13" s="174"/>
      <c r="CY13" s="174"/>
      <c r="CZ13" s="174"/>
      <c r="DA13" s="174"/>
      <c r="DB13" s="174"/>
      <c r="DC13" s="174"/>
      <c r="DD13" s="174"/>
      <c r="DE13" s="174"/>
      <c r="DF13" s="174"/>
      <c r="DG13" s="174"/>
      <c r="DH13" s="174"/>
      <c r="DI13" s="174"/>
      <c r="DJ13" s="174"/>
      <c r="DK13" s="174"/>
      <c r="DL13" s="174"/>
      <c r="DM13" s="174"/>
      <c r="DN13" s="174"/>
      <c r="DO13" s="174"/>
      <c r="DP13" s="174"/>
      <c r="DQ13" s="174"/>
      <c r="DR13" s="174"/>
      <c r="DS13" s="174"/>
      <c r="DT13" s="174"/>
      <c r="DU13" s="174"/>
      <c r="DV13" s="174"/>
      <c r="DW13" s="174"/>
      <c r="DX13" s="174"/>
      <c r="DY13" s="174"/>
      <c r="DZ13" s="174"/>
      <c r="EA13" s="174"/>
      <c r="EB13" s="174"/>
      <c r="EC13" s="174"/>
      <c r="ED13" s="174"/>
      <c r="EE13" s="174"/>
      <c r="EF13" s="174"/>
      <c r="EG13" s="174"/>
      <c r="EH13" s="174"/>
      <c r="EI13" s="174"/>
      <c r="EJ13" s="174"/>
      <c r="EK13" s="174"/>
      <c r="EL13" s="174"/>
      <c r="EM13" s="174"/>
      <c r="EN13" s="174"/>
      <c r="EO13" s="174"/>
      <c r="EP13" s="174"/>
      <c r="EQ13" s="174"/>
      <c r="ER13" s="174"/>
      <c r="ES13" s="174"/>
      <c r="ET13" s="174"/>
      <c r="EU13" s="174"/>
      <c r="EV13" s="174"/>
      <c r="EW13" s="174"/>
      <c r="EX13" s="174"/>
      <c r="EY13" s="174"/>
      <c r="EZ13" s="174"/>
      <c r="FA13" s="174"/>
      <c r="FB13" s="174"/>
      <c r="FC13" s="174"/>
      <c r="FD13" s="174"/>
      <c r="FE13" s="174"/>
      <c r="FF13" s="174"/>
      <c r="FG13" s="174"/>
      <c r="FH13" s="174"/>
      <c r="FI13" s="174"/>
      <c r="FJ13" s="174"/>
      <c r="FK13" s="174"/>
      <c r="FL13" s="174"/>
      <c r="FM13" s="174"/>
      <c r="FN13" s="174"/>
      <c r="FO13" s="174"/>
      <c r="FP13" s="174"/>
      <c r="FQ13" s="174"/>
      <c r="FR13" s="174"/>
      <c r="FS13" s="174"/>
      <c r="FT13" s="174"/>
      <c r="FU13" s="174"/>
      <c r="FV13" s="174"/>
      <c r="FW13" s="174"/>
      <c r="FX13" s="174"/>
      <c r="FY13" s="174"/>
      <c r="FZ13" s="174"/>
      <c r="GA13" s="174"/>
      <c r="GB13" s="174"/>
      <c r="GC13" s="174"/>
      <c r="GD13" s="174"/>
      <c r="GE13" s="174"/>
      <c r="GF13" s="174"/>
      <c r="GG13" s="174"/>
      <c r="GH13" s="174"/>
      <c r="GI13" s="174"/>
      <c r="GJ13" s="174"/>
      <c r="GK13" s="174"/>
      <c r="GL13" s="174"/>
      <c r="GM13" s="174"/>
      <c r="GN13" s="174"/>
      <c r="GO13" s="174"/>
      <c r="GP13" s="174"/>
      <c r="GQ13" s="174"/>
      <c r="GR13" s="174"/>
      <c r="GS13" s="174"/>
      <c r="GT13" s="174"/>
      <c r="GU13" s="174"/>
      <c r="GV13" s="174"/>
      <c r="GW13" s="174"/>
      <c r="GX13" s="174"/>
      <c r="GY13" s="174"/>
      <c r="GZ13" s="174"/>
      <c r="HA13" s="174"/>
      <c r="HB13" s="174"/>
      <c r="HC13" s="174"/>
      <c r="HD13" s="174"/>
      <c r="HE13" s="174"/>
      <c r="HF13" s="174"/>
      <c r="HG13" s="174"/>
      <c r="HH13" s="174"/>
      <c r="HI13" s="174"/>
      <c r="HJ13" s="174"/>
      <c r="HK13" s="174"/>
      <c r="HL13" s="174"/>
      <c r="HM13" s="174"/>
      <c r="HN13" s="174"/>
      <c r="HO13" s="174"/>
      <c r="HP13" s="174"/>
      <c r="HQ13" s="174"/>
      <c r="HR13" s="174"/>
      <c r="HS13" s="174"/>
      <c r="HT13" s="174"/>
      <c r="HU13" s="174"/>
      <c r="HV13" s="174"/>
      <c r="HW13" s="174"/>
      <c r="HX13" s="174"/>
      <c r="HY13" s="174"/>
      <c r="HZ13" s="174"/>
      <c r="IA13" s="174"/>
      <c r="IB13" s="174"/>
      <c r="IC13" s="174"/>
      <c r="ID13" s="174"/>
      <c r="IE13" s="174"/>
      <c r="IF13" s="174"/>
      <c r="IG13" s="174"/>
      <c r="IH13" s="174"/>
      <c r="II13" s="174"/>
      <c r="IJ13" s="174"/>
      <c r="IK13" s="174"/>
      <c r="IL13" s="174"/>
      <c r="IM13" s="174"/>
      <c r="IN13" s="174"/>
      <c r="IO13" s="174"/>
      <c r="IP13" s="174"/>
      <c r="IQ13" s="174"/>
      <c r="IR13" s="174"/>
      <c r="IS13" s="174"/>
      <c r="IT13" s="174"/>
      <c r="IU13" s="75"/>
      <c r="IV13" s="75"/>
      <c r="IW13" s="75"/>
      <c r="IX13" s="75"/>
      <c r="IY13" s="75"/>
      <c r="IZ13" s="75"/>
      <c r="JA13" s="75"/>
      <c r="JB13" s="75"/>
      <c r="JC13" s="75"/>
      <c r="JD13" s="75"/>
      <c r="JF13" s="710" t="s">
        <v>817</v>
      </c>
      <c r="JG13" s="710" t="s">
        <v>899</v>
      </c>
      <c r="JH13" s="178">
        <f t="shared" si="1"/>
        <v>38322.128250000002</v>
      </c>
      <c r="JI13" s="174">
        <f t="shared" si="2"/>
        <v>0</v>
      </c>
    </row>
    <row r="14" spans="2:269" ht="15" customHeight="1" x14ac:dyDescent="0.25">
      <c r="B14" s="113">
        <v>11</v>
      </c>
      <c r="C14" s="353" t="str">
        <f t="shared" si="0"/>
        <v>Relé 50BF</v>
      </c>
      <c r="D14" s="353" t="str">
        <f t="shared" si="3"/>
        <v>relé falha disjuntor (4TC/4TP/30BI/20BO)</v>
      </c>
      <c r="E14" s="174"/>
      <c r="F14" s="174"/>
      <c r="G14" s="174"/>
      <c r="H14" s="174"/>
      <c r="I14" s="174">
        <v>2</v>
      </c>
      <c r="J14" s="174"/>
      <c r="K14" s="174"/>
      <c r="L14" s="174"/>
      <c r="M14" s="174"/>
      <c r="N14" s="174"/>
      <c r="O14" s="174"/>
      <c r="P14" s="174"/>
      <c r="Q14" s="174"/>
      <c r="R14" s="174"/>
      <c r="S14" s="174"/>
      <c r="T14" s="174"/>
      <c r="U14" s="174"/>
      <c r="V14" s="174"/>
      <c r="W14" s="174"/>
      <c r="X14" s="174"/>
      <c r="Y14" s="174"/>
      <c r="Z14" s="174"/>
      <c r="AA14" s="174"/>
      <c r="AB14" s="174"/>
      <c r="AC14" s="174"/>
      <c r="AD14" s="174"/>
      <c r="AE14" s="174"/>
      <c r="AF14" s="174"/>
      <c r="AG14" s="174"/>
      <c r="AH14" s="174"/>
      <c r="AI14" s="174"/>
      <c r="AJ14" s="174"/>
      <c r="AK14" s="174"/>
      <c r="AL14" s="174"/>
      <c r="AM14" s="174"/>
      <c r="AN14" s="174"/>
      <c r="AO14" s="174"/>
      <c r="AP14" s="174"/>
      <c r="AQ14" s="174"/>
      <c r="AR14" s="174"/>
      <c r="AS14" s="174"/>
      <c r="AT14" s="174"/>
      <c r="AU14" s="174"/>
      <c r="AV14" s="174"/>
      <c r="AW14" s="174"/>
      <c r="AX14" s="174"/>
      <c r="AY14" s="174"/>
      <c r="AZ14" s="174"/>
      <c r="BA14" s="174"/>
      <c r="BB14" s="174"/>
      <c r="BC14" s="174"/>
      <c r="BD14" s="174"/>
      <c r="BE14" s="174"/>
      <c r="BF14" s="174"/>
      <c r="BG14" s="174"/>
      <c r="BH14" s="174"/>
      <c r="BI14" s="174"/>
      <c r="BJ14" s="174"/>
      <c r="BK14" s="174"/>
      <c r="BL14" s="174"/>
      <c r="BM14" s="174"/>
      <c r="BN14" s="174"/>
      <c r="BO14" s="174"/>
      <c r="BP14" s="174"/>
      <c r="BQ14" s="174"/>
      <c r="BR14" s="174"/>
      <c r="BS14" s="174"/>
      <c r="BT14" s="174"/>
      <c r="BU14" s="174"/>
      <c r="BV14" s="174"/>
      <c r="BW14" s="174"/>
      <c r="BX14" s="174"/>
      <c r="BY14" s="174"/>
      <c r="BZ14" s="174"/>
      <c r="CA14" s="174"/>
      <c r="CB14" s="174"/>
      <c r="CC14" s="174"/>
      <c r="CD14" s="174"/>
      <c r="CE14" s="174"/>
      <c r="CF14" s="174"/>
      <c r="CG14" s="174"/>
      <c r="CH14" s="174"/>
      <c r="CI14" s="174"/>
      <c r="CJ14" s="174"/>
      <c r="CK14" s="174"/>
      <c r="CL14" s="174"/>
      <c r="CM14" s="174"/>
      <c r="CN14" s="174"/>
      <c r="CO14" s="174"/>
      <c r="CP14" s="174"/>
      <c r="CQ14" s="174"/>
      <c r="CR14" s="174"/>
      <c r="CS14" s="174"/>
      <c r="CT14" s="174"/>
      <c r="CU14" s="174"/>
      <c r="CV14" s="174"/>
      <c r="CW14" s="174"/>
      <c r="CX14" s="174"/>
      <c r="CY14" s="174"/>
      <c r="CZ14" s="174"/>
      <c r="DA14" s="174"/>
      <c r="DB14" s="174"/>
      <c r="DC14" s="174"/>
      <c r="DD14" s="174"/>
      <c r="DE14" s="174"/>
      <c r="DF14" s="174"/>
      <c r="DG14" s="174"/>
      <c r="DH14" s="174"/>
      <c r="DI14" s="174"/>
      <c r="DJ14" s="174"/>
      <c r="DK14" s="174"/>
      <c r="DL14" s="174"/>
      <c r="DM14" s="174"/>
      <c r="DN14" s="174"/>
      <c r="DO14" s="174"/>
      <c r="DP14" s="174"/>
      <c r="DQ14" s="174"/>
      <c r="DR14" s="174"/>
      <c r="DS14" s="174"/>
      <c r="DT14" s="174"/>
      <c r="DU14" s="174"/>
      <c r="DV14" s="174"/>
      <c r="DW14" s="174"/>
      <c r="DX14" s="174"/>
      <c r="DY14" s="174"/>
      <c r="DZ14" s="174"/>
      <c r="EA14" s="174"/>
      <c r="EB14" s="174"/>
      <c r="EC14" s="174"/>
      <c r="ED14" s="174"/>
      <c r="EE14" s="174"/>
      <c r="EF14" s="174"/>
      <c r="EG14" s="174"/>
      <c r="EH14" s="174"/>
      <c r="EI14" s="174"/>
      <c r="EJ14" s="174"/>
      <c r="EK14" s="174"/>
      <c r="EL14" s="174"/>
      <c r="EM14" s="174"/>
      <c r="EN14" s="174"/>
      <c r="EO14" s="174"/>
      <c r="EP14" s="174"/>
      <c r="EQ14" s="174"/>
      <c r="ER14" s="174"/>
      <c r="ES14" s="174"/>
      <c r="ET14" s="174"/>
      <c r="EU14" s="174"/>
      <c r="EV14" s="174"/>
      <c r="EW14" s="174"/>
      <c r="EX14" s="174"/>
      <c r="EY14" s="174"/>
      <c r="EZ14" s="174"/>
      <c r="FA14" s="174"/>
      <c r="FB14" s="174"/>
      <c r="FC14" s="174"/>
      <c r="FD14" s="174"/>
      <c r="FE14" s="174"/>
      <c r="FF14" s="174"/>
      <c r="FG14" s="174"/>
      <c r="FH14" s="174"/>
      <c r="FI14" s="174"/>
      <c r="FJ14" s="174"/>
      <c r="FK14" s="174"/>
      <c r="FL14" s="174"/>
      <c r="FM14" s="174"/>
      <c r="FN14" s="174"/>
      <c r="FO14" s="174"/>
      <c r="FP14" s="174"/>
      <c r="FQ14" s="174"/>
      <c r="FR14" s="174"/>
      <c r="FS14" s="174"/>
      <c r="FT14" s="174"/>
      <c r="FU14" s="174"/>
      <c r="FV14" s="174"/>
      <c r="FW14" s="174"/>
      <c r="FX14" s="174"/>
      <c r="FY14" s="174"/>
      <c r="FZ14" s="174"/>
      <c r="GA14" s="174"/>
      <c r="GB14" s="174"/>
      <c r="GC14" s="174"/>
      <c r="GD14" s="174"/>
      <c r="GE14" s="174"/>
      <c r="GF14" s="174"/>
      <c r="GG14" s="174"/>
      <c r="GH14" s="174"/>
      <c r="GI14" s="174"/>
      <c r="GJ14" s="174"/>
      <c r="GK14" s="174"/>
      <c r="GL14" s="174"/>
      <c r="GM14" s="174"/>
      <c r="GN14" s="174"/>
      <c r="GO14" s="174"/>
      <c r="GP14" s="174"/>
      <c r="GQ14" s="174"/>
      <c r="GR14" s="174"/>
      <c r="GS14" s="174"/>
      <c r="GT14" s="174"/>
      <c r="GU14" s="174"/>
      <c r="GV14" s="174"/>
      <c r="GW14" s="174"/>
      <c r="GX14" s="174"/>
      <c r="GY14" s="174"/>
      <c r="GZ14" s="174"/>
      <c r="HA14" s="174"/>
      <c r="HB14" s="174"/>
      <c r="HC14" s="174"/>
      <c r="HD14" s="174"/>
      <c r="HE14" s="174"/>
      <c r="HF14" s="174"/>
      <c r="HG14" s="174"/>
      <c r="HH14" s="174"/>
      <c r="HI14" s="174"/>
      <c r="HJ14" s="174"/>
      <c r="HK14" s="174"/>
      <c r="HL14" s="174"/>
      <c r="HM14" s="174"/>
      <c r="HN14" s="174"/>
      <c r="HO14" s="174"/>
      <c r="HP14" s="174"/>
      <c r="HQ14" s="174"/>
      <c r="HR14" s="174"/>
      <c r="HS14" s="174"/>
      <c r="HT14" s="174"/>
      <c r="HU14" s="174"/>
      <c r="HV14" s="174"/>
      <c r="HW14" s="174"/>
      <c r="HX14" s="174"/>
      <c r="HY14" s="174"/>
      <c r="HZ14" s="174"/>
      <c r="IA14" s="174"/>
      <c r="IB14" s="174"/>
      <c r="IC14" s="174"/>
      <c r="ID14" s="174"/>
      <c r="IE14" s="174"/>
      <c r="IF14" s="174"/>
      <c r="IG14" s="174"/>
      <c r="IH14" s="174"/>
      <c r="II14" s="174"/>
      <c r="IJ14" s="174"/>
      <c r="IK14" s="174"/>
      <c r="IL14" s="174"/>
      <c r="IM14" s="174"/>
      <c r="IN14" s="174"/>
      <c r="IO14" s="174"/>
      <c r="IP14" s="174"/>
      <c r="IQ14" s="174"/>
      <c r="IR14" s="174"/>
      <c r="IS14" s="174"/>
      <c r="IT14" s="174"/>
      <c r="IU14" s="75">
        <v>1</v>
      </c>
      <c r="IV14" s="75">
        <v>1</v>
      </c>
      <c r="IW14" s="75">
        <v>1</v>
      </c>
      <c r="IX14" s="75">
        <v>1</v>
      </c>
      <c r="IY14" s="75">
        <v>1</v>
      </c>
      <c r="IZ14" s="75">
        <v>1</v>
      </c>
      <c r="JA14" s="75">
        <v>1</v>
      </c>
      <c r="JB14" s="75">
        <v>1</v>
      </c>
      <c r="JC14" s="75">
        <v>1</v>
      </c>
      <c r="JD14" s="75"/>
      <c r="JF14" s="710" t="s">
        <v>819</v>
      </c>
      <c r="JG14" s="710" t="s">
        <v>900</v>
      </c>
      <c r="JH14" s="178">
        <f t="shared" si="1"/>
        <v>21167.055</v>
      </c>
      <c r="JI14" s="174">
        <f t="shared" si="2"/>
        <v>0</v>
      </c>
    </row>
    <row r="15" spans="2:269" ht="15" customHeight="1" x14ac:dyDescent="0.25">
      <c r="B15" s="113">
        <v>12</v>
      </c>
      <c r="C15" s="353" t="str">
        <f t="shared" si="0"/>
        <v>Relé 50/51</v>
      </c>
      <c r="D15" s="353" t="str">
        <f t="shared" si="3"/>
        <v>relé de sobrecorrente (4TC/4TP/20BI/10BO)</v>
      </c>
      <c r="E15" s="174"/>
      <c r="F15" s="174"/>
      <c r="G15" s="174"/>
      <c r="H15" s="174"/>
      <c r="I15" s="174"/>
      <c r="J15" s="174"/>
      <c r="K15" s="174"/>
      <c r="L15" s="174"/>
      <c r="M15" s="174"/>
      <c r="N15" s="174"/>
      <c r="O15" s="174"/>
      <c r="P15" s="174"/>
      <c r="Q15" s="174"/>
      <c r="R15" s="174"/>
      <c r="S15" s="174"/>
      <c r="T15" s="174"/>
      <c r="U15" s="174"/>
      <c r="V15" s="174"/>
      <c r="W15" s="174"/>
      <c r="X15" s="174"/>
      <c r="Y15" s="174"/>
      <c r="Z15" s="174"/>
      <c r="AA15" s="174"/>
      <c r="AB15" s="174"/>
      <c r="AC15" s="174"/>
      <c r="AD15" s="174"/>
      <c r="AE15" s="174"/>
      <c r="AF15" s="174"/>
      <c r="AG15" s="174">
        <v>1</v>
      </c>
      <c r="AH15" s="174">
        <v>1</v>
      </c>
      <c r="AI15" s="174"/>
      <c r="AJ15" s="174"/>
      <c r="AK15" s="174"/>
      <c r="AL15" s="174"/>
      <c r="AM15" s="174"/>
      <c r="AN15" s="174"/>
      <c r="AO15" s="174"/>
      <c r="AP15" s="174"/>
      <c r="AQ15" s="174">
        <v>1</v>
      </c>
      <c r="AR15" s="174"/>
      <c r="AS15" s="174"/>
      <c r="AT15" s="174"/>
      <c r="AU15" s="174"/>
      <c r="AV15" s="174"/>
      <c r="AW15" s="174"/>
      <c r="AX15" s="174"/>
      <c r="AY15" s="174"/>
      <c r="AZ15" s="174"/>
      <c r="BA15" s="174"/>
      <c r="BB15" s="174"/>
      <c r="BC15" s="174"/>
      <c r="BD15" s="174">
        <v>1</v>
      </c>
      <c r="BE15" s="174"/>
      <c r="BF15" s="174"/>
      <c r="BG15" s="174"/>
      <c r="BH15" s="174"/>
      <c r="BI15" s="174"/>
      <c r="BJ15" s="174"/>
      <c r="BK15" s="174"/>
      <c r="BL15" s="174"/>
      <c r="BM15" s="174"/>
      <c r="BN15" s="174"/>
      <c r="BO15" s="174"/>
      <c r="BP15" s="174"/>
      <c r="BQ15" s="174"/>
      <c r="BR15" s="174"/>
      <c r="BS15" s="174"/>
      <c r="BT15" s="174"/>
      <c r="BU15" s="174"/>
      <c r="BV15" s="174"/>
      <c r="BW15" s="174"/>
      <c r="BX15" s="174"/>
      <c r="BY15" s="174"/>
      <c r="BZ15" s="174"/>
      <c r="CA15" s="174"/>
      <c r="CB15" s="174"/>
      <c r="CC15" s="174"/>
      <c r="CD15" s="174"/>
      <c r="CE15" s="174"/>
      <c r="CF15" s="174"/>
      <c r="CG15" s="174"/>
      <c r="CH15" s="174"/>
      <c r="CI15" s="174"/>
      <c r="CJ15" s="174"/>
      <c r="CK15" s="174"/>
      <c r="CL15" s="174"/>
      <c r="CM15" s="174"/>
      <c r="CN15" s="174"/>
      <c r="CO15" s="174"/>
      <c r="CP15" s="174"/>
      <c r="CQ15" s="174"/>
      <c r="CR15" s="174"/>
      <c r="CS15" s="174"/>
      <c r="CT15" s="174"/>
      <c r="CU15" s="174"/>
      <c r="CV15" s="174"/>
      <c r="CW15" s="174"/>
      <c r="CX15" s="174"/>
      <c r="CY15" s="174"/>
      <c r="CZ15" s="174"/>
      <c r="DA15" s="174"/>
      <c r="DB15" s="174"/>
      <c r="DC15" s="174"/>
      <c r="DD15" s="174"/>
      <c r="DE15" s="174"/>
      <c r="DF15" s="174"/>
      <c r="DG15" s="174"/>
      <c r="DH15" s="174"/>
      <c r="DI15" s="174"/>
      <c r="DJ15" s="174"/>
      <c r="DK15" s="174"/>
      <c r="DL15" s="174"/>
      <c r="DM15" s="174"/>
      <c r="DN15" s="174"/>
      <c r="DO15" s="174"/>
      <c r="DP15" s="174"/>
      <c r="DQ15" s="174"/>
      <c r="DR15" s="174"/>
      <c r="DS15" s="174"/>
      <c r="DT15" s="174"/>
      <c r="DU15" s="174"/>
      <c r="DV15" s="174"/>
      <c r="DW15" s="174"/>
      <c r="DX15" s="174"/>
      <c r="DY15" s="174"/>
      <c r="DZ15" s="174"/>
      <c r="EA15" s="174"/>
      <c r="EB15" s="174"/>
      <c r="EC15" s="174"/>
      <c r="ED15" s="174"/>
      <c r="EE15" s="174"/>
      <c r="EF15" s="174"/>
      <c r="EG15" s="174"/>
      <c r="EH15" s="174"/>
      <c r="EI15" s="174"/>
      <c r="EJ15" s="174"/>
      <c r="EK15" s="174"/>
      <c r="EL15" s="174"/>
      <c r="EM15" s="174"/>
      <c r="EN15" s="174"/>
      <c r="EO15" s="174"/>
      <c r="EP15" s="174"/>
      <c r="EQ15" s="174"/>
      <c r="ER15" s="174"/>
      <c r="ES15" s="174"/>
      <c r="ET15" s="174"/>
      <c r="EU15" s="174"/>
      <c r="EV15" s="174"/>
      <c r="EW15" s="174"/>
      <c r="EX15" s="174"/>
      <c r="EY15" s="174"/>
      <c r="EZ15" s="174"/>
      <c r="FA15" s="174"/>
      <c r="FB15" s="174"/>
      <c r="FC15" s="174"/>
      <c r="FD15" s="174"/>
      <c r="FE15" s="174"/>
      <c r="FF15" s="174"/>
      <c r="FG15" s="174"/>
      <c r="FH15" s="174"/>
      <c r="FI15" s="174"/>
      <c r="FJ15" s="174"/>
      <c r="FK15" s="174"/>
      <c r="FL15" s="174"/>
      <c r="FM15" s="174"/>
      <c r="FN15" s="174"/>
      <c r="FO15" s="174"/>
      <c r="FP15" s="174"/>
      <c r="FQ15" s="174"/>
      <c r="FR15" s="174"/>
      <c r="FS15" s="174"/>
      <c r="FT15" s="174"/>
      <c r="FU15" s="174"/>
      <c r="FV15" s="174"/>
      <c r="FW15" s="174"/>
      <c r="FX15" s="174"/>
      <c r="FY15" s="174"/>
      <c r="FZ15" s="174"/>
      <c r="GA15" s="174"/>
      <c r="GB15" s="174"/>
      <c r="GC15" s="174"/>
      <c r="GD15" s="174"/>
      <c r="GE15" s="174"/>
      <c r="GF15" s="174"/>
      <c r="GG15" s="174"/>
      <c r="GH15" s="174"/>
      <c r="GI15" s="174"/>
      <c r="GJ15" s="174"/>
      <c r="GK15" s="174"/>
      <c r="GL15" s="174"/>
      <c r="GM15" s="174"/>
      <c r="GN15" s="174"/>
      <c r="GO15" s="174"/>
      <c r="GP15" s="174"/>
      <c r="GQ15" s="174"/>
      <c r="GR15" s="174"/>
      <c r="GS15" s="174"/>
      <c r="GT15" s="174"/>
      <c r="GU15" s="174"/>
      <c r="GV15" s="174"/>
      <c r="GW15" s="174"/>
      <c r="GX15" s="174"/>
      <c r="GY15" s="174"/>
      <c r="GZ15" s="174"/>
      <c r="HA15" s="174"/>
      <c r="HB15" s="174"/>
      <c r="HC15" s="174"/>
      <c r="HD15" s="174"/>
      <c r="HE15" s="174"/>
      <c r="HF15" s="174"/>
      <c r="HG15" s="174"/>
      <c r="HH15" s="174"/>
      <c r="HI15" s="174"/>
      <c r="HJ15" s="174"/>
      <c r="HK15" s="174"/>
      <c r="HL15" s="174"/>
      <c r="HM15" s="174"/>
      <c r="HN15" s="174"/>
      <c r="HO15" s="174"/>
      <c r="HP15" s="174"/>
      <c r="HQ15" s="174"/>
      <c r="HR15" s="174"/>
      <c r="HS15" s="174"/>
      <c r="HT15" s="174"/>
      <c r="HU15" s="174"/>
      <c r="HV15" s="174"/>
      <c r="HW15" s="174"/>
      <c r="HX15" s="174"/>
      <c r="HY15" s="174"/>
      <c r="HZ15" s="174"/>
      <c r="IA15" s="174"/>
      <c r="IB15" s="174"/>
      <c r="IC15" s="174"/>
      <c r="ID15" s="174"/>
      <c r="IE15" s="174"/>
      <c r="IF15" s="174"/>
      <c r="IG15" s="174"/>
      <c r="IH15" s="174"/>
      <c r="II15" s="174"/>
      <c r="IJ15" s="174"/>
      <c r="IK15" s="174"/>
      <c r="IL15" s="174"/>
      <c r="IM15" s="174"/>
      <c r="IN15" s="174"/>
      <c r="IO15" s="174"/>
      <c r="IP15" s="174"/>
      <c r="IQ15" s="174"/>
      <c r="IR15" s="174"/>
      <c r="IS15" s="174"/>
      <c r="IT15" s="174"/>
      <c r="IU15" s="75"/>
      <c r="IV15" s="75"/>
      <c r="IW15" s="75"/>
      <c r="IX15" s="75"/>
      <c r="IY15" s="75"/>
      <c r="IZ15" s="75"/>
      <c r="JA15" s="75"/>
      <c r="JB15" s="75"/>
      <c r="JC15" s="75"/>
      <c r="JD15" s="75"/>
      <c r="JF15" s="710" t="s">
        <v>818</v>
      </c>
      <c r="JG15" s="710" t="s">
        <v>901</v>
      </c>
      <c r="JH15" s="178">
        <f t="shared" si="1"/>
        <v>15310.598625000001</v>
      </c>
      <c r="JI15" s="174">
        <f t="shared" si="2"/>
        <v>0</v>
      </c>
    </row>
    <row r="16" spans="2:269" ht="15" customHeight="1" x14ac:dyDescent="0.25">
      <c r="B16" s="113">
        <v>13</v>
      </c>
      <c r="C16" s="353" t="str">
        <f t="shared" si="0"/>
        <v>Relé 87R</v>
      </c>
      <c r="D16" s="353" t="str">
        <f t="shared" si="3"/>
        <v>relé diferencial de reator (4TC/4TP/10BI/15BO)</v>
      </c>
      <c r="E16" s="174"/>
      <c r="F16" s="174">
        <v>2</v>
      </c>
      <c r="G16" s="174"/>
      <c r="H16" s="174">
        <v>2</v>
      </c>
      <c r="I16" s="174"/>
      <c r="J16" s="174"/>
      <c r="K16" s="174"/>
      <c r="L16" s="174"/>
      <c r="M16" s="174"/>
      <c r="N16" s="174">
        <v>2</v>
      </c>
      <c r="O16" s="174"/>
      <c r="P16" s="174">
        <v>2</v>
      </c>
      <c r="Q16" s="174"/>
      <c r="R16" s="174"/>
      <c r="S16" s="174">
        <v>2</v>
      </c>
      <c r="T16" s="174"/>
      <c r="U16" s="174"/>
      <c r="V16" s="174"/>
      <c r="W16" s="174"/>
      <c r="X16" s="174"/>
      <c r="Y16" s="174"/>
      <c r="Z16" s="174"/>
      <c r="AA16" s="174"/>
      <c r="AB16" s="174"/>
      <c r="AC16" s="174"/>
      <c r="AD16" s="174"/>
      <c r="AE16" s="174"/>
      <c r="AF16" s="174"/>
      <c r="AG16" s="174"/>
      <c r="AH16" s="174"/>
      <c r="AI16" s="174"/>
      <c r="AJ16" s="174"/>
      <c r="AK16" s="174"/>
      <c r="AL16" s="174"/>
      <c r="AM16" s="174"/>
      <c r="AN16" s="174"/>
      <c r="AO16" s="174"/>
      <c r="AP16" s="174"/>
      <c r="AQ16" s="174"/>
      <c r="AR16" s="174"/>
      <c r="AS16" s="174"/>
      <c r="AT16" s="174"/>
      <c r="AU16" s="174"/>
      <c r="AV16" s="174"/>
      <c r="AW16" s="174"/>
      <c r="AX16" s="174"/>
      <c r="AY16" s="174"/>
      <c r="AZ16" s="174"/>
      <c r="BA16" s="174"/>
      <c r="BB16" s="174"/>
      <c r="BC16" s="174"/>
      <c r="BD16" s="174"/>
      <c r="BE16" s="174"/>
      <c r="BF16" s="174"/>
      <c r="BG16" s="174"/>
      <c r="BH16" s="174"/>
      <c r="BI16" s="174"/>
      <c r="BJ16" s="174"/>
      <c r="BK16" s="174"/>
      <c r="BL16" s="174"/>
      <c r="BM16" s="174"/>
      <c r="BN16" s="174"/>
      <c r="BO16" s="174"/>
      <c r="BP16" s="174"/>
      <c r="BQ16" s="174"/>
      <c r="BR16" s="174"/>
      <c r="BS16" s="174"/>
      <c r="BT16" s="174"/>
      <c r="BU16" s="174"/>
      <c r="BV16" s="174"/>
      <c r="BW16" s="174"/>
      <c r="BX16" s="174"/>
      <c r="BY16" s="174"/>
      <c r="BZ16" s="174"/>
      <c r="CA16" s="174"/>
      <c r="CB16" s="174"/>
      <c r="CC16" s="174"/>
      <c r="CD16" s="174"/>
      <c r="CE16" s="174"/>
      <c r="CF16" s="174"/>
      <c r="CG16" s="174"/>
      <c r="CH16" s="174"/>
      <c r="CI16" s="174"/>
      <c r="CJ16" s="174"/>
      <c r="CK16" s="174"/>
      <c r="CL16" s="174"/>
      <c r="CM16" s="174"/>
      <c r="CN16" s="174"/>
      <c r="CO16" s="174"/>
      <c r="CP16" s="174"/>
      <c r="CQ16" s="174"/>
      <c r="CR16" s="174"/>
      <c r="CS16" s="174"/>
      <c r="CT16" s="174"/>
      <c r="CU16" s="174"/>
      <c r="CV16" s="174"/>
      <c r="CW16" s="174"/>
      <c r="CX16" s="174"/>
      <c r="CY16" s="174"/>
      <c r="CZ16" s="174"/>
      <c r="DA16" s="174"/>
      <c r="DB16" s="174"/>
      <c r="DC16" s="174"/>
      <c r="DD16" s="174"/>
      <c r="DE16" s="174"/>
      <c r="DF16" s="174"/>
      <c r="DG16" s="174"/>
      <c r="DH16" s="174"/>
      <c r="DI16" s="174"/>
      <c r="DJ16" s="174"/>
      <c r="DK16" s="174"/>
      <c r="DL16" s="174"/>
      <c r="DM16" s="174"/>
      <c r="DN16" s="174"/>
      <c r="DO16" s="174"/>
      <c r="DP16" s="174"/>
      <c r="DQ16" s="174"/>
      <c r="DR16" s="174"/>
      <c r="DS16" s="174"/>
      <c r="DT16" s="174"/>
      <c r="DU16" s="174"/>
      <c r="DV16" s="174"/>
      <c r="DW16" s="174"/>
      <c r="DX16" s="174"/>
      <c r="DY16" s="174"/>
      <c r="DZ16" s="174"/>
      <c r="EA16" s="174"/>
      <c r="EB16" s="174"/>
      <c r="EC16" s="174"/>
      <c r="ED16" s="174"/>
      <c r="EE16" s="174"/>
      <c r="EF16" s="174"/>
      <c r="EG16" s="174"/>
      <c r="EH16" s="174"/>
      <c r="EI16" s="174"/>
      <c r="EJ16" s="174"/>
      <c r="EK16" s="174"/>
      <c r="EL16" s="174"/>
      <c r="EM16" s="174"/>
      <c r="EN16" s="174"/>
      <c r="EO16" s="174"/>
      <c r="EP16" s="174"/>
      <c r="EQ16" s="174"/>
      <c r="ER16" s="174"/>
      <c r="ES16" s="174"/>
      <c r="ET16" s="174"/>
      <c r="EU16" s="174"/>
      <c r="EV16" s="174"/>
      <c r="EW16" s="174"/>
      <c r="EX16" s="174"/>
      <c r="EY16" s="174"/>
      <c r="EZ16" s="174"/>
      <c r="FA16" s="174"/>
      <c r="FB16" s="174"/>
      <c r="FC16" s="174"/>
      <c r="FD16" s="174"/>
      <c r="FE16" s="174"/>
      <c r="FF16" s="174"/>
      <c r="FG16" s="174"/>
      <c r="FH16" s="174"/>
      <c r="FI16" s="174"/>
      <c r="FJ16" s="174"/>
      <c r="FK16" s="174"/>
      <c r="FL16" s="174"/>
      <c r="FM16" s="174"/>
      <c r="FN16" s="174"/>
      <c r="FO16" s="174"/>
      <c r="FP16" s="174"/>
      <c r="FQ16" s="174"/>
      <c r="FR16" s="174"/>
      <c r="FS16" s="174"/>
      <c r="FT16" s="174"/>
      <c r="FU16" s="174"/>
      <c r="FV16" s="174"/>
      <c r="FW16" s="174"/>
      <c r="FX16" s="174"/>
      <c r="FY16" s="174"/>
      <c r="FZ16" s="174"/>
      <c r="GA16" s="174"/>
      <c r="GB16" s="174"/>
      <c r="GC16" s="174"/>
      <c r="GD16" s="174"/>
      <c r="GE16" s="174"/>
      <c r="GF16" s="174"/>
      <c r="GG16" s="174"/>
      <c r="GH16" s="174"/>
      <c r="GI16" s="174"/>
      <c r="GJ16" s="174"/>
      <c r="GK16" s="174"/>
      <c r="GL16" s="174"/>
      <c r="GM16" s="174"/>
      <c r="GN16" s="174"/>
      <c r="GO16" s="174"/>
      <c r="GP16" s="174"/>
      <c r="GQ16" s="174"/>
      <c r="GR16" s="174"/>
      <c r="GS16" s="174"/>
      <c r="GT16" s="174"/>
      <c r="GU16" s="174"/>
      <c r="GV16" s="174"/>
      <c r="GW16" s="174"/>
      <c r="GX16" s="174"/>
      <c r="GY16" s="174"/>
      <c r="GZ16" s="174"/>
      <c r="HA16" s="174"/>
      <c r="HB16" s="174"/>
      <c r="HC16" s="174"/>
      <c r="HD16" s="174"/>
      <c r="HE16" s="174"/>
      <c r="HF16" s="174"/>
      <c r="HG16" s="174"/>
      <c r="HH16" s="174"/>
      <c r="HI16" s="174"/>
      <c r="HJ16" s="174"/>
      <c r="HK16" s="174"/>
      <c r="HL16" s="174"/>
      <c r="HM16" s="174"/>
      <c r="HN16" s="174"/>
      <c r="HO16" s="174"/>
      <c r="HP16" s="174"/>
      <c r="HQ16" s="174"/>
      <c r="HR16" s="174"/>
      <c r="HS16" s="174"/>
      <c r="HT16" s="174"/>
      <c r="HU16" s="174"/>
      <c r="HV16" s="174"/>
      <c r="HW16" s="174"/>
      <c r="HX16" s="174"/>
      <c r="HY16" s="174"/>
      <c r="HZ16" s="174"/>
      <c r="IA16" s="174"/>
      <c r="IB16" s="174"/>
      <c r="IC16" s="174"/>
      <c r="ID16" s="174"/>
      <c r="IE16" s="174"/>
      <c r="IF16" s="174"/>
      <c r="IG16" s="174"/>
      <c r="IH16" s="174"/>
      <c r="II16" s="174"/>
      <c r="IJ16" s="174"/>
      <c r="IK16" s="174"/>
      <c r="IL16" s="174"/>
      <c r="IM16" s="174"/>
      <c r="IN16" s="174"/>
      <c r="IO16" s="174"/>
      <c r="IP16" s="174"/>
      <c r="IQ16" s="174"/>
      <c r="IR16" s="174"/>
      <c r="IS16" s="174"/>
      <c r="IT16" s="174"/>
      <c r="IU16" s="75"/>
      <c r="IV16" s="75"/>
      <c r="IW16" s="75"/>
      <c r="IX16" s="75"/>
      <c r="IY16" s="75"/>
      <c r="IZ16" s="75"/>
      <c r="JA16" s="75"/>
      <c r="JB16" s="75"/>
      <c r="JC16" s="75"/>
      <c r="JD16" s="75"/>
      <c r="JF16" s="710" t="s">
        <v>1107</v>
      </c>
      <c r="JG16" s="710" t="s">
        <v>902</v>
      </c>
      <c r="JH16" s="178">
        <f t="shared" si="1"/>
        <v>19235.104875000001</v>
      </c>
      <c r="JI16" s="174">
        <f t="shared" si="2"/>
        <v>0</v>
      </c>
    </row>
    <row r="17" spans="2:269" ht="15" customHeight="1" x14ac:dyDescent="0.25">
      <c r="B17" s="113">
        <v>14</v>
      </c>
      <c r="C17" s="353" t="str">
        <f t="shared" ref="C17:C22" si="4">IF(JF17&lt;&gt;"",JF17,"")</f>
        <v>Relé 87T</v>
      </c>
      <c r="D17" s="353" t="str">
        <f t="shared" si="3"/>
        <v>relé diferencial de transformador (12TC/4TP/10BI/15BO)</v>
      </c>
      <c r="E17" s="174"/>
      <c r="F17" s="174"/>
      <c r="G17" s="174"/>
      <c r="H17" s="174"/>
      <c r="I17" s="174"/>
      <c r="J17" s="174">
        <v>2</v>
      </c>
      <c r="K17" s="174"/>
      <c r="L17" s="174"/>
      <c r="M17" s="174"/>
      <c r="N17" s="174"/>
      <c r="O17" s="174"/>
      <c r="P17" s="174"/>
      <c r="Q17" s="174"/>
      <c r="R17" s="174">
        <v>2</v>
      </c>
      <c r="S17" s="174"/>
      <c r="T17" s="174"/>
      <c r="U17" s="174"/>
      <c r="V17" s="174"/>
      <c r="W17" s="174"/>
      <c r="X17" s="174"/>
      <c r="Y17" s="174"/>
      <c r="Z17" s="174"/>
      <c r="AA17" s="174">
        <v>2</v>
      </c>
      <c r="AB17" s="174"/>
      <c r="AC17" s="174"/>
      <c r="AD17" s="174"/>
      <c r="AE17" s="174"/>
      <c r="AF17" s="174"/>
      <c r="AG17" s="174"/>
      <c r="AH17" s="174"/>
      <c r="AI17" s="174"/>
      <c r="AJ17" s="174">
        <v>2</v>
      </c>
      <c r="AK17" s="174">
        <v>2</v>
      </c>
      <c r="AL17" s="174"/>
      <c r="AM17" s="174"/>
      <c r="AN17" s="174"/>
      <c r="AO17" s="174"/>
      <c r="AP17" s="174"/>
      <c r="AQ17" s="174"/>
      <c r="AR17" s="174"/>
      <c r="AS17" s="174"/>
      <c r="AT17" s="174"/>
      <c r="AU17" s="174"/>
      <c r="AV17" s="174"/>
      <c r="AW17" s="174"/>
      <c r="AX17" s="174"/>
      <c r="AY17" s="174"/>
      <c r="AZ17" s="174"/>
      <c r="BA17" s="174"/>
      <c r="BB17" s="174"/>
      <c r="BC17" s="174"/>
      <c r="BD17" s="174"/>
      <c r="BE17" s="174"/>
      <c r="BF17" s="174"/>
      <c r="BG17" s="174"/>
      <c r="BH17" s="174"/>
      <c r="BI17" s="174"/>
      <c r="BJ17" s="174"/>
      <c r="BK17" s="174"/>
      <c r="BL17" s="174"/>
      <c r="BM17" s="174"/>
      <c r="BN17" s="174"/>
      <c r="BO17" s="174"/>
      <c r="BP17" s="174"/>
      <c r="BQ17" s="174"/>
      <c r="BR17" s="174"/>
      <c r="BS17" s="174"/>
      <c r="BT17" s="174"/>
      <c r="BU17" s="174"/>
      <c r="BV17" s="174"/>
      <c r="BW17" s="174"/>
      <c r="BX17" s="174"/>
      <c r="BY17" s="174"/>
      <c r="BZ17" s="174"/>
      <c r="CA17" s="174"/>
      <c r="CB17" s="174"/>
      <c r="CC17" s="174"/>
      <c r="CD17" s="174"/>
      <c r="CE17" s="174"/>
      <c r="CF17" s="174"/>
      <c r="CG17" s="174"/>
      <c r="CH17" s="174"/>
      <c r="CI17" s="174"/>
      <c r="CJ17" s="174"/>
      <c r="CK17" s="174"/>
      <c r="CL17" s="174"/>
      <c r="CM17" s="174"/>
      <c r="CN17" s="174"/>
      <c r="CO17" s="174"/>
      <c r="CP17" s="174"/>
      <c r="CQ17" s="174"/>
      <c r="CR17" s="174"/>
      <c r="CS17" s="174"/>
      <c r="CT17" s="174"/>
      <c r="CU17" s="174"/>
      <c r="CV17" s="174"/>
      <c r="CW17" s="174"/>
      <c r="CX17" s="174"/>
      <c r="CY17" s="174"/>
      <c r="CZ17" s="174"/>
      <c r="DA17" s="174"/>
      <c r="DB17" s="174"/>
      <c r="DC17" s="174"/>
      <c r="DD17" s="174"/>
      <c r="DE17" s="174"/>
      <c r="DF17" s="174"/>
      <c r="DG17" s="174"/>
      <c r="DH17" s="174"/>
      <c r="DI17" s="174"/>
      <c r="DJ17" s="174"/>
      <c r="DK17" s="174"/>
      <c r="DL17" s="174"/>
      <c r="DM17" s="174"/>
      <c r="DN17" s="174"/>
      <c r="DO17" s="174"/>
      <c r="DP17" s="174"/>
      <c r="DQ17" s="174"/>
      <c r="DR17" s="174"/>
      <c r="DS17" s="174"/>
      <c r="DT17" s="174"/>
      <c r="DU17" s="174"/>
      <c r="DV17" s="174"/>
      <c r="DW17" s="174"/>
      <c r="DX17" s="174"/>
      <c r="DY17" s="174"/>
      <c r="DZ17" s="174"/>
      <c r="EA17" s="174"/>
      <c r="EB17" s="174"/>
      <c r="EC17" s="174"/>
      <c r="ED17" s="174"/>
      <c r="EE17" s="174"/>
      <c r="EF17" s="174"/>
      <c r="EG17" s="174"/>
      <c r="EH17" s="174"/>
      <c r="EI17" s="174"/>
      <c r="EJ17" s="174"/>
      <c r="EK17" s="174"/>
      <c r="EL17" s="174"/>
      <c r="EM17" s="174"/>
      <c r="EN17" s="174"/>
      <c r="EO17" s="174"/>
      <c r="EP17" s="174"/>
      <c r="EQ17" s="174"/>
      <c r="ER17" s="174"/>
      <c r="ES17" s="174"/>
      <c r="ET17" s="174"/>
      <c r="EU17" s="174"/>
      <c r="EV17" s="174"/>
      <c r="EW17" s="174"/>
      <c r="EX17" s="174"/>
      <c r="EY17" s="174"/>
      <c r="EZ17" s="174"/>
      <c r="FA17" s="174"/>
      <c r="FB17" s="174"/>
      <c r="FC17" s="174"/>
      <c r="FD17" s="174"/>
      <c r="FE17" s="174"/>
      <c r="FF17" s="174"/>
      <c r="FG17" s="174"/>
      <c r="FH17" s="174"/>
      <c r="FI17" s="174"/>
      <c r="FJ17" s="174"/>
      <c r="FK17" s="174"/>
      <c r="FL17" s="174"/>
      <c r="FM17" s="174"/>
      <c r="FN17" s="174"/>
      <c r="FO17" s="174"/>
      <c r="FP17" s="174"/>
      <c r="FQ17" s="174"/>
      <c r="FR17" s="174"/>
      <c r="FS17" s="174"/>
      <c r="FT17" s="174"/>
      <c r="FU17" s="174"/>
      <c r="FV17" s="174"/>
      <c r="FW17" s="174"/>
      <c r="FX17" s="174"/>
      <c r="FY17" s="174"/>
      <c r="FZ17" s="174"/>
      <c r="GA17" s="174"/>
      <c r="GB17" s="174"/>
      <c r="GC17" s="174"/>
      <c r="GD17" s="174"/>
      <c r="GE17" s="174"/>
      <c r="GF17" s="174"/>
      <c r="GG17" s="174"/>
      <c r="GH17" s="174"/>
      <c r="GI17" s="174"/>
      <c r="GJ17" s="174"/>
      <c r="GK17" s="174"/>
      <c r="GL17" s="174"/>
      <c r="GM17" s="174"/>
      <c r="GN17" s="174"/>
      <c r="GO17" s="174"/>
      <c r="GP17" s="174"/>
      <c r="GQ17" s="174"/>
      <c r="GR17" s="174"/>
      <c r="GS17" s="174"/>
      <c r="GT17" s="174"/>
      <c r="GU17" s="174"/>
      <c r="GV17" s="174"/>
      <c r="GW17" s="174"/>
      <c r="GX17" s="174"/>
      <c r="GY17" s="174"/>
      <c r="GZ17" s="174"/>
      <c r="HA17" s="174"/>
      <c r="HB17" s="174"/>
      <c r="HC17" s="174"/>
      <c r="HD17" s="174"/>
      <c r="HE17" s="174"/>
      <c r="HF17" s="174"/>
      <c r="HG17" s="174"/>
      <c r="HH17" s="174"/>
      <c r="HI17" s="174"/>
      <c r="HJ17" s="174"/>
      <c r="HK17" s="174"/>
      <c r="HL17" s="174"/>
      <c r="HM17" s="174"/>
      <c r="HN17" s="174"/>
      <c r="HO17" s="174"/>
      <c r="HP17" s="174"/>
      <c r="HQ17" s="174"/>
      <c r="HR17" s="174"/>
      <c r="HS17" s="174"/>
      <c r="HT17" s="174"/>
      <c r="HU17" s="174"/>
      <c r="HV17" s="174"/>
      <c r="HW17" s="174"/>
      <c r="HX17" s="174"/>
      <c r="HY17" s="174"/>
      <c r="HZ17" s="174"/>
      <c r="IA17" s="174"/>
      <c r="IB17" s="174"/>
      <c r="IC17" s="174"/>
      <c r="ID17" s="174"/>
      <c r="IE17" s="174"/>
      <c r="IF17" s="174"/>
      <c r="IG17" s="174"/>
      <c r="IH17" s="174"/>
      <c r="II17" s="174"/>
      <c r="IJ17" s="174"/>
      <c r="IK17" s="174"/>
      <c r="IL17" s="174"/>
      <c r="IM17" s="174"/>
      <c r="IN17" s="174"/>
      <c r="IO17" s="174"/>
      <c r="IP17" s="174"/>
      <c r="IQ17" s="174"/>
      <c r="IR17" s="174"/>
      <c r="IS17" s="174"/>
      <c r="IT17" s="174"/>
      <c r="IU17" s="75"/>
      <c r="IV17" s="75"/>
      <c r="IW17" s="75"/>
      <c r="IX17" s="75"/>
      <c r="IY17" s="75"/>
      <c r="IZ17" s="75"/>
      <c r="JA17" s="75"/>
      <c r="JB17" s="75"/>
      <c r="JC17" s="75"/>
      <c r="JD17" s="75"/>
      <c r="JF17" s="710" t="s">
        <v>820</v>
      </c>
      <c r="JG17" s="710" t="s">
        <v>903</v>
      </c>
      <c r="JH17" s="178">
        <f t="shared" si="1"/>
        <v>22838.319000000003</v>
      </c>
      <c r="JI17" s="174">
        <f t="shared" si="2"/>
        <v>0</v>
      </c>
    </row>
    <row r="18" spans="2:269" ht="15" customHeight="1" x14ac:dyDescent="0.25">
      <c r="B18" s="113">
        <v>15</v>
      </c>
      <c r="C18" s="353" t="str">
        <f t="shared" si="4"/>
        <v>87B CU</v>
      </c>
      <c r="D18" s="353" t="str">
        <f t="shared" si="3"/>
        <v>relé diferencial de barras (unidade central)</v>
      </c>
      <c r="E18" s="174"/>
      <c r="F18" s="174"/>
      <c r="G18" s="174"/>
      <c r="H18" s="174"/>
      <c r="I18" s="174"/>
      <c r="J18" s="174"/>
      <c r="K18" s="174"/>
      <c r="L18" s="174"/>
      <c r="M18" s="174"/>
      <c r="N18" s="174"/>
      <c r="O18" s="174"/>
      <c r="P18" s="174"/>
      <c r="Q18" s="174"/>
      <c r="R18" s="174"/>
      <c r="S18" s="174"/>
      <c r="T18" s="174"/>
      <c r="U18" s="174"/>
      <c r="V18" s="174"/>
      <c r="W18" s="174"/>
      <c r="X18" s="174"/>
      <c r="Y18" s="174"/>
      <c r="Z18" s="174"/>
      <c r="AA18" s="174"/>
      <c r="AB18" s="174"/>
      <c r="AC18" s="174"/>
      <c r="AD18" s="174"/>
      <c r="AE18" s="174"/>
      <c r="AF18" s="174"/>
      <c r="AG18" s="174"/>
      <c r="AH18" s="174"/>
      <c r="AI18" s="174"/>
      <c r="AJ18" s="174"/>
      <c r="AK18" s="174"/>
      <c r="AL18" s="174"/>
      <c r="AM18" s="174"/>
      <c r="AN18" s="174"/>
      <c r="AO18" s="174"/>
      <c r="AP18" s="174"/>
      <c r="AQ18" s="174"/>
      <c r="AR18" s="174"/>
      <c r="AS18" s="174"/>
      <c r="AT18" s="174"/>
      <c r="AU18" s="174"/>
      <c r="AV18" s="174"/>
      <c r="AW18" s="174"/>
      <c r="AX18" s="174"/>
      <c r="AY18" s="174"/>
      <c r="AZ18" s="174"/>
      <c r="BA18" s="174"/>
      <c r="BB18" s="174"/>
      <c r="BC18" s="174"/>
      <c r="BD18" s="174"/>
      <c r="BE18" s="174"/>
      <c r="BF18" s="174"/>
      <c r="BG18" s="174"/>
      <c r="BH18" s="174"/>
      <c r="BI18" s="174"/>
      <c r="BJ18" s="174"/>
      <c r="BK18" s="174"/>
      <c r="BL18" s="174"/>
      <c r="BM18" s="174"/>
      <c r="BN18" s="174"/>
      <c r="BO18" s="174"/>
      <c r="BP18" s="174"/>
      <c r="BQ18" s="174"/>
      <c r="BR18" s="174"/>
      <c r="BS18" s="174"/>
      <c r="BT18" s="174"/>
      <c r="BU18" s="174"/>
      <c r="BV18" s="174"/>
      <c r="BW18" s="174"/>
      <c r="BX18" s="174"/>
      <c r="BY18" s="174"/>
      <c r="BZ18" s="174"/>
      <c r="CA18" s="174"/>
      <c r="CB18" s="174"/>
      <c r="CC18" s="174"/>
      <c r="CD18" s="174"/>
      <c r="CE18" s="174"/>
      <c r="CF18" s="174"/>
      <c r="CG18" s="174"/>
      <c r="CH18" s="174"/>
      <c r="CI18" s="174"/>
      <c r="CJ18" s="174"/>
      <c r="CK18" s="174"/>
      <c r="CL18" s="174"/>
      <c r="CM18" s="174"/>
      <c r="CN18" s="174"/>
      <c r="CO18" s="174"/>
      <c r="CP18" s="174"/>
      <c r="CQ18" s="174"/>
      <c r="CR18" s="174"/>
      <c r="CS18" s="174"/>
      <c r="CT18" s="174"/>
      <c r="CU18" s="174"/>
      <c r="CV18" s="174"/>
      <c r="CW18" s="174"/>
      <c r="CX18" s="174"/>
      <c r="CY18" s="174"/>
      <c r="CZ18" s="174"/>
      <c r="DA18" s="174"/>
      <c r="DB18" s="174"/>
      <c r="DC18" s="174"/>
      <c r="DD18" s="174"/>
      <c r="DE18" s="174"/>
      <c r="DF18" s="174"/>
      <c r="DG18" s="174"/>
      <c r="DH18" s="174"/>
      <c r="DI18" s="174"/>
      <c r="DJ18" s="174"/>
      <c r="DK18" s="174"/>
      <c r="DL18" s="174"/>
      <c r="DM18" s="174"/>
      <c r="DN18" s="174"/>
      <c r="DO18" s="174"/>
      <c r="DP18" s="174"/>
      <c r="DQ18" s="174"/>
      <c r="DR18" s="174"/>
      <c r="DS18" s="174"/>
      <c r="DT18" s="174"/>
      <c r="DU18" s="174"/>
      <c r="DV18" s="174"/>
      <c r="DW18" s="174"/>
      <c r="DX18" s="174"/>
      <c r="DY18" s="174"/>
      <c r="DZ18" s="174"/>
      <c r="EA18" s="174"/>
      <c r="EB18" s="174"/>
      <c r="EC18" s="174"/>
      <c r="ED18" s="174"/>
      <c r="EE18" s="174"/>
      <c r="EF18" s="174"/>
      <c r="EG18" s="174"/>
      <c r="EH18" s="174"/>
      <c r="EI18" s="174"/>
      <c r="EJ18" s="174"/>
      <c r="EK18" s="174"/>
      <c r="EL18" s="174"/>
      <c r="EM18" s="174"/>
      <c r="EN18" s="174"/>
      <c r="EO18" s="174"/>
      <c r="EP18" s="174"/>
      <c r="EQ18" s="174"/>
      <c r="ER18" s="174"/>
      <c r="ES18" s="174"/>
      <c r="ET18" s="174"/>
      <c r="EU18" s="174"/>
      <c r="EV18" s="174"/>
      <c r="EW18" s="174"/>
      <c r="EX18" s="174"/>
      <c r="EY18" s="174"/>
      <c r="EZ18" s="174"/>
      <c r="FA18" s="174"/>
      <c r="FB18" s="174"/>
      <c r="FC18" s="174"/>
      <c r="FD18" s="174"/>
      <c r="FE18" s="174"/>
      <c r="FF18" s="174"/>
      <c r="FG18" s="174"/>
      <c r="FH18" s="174"/>
      <c r="FI18" s="174"/>
      <c r="FJ18" s="174"/>
      <c r="FK18" s="174"/>
      <c r="FL18" s="174"/>
      <c r="FM18" s="174"/>
      <c r="FN18" s="174"/>
      <c r="FO18" s="174"/>
      <c r="FP18" s="174"/>
      <c r="FQ18" s="174"/>
      <c r="FR18" s="174"/>
      <c r="FS18" s="174"/>
      <c r="FT18" s="174"/>
      <c r="FU18" s="174"/>
      <c r="FV18" s="174"/>
      <c r="FW18" s="174"/>
      <c r="FX18" s="174"/>
      <c r="FY18" s="174"/>
      <c r="FZ18" s="174"/>
      <c r="GA18" s="174"/>
      <c r="GB18" s="174"/>
      <c r="GC18" s="174"/>
      <c r="GD18" s="174"/>
      <c r="GE18" s="174"/>
      <c r="GF18" s="174"/>
      <c r="GG18" s="174"/>
      <c r="GH18" s="174"/>
      <c r="GI18" s="174"/>
      <c r="GJ18" s="174"/>
      <c r="GK18" s="174"/>
      <c r="GL18" s="174"/>
      <c r="GM18" s="174"/>
      <c r="GN18" s="174"/>
      <c r="GO18" s="174"/>
      <c r="GP18" s="174"/>
      <c r="GQ18" s="174"/>
      <c r="GR18" s="174"/>
      <c r="GS18" s="174"/>
      <c r="GT18" s="174"/>
      <c r="GU18" s="174"/>
      <c r="GV18" s="174"/>
      <c r="GW18" s="174"/>
      <c r="GX18" s="174"/>
      <c r="GY18" s="174"/>
      <c r="GZ18" s="174"/>
      <c r="HA18" s="174"/>
      <c r="HB18" s="174"/>
      <c r="HC18" s="174"/>
      <c r="HD18" s="174"/>
      <c r="HE18" s="174"/>
      <c r="HF18" s="174"/>
      <c r="HG18" s="174"/>
      <c r="HH18" s="174"/>
      <c r="HI18" s="174"/>
      <c r="HJ18" s="174"/>
      <c r="HK18" s="174"/>
      <c r="HL18" s="174"/>
      <c r="HM18" s="174"/>
      <c r="HN18" s="174"/>
      <c r="HO18" s="174"/>
      <c r="HP18" s="174"/>
      <c r="HQ18" s="174"/>
      <c r="HR18" s="174"/>
      <c r="HS18" s="174"/>
      <c r="HT18" s="174"/>
      <c r="HU18" s="174"/>
      <c r="HV18" s="174"/>
      <c r="HW18" s="174"/>
      <c r="HX18" s="174"/>
      <c r="HY18" s="174"/>
      <c r="HZ18" s="174"/>
      <c r="IA18" s="174"/>
      <c r="IB18" s="174"/>
      <c r="IC18" s="174"/>
      <c r="ID18" s="174"/>
      <c r="IE18" s="174"/>
      <c r="IF18" s="174"/>
      <c r="IG18" s="174"/>
      <c r="IH18" s="174"/>
      <c r="II18" s="174"/>
      <c r="IJ18" s="174"/>
      <c r="IK18" s="174"/>
      <c r="IL18" s="174"/>
      <c r="IM18" s="174"/>
      <c r="IN18" s="174"/>
      <c r="IO18" s="174"/>
      <c r="IP18" s="174"/>
      <c r="IQ18" s="174"/>
      <c r="IR18" s="174"/>
      <c r="IS18" s="174"/>
      <c r="IT18" s="174"/>
      <c r="IU18" s="75"/>
      <c r="IV18" s="75"/>
      <c r="IW18" s="75"/>
      <c r="IX18" s="75"/>
      <c r="IY18" s="75"/>
      <c r="IZ18" s="75"/>
      <c r="JA18" s="75"/>
      <c r="JB18" s="75"/>
      <c r="JC18" s="75"/>
      <c r="JD18" s="75"/>
      <c r="JF18" s="710" t="s">
        <v>821</v>
      </c>
      <c r="JG18" s="710" t="s">
        <v>904</v>
      </c>
      <c r="JH18" s="178">
        <f t="shared" si="1"/>
        <v>201407.23575000002</v>
      </c>
      <c r="JI18" s="174">
        <f t="shared" si="2"/>
        <v>0</v>
      </c>
    </row>
    <row r="19" spans="2:269" ht="15" customHeight="1" x14ac:dyDescent="0.25">
      <c r="B19" s="113">
        <v>16</v>
      </c>
      <c r="C19" s="353" t="str">
        <f t="shared" si="4"/>
        <v>87B BU</v>
      </c>
      <c r="D19" s="353" t="str">
        <f t="shared" si="3"/>
        <v>relé diferencial de barras (unidade de bay, 4TC/10BI/5BO)</v>
      </c>
      <c r="E19" s="174"/>
      <c r="F19" s="174"/>
      <c r="G19" s="174"/>
      <c r="H19" s="174"/>
      <c r="I19" s="174"/>
      <c r="J19" s="174"/>
      <c r="K19" s="174"/>
      <c r="L19" s="174"/>
      <c r="M19" s="174"/>
      <c r="N19" s="174"/>
      <c r="O19" s="174"/>
      <c r="P19" s="174"/>
      <c r="Q19" s="174"/>
      <c r="R19" s="174"/>
      <c r="S19" s="174"/>
      <c r="T19" s="174"/>
      <c r="U19" s="174"/>
      <c r="V19" s="174"/>
      <c r="W19" s="174"/>
      <c r="X19" s="174"/>
      <c r="Y19" s="174"/>
      <c r="Z19" s="174"/>
      <c r="AA19" s="174"/>
      <c r="AB19" s="174"/>
      <c r="AC19" s="174"/>
      <c r="AD19" s="174"/>
      <c r="AE19" s="174"/>
      <c r="AF19" s="174"/>
      <c r="AG19" s="174"/>
      <c r="AH19" s="174"/>
      <c r="AI19" s="174"/>
      <c r="AJ19" s="174"/>
      <c r="AK19" s="174"/>
      <c r="AL19" s="174"/>
      <c r="AM19" s="174"/>
      <c r="AN19" s="174"/>
      <c r="AO19" s="174"/>
      <c r="AP19" s="174"/>
      <c r="AQ19" s="174"/>
      <c r="AR19" s="174"/>
      <c r="AS19" s="174"/>
      <c r="AT19" s="174"/>
      <c r="AU19" s="174"/>
      <c r="AV19" s="174"/>
      <c r="AW19" s="174"/>
      <c r="AX19" s="174"/>
      <c r="AY19" s="174"/>
      <c r="AZ19" s="174"/>
      <c r="BA19" s="174"/>
      <c r="BB19" s="174"/>
      <c r="BC19" s="174"/>
      <c r="BD19" s="174"/>
      <c r="BE19" s="174"/>
      <c r="BF19" s="174"/>
      <c r="BG19" s="174"/>
      <c r="BH19" s="174"/>
      <c r="BI19" s="174"/>
      <c r="BJ19" s="174"/>
      <c r="BK19" s="174"/>
      <c r="BL19" s="174"/>
      <c r="BM19" s="174"/>
      <c r="BN19" s="174"/>
      <c r="BO19" s="174"/>
      <c r="BP19" s="174"/>
      <c r="BQ19" s="174"/>
      <c r="BR19" s="174"/>
      <c r="BS19" s="174"/>
      <c r="BT19" s="174"/>
      <c r="BU19" s="174"/>
      <c r="BV19" s="174"/>
      <c r="BW19" s="174"/>
      <c r="BX19" s="174"/>
      <c r="BY19" s="174"/>
      <c r="BZ19" s="174"/>
      <c r="CA19" s="174"/>
      <c r="CB19" s="174"/>
      <c r="CC19" s="174"/>
      <c r="CD19" s="174"/>
      <c r="CE19" s="174"/>
      <c r="CF19" s="174"/>
      <c r="CG19" s="174"/>
      <c r="CH19" s="174"/>
      <c r="CI19" s="174"/>
      <c r="CJ19" s="174"/>
      <c r="CK19" s="174"/>
      <c r="CL19" s="174"/>
      <c r="CM19" s="174"/>
      <c r="CN19" s="174"/>
      <c r="CO19" s="174"/>
      <c r="CP19" s="174"/>
      <c r="CQ19" s="174"/>
      <c r="CR19" s="174"/>
      <c r="CS19" s="174"/>
      <c r="CT19" s="174"/>
      <c r="CU19" s="174"/>
      <c r="CV19" s="174"/>
      <c r="CW19" s="174"/>
      <c r="CX19" s="174"/>
      <c r="CY19" s="174"/>
      <c r="CZ19" s="174"/>
      <c r="DA19" s="174"/>
      <c r="DB19" s="174"/>
      <c r="DC19" s="174"/>
      <c r="DD19" s="174"/>
      <c r="DE19" s="174"/>
      <c r="DF19" s="174"/>
      <c r="DG19" s="174"/>
      <c r="DH19" s="174"/>
      <c r="DI19" s="174"/>
      <c r="DJ19" s="174"/>
      <c r="DK19" s="174"/>
      <c r="DL19" s="174"/>
      <c r="DM19" s="174"/>
      <c r="DN19" s="174"/>
      <c r="DO19" s="174"/>
      <c r="DP19" s="174"/>
      <c r="DQ19" s="174"/>
      <c r="DR19" s="174"/>
      <c r="DS19" s="174"/>
      <c r="DT19" s="174"/>
      <c r="DU19" s="174"/>
      <c r="DV19" s="174"/>
      <c r="DW19" s="174"/>
      <c r="DX19" s="174"/>
      <c r="DY19" s="174"/>
      <c r="DZ19" s="174"/>
      <c r="EA19" s="174"/>
      <c r="EB19" s="174"/>
      <c r="EC19" s="174"/>
      <c r="ED19" s="174"/>
      <c r="EE19" s="174"/>
      <c r="EF19" s="174"/>
      <c r="EG19" s="174"/>
      <c r="EH19" s="174"/>
      <c r="EI19" s="174"/>
      <c r="EJ19" s="174"/>
      <c r="EK19" s="174"/>
      <c r="EL19" s="174"/>
      <c r="EM19" s="174"/>
      <c r="EN19" s="174"/>
      <c r="EO19" s="174"/>
      <c r="EP19" s="174"/>
      <c r="EQ19" s="174"/>
      <c r="ER19" s="174"/>
      <c r="ES19" s="174"/>
      <c r="ET19" s="174"/>
      <c r="EU19" s="174"/>
      <c r="EV19" s="174"/>
      <c r="EW19" s="174"/>
      <c r="EX19" s="174"/>
      <c r="EY19" s="174"/>
      <c r="EZ19" s="174"/>
      <c r="FA19" s="174"/>
      <c r="FB19" s="174"/>
      <c r="FC19" s="174"/>
      <c r="FD19" s="174"/>
      <c r="FE19" s="174"/>
      <c r="FF19" s="174"/>
      <c r="FG19" s="174"/>
      <c r="FH19" s="174"/>
      <c r="FI19" s="174"/>
      <c r="FJ19" s="174"/>
      <c r="FK19" s="174"/>
      <c r="FL19" s="174"/>
      <c r="FM19" s="174"/>
      <c r="FN19" s="174"/>
      <c r="FO19" s="174"/>
      <c r="FP19" s="174"/>
      <c r="FQ19" s="174"/>
      <c r="FR19" s="174"/>
      <c r="FS19" s="174"/>
      <c r="FT19" s="174"/>
      <c r="FU19" s="174"/>
      <c r="FV19" s="174"/>
      <c r="FW19" s="174"/>
      <c r="FX19" s="174"/>
      <c r="FY19" s="174"/>
      <c r="FZ19" s="174"/>
      <c r="GA19" s="174"/>
      <c r="GB19" s="174"/>
      <c r="GC19" s="174"/>
      <c r="GD19" s="174"/>
      <c r="GE19" s="174"/>
      <c r="GF19" s="174"/>
      <c r="GG19" s="174"/>
      <c r="GH19" s="174"/>
      <c r="GI19" s="174"/>
      <c r="GJ19" s="174"/>
      <c r="GK19" s="174"/>
      <c r="GL19" s="174"/>
      <c r="GM19" s="174"/>
      <c r="GN19" s="174"/>
      <c r="GO19" s="174"/>
      <c r="GP19" s="174"/>
      <c r="GQ19" s="174"/>
      <c r="GR19" s="174"/>
      <c r="GS19" s="174"/>
      <c r="GT19" s="174"/>
      <c r="GU19" s="174"/>
      <c r="GV19" s="174"/>
      <c r="GW19" s="174"/>
      <c r="GX19" s="174"/>
      <c r="GY19" s="174"/>
      <c r="GZ19" s="174"/>
      <c r="HA19" s="174"/>
      <c r="HB19" s="174"/>
      <c r="HC19" s="174"/>
      <c r="HD19" s="174"/>
      <c r="HE19" s="174"/>
      <c r="HF19" s="174"/>
      <c r="HG19" s="174"/>
      <c r="HH19" s="174"/>
      <c r="HI19" s="174"/>
      <c r="HJ19" s="174"/>
      <c r="HK19" s="174"/>
      <c r="HL19" s="174"/>
      <c r="HM19" s="174"/>
      <c r="HN19" s="174"/>
      <c r="HO19" s="174"/>
      <c r="HP19" s="174"/>
      <c r="HQ19" s="174"/>
      <c r="HR19" s="174"/>
      <c r="HS19" s="174"/>
      <c r="HT19" s="174"/>
      <c r="HU19" s="174"/>
      <c r="HV19" s="174"/>
      <c r="HW19" s="174"/>
      <c r="HX19" s="174"/>
      <c r="HY19" s="174"/>
      <c r="HZ19" s="174"/>
      <c r="IA19" s="174"/>
      <c r="IB19" s="174"/>
      <c r="IC19" s="174"/>
      <c r="ID19" s="174"/>
      <c r="IE19" s="174"/>
      <c r="IF19" s="174"/>
      <c r="IG19" s="174"/>
      <c r="IH19" s="174"/>
      <c r="II19" s="174"/>
      <c r="IJ19" s="174"/>
      <c r="IK19" s="174"/>
      <c r="IL19" s="174"/>
      <c r="IM19" s="174"/>
      <c r="IN19" s="174"/>
      <c r="IO19" s="174"/>
      <c r="IP19" s="174"/>
      <c r="IQ19" s="174"/>
      <c r="IR19" s="174"/>
      <c r="IS19" s="174"/>
      <c r="IT19" s="174"/>
      <c r="IU19" s="75"/>
      <c r="IV19" s="75"/>
      <c r="IW19" s="75"/>
      <c r="IX19" s="75"/>
      <c r="IY19" s="75"/>
      <c r="IZ19" s="75"/>
      <c r="JA19" s="75"/>
      <c r="JB19" s="75"/>
      <c r="JC19" s="75"/>
      <c r="JD19" s="75"/>
      <c r="JF19" s="710" t="s">
        <v>822</v>
      </c>
      <c r="JG19" s="710" t="s">
        <v>905</v>
      </c>
      <c r="JH19" s="178">
        <f t="shared" si="1"/>
        <v>35118.286875000005</v>
      </c>
      <c r="JI19" s="174">
        <f t="shared" si="2"/>
        <v>0</v>
      </c>
    </row>
    <row r="20" spans="2:269" ht="15" customHeight="1" x14ac:dyDescent="0.25">
      <c r="B20" s="113">
        <v>17</v>
      </c>
      <c r="C20" s="353" t="str">
        <f t="shared" si="4"/>
        <v>87B concentrado (4 bays)</v>
      </c>
      <c r="D20" s="353" t="str">
        <f t="shared" si="3"/>
        <v>relé diferencial de barras concentrador (até 4 bays, 16TC/40BI/20BO)</v>
      </c>
      <c r="E20" s="174"/>
      <c r="F20" s="174"/>
      <c r="G20" s="174"/>
      <c r="H20" s="174"/>
      <c r="I20" s="174"/>
      <c r="J20" s="174"/>
      <c r="K20" s="174">
        <v>2</v>
      </c>
      <c r="L20" s="174"/>
      <c r="M20" s="174"/>
      <c r="N20" s="174"/>
      <c r="O20" s="174"/>
      <c r="P20" s="174"/>
      <c r="Q20" s="174"/>
      <c r="R20" s="174"/>
      <c r="S20" s="174"/>
      <c r="T20" s="174">
        <v>2</v>
      </c>
      <c r="U20" s="174"/>
      <c r="V20" s="174"/>
      <c r="W20" s="174"/>
      <c r="X20" s="174"/>
      <c r="Y20" s="174"/>
      <c r="Z20" s="174"/>
      <c r="AA20" s="174"/>
      <c r="AB20" s="174">
        <v>2</v>
      </c>
      <c r="AC20" s="174"/>
      <c r="AD20" s="174"/>
      <c r="AE20" s="174"/>
      <c r="AF20" s="174"/>
      <c r="AG20" s="174"/>
      <c r="AH20" s="174"/>
      <c r="AI20" s="174"/>
      <c r="AJ20" s="174"/>
      <c r="AK20" s="174"/>
      <c r="AL20" s="174">
        <v>1</v>
      </c>
      <c r="AM20" s="174"/>
      <c r="AN20" s="174"/>
      <c r="AO20" s="174"/>
      <c r="AP20" s="174"/>
      <c r="AQ20" s="174"/>
      <c r="AR20" s="174"/>
      <c r="AS20" s="174"/>
      <c r="AT20" s="174"/>
      <c r="AU20" s="174"/>
      <c r="AV20" s="174"/>
      <c r="AW20" s="174"/>
      <c r="AX20" s="174"/>
      <c r="AY20" s="174"/>
      <c r="AZ20" s="174"/>
      <c r="BA20" s="174"/>
      <c r="BB20" s="174"/>
      <c r="BC20" s="174"/>
      <c r="BD20" s="174"/>
      <c r="BE20" s="174"/>
      <c r="BF20" s="174"/>
      <c r="BG20" s="174"/>
      <c r="BH20" s="174"/>
      <c r="BI20" s="174"/>
      <c r="BJ20" s="174"/>
      <c r="BK20" s="174"/>
      <c r="BL20" s="174"/>
      <c r="BM20" s="174"/>
      <c r="BN20" s="174"/>
      <c r="BO20" s="174"/>
      <c r="BP20" s="174"/>
      <c r="BQ20" s="174"/>
      <c r="BR20" s="174"/>
      <c r="BS20" s="174"/>
      <c r="BT20" s="174"/>
      <c r="BU20" s="174"/>
      <c r="BV20" s="174"/>
      <c r="BW20" s="174"/>
      <c r="BX20" s="174"/>
      <c r="BY20" s="174"/>
      <c r="BZ20" s="174"/>
      <c r="CA20" s="174"/>
      <c r="CB20" s="174"/>
      <c r="CC20" s="174"/>
      <c r="CD20" s="174"/>
      <c r="CE20" s="174"/>
      <c r="CF20" s="174"/>
      <c r="CG20" s="174"/>
      <c r="CH20" s="174"/>
      <c r="CI20" s="174"/>
      <c r="CJ20" s="174"/>
      <c r="CK20" s="174"/>
      <c r="CL20" s="174"/>
      <c r="CM20" s="174"/>
      <c r="CN20" s="174"/>
      <c r="CO20" s="174"/>
      <c r="CP20" s="174"/>
      <c r="CQ20" s="174"/>
      <c r="CR20" s="174"/>
      <c r="CS20" s="174"/>
      <c r="CT20" s="174"/>
      <c r="CU20" s="174"/>
      <c r="CV20" s="174"/>
      <c r="CW20" s="174"/>
      <c r="CX20" s="174"/>
      <c r="CY20" s="174"/>
      <c r="CZ20" s="174"/>
      <c r="DA20" s="174"/>
      <c r="DB20" s="174"/>
      <c r="DC20" s="174"/>
      <c r="DD20" s="174"/>
      <c r="DE20" s="174"/>
      <c r="DF20" s="174"/>
      <c r="DG20" s="174"/>
      <c r="DH20" s="174"/>
      <c r="DI20" s="174"/>
      <c r="DJ20" s="174"/>
      <c r="DK20" s="174"/>
      <c r="DL20" s="174"/>
      <c r="DM20" s="174"/>
      <c r="DN20" s="174"/>
      <c r="DO20" s="174"/>
      <c r="DP20" s="174"/>
      <c r="DQ20" s="174"/>
      <c r="DR20" s="174"/>
      <c r="DS20" s="174"/>
      <c r="DT20" s="174"/>
      <c r="DU20" s="174"/>
      <c r="DV20" s="174"/>
      <c r="DW20" s="174"/>
      <c r="DX20" s="174"/>
      <c r="DY20" s="174"/>
      <c r="DZ20" s="174"/>
      <c r="EA20" s="174"/>
      <c r="EB20" s="174"/>
      <c r="EC20" s="174"/>
      <c r="ED20" s="174"/>
      <c r="EE20" s="174"/>
      <c r="EF20" s="174"/>
      <c r="EG20" s="174"/>
      <c r="EH20" s="174"/>
      <c r="EI20" s="174"/>
      <c r="EJ20" s="174"/>
      <c r="EK20" s="174"/>
      <c r="EL20" s="174"/>
      <c r="EM20" s="174"/>
      <c r="EN20" s="174"/>
      <c r="EO20" s="174"/>
      <c r="EP20" s="174"/>
      <c r="EQ20" s="174"/>
      <c r="ER20" s="174"/>
      <c r="ES20" s="174"/>
      <c r="ET20" s="174"/>
      <c r="EU20" s="174"/>
      <c r="EV20" s="174"/>
      <c r="EW20" s="174"/>
      <c r="EX20" s="174"/>
      <c r="EY20" s="174"/>
      <c r="EZ20" s="174"/>
      <c r="FA20" s="174"/>
      <c r="FB20" s="174"/>
      <c r="FC20" s="174"/>
      <c r="FD20" s="174"/>
      <c r="FE20" s="174"/>
      <c r="FF20" s="174"/>
      <c r="FG20" s="174"/>
      <c r="FH20" s="174"/>
      <c r="FI20" s="174"/>
      <c r="FJ20" s="174"/>
      <c r="FK20" s="174"/>
      <c r="FL20" s="174"/>
      <c r="FM20" s="174"/>
      <c r="FN20" s="174"/>
      <c r="FO20" s="174"/>
      <c r="FP20" s="174"/>
      <c r="FQ20" s="174"/>
      <c r="FR20" s="174"/>
      <c r="FS20" s="174"/>
      <c r="FT20" s="174"/>
      <c r="FU20" s="174"/>
      <c r="FV20" s="174"/>
      <c r="FW20" s="174"/>
      <c r="FX20" s="174"/>
      <c r="FY20" s="174"/>
      <c r="FZ20" s="174"/>
      <c r="GA20" s="174"/>
      <c r="GB20" s="174"/>
      <c r="GC20" s="174"/>
      <c r="GD20" s="174"/>
      <c r="GE20" s="174"/>
      <c r="GF20" s="174"/>
      <c r="GG20" s="174"/>
      <c r="GH20" s="174"/>
      <c r="GI20" s="174"/>
      <c r="GJ20" s="174"/>
      <c r="GK20" s="174"/>
      <c r="GL20" s="174"/>
      <c r="GM20" s="174"/>
      <c r="GN20" s="174"/>
      <c r="GO20" s="174"/>
      <c r="GP20" s="174"/>
      <c r="GQ20" s="174"/>
      <c r="GR20" s="174"/>
      <c r="GS20" s="174"/>
      <c r="GT20" s="174"/>
      <c r="GU20" s="174"/>
      <c r="GV20" s="174"/>
      <c r="GW20" s="174"/>
      <c r="GX20" s="174"/>
      <c r="GY20" s="174"/>
      <c r="GZ20" s="174"/>
      <c r="HA20" s="174"/>
      <c r="HB20" s="174"/>
      <c r="HC20" s="174"/>
      <c r="HD20" s="174"/>
      <c r="HE20" s="174"/>
      <c r="HF20" s="174"/>
      <c r="HG20" s="174"/>
      <c r="HH20" s="174"/>
      <c r="HI20" s="174"/>
      <c r="HJ20" s="174"/>
      <c r="HK20" s="174"/>
      <c r="HL20" s="174"/>
      <c r="HM20" s="174"/>
      <c r="HN20" s="174"/>
      <c r="HO20" s="174"/>
      <c r="HP20" s="174"/>
      <c r="HQ20" s="174"/>
      <c r="HR20" s="174"/>
      <c r="HS20" s="174"/>
      <c r="HT20" s="174"/>
      <c r="HU20" s="174"/>
      <c r="HV20" s="174"/>
      <c r="HW20" s="174"/>
      <c r="HX20" s="174"/>
      <c r="HY20" s="174"/>
      <c r="HZ20" s="174"/>
      <c r="IA20" s="174"/>
      <c r="IB20" s="174"/>
      <c r="IC20" s="174"/>
      <c r="ID20" s="174"/>
      <c r="IE20" s="174"/>
      <c r="IF20" s="174"/>
      <c r="IG20" s="174"/>
      <c r="IH20" s="174"/>
      <c r="II20" s="174"/>
      <c r="IJ20" s="174"/>
      <c r="IK20" s="174"/>
      <c r="IL20" s="174"/>
      <c r="IM20" s="174"/>
      <c r="IN20" s="174"/>
      <c r="IO20" s="174"/>
      <c r="IP20" s="174"/>
      <c r="IQ20" s="174"/>
      <c r="IR20" s="174"/>
      <c r="IS20" s="174"/>
      <c r="IT20" s="174"/>
      <c r="IU20" s="75"/>
      <c r="IV20" s="75"/>
      <c r="IW20" s="75"/>
      <c r="IX20" s="75"/>
      <c r="IY20" s="75"/>
      <c r="IZ20" s="75"/>
      <c r="JA20" s="75"/>
      <c r="JB20" s="75"/>
      <c r="JC20" s="75"/>
      <c r="JD20" s="75"/>
      <c r="JF20" s="710" t="s">
        <v>823</v>
      </c>
      <c r="JG20" s="710" t="s">
        <v>906</v>
      </c>
      <c r="JH20" s="178">
        <f t="shared" si="1"/>
        <v>68170.260375000013</v>
      </c>
      <c r="JI20" s="174">
        <f t="shared" si="2"/>
        <v>0</v>
      </c>
    </row>
    <row r="21" spans="2:269" ht="15" customHeight="1" x14ac:dyDescent="0.25">
      <c r="B21" s="113">
        <v>18</v>
      </c>
      <c r="C21" s="353" t="str">
        <f t="shared" si="4"/>
        <v>87B concentrado (5 bays)</v>
      </c>
      <c r="D21" s="353" t="str">
        <f t="shared" si="3"/>
        <v>relé diferencial de barras concentrador (até 5 bays, 20TC/50BI/25BO)</v>
      </c>
      <c r="E21" s="174"/>
      <c r="F21" s="174"/>
      <c r="G21" s="174"/>
      <c r="H21" s="174"/>
      <c r="I21" s="174"/>
      <c r="J21" s="174"/>
      <c r="K21" s="174"/>
      <c r="L21" s="174"/>
      <c r="M21" s="174"/>
      <c r="N21" s="174"/>
      <c r="O21" s="174"/>
      <c r="P21" s="174"/>
      <c r="Q21" s="174"/>
      <c r="R21" s="174"/>
      <c r="S21" s="174"/>
      <c r="T21" s="174"/>
      <c r="U21" s="174">
        <v>2</v>
      </c>
      <c r="V21" s="174"/>
      <c r="W21" s="174"/>
      <c r="X21" s="174"/>
      <c r="Y21" s="174"/>
      <c r="Z21" s="174"/>
      <c r="AA21" s="174"/>
      <c r="AB21" s="174"/>
      <c r="AC21" s="174">
        <v>2</v>
      </c>
      <c r="AD21" s="174"/>
      <c r="AE21" s="174"/>
      <c r="AF21" s="174"/>
      <c r="AG21" s="174"/>
      <c r="AH21" s="174"/>
      <c r="AI21" s="174"/>
      <c r="AJ21" s="174"/>
      <c r="AK21" s="174"/>
      <c r="AL21" s="174"/>
      <c r="AM21" s="174">
        <v>1</v>
      </c>
      <c r="AN21" s="174"/>
      <c r="AO21" s="174"/>
      <c r="AP21" s="174"/>
      <c r="AQ21" s="174"/>
      <c r="AR21" s="174"/>
      <c r="AS21" s="174"/>
      <c r="AT21" s="174"/>
      <c r="AU21" s="174"/>
      <c r="AV21" s="174"/>
      <c r="AW21" s="174"/>
      <c r="AX21" s="174"/>
      <c r="AY21" s="174"/>
      <c r="AZ21" s="174"/>
      <c r="BA21" s="174"/>
      <c r="BB21" s="174"/>
      <c r="BC21" s="174"/>
      <c r="BD21" s="174"/>
      <c r="BE21" s="174"/>
      <c r="BF21" s="174"/>
      <c r="BG21" s="174"/>
      <c r="BH21" s="174"/>
      <c r="BI21" s="174"/>
      <c r="BJ21" s="174"/>
      <c r="BK21" s="174"/>
      <c r="BL21" s="174"/>
      <c r="BM21" s="174"/>
      <c r="BN21" s="174"/>
      <c r="BO21" s="174"/>
      <c r="BP21" s="174"/>
      <c r="BQ21" s="174"/>
      <c r="BR21" s="174"/>
      <c r="BS21" s="174"/>
      <c r="BT21" s="174"/>
      <c r="BU21" s="174"/>
      <c r="BV21" s="174"/>
      <c r="BW21" s="174"/>
      <c r="BX21" s="174"/>
      <c r="BY21" s="174"/>
      <c r="BZ21" s="174"/>
      <c r="CA21" s="174"/>
      <c r="CB21" s="174"/>
      <c r="CC21" s="174"/>
      <c r="CD21" s="174"/>
      <c r="CE21" s="174"/>
      <c r="CF21" s="174"/>
      <c r="CG21" s="174"/>
      <c r="CH21" s="174"/>
      <c r="CI21" s="174"/>
      <c r="CJ21" s="174"/>
      <c r="CK21" s="174"/>
      <c r="CL21" s="174"/>
      <c r="CM21" s="174"/>
      <c r="CN21" s="174"/>
      <c r="CO21" s="174"/>
      <c r="CP21" s="174"/>
      <c r="CQ21" s="174"/>
      <c r="CR21" s="174"/>
      <c r="CS21" s="174"/>
      <c r="CT21" s="174"/>
      <c r="CU21" s="174"/>
      <c r="CV21" s="174"/>
      <c r="CW21" s="174"/>
      <c r="CX21" s="174"/>
      <c r="CY21" s="174"/>
      <c r="CZ21" s="174"/>
      <c r="DA21" s="174"/>
      <c r="DB21" s="174"/>
      <c r="DC21" s="174"/>
      <c r="DD21" s="174"/>
      <c r="DE21" s="174"/>
      <c r="DF21" s="174"/>
      <c r="DG21" s="174"/>
      <c r="DH21" s="174"/>
      <c r="DI21" s="174"/>
      <c r="DJ21" s="174"/>
      <c r="DK21" s="174"/>
      <c r="DL21" s="174"/>
      <c r="DM21" s="174"/>
      <c r="DN21" s="174"/>
      <c r="DO21" s="174"/>
      <c r="DP21" s="174"/>
      <c r="DQ21" s="174"/>
      <c r="DR21" s="174"/>
      <c r="DS21" s="174"/>
      <c r="DT21" s="174"/>
      <c r="DU21" s="174"/>
      <c r="DV21" s="174"/>
      <c r="DW21" s="174"/>
      <c r="DX21" s="174"/>
      <c r="DY21" s="174"/>
      <c r="DZ21" s="174"/>
      <c r="EA21" s="174"/>
      <c r="EB21" s="174"/>
      <c r="EC21" s="174"/>
      <c r="ED21" s="174"/>
      <c r="EE21" s="174"/>
      <c r="EF21" s="174"/>
      <c r="EG21" s="174"/>
      <c r="EH21" s="174"/>
      <c r="EI21" s="174"/>
      <c r="EJ21" s="174"/>
      <c r="EK21" s="174"/>
      <c r="EL21" s="174"/>
      <c r="EM21" s="174"/>
      <c r="EN21" s="174"/>
      <c r="EO21" s="174"/>
      <c r="EP21" s="174"/>
      <c r="EQ21" s="174"/>
      <c r="ER21" s="174"/>
      <c r="ES21" s="174"/>
      <c r="ET21" s="174"/>
      <c r="EU21" s="174"/>
      <c r="EV21" s="174"/>
      <c r="EW21" s="174"/>
      <c r="EX21" s="174"/>
      <c r="EY21" s="174"/>
      <c r="EZ21" s="174"/>
      <c r="FA21" s="174"/>
      <c r="FB21" s="174"/>
      <c r="FC21" s="174"/>
      <c r="FD21" s="174"/>
      <c r="FE21" s="174"/>
      <c r="FF21" s="174"/>
      <c r="FG21" s="174"/>
      <c r="FH21" s="174"/>
      <c r="FI21" s="174"/>
      <c r="FJ21" s="174"/>
      <c r="FK21" s="174"/>
      <c r="FL21" s="174"/>
      <c r="FM21" s="174"/>
      <c r="FN21" s="174"/>
      <c r="FO21" s="174"/>
      <c r="FP21" s="174"/>
      <c r="FQ21" s="174"/>
      <c r="FR21" s="174"/>
      <c r="FS21" s="174"/>
      <c r="FT21" s="174"/>
      <c r="FU21" s="174"/>
      <c r="FV21" s="174"/>
      <c r="FW21" s="174"/>
      <c r="FX21" s="174"/>
      <c r="FY21" s="174"/>
      <c r="FZ21" s="174"/>
      <c r="GA21" s="174"/>
      <c r="GB21" s="174"/>
      <c r="GC21" s="174"/>
      <c r="GD21" s="174"/>
      <c r="GE21" s="174"/>
      <c r="GF21" s="174"/>
      <c r="GG21" s="174"/>
      <c r="GH21" s="174"/>
      <c r="GI21" s="174"/>
      <c r="GJ21" s="174"/>
      <c r="GK21" s="174"/>
      <c r="GL21" s="174"/>
      <c r="GM21" s="174"/>
      <c r="GN21" s="174"/>
      <c r="GO21" s="174"/>
      <c r="GP21" s="174"/>
      <c r="GQ21" s="174"/>
      <c r="GR21" s="174"/>
      <c r="GS21" s="174"/>
      <c r="GT21" s="174"/>
      <c r="GU21" s="174"/>
      <c r="GV21" s="174"/>
      <c r="GW21" s="174"/>
      <c r="GX21" s="174"/>
      <c r="GY21" s="174"/>
      <c r="GZ21" s="174"/>
      <c r="HA21" s="174"/>
      <c r="HB21" s="174"/>
      <c r="HC21" s="174"/>
      <c r="HD21" s="174"/>
      <c r="HE21" s="174"/>
      <c r="HF21" s="174"/>
      <c r="HG21" s="174"/>
      <c r="HH21" s="174"/>
      <c r="HI21" s="174"/>
      <c r="HJ21" s="174"/>
      <c r="HK21" s="174"/>
      <c r="HL21" s="174"/>
      <c r="HM21" s="174"/>
      <c r="HN21" s="174"/>
      <c r="HO21" s="174"/>
      <c r="HP21" s="174"/>
      <c r="HQ21" s="174"/>
      <c r="HR21" s="174"/>
      <c r="HS21" s="174"/>
      <c r="HT21" s="174"/>
      <c r="HU21" s="174"/>
      <c r="HV21" s="174"/>
      <c r="HW21" s="174"/>
      <c r="HX21" s="174"/>
      <c r="HY21" s="174"/>
      <c r="HZ21" s="174"/>
      <c r="IA21" s="174"/>
      <c r="IB21" s="174"/>
      <c r="IC21" s="174"/>
      <c r="ID21" s="174"/>
      <c r="IE21" s="174"/>
      <c r="IF21" s="174"/>
      <c r="IG21" s="174"/>
      <c r="IH21" s="174"/>
      <c r="II21" s="174"/>
      <c r="IJ21" s="174"/>
      <c r="IK21" s="174"/>
      <c r="IL21" s="174"/>
      <c r="IM21" s="174"/>
      <c r="IN21" s="174"/>
      <c r="IO21" s="174"/>
      <c r="IP21" s="174"/>
      <c r="IQ21" s="174"/>
      <c r="IR21" s="174"/>
      <c r="IS21" s="174"/>
      <c r="IT21" s="174"/>
      <c r="IU21" s="75"/>
      <c r="IV21" s="75"/>
      <c r="IW21" s="75"/>
      <c r="IX21" s="75"/>
      <c r="IY21" s="75"/>
      <c r="IZ21" s="75"/>
      <c r="JA21" s="75"/>
      <c r="JB21" s="75"/>
      <c r="JC21" s="75"/>
      <c r="JD21" s="75"/>
      <c r="JF21" s="710" t="s">
        <v>824</v>
      </c>
      <c r="JG21" s="710" t="s">
        <v>907</v>
      </c>
      <c r="JH21" s="178">
        <f t="shared" si="1"/>
        <v>74645.605125000016</v>
      </c>
      <c r="JI21" s="174">
        <f t="shared" si="2"/>
        <v>0</v>
      </c>
    </row>
    <row r="22" spans="2:269" ht="15" customHeight="1" x14ac:dyDescent="0.25">
      <c r="B22" s="113">
        <v>19</v>
      </c>
      <c r="C22" s="353" t="str">
        <f t="shared" si="4"/>
        <v>87B concentrado (6 bays)</v>
      </c>
      <c r="D22" s="353" t="str">
        <f t="shared" si="3"/>
        <v>relé diferencial de barras concentrador (até 6 bays, 24TC/60BI/30BO)</v>
      </c>
      <c r="E22" s="174"/>
      <c r="F22" s="174"/>
      <c r="G22" s="174"/>
      <c r="H22" s="174"/>
      <c r="I22" s="174"/>
      <c r="J22" s="174"/>
      <c r="K22" s="174"/>
      <c r="L22" s="174">
        <v>2</v>
      </c>
      <c r="M22" s="174"/>
      <c r="N22" s="174"/>
      <c r="O22" s="174"/>
      <c r="P22" s="174"/>
      <c r="Q22" s="174"/>
      <c r="R22" s="174"/>
      <c r="S22" s="174"/>
      <c r="T22" s="174"/>
      <c r="U22" s="174"/>
      <c r="V22" s="174">
        <v>2</v>
      </c>
      <c r="W22" s="174"/>
      <c r="X22" s="174"/>
      <c r="Y22" s="174"/>
      <c r="Z22" s="174"/>
      <c r="AA22" s="174"/>
      <c r="AB22" s="174"/>
      <c r="AC22" s="174"/>
      <c r="AD22" s="174">
        <v>2</v>
      </c>
      <c r="AE22" s="174"/>
      <c r="AF22" s="174"/>
      <c r="AG22" s="174"/>
      <c r="AH22" s="174"/>
      <c r="AI22" s="174"/>
      <c r="AJ22" s="174"/>
      <c r="AK22" s="174"/>
      <c r="AL22" s="174"/>
      <c r="AM22" s="174"/>
      <c r="AN22" s="174">
        <v>1</v>
      </c>
      <c r="AO22" s="174"/>
      <c r="AP22" s="174"/>
      <c r="AQ22" s="174"/>
      <c r="AR22" s="174"/>
      <c r="AS22" s="174"/>
      <c r="AT22" s="174"/>
      <c r="AU22" s="174"/>
      <c r="AV22" s="174"/>
      <c r="AW22" s="174"/>
      <c r="AX22" s="174"/>
      <c r="AY22" s="174"/>
      <c r="AZ22" s="174"/>
      <c r="BA22" s="174"/>
      <c r="BB22" s="174"/>
      <c r="BC22" s="174"/>
      <c r="BD22" s="174"/>
      <c r="BE22" s="174"/>
      <c r="BF22" s="174"/>
      <c r="BG22" s="174"/>
      <c r="BH22" s="174"/>
      <c r="BI22" s="174"/>
      <c r="BJ22" s="174"/>
      <c r="BK22" s="174"/>
      <c r="BL22" s="174"/>
      <c r="BM22" s="174"/>
      <c r="BN22" s="174"/>
      <c r="BO22" s="174"/>
      <c r="BP22" s="174"/>
      <c r="BQ22" s="174"/>
      <c r="BR22" s="174"/>
      <c r="BS22" s="174"/>
      <c r="BT22" s="174"/>
      <c r="BU22" s="174"/>
      <c r="BV22" s="174"/>
      <c r="BW22" s="174"/>
      <c r="BX22" s="174"/>
      <c r="BY22" s="174"/>
      <c r="BZ22" s="174"/>
      <c r="CA22" s="174"/>
      <c r="CB22" s="174"/>
      <c r="CC22" s="174"/>
      <c r="CD22" s="174"/>
      <c r="CE22" s="174"/>
      <c r="CF22" s="174"/>
      <c r="CG22" s="174"/>
      <c r="CH22" s="174"/>
      <c r="CI22" s="174"/>
      <c r="CJ22" s="174"/>
      <c r="CK22" s="174"/>
      <c r="CL22" s="174"/>
      <c r="CM22" s="174"/>
      <c r="CN22" s="174"/>
      <c r="CO22" s="174"/>
      <c r="CP22" s="174"/>
      <c r="CQ22" s="174"/>
      <c r="CR22" s="174"/>
      <c r="CS22" s="174"/>
      <c r="CT22" s="174"/>
      <c r="CU22" s="174"/>
      <c r="CV22" s="174"/>
      <c r="CW22" s="174"/>
      <c r="CX22" s="174"/>
      <c r="CY22" s="174"/>
      <c r="CZ22" s="174"/>
      <c r="DA22" s="174"/>
      <c r="DB22" s="174"/>
      <c r="DC22" s="174"/>
      <c r="DD22" s="174"/>
      <c r="DE22" s="174"/>
      <c r="DF22" s="174"/>
      <c r="DG22" s="174"/>
      <c r="DH22" s="174"/>
      <c r="DI22" s="174"/>
      <c r="DJ22" s="174"/>
      <c r="DK22" s="174"/>
      <c r="DL22" s="174"/>
      <c r="DM22" s="174"/>
      <c r="DN22" s="174"/>
      <c r="DO22" s="174"/>
      <c r="DP22" s="174"/>
      <c r="DQ22" s="174"/>
      <c r="DR22" s="174"/>
      <c r="DS22" s="174"/>
      <c r="DT22" s="174"/>
      <c r="DU22" s="174"/>
      <c r="DV22" s="174"/>
      <c r="DW22" s="174"/>
      <c r="DX22" s="174"/>
      <c r="DY22" s="174"/>
      <c r="DZ22" s="174"/>
      <c r="EA22" s="174"/>
      <c r="EB22" s="174"/>
      <c r="EC22" s="174"/>
      <c r="ED22" s="174"/>
      <c r="EE22" s="174"/>
      <c r="EF22" s="174"/>
      <c r="EG22" s="174"/>
      <c r="EH22" s="174"/>
      <c r="EI22" s="174"/>
      <c r="EJ22" s="174"/>
      <c r="EK22" s="174"/>
      <c r="EL22" s="174"/>
      <c r="EM22" s="174"/>
      <c r="EN22" s="174"/>
      <c r="EO22" s="174"/>
      <c r="EP22" s="174"/>
      <c r="EQ22" s="174"/>
      <c r="ER22" s="174"/>
      <c r="ES22" s="174"/>
      <c r="ET22" s="174"/>
      <c r="EU22" s="174"/>
      <c r="EV22" s="174"/>
      <c r="EW22" s="174"/>
      <c r="EX22" s="174"/>
      <c r="EY22" s="174"/>
      <c r="EZ22" s="174"/>
      <c r="FA22" s="174"/>
      <c r="FB22" s="174"/>
      <c r="FC22" s="174"/>
      <c r="FD22" s="174"/>
      <c r="FE22" s="174"/>
      <c r="FF22" s="174"/>
      <c r="FG22" s="174"/>
      <c r="FH22" s="174"/>
      <c r="FI22" s="174"/>
      <c r="FJ22" s="174"/>
      <c r="FK22" s="174"/>
      <c r="FL22" s="174"/>
      <c r="FM22" s="174"/>
      <c r="FN22" s="174"/>
      <c r="FO22" s="174"/>
      <c r="FP22" s="174"/>
      <c r="FQ22" s="174"/>
      <c r="FR22" s="174"/>
      <c r="FS22" s="174"/>
      <c r="FT22" s="174"/>
      <c r="FU22" s="174"/>
      <c r="FV22" s="174"/>
      <c r="FW22" s="174"/>
      <c r="FX22" s="174"/>
      <c r="FY22" s="174"/>
      <c r="FZ22" s="174"/>
      <c r="GA22" s="174"/>
      <c r="GB22" s="174"/>
      <c r="GC22" s="174"/>
      <c r="GD22" s="174"/>
      <c r="GE22" s="174"/>
      <c r="GF22" s="174"/>
      <c r="GG22" s="174"/>
      <c r="GH22" s="174"/>
      <c r="GI22" s="174"/>
      <c r="GJ22" s="174"/>
      <c r="GK22" s="174"/>
      <c r="GL22" s="174"/>
      <c r="GM22" s="174"/>
      <c r="GN22" s="174"/>
      <c r="GO22" s="174"/>
      <c r="GP22" s="174"/>
      <c r="GQ22" s="174"/>
      <c r="GR22" s="174"/>
      <c r="GS22" s="174"/>
      <c r="GT22" s="174"/>
      <c r="GU22" s="174"/>
      <c r="GV22" s="174"/>
      <c r="GW22" s="174"/>
      <c r="GX22" s="174"/>
      <c r="GY22" s="174"/>
      <c r="GZ22" s="174"/>
      <c r="HA22" s="174"/>
      <c r="HB22" s="174"/>
      <c r="HC22" s="174"/>
      <c r="HD22" s="174"/>
      <c r="HE22" s="174"/>
      <c r="HF22" s="174"/>
      <c r="HG22" s="174"/>
      <c r="HH22" s="174"/>
      <c r="HI22" s="174"/>
      <c r="HJ22" s="174"/>
      <c r="HK22" s="174"/>
      <c r="HL22" s="174"/>
      <c r="HM22" s="174"/>
      <c r="HN22" s="174"/>
      <c r="HO22" s="174"/>
      <c r="HP22" s="174"/>
      <c r="HQ22" s="174"/>
      <c r="HR22" s="174"/>
      <c r="HS22" s="174"/>
      <c r="HT22" s="174"/>
      <c r="HU22" s="174"/>
      <c r="HV22" s="174"/>
      <c r="HW22" s="174"/>
      <c r="HX22" s="174"/>
      <c r="HY22" s="174"/>
      <c r="HZ22" s="174"/>
      <c r="IA22" s="174"/>
      <c r="IB22" s="174"/>
      <c r="IC22" s="174"/>
      <c r="ID22" s="174"/>
      <c r="IE22" s="174"/>
      <c r="IF22" s="174"/>
      <c r="IG22" s="174"/>
      <c r="IH22" s="174"/>
      <c r="II22" s="174"/>
      <c r="IJ22" s="174"/>
      <c r="IK22" s="174"/>
      <c r="IL22" s="174"/>
      <c r="IM22" s="174"/>
      <c r="IN22" s="174"/>
      <c r="IO22" s="174"/>
      <c r="IP22" s="174"/>
      <c r="IQ22" s="174"/>
      <c r="IR22" s="174"/>
      <c r="IS22" s="174"/>
      <c r="IT22" s="174"/>
      <c r="IU22" s="75"/>
      <c r="IV22" s="75"/>
      <c r="IW22" s="75"/>
      <c r="IX22" s="75"/>
      <c r="IY22" s="75"/>
      <c r="IZ22" s="75"/>
      <c r="JA22" s="75"/>
      <c r="JB22" s="75"/>
      <c r="JC22" s="75"/>
      <c r="JD22" s="75"/>
      <c r="JF22" s="710" t="s">
        <v>825</v>
      </c>
      <c r="JG22" s="710" t="s">
        <v>908</v>
      </c>
      <c r="JH22" s="178">
        <f t="shared" si="1"/>
        <v>76895.807625000016</v>
      </c>
      <c r="JI22" s="174">
        <f t="shared" si="2"/>
        <v>0</v>
      </c>
    </row>
    <row r="23" spans="2:269" ht="15" customHeight="1" x14ac:dyDescent="0.25">
      <c r="B23" s="113">
        <v>20</v>
      </c>
      <c r="C23" s="353" t="str">
        <f t="shared" ref="C23:C86" si="5">IF(JF23&lt;&gt;"",JF23,"")</f>
        <v>87B concentrado (8 bays)</v>
      </c>
      <c r="D23" s="353" t="str">
        <f t="shared" ref="D23:D86" si="6">IF(JG23&lt;&gt;"",JG23,"")</f>
        <v>relé diferencial de barras concentrador (até 8 bays, 32TC/80BI/40BO)</v>
      </c>
      <c r="E23" s="174"/>
      <c r="F23" s="174"/>
      <c r="G23" s="174"/>
      <c r="H23" s="174"/>
      <c r="I23" s="174"/>
      <c r="J23" s="174"/>
      <c r="K23" s="174"/>
      <c r="L23" s="174"/>
      <c r="M23" s="174">
        <v>2</v>
      </c>
      <c r="N23" s="174"/>
      <c r="O23" s="174"/>
      <c r="P23" s="174"/>
      <c r="Q23" s="174"/>
      <c r="R23" s="174"/>
      <c r="S23" s="174"/>
      <c r="T23" s="174"/>
      <c r="U23" s="174"/>
      <c r="V23" s="174"/>
      <c r="W23" s="174">
        <v>2</v>
      </c>
      <c r="X23" s="174"/>
      <c r="Y23" s="174"/>
      <c r="Z23" s="174"/>
      <c r="AA23" s="174"/>
      <c r="AB23" s="174"/>
      <c r="AC23" s="174"/>
      <c r="AD23" s="174"/>
      <c r="AE23" s="174">
        <v>2</v>
      </c>
      <c r="AF23" s="174"/>
      <c r="AG23" s="174"/>
      <c r="AH23" s="174"/>
      <c r="AI23" s="174"/>
      <c r="AJ23" s="174"/>
      <c r="AK23" s="174"/>
      <c r="AL23" s="174"/>
      <c r="AM23" s="174"/>
      <c r="AN23" s="174"/>
      <c r="AO23" s="174">
        <v>1</v>
      </c>
      <c r="AP23" s="174"/>
      <c r="AQ23" s="174"/>
      <c r="AR23" s="174"/>
      <c r="AS23" s="174"/>
      <c r="AT23" s="174"/>
      <c r="AU23" s="174"/>
      <c r="AV23" s="174"/>
      <c r="AW23" s="174"/>
      <c r="AX23" s="174"/>
      <c r="AY23" s="174"/>
      <c r="AZ23" s="174"/>
      <c r="BA23" s="174"/>
      <c r="BB23" s="174"/>
      <c r="BC23" s="174"/>
      <c r="BD23" s="174"/>
      <c r="BE23" s="174"/>
      <c r="BF23" s="174"/>
      <c r="BG23" s="174"/>
      <c r="BH23" s="174"/>
      <c r="BI23" s="174"/>
      <c r="BJ23" s="174"/>
      <c r="BK23" s="174"/>
      <c r="BL23" s="174"/>
      <c r="BM23" s="174"/>
      <c r="BN23" s="174"/>
      <c r="BO23" s="174"/>
      <c r="BP23" s="174"/>
      <c r="BQ23" s="174"/>
      <c r="BR23" s="174"/>
      <c r="BS23" s="174"/>
      <c r="BT23" s="174"/>
      <c r="BU23" s="174"/>
      <c r="BV23" s="174"/>
      <c r="BW23" s="174"/>
      <c r="BX23" s="174"/>
      <c r="BY23" s="174"/>
      <c r="BZ23" s="174"/>
      <c r="CA23" s="174"/>
      <c r="CB23" s="174"/>
      <c r="CC23" s="174"/>
      <c r="CD23" s="174"/>
      <c r="CE23" s="174"/>
      <c r="CF23" s="174"/>
      <c r="CG23" s="174"/>
      <c r="CH23" s="174"/>
      <c r="CI23" s="174"/>
      <c r="CJ23" s="174"/>
      <c r="CK23" s="174"/>
      <c r="CL23" s="174"/>
      <c r="CM23" s="174"/>
      <c r="CN23" s="174"/>
      <c r="CO23" s="174"/>
      <c r="CP23" s="174"/>
      <c r="CQ23" s="174"/>
      <c r="CR23" s="174"/>
      <c r="CS23" s="174"/>
      <c r="CT23" s="174"/>
      <c r="CU23" s="174"/>
      <c r="CV23" s="174"/>
      <c r="CW23" s="174"/>
      <c r="CX23" s="174"/>
      <c r="CY23" s="174"/>
      <c r="CZ23" s="174"/>
      <c r="DA23" s="174"/>
      <c r="DB23" s="174"/>
      <c r="DC23" s="174"/>
      <c r="DD23" s="174"/>
      <c r="DE23" s="174"/>
      <c r="DF23" s="174"/>
      <c r="DG23" s="174"/>
      <c r="DH23" s="174"/>
      <c r="DI23" s="174"/>
      <c r="DJ23" s="174"/>
      <c r="DK23" s="174"/>
      <c r="DL23" s="174"/>
      <c r="DM23" s="174"/>
      <c r="DN23" s="174"/>
      <c r="DO23" s="174"/>
      <c r="DP23" s="174"/>
      <c r="DQ23" s="174"/>
      <c r="DR23" s="174"/>
      <c r="DS23" s="174"/>
      <c r="DT23" s="174"/>
      <c r="DU23" s="174"/>
      <c r="DV23" s="174"/>
      <c r="DW23" s="174"/>
      <c r="DX23" s="174"/>
      <c r="DY23" s="174"/>
      <c r="DZ23" s="174"/>
      <c r="EA23" s="174"/>
      <c r="EB23" s="174"/>
      <c r="EC23" s="174"/>
      <c r="ED23" s="174"/>
      <c r="EE23" s="174"/>
      <c r="EF23" s="174"/>
      <c r="EG23" s="174"/>
      <c r="EH23" s="174"/>
      <c r="EI23" s="174"/>
      <c r="EJ23" s="174"/>
      <c r="EK23" s="174"/>
      <c r="EL23" s="174"/>
      <c r="EM23" s="174"/>
      <c r="EN23" s="174"/>
      <c r="EO23" s="174"/>
      <c r="EP23" s="174"/>
      <c r="EQ23" s="174"/>
      <c r="ER23" s="174"/>
      <c r="ES23" s="174"/>
      <c r="ET23" s="174"/>
      <c r="EU23" s="174"/>
      <c r="EV23" s="174"/>
      <c r="EW23" s="174"/>
      <c r="EX23" s="174"/>
      <c r="EY23" s="174"/>
      <c r="EZ23" s="174"/>
      <c r="FA23" s="174"/>
      <c r="FB23" s="174"/>
      <c r="FC23" s="174"/>
      <c r="FD23" s="174"/>
      <c r="FE23" s="174"/>
      <c r="FF23" s="174"/>
      <c r="FG23" s="174"/>
      <c r="FH23" s="174"/>
      <c r="FI23" s="174"/>
      <c r="FJ23" s="174"/>
      <c r="FK23" s="174"/>
      <c r="FL23" s="174"/>
      <c r="FM23" s="174"/>
      <c r="FN23" s="174"/>
      <c r="FO23" s="174"/>
      <c r="FP23" s="174"/>
      <c r="FQ23" s="174"/>
      <c r="FR23" s="174"/>
      <c r="FS23" s="174"/>
      <c r="FT23" s="174"/>
      <c r="FU23" s="174"/>
      <c r="FV23" s="174"/>
      <c r="FW23" s="174"/>
      <c r="FX23" s="174"/>
      <c r="FY23" s="174"/>
      <c r="FZ23" s="174"/>
      <c r="GA23" s="174"/>
      <c r="GB23" s="174"/>
      <c r="GC23" s="174"/>
      <c r="GD23" s="174"/>
      <c r="GE23" s="174"/>
      <c r="GF23" s="174"/>
      <c r="GG23" s="174"/>
      <c r="GH23" s="174"/>
      <c r="GI23" s="174"/>
      <c r="GJ23" s="174"/>
      <c r="GK23" s="174"/>
      <c r="GL23" s="174"/>
      <c r="GM23" s="174"/>
      <c r="GN23" s="174"/>
      <c r="GO23" s="174"/>
      <c r="GP23" s="174"/>
      <c r="GQ23" s="174"/>
      <c r="GR23" s="174"/>
      <c r="GS23" s="174"/>
      <c r="GT23" s="174"/>
      <c r="GU23" s="174"/>
      <c r="GV23" s="174"/>
      <c r="GW23" s="174"/>
      <c r="GX23" s="174"/>
      <c r="GY23" s="174"/>
      <c r="GZ23" s="174"/>
      <c r="HA23" s="174"/>
      <c r="HB23" s="174"/>
      <c r="HC23" s="174"/>
      <c r="HD23" s="174"/>
      <c r="HE23" s="174"/>
      <c r="HF23" s="174"/>
      <c r="HG23" s="174"/>
      <c r="HH23" s="174"/>
      <c r="HI23" s="174"/>
      <c r="HJ23" s="174"/>
      <c r="HK23" s="174"/>
      <c r="HL23" s="174"/>
      <c r="HM23" s="174"/>
      <c r="HN23" s="174"/>
      <c r="HO23" s="174"/>
      <c r="HP23" s="174"/>
      <c r="HQ23" s="174"/>
      <c r="HR23" s="174"/>
      <c r="HS23" s="174"/>
      <c r="HT23" s="174"/>
      <c r="HU23" s="174"/>
      <c r="HV23" s="174"/>
      <c r="HW23" s="174"/>
      <c r="HX23" s="174"/>
      <c r="HY23" s="174"/>
      <c r="HZ23" s="174"/>
      <c r="IA23" s="174"/>
      <c r="IB23" s="174"/>
      <c r="IC23" s="174"/>
      <c r="ID23" s="174"/>
      <c r="IE23" s="174"/>
      <c r="IF23" s="174"/>
      <c r="IG23" s="174"/>
      <c r="IH23" s="174"/>
      <c r="II23" s="174"/>
      <c r="IJ23" s="174"/>
      <c r="IK23" s="174"/>
      <c r="IL23" s="174"/>
      <c r="IM23" s="174"/>
      <c r="IN23" s="174"/>
      <c r="IO23" s="174"/>
      <c r="IP23" s="174"/>
      <c r="IQ23" s="174"/>
      <c r="IR23" s="174"/>
      <c r="IS23" s="174"/>
      <c r="IT23" s="174"/>
      <c r="IU23" s="75"/>
      <c r="IV23" s="75"/>
      <c r="IW23" s="75"/>
      <c r="IX23" s="75"/>
      <c r="IY23" s="75"/>
      <c r="IZ23" s="75"/>
      <c r="JA23" s="75"/>
      <c r="JB23" s="75"/>
      <c r="JC23" s="75"/>
      <c r="JD23" s="75"/>
      <c r="JF23" s="710" t="s">
        <v>826</v>
      </c>
      <c r="JG23" s="710" t="s">
        <v>909</v>
      </c>
      <c r="JH23" s="178">
        <f t="shared" si="1"/>
        <v>87076.33987500002</v>
      </c>
      <c r="JI23" s="174">
        <f t="shared" si="2"/>
        <v>0</v>
      </c>
    </row>
    <row r="24" spans="2:269" ht="15" customHeight="1" x14ac:dyDescent="0.25">
      <c r="B24" s="113">
        <v>21</v>
      </c>
      <c r="C24" s="353" t="str">
        <f t="shared" si="5"/>
        <v>87B concentrado (10 bays)</v>
      </c>
      <c r="D24" s="353" t="str">
        <f t="shared" si="6"/>
        <v>relé diferencial de barras concentrador (até 10 bays, 40TC/100BI/50BO)</v>
      </c>
      <c r="E24" s="174"/>
      <c r="F24" s="174"/>
      <c r="G24" s="174"/>
      <c r="H24" s="174"/>
      <c r="I24" s="174"/>
      <c r="J24" s="174"/>
      <c r="K24" s="174"/>
      <c r="L24" s="174"/>
      <c r="M24" s="174"/>
      <c r="N24" s="174"/>
      <c r="O24" s="174"/>
      <c r="P24" s="174"/>
      <c r="Q24" s="174"/>
      <c r="R24" s="174"/>
      <c r="S24" s="174"/>
      <c r="T24" s="174"/>
      <c r="U24" s="174"/>
      <c r="V24" s="174"/>
      <c r="W24" s="174"/>
      <c r="X24" s="174">
        <v>2</v>
      </c>
      <c r="Y24" s="174"/>
      <c r="Z24" s="174"/>
      <c r="AA24" s="174"/>
      <c r="AB24" s="174"/>
      <c r="AC24" s="174"/>
      <c r="AD24" s="174"/>
      <c r="AE24" s="174"/>
      <c r="AF24" s="174">
        <v>2</v>
      </c>
      <c r="AG24" s="174"/>
      <c r="AH24" s="174"/>
      <c r="AI24" s="174"/>
      <c r="AJ24" s="174"/>
      <c r="AK24" s="174"/>
      <c r="AL24" s="174"/>
      <c r="AM24" s="174"/>
      <c r="AN24" s="174"/>
      <c r="AO24" s="174"/>
      <c r="AP24" s="174">
        <v>1</v>
      </c>
      <c r="AQ24" s="174"/>
      <c r="AR24" s="174"/>
      <c r="AS24" s="174"/>
      <c r="AT24" s="174"/>
      <c r="AU24" s="174"/>
      <c r="AV24" s="174"/>
      <c r="AW24" s="174"/>
      <c r="AX24" s="174"/>
      <c r="AY24" s="174"/>
      <c r="AZ24" s="174"/>
      <c r="BA24" s="174"/>
      <c r="BB24" s="174"/>
      <c r="BC24" s="174"/>
      <c r="BD24" s="174"/>
      <c r="BE24" s="174"/>
      <c r="BF24" s="174"/>
      <c r="BG24" s="174"/>
      <c r="BH24" s="174"/>
      <c r="BI24" s="174"/>
      <c r="BJ24" s="174"/>
      <c r="BK24" s="174"/>
      <c r="BL24" s="174"/>
      <c r="BM24" s="174"/>
      <c r="BN24" s="174"/>
      <c r="BO24" s="174"/>
      <c r="BP24" s="174"/>
      <c r="BQ24" s="174"/>
      <c r="BR24" s="174"/>
      <c r="BS24" s="174"/>
      <c r="BT24" s="174"/>
      <c r="BU24" s="174"/>
      <c r="BV24" s="174"/>
      <c r="BW24" s="174"/>
      <c r="BX24" s="174"/>
      <c r="BY24" s="174"/>
      <c r="BZ24" s="174"/>
      <c r="CA24" s="174"/>
      <c r="CB24" s="174"/>
      <c r="CC24" s="174"/>
      <c r="CD24" s="174"/>
      <c r="CE24" s="174"/>
      <c r="CF24" s="174"/>
      <c r="CG24" s="174"/>
      <c r="CH24" s="174"/>
      <c r="CI24" s="174"/>
      <c r="CJ24" s="174"/>
      <c r="CK24" s="174"/>
      <c r="CL24" s="174"/>
      <c r="CM24" s="174"/>
      <c r="CN24" s="174"/>
      <c r="CO24" s="174"/>
      <c r="CP24" s="174"/>
      <c r="CQ24" s="174"/>
      <c r="CR24" s="174"/>
      <c r="CS24" s="174"/>
      <c r="CT24" s="174"/>
      <c r="CU24" s="174"/>
      <c r="CV24" s="174"/>
      <c r="CW24" s="174"/>
      <c r="CX24" s="174"/>
      <c r="CY24" s="174"/>
      <c r="CZ24" s="174"/>
      <c r="DA24" s="174"/>
      <c r="DB24" s="174"/>
      <c r="DC24" s="174"/>
      <c r="DD24" s="174"/>
      <c r="DE24" s="174"/>
      <c r="DF24" s="174"/>
      <c r="DG24" s="174"/>
      <c r="DH24" s="174"/>
      <c r="DI24" s="174"/>
      <c r="DJ24" s="174"/>
      <c r="DK24" s="174"/>
      <c r="DL24" s="174"/>
      <c r="DM24" s="174"/>
      <c r="DN24" s="174"/>
      <c r="DO24" s="174"/>
      <c r="DP24" s="174"/>
      <c r="DQ24" s="174"/>
      <c r="DR24" s="174"/>
      <c r="DS24" s="174"/>
      <c r="DT24" s="174"/>
      <c r="DU24" s="174"/>
      <c r="DV24" s="174"/>
      <c r="DW24" s="174"/>
      <c r="DX24" s="174"/>
      <c r="DY24" s="174"/>
      <c r="DZ24" s="174"/>
      <c r="EA24" s="174"/>
      <c r="EB24" s="174"/>
      <c r="EC24" s="174"/>
      <c r="ED24" s="174"/>
      <c r="EE24" s="174"/>
      <c r="EF24" s="174"/>
      <c r="EG24" s="174"/>
      <c r="EH24" s="174"/>
      <c r="EI24" s="174"/>
      <c r="EJ24" s="174"/>
      <c r="EK24" s="174"/>
      <c r="EL24" s="174"/>
      <c r="EM24" s="174"/>
      <c r="EN24" s="174"/>
      <c r="EO24" s="174"/>
      <c r="EP24" s="174"/>
      <c r="EQ24" s="174"/>
      <c r="ER24" s="174"/>
      <c r="ES24" s="174"/>
      <c r="ET24" s="174"/>
      <c r="EU24" s="174"/>
      <c r="EV24" s="174"/>
      <c r="EW24" s="174"/>
      <c r="EX24" s="174"/>
      <c r="EY24" s="174"/>
      <c r="EZ24" s="174"/>
      <c r="FA24" s="174"/>
      <c r="FB24" s="174"/>
      <c r="FC24" s="174"/>
      <c r="FD24" s="174"/>
      <c r="FE24" s="174"/>
      <c r="FF24" s="174"/>
      <c r="FG24" s="174"/>
      <c r="FH24" s="174"/>
      <c r="FI24" s="174"/>
      <c r="FJ24" s="174"/>
      <c r="FK24" s="174"/>
      <c r="FL24" s="174"/>
      <c r="FM24" s="174"/>
      <c r="FN24" s="174"/>
      <c r="FO24" s="174"/>
      <c r="FP24" s="174"/>
      <c r="FQ24" s="174"/>
      <c r="FR24" s="174"/>
      <c r="FS24" s="174"/>
      <c r="FT24" s="174"/>
      <c r="FU24" s="174"/>
      <c r="FV24" s="174"/>
      <c r="FW24" s="174"/>
      <c r="FX24" s="174"/>
      <c r="FY24" s="174"/>
      <c r="FZ24" s="174"/>
      <c r="GA24" s="174"/>
      <c r="GB24" s="174"/>
      <c r="GC24" s="174"/>
      <c r="GD24" s="174"/>
      <c r="GE24" s="174"/>
      <c r="GF24" s="174"/>
      <c r="GG24" s="174"/>
      <c r="GH24" s="174"/>
      <c r="GI24" s="174"/>
      <c r="GJ24" s="174"/>
      <c r="GK24" s="174"/>
      <c r="GL24" s="174"/>
      <c r="GM24" s="174"/>
      <c r="GN24" s="174"/>
      <c r="GO24" s="174"/>
      <c r="GP24" s="174"/>
      <c r="GQ24" s="174"/>
      <c r="GR24" s="174"/>
      <c r="GS24" s="174"/>
      <c r="GT24" s="174"/>
      <c r="GU24" s="174"/>
      <c r="GV24" s="174"/>
      <c r="GW24" s="174"/>
      <c r="GX24" s="174"/>
      <c r="GY24" s="174"/>
      <c r="GZ24" s="174"/>
      <c r="HA24" s="174"/>
      <c r="HB24" s="174"/>
      <c r="HC24" s="174"/>
      <c r="HD24" s="174"/>
      <c r="HE24" s="174"/>
      <c r="HF24" s="174"/>
      <c r="HG24" s="174"/>
      <c r="HH24" s="174"/>
      <c r="HI24" s="174"/>
      <c r="HJ24" s="174"/>
      <c r="HK24" s="174"/>
      <c r="HL24" s="174"/>
      <c r="HM24" s="174"/>
      <c r="HN24" s="174"/>
      <c r="HO24" s="174"/>
      <c r="HP24" s="174"/>
      <c r="HQ24" s="174"/>
      <c r="HR24" s="174"/>
      <c r="HS24" s="174"/>
      <c r="HT24" s="174"/>
      <c r="HU24" s="174"/>
      <c r="HV24" s="174"/>
      <c r="HW24" s="174"/>
      <c r="HX24" s="174"/>
      <c r="HY24" s="174"/>
      <c r="HZ24" s="174"/>
      <c r="IA24" s="174"/>
      <c r="IB24" s="174"/>
      <c r="IC24" s="174"/>
      <c r="ID24" s="174"/>
      <c r="IE24" s="174"/>
      <c r="IF24" s="174"/>
      <c r="IG24" s="174"/>
      <c r="IH24" s="174"/>
      <c r="II24" s="174"/>
      <c r="IJ24" s="174"/>
      <c r="IK24" s="174"/>
      <c r="IL24" s="174"/>
      <c r="IM24" s="174"/>
      <c r="IN24" s="174"/>
      <c r="IO24" s="174"/>
      <c r="IP24" s="174"/>
      <c r="IQ24" s="174"/>
      <c r="IR24" s="174"/>
      <c r="IS24" s="174"/>
      <c r="IT24" s="174"/>
      <c r="IU24" s="75"/>
      <c r="IV24" s="75"/>
      <c r="IW24" s="75"/>
      <c r="IX24" s="75"/>
      <c r="IY24" s="75"/>
      <c r="IZ24" s="75"/>
      <c r="JA24" s="75"/>
      <c r="JB24" s="75"/>
      <c r="JC24" s="75"/>
      <c r="JD24" s="75"/>
      <c r="JF24" s="710" t="s">
        <v>827</v>
      </c>
      <c r="JG24" s="710" t="s">
        <v>910</v>
      </c>
      <c r="JH24" s="178">
        <f t="shared" si="1"/>
        <v>96000.699375000011</v>
      </c>
      <c r="JI24" s="174">
        <f t="shared" si="2"/>
        <v>0</v>
      </c>
    </row>
    <row r="25" spans="2:269" ht="15" customHeight="1" x14ac:dyDescent="0.25">
      <c r="B25" s="113">
        <v>22</v>
      </c>
      <c r="C25" s="353" t="str">
        <f t="shared" si="5"/>
        <v>UAC P</v>
      </c>
      <c r="D25" s="353" t="str">
        <f t="shared" si="6"/>
        <v>UAC (4TC/4TP/35BI/20BO)</v>
      </c>
      <c r="E25" s="174"/>
      <c r="F25" s="174">
        <v>1</v>
      </c>
      <c r="G25" s="174"/>
      <c r="H25" s="174">
        <v>1</v>
      </c>
      <c r="I25" s="174"/>
      <c r="J25" s="174"/>
      <c r="K25" s="174"/>
      <c r="L25" s="174"/>
      <c r="M25" s="174"/>
      <c r="N25" s="174">
        <v>1</v>
      </c>
      <c r="O25" s="174"/>
      <c r="P25" s="174">
        <v>1</v>
      </c>
      <c r="Q25" s="174"/>
      <c r="R25" s="174"/>
      <c r="S25" s="174">
        <v>1</v>
      </c>
      <c r="T25" s="174"/>
      <c r="U25" s="174"/>
      <c r="V25" s="174"/>
      <c r="W25" s="174"/>
      <c r="X25" s="174"/>
      <c r="Y25" s="174"/>
      <c r="Z25" s="174">
        <v>1</v>
      </c>
      <c r="AA25" s="174"/>
      <c r="AB25" s="174"/>
      <c r="AC25" s="174"/>
      <c r="AD25" s="174"/>
      <c r="AE25" s="174"/>
      <c r="AF25" s="174"/>
      <c r="AG25" s="174"/>
      <c r="AH25" s="174"/>
      <c r="AI25" s="174">
        <v>1</v>
      </c>
      <c r="AJ25" s="174"/>
      <c r="AK25" s="174"/>
      <c r="AL25" s="174"/>
      <c r="AM25" s="174"/>
      <c r="AN25" s="174"/>
      <c r="AO25" s="174"/>
      <c r="AP25" s="174"/>
      <c r="AQ25" s="174">
        <v>1</v>
      </c>
      <c r="AR25" s="174"/>
      <c r="AS25" s="174"/>
      <c r="AT25" s="174"/>
      <c r="AU25" s="174"/>
      <c r="AV25" s="174"/>
      <c r="AW25" s="174"/>
      <c r="AX25" s="174"/>
      <c r="AY25" s="174"/>
      <c r="AZ25" s="174"/>
      <c r="BA25" s="174"/>
      <c r="BB25" s="174"/>
      <c r="BC25" s="174"/>
      <c r="BD25" s="174"/>
      <c r="BE25" s="174"/>
      <c r="BF25" s="174"/>
      <c r="BG25" s="174"/>
      <c r="BH25" s="174"/>
      <c r="BI25" s="174"/>
      <c r="BJ25" s="174"/>
      <c r="BK25" s="174"/>
      <c r="BL25" s="174"/>
      <c r="BM25" s="174"/>
      <c r="BN25" s="174"/>
      <c r="BO25" s="174"/>
      <c r="BP25" s="174"/>
      <c r="BQ25" s="174"/>
      <c r="BR25" s="174"/>
      <c r="BS25" s="174"/>
      <c r="BT25" s="174"/>
      <c r="BU25" s="174"/>
      <c r="BV25" s="174"/>
      <c r="BW25" s="174"/>
      <c r="BX25" s="174"/>
      <c r="BY25" s="174"/>
      <c r="BZ25" s="174"/>
      <c r="CA25" s="174"/>
      <c r="CB25" s="174"/>
      <c r="CC25" s="174"/>
      <c r="CD25" s="174"/>
      <c r="CE25" s="174"/>
      <c r="CF25" s="174"/>
      <c r="CG25" s="174"/>
      <c r="CH25" s="174"/>
      <c r="CI25" s="174"/>
      <c r="CJ25" s="174"/>
      <c r="CK25" s="174"/>
      <c r="CL25" s="174"/>
      <c r="CM25" s="174"/>
      <c r="CN25" s="174"/>
      <c r="CO25" s="174"/>
      <c r="CP25" s="174"/>
      <c r="CQ25" s="174"/>
      <c r="CR25" s="174"/>
      <c r="CS25" s="174"/>
      <c r="CT25" s="174"/>
      <c r="CU25" s="174"/>
      <c r="CV25" s="174"/>
      <c r="CW25" s="174"/>
      <c r="CX25" s="174"/>
      <c r="CY25" s="174"/>
      <c r="CZ25" s="174"/>
      <c r="DA25" s="174"/>
      <c r="DB25" s="174"/>
      <c r="DC25" s="174"/>
      <c r="DD25" s="174"/>
      <c r="DE25" s="174"/>
      <c r="DF25" s="174"/>
      <c r="DG25" s="174"/>
      <c r="DH25" s="174"/>
      <c r="DI25" s="174"/>
      <c r="DJ25" s="174"/>
      <c r="DK25" s="174"/>
      <c r="DL25" s="174"/>
      <c r="DM25" s="174"/>
      <c r="DN25" s="174"/>
      <c r="DO25" s="174"/>
      <c r="DP25" s="174"/>
      <c r="DQ25" s="174"/>
      <c r="DR25" s="174"/>
      <c r="DS25" s="174"/>
      <c r="DT25" s="174"/>
      <c r="DU25" s="174"/>
      <c r="DV25" s="174"/>
      <c r="DW25" s="174"/>
      <c r="DX25" s="174"/>
      <c r="DY25" s="174"/>
      <c r="DZ25" s="174"/>
      <c r="EA25" s="174"/>
      <c r="EB25" s="174"/>
      <c r="EC25" s="174"/>
      <c r="ED25" s="174"/>
      <c r="EE25" s="174"/>
      <c r="EF25" s="174"/>
      <c r="EG25" s="174"/>
      <c r="EH25" s="174"/>
      <c r="EI25" s="174"/>
      <c r="EJ25" s="174"/>
      <c r="EK25" s="174"/>
      <c r="EL25" s="174"/>
      <c r="EM25" s="174"/>
      <c r="EN25" s="174"/>
      <c r="EO25" s="174"/>
      <c r="EP25" s="174"/>
      <c r="EQ25" s="174"/>
      <c r="ER25" s="174"/>
      <c r="ES25" s="174"/>
      <c r="ET25" s="174"/>
      <c r="EU25" s="174"/>
      <c r="EV25" s="174"/>
      <c r="EW25" s="174"/>
      <c r="EX25" s="174"/>
      <c r="EY25" s="174"/>
      <c r="EZ25" s="174"/>
      <c r="FA25" s="174"/>
      <c r="FB25" s="174"/>
      <c r="FC25" s="174"/>
      <c r="FD25" s="174"/>
      <c r="FE25" s="174"/>
      <c r="FF25" s="174"/>
      <c r="FG25" s="174"/>
      <c r="FH25" s="174"/>
      <c r="FI25" s="174"/>
      <c r="FJ25" s="174"/>
      <c r="FK25" s="174"/>
      <c r="FL25" s="174"/>
      <c r="FM25" s="174"/>
      <c r="FN25" s="174"/>
      <c r="FO25" s="174"/>
      <c r="FP25" s="174"/>
      <c r="FQ25" s="174"/>
      <c r="FR25" s="174"/>
      <c r="FS25" s="174"/>
      <c r="FT25" s="174"/>
      <c r="FU25" s="174"/>
      <c r="FV25" s="174"/>
      <c r="FW25" s="174"/>
      <c r="FX25" s="174"/>
      <c r="FY25" s="174"/>
      <c r="FZ25" s="174"/>
      <c r="GA25" s="174"/>
      <c r="GB25" s="174"/>
      <c r="GC25" s="174"/>
      <c r="GD25" s="174"/>
      <c r="GE25" s="174"/>
      <c r="GF25" s="174"/>
      <c r="GG25" s="174"/>
      <c r="GH25" s="174"/>
      <c r="GI25" s="174"/>
      <c r="GJ25" s="174"/>
      <c r="GK25" s="174"/>
      <c r="GL25" s="174"/>
      <c r="GM25" s="174"/>
      <c r="GN25" s="174"/>
      <c r="GO25" s="174"/>
      <c r="GP25" s="174"/>
      <c r="GQ25" s="174"/>
      <c r="GR25" s="174"/>
      <c r="GS25" s="174"/>
      <c r="GT25" s="174"/>
      <c r="GU25" s="174"/>
      <c r="GV25" s="174"/>
      <c r="GW25" s="174"/>
      <c r="GX25" s="174"/>
      <c r="GY25" s="174"/>
      <c r="GZ25" s="174"/>
      <c r="HA25" s="174"/>
      <c r="HB25" s="174"/>
      <c r="HC25" s="174"/>
      <c r="HD25" s="174"/>
      <c r="HE25" s="174"/>
      <c r="HF25" s="174"/>
      <c r="HG25" s="174"/>
      <c r="HH25" s="174"/>
      <c r="HI25" s="174"/>
      <c r="HJ25" s="174"/>
      <c r="HK25" s="174"/>
      <c r="HL25" s="174"/>
      <c r="HM25" s="174"/>
      <c r="HN25" s="174"/>
      <c r="HO25" s="174"/>
      <c r="HP25" s="174"/>
      <c r="HQ25" s="174"/>
      <c r="HR25" s="174"/>
      <c r="HS25" s="174"/>
      <c r="HT25" s="174"/>
      <c r="HU25" s="174"/>
      <c r="HV25" s="174"/>
      <c r="HW25" s="174"/>
      <c r="HX25" s="174"/>
      <c r="HY25" s="174"/>
      <c r="HZ25" s="174"/>
      <c r="IA25" s="174"/>
      <c r="IB25" s="174"/>
      <c r="IC25" s="174"/>
      <c r="ID25" s="174"/>
      <c r="IE25" s="174"/>
      <c r="IF25" s="174"/>
      <c r="IG25" s="174"/>
      <c r="IH25" s="174"/>
      <c r="II25" s="174"/>
      <c r="IJ25" s="174"/>
      <c r="IK25" s="174"/>
      <c r="IL25" s="174"/>
      <c r="IM25" s="174"/>
      <c r="IN25" s="174"/>
      <c r="IO25" s="174"/>
      <c r="IP25" s="174"/>
      <c r="IQ25" s="174"/>
      <c r="IR25" s="174"/>
      <c r="IS25" s="174"/>
      <c r="IT25" s="174"/>
      <c r="IU25" s="75"/>
      <c r="IV25" s="75"/>
      <c r="IW25" s="75"/>
      <c r="IX25" s="75"/>
      <c r="IY25" s="75"/>
      <c r="IZ25" s="75"/>
      <c r="JA25" s="75"/>
      <c r="JB25" s="75"/>
      <c r="JC25" s="75"/>
      <c r="JD25" s="75"/>
      <c r="JF25" s="710" t="s">
        <v>828</v>
      </c>
      <c r="JG25" s="710" t="s">
        <v>911</v>
      </c>
      <c r="JH25" s="178">
        <f t="shared" si="1"/>
        <v>18934.169625000002</v>
      </c>
      <c r="JI25" s="174">
        <f t="shared" si="2"/>
        <v>0</v>
      </c>
    </row>
    <row r="26" spans="2:269" ht="15" customHeight="1" x14ac:dyDescent="0.25">
      <c r="B26" s="113">
        <v>23</v>
      </c>
      <c r="C26" s="353" t="str">
        <f t="shared" si="5"/>
        <v>UAC M</v>
      </c>
      <c r="D26" s="353" t="str">
        <f t="shared" si="6"/>
        <v>UAC (4TC/4TP/70BI/30BO)</v>
      </c>
      <c r="E26" s="174"/>
      <c r="F26" s="174"/>
      <c r="G26" s="174">
        <v>1</v>
      </c>
      <c r="H26" s="174">
        <v>1</v>
      </c>
      <c r="I26" s="174"/>
      <c r="J26" s="174"/>
      <c r="K26" s="174"/>
      <c r="L26" s="174"/>
      <c r="M26" s="174"/>
      <c r="N26" s="174"/>
      <c r="O26" s="174"/>
      <c r="P26" s="174"/>
      <c r="Q26" s="174">
        <v>1</v>
      </c>
      <c r="R26" s="174"/>
      <c r="S26" s="174"/>
      <c r="T26" s="174"/>
      <c r="U26" s="174"/>
      <c r="V26" s="174"/>
      <c r="W26" s="174"/>
      <c r="X26" s="174"/>
      <c r="Y26" s="174"/>
      <c r="Z26" s="174"/>
      <c r="AA26" s="174">
        <v>1</v>
      </c>
      <c r="AB26" s="174"/>
      <c r="AC26" s="174"/>
      <c r="AD26" s="174"/>
      <c r="AE26" s="174"/>
      <c r="AF26" s="174"/>
      <c r="AG26" s="174">
        <v>1</v>
      </c>
      <c r="AH26" s="174">
        <v>1</v>
      </c>
      <c r="AI26" s="174"/>
      <c r="AJ26" s="174">
        <v>1</v>
      </c>
      <c r="AK26" s="174">
        <v>1</v>
      </c>
      <c r="AL26" s="174"/>
      <c r="AM26" s="174"/>
      <c r="AN26" s="174"/>
      <c r="AO26" s="174"/>
      <c r="AP26" s="174"/>
      <c r="AQ26" s="174"/>
      <c r="AR26" s="174">
        <v>1</v>
      </c>
      <c r="AS26" s="174">
        <v>1</v>
      </c>
      <c r="AT26" s="174"/>
      <c r="AU26" s="174"/>
      <c r="AV26" s="174"/>
      <c r="AW26" s="174"/>
      <c r="AX26" s="174"/>
      <c r="AY26" s="174"/>
      <c r="AZ26" s="174"/>
      <c r="BA26" s="174"/>
      <c r="BB26" s="174"/>
      <c r="BC26" s="174"/>
      <c r="BD26" s="174"/>
      <c r="BE26" s="174"/>
      <c r="BF26" s="174"/>
      <c r="BG26" s="174"/>
      <c r="BH26" s="174"/>
      <c r="BI26" s="174"/>
      <c r="BJ26" s="174"/>
      <c r="BK26" s="174"/>
      <c r="BL26" s="174"/>
      <c r="BM26" s="174"/>
      <c r="BN26" s="174"/>
      <c r="BO26" s="174"/>
      <c r="BP26" s="174"/>
      <c r="BQ26" s="174"/>
      <c r="BR26" s="174"/>
      <c r="BS26" s="174"/>
      <c r="BT26" s="174"/>
      <c r="BU26" s="174"/>
      <c r="BV26" s="174"/>
      <c r="BW26" s="174"/>
      <c r="BX26" s="174"/>
      <c r="BY26" s="174"/>
      <c r="BZ26" s="174"/>
      <c r="CA26" s="174"/>
      <c r="CB26" s="174"/>
      <c r="CC26" s="174"/>
      <c r="CD26" s="174"/>
      <c r="CE26" s="174"/>
      <c r="CF26" s="174"/>
      <c r="CG26" s="174"/>
      <c r="CH26" s="174"/>
      <c r="CI26" s="174"/>
      <c r="CJ26" s="174"/>
      <c r="CK26" s="174"/>
      <c r="CL26" s="174"/>
      <c r="CM26" s="174"/>
      <c r="CN26" s="174"/>
      <c r="CO26" s="174"/>
      <c r="CP26" s="174"/>
      <c r="CQ26" s="174"/>
      <c r="CR26" s="174"/>
      <c r="CS26" s="174"/>
      <c r="CT26" s="174"/>
      <c r="CU26" s="174"/>
      <c r="CV26" s="174"/>
      <c r="CW26" s="174"/>
      <c r="CX26" s="174"/>
      <c r="CY26" s="174"/>
      <c r="CZ26" s="174"/>
      <c r="DA26" s="174"/>
      <c r="DB26" s="174"/>
      <c r="DC26" s="174"/>
      <c r="DD26" s="174"/>
      <c r="DE26" s="174"/>
      <c r="DF26" s="174"/>
      <c r="DG26" s="174"/>
      <c r="DH26" s="174"/>
      <c r="DI26" s="174"/>
      <c r="DJ26" s="174"/>
      <c r="DK26" s="174"/>
      <c r="DL26" s="174"/>
      <c r="DM26" s="174"/>
      <c r="DN26" s="174"/>
      <c r="DO26" s="174"/>
      <c r="DP26" s="174"/>
      <c r="DQ26" s="174"/>
      <c r="DR26" s="174"/>
      <c r="DS26" s="174"/>
      <c r="DT26" s="174"/>
      <c r="DU26" s="174"/>
      <c r="DV26" s="174"/>
      <c r="DW26" s="174"/>
      <c r="DX26" s="174"/>
      <c r="DY26" s="174"/>
      <c r="DZ26" s="174"/>
      <c r="EA26" s="174"/>
      <c r="EB26" s="174"/>
      <c r="EC26" s="174"/>
      <c r="ED26" s="174"/>
      <c r="EE26" s="174"/>
      <c r="EF26" s="174"/>
      <c r="EG26" s="174"/>
      <c r="EH26" s="174"/>
      <c r="EI26" s="174"/>
      <c r="EJ26" s="174"/>
      <c r="EK26" s="174"/>
      <c r="EL26" s="174"/>
      <c r="EM26" s="174"/>
      <c r="EN26" s="174"/>
      <c r="EO26" s="174"/>
      <c r="EP26" s="174"/>
      <c r="EQ26" s="174"/>
      <c r="ER26" s="174"/>
      <c r="ES26" s="174"/>
      <c r="ET26" s="174"/>
      <c r="EU26" s="174"/>
      <c r="EV26" s="174"/>
      <c r="EW26" s="174"/>
      <c r="EX26" s="174"/>
      <c r="EY26" s="174"/>
      <c r="EZ26" s="174"/>
      <c r="FA26" s="174"/>
      <c r="FB26" s="174"/>
      <c r="FC26" s="174"/>
      <c r="FD26" s="174"/>
      <c r="FE26" s="174"/>
      <c r="FF26" s="174"/>
      <c r="FG26" s="174"/>
      <c r="FH26" s="174"/>
      <c r="FI26" s="174"/>
      <c r="FJ26" s="174"/>
      <c r="FK26" s="174"/>
      <c r="FL26" s="174"/>
      <c r="FM26" s="174"/>
      <c r="FN26" s="174"/>
      <c r="FO26" s="174"/>
      <c r="FP26" s="174"/>
      <c r="FQ26" s="174"/>
      <c r="FR26" s="174"/>
      <c r="FS26" s="174"/>
      <c r="FT26" s="174"/>
      <c r="FU26" s="174"/>
      <c r="FV26" s="174"/>
      <c r="FW26" s="174"/>
      <c r="FX26" s="174"/>
      <c r="FY26" s="174"/>
      <c r="FZ26" s="174"/>
      <c r="GA26" s="174"/>
      <c r="GB26" s="174"/>
      <c r="GC26" s="174"/>
      <c r="GD26" s="174"/>
      <c r="GE26" s="174"/>
      <c r="GF26" s="174"/>
      <c r="GG26" s="174"/>
      <c r="GH26" s="174"/>
      <c r="GI26" s="174"/>
      <c r="GJ26" s="174"/>
      <c r="GK26" s="174"/>
      <c r="GL26" s="174"/>
      <c r="GM26" s="174"/>
      <c r="GN26" s="174"/>
      <c r="GO26" s="174"/>
      <c r="GP26" s="174"/>
      <c r="GQ26" s="174"/>
      <c r="GR26" s="174"/>
      <c r="GS26" s="174"/>
      <c r="GT26" s="174"/>
      <c r="GU26" s="174"/>
      <c r="GV26" s="174"/>
      <c r="GW26" s="174"/>
      <c r="GX26" s="174"/>
      <c r="GY26" s="174"/>
      <c r="GZ26" s="174"/>
      <c r="HA26" s="174"/>
      <c r="HB26" s="174"/>
      <c r="HC26" s="174"/>
      <c r="HD26" s="174"/>
      <c r="HE26" s="174"/>
      <c r="HF26" s="174"/>
      <c r="HG26" s="174"/>
      <c r="HH26" s="174"/>
      <c r="HI26" s="174"/>
      <c r="HJ26" s="174"/>
      <c r="HK26" s="174"/>
      <c r="HL26" s="174"/>
      <c r="HM26" s="174"/>
      <c r="HN26" s="174"/>
      <c r="HO26" s="174"/>
      <c r="HP26" s="174"/>
      <c r="HQ26" s="174"/>
      <c r="HR26" s="174"/>
      <c r="HS26" s="174"/>
      <c r="HT26" s="174"/>
      <c r="HU26" s="174"/>
      <c r="HV26" s="174"/>
      <c r="HW26" s="174"/>
      <c r="HX26" s="174"/>
      <c r="HY26" s="174"/>
      <c r="HZ26" s="174"/>
      <c r="IA26" s="174"/>
      <c r="IB26" s="174"/>
      <c r="IC26" s="174"/>
      <c r="ID26" s="174"/>
      <c r="IE26" s="174"/>
      <c r="IF26" s="174"/>
      <c r="IG26" s="174"/>
      <c r="IH26" s="174"/>
      <c r="II26" s="174"/>
      <c r="IJ26" s="174"/>
      <c r="IK26" s="174"/>
      <c r="IL26" s="174"/>
      <c r="IM26" s="174"/>
      <c r="IN26" s="174"/>
      <c r="IO26" s="174"/>
      <c r="IP26" s="174"/>
      <c r="IQ26" s="174"/>
      <c r="IR26" s="174"/>
      <c r="IS26" s="174"/>
      <c r="IT26" s="174"/>
      <c r="IU26" s="75"/>
      <c r="IV26" s="75"/>
      <c r="IW26" s="75"/>
      <c r="IX26" s="75"/>
      <c r="IY26" s="75"/>
      <c r="IZ26" s="75"/>
      <c r="JA26" s="75"/>
      <c r="JB26" s="75"/>
      <c r="JC26" s="75"/>
      <c r="JD26" s="75"/>
      <c r="JF26" s="710" t="s">
        <v>829</v>
      </c>
      <c r="JG26" s="710" t="s">
        <v>912</v>
      </c>
      <c r="JH26" s="178">
        <f t="shared" si="1"/>
        <v>23009.277375000005</v>
      </c>
      <c r="JI26" s="174">
        <f t="shared" si="2"/>
        <v>0</v>
      </c>
    </row>
    <row r="27" spans="2:269" ht="15" customHeight="1" x14ac:dyDescent="0.25">
      <c r="B27" s="113">
        <v>24</v>
      </c>
      <c r="C27" s="353" t="str">
        <f t="shared" si="5"/>
        <v>UAC G</v>
      </c>
      <c r="D27" s="353" t="str">
        <f t="shared" si="6"/>
        <v>UAC (4TC/4TP/100BI/30BO)</v>
      </c>
      <c r="E27" s="174"/>
      <c r="F27" s="174"/>
      <c r="G27" s="174"/>
      <c r="H27" s="174"/>
      <c r="I27" s="174"/>
      <c r="J27" s="174"/>
      <c r="K27" s="174"/>
      <c r="L27" s="174"/>
      <c r="M27" s="174"/>
      <c r="N27" s="174"/>
      <c r="O27" s="174"/>
      <c r="P27" s="174"/>
      <c r="Q27" s="174"/>
      <c r="R27" s="174">
        <v>1</v>
      </c>
      <c r="S27" s="174"/>
      <c r="T27" s="174"/>
      <c r="U27" s="174"/>
      <c r="V27" s="174"/>
      <c r="W27" s="174"/>
      <c r="X27" s="174"/>
      <c r="Y27" s="174"/>
      <c r="Z27" s="174"/>
      <c r="AA27" s="174"/>
      <c r="AB27" s="174"/>
      <c r="AC27" s="174"/>
      <c r="AD27" s="174"/>
      <c r="AE27" s="174"/>
      <c r="AF27" s="174"/>
      <c r="AG27" s="174"/>
      <c r="AH27" s="174"/>
      <c r="AI27" s="174"/>
      <c r="AJ27" s="174"/>
      <c r="AK27" s="174"/>
      <c r="AL27" s="174"/>
      <c r="AM27" s="174"/>
      <c r="AN27" s="174"/>
      <c r="AO27" s="174"/>
      <c r="AP27" s="174"/>
      <c r="AQ27" s="174"/>
      <c r="AR27" s="174"/>
      <c r="AS27" s="174"/>
      <c r="AT27" s="174"/>
      <c r="AU27" s="174"/>
      <c r="AV27" s="174"/>
      <c r="AW27" s="174"/>
      <c r="AX27" s="174">
        <v>1</v>
      </c>
      <c r="AY27" s="174"/>
      <c r="AZ27" s="174"/>
      <c r="BA27" s="174"/>
      <c r="BB27" s="174"/>
      <c r="BC27" s="174"/>
      <c r="BD27" s="174"/>
      <c r="BE27" s="174"/>
      <c r="BF27" s="174"/>
      <c r="BG27" s="174"/>
      <c r="BH27" s="174"/>
      <c r="BI27" s="174"/>
      <c r="BJ27" s="174"/>
      <c r="BK27" s="174"/>
      <c r="BL27" s="174"/>
      <c r="BM27" s="174"/>
      <c r="BN27" s="174"/>
      <c r="BO27" s="174"/>
      <c r="BP27" s="174"/>
      <c r="BQ27" s="174"/>
      <c r="BR27" s="174"/>
      <c r="BS27" s="174"/>
      <c r="BT27" s="174"/>
      <c r="BU27" s="174"/>
      <c r="BV27" s="174"/>
      <c r="BW27" s="174"/>
      <c r="BX27" s="174"/>
      <c r="BY27" s="174"/>
      <c r="BZ27" s="174"/>
      <c r="CA27" s="174"/>
      <c r="CB27" s="174"/>
      <c r="CC27" s="174"/>
      <c r="CD27" s="174"/>
      <c r="CE27" s="174"/>
      <c r="CF27" s="174"/>
      <c r="CG27" s="174"/>
      <c r="CH27" s="174"/>
      <c r="CI27" s="174"/>
      <c r="CJ27" s="174"/>
      <c r="CK27" s="174"/>
      <c r="CL27" s="174"/>
      <c r="CM27" s="174"/>
      <c r="CN27" s="174"/>
      <c r="CO27" s="174"/>
      <c r="CP27" s="174"/>
      <c r="CQ27" s="174"/>
      <c r="CR27" s="174"/>
      <c r="CS27" s="174"/>
      <c r="CT27" s="174"/>
      <c r="CU27" s="174"/>
      <c r="CV27" s="174"/>
      <c r="CW27" s="174"/>
      <c r="CX27" s="174"/>
      <c r="CY27" s="174"/>
      <c r="CZ27" s="174"/>
      <c r="DA27" s="174"/>
      <c r="DB27" s="174"/>
      <c r="DC27" s="174"/>
      <c r="DD27" s="174"/>
      <c r="DE27" s="174"/>
      <c r="DF27" s="174"/>
      <c r="DG27" s="174"/>
      <c r="DH27" s="174"/>
      <c r="DI27" s="174"/>
      <c r="DJ27" s="174"/>
      <c r="DK27" s="174"/>
      <c r="DL27" s="174"/>
      <c r="DM27" s="174"/>
      <c r="DN27" s="174"/>
      <c r="DO27" s="174"/>
      <c r="DP27" s="174"/>
      <c r="DQ27" s="174"/>
      <c r="DR27" s="174"/>
      <c r="DS27" s="174"/>
      <c r="DT27" s="174"/>
      <c r="DU27" s="174"/>
      <c r="DV27" s="174"/>
      <c r="DW27" s="174"/>
      <c r="DX27" s="174"/>
      <c r="DY27" s="174"/>
      <c r="DZ27" s="174"/>
      <c r="EA27" s="174"/>
      <c r="EB27" s="174"/>
      <c r="EC27" s="174"/>
      <c r="ED27" s="174"/>
      <c r="EE27" s="174"/>
      <c r="EF27" s="174"/>
      <c r="EG27" s="174"/>
      <c r="EH27" s="174"/>
      <c r="EI27" s="174"/>
      <c r="EJ27" s="174"/>
      <c r="EK27" s="174"/>
      <c r="EL27" s="174"/>
      <c r="EM27" s="174"/>
      <c r="EN27" s="174"/>
      <c r="EO27" s="174"/>
      <c r="EP27" s="174"/>
      <c r="EQ27" s="174"/>
      <c r="ER27" s="174"/>
      <c r="ES27" s="174"/>
      <c r="ET27" s="174"/>
      <c r="EU27" s="174"/>
      <c r="EV27" s="174"/>
      <c r="EW27" s="174"/>
      <c r="EX27" s="174"/>
      <c r="EY27" s="174"/>
      <c r="EZ27" s="174"/>
      <c r="FA27" s="174"/>
      <c r="FB27" s="174"/>
      <c r="FC27" s="174"/>
      <c r="FD27" s="174"/>
      <c r="FE27" s="174"/>
      <c r="FF27" s="174"/>
      <c r="FG27" s="174"/>
      <c r="FH27" s="174"/>
      <c r="FI27" s="174"/>
      <c r="FJ27" s="174"/>
      <c r="FK27" s="174"/>
      <c r="FL27" s="174"/>
      <c r="FM27" s="174"/>
      <c r="FN27" s="174"/>
      <c r="FO27" s="174"/>
      <c r="FP27" s="174"/>
      <c r="FQ27" s="174"/>
      <c r="FR27" s="174"/>
      <c r="FS27" s="174"/>
      <c r="FT27" s="174"/>
      <c r="FU27" s="174"/>
      <c r="FV27" s="174"/>
      <c r="FW27" s="174"/>
      <c r="FX27" s="174"/>
      <c r="FY27" s="174"/>
      <c r="FZ27" s="174"/>
      <c r="GA27" s="174"/>
      <c r="GB27" s="174"/>
      <c r="GC27" s="174"/>
      <c r="GD27" s="174"/>
      <c r="GE27" s="174"/>
      <c r="GF27" s="174"/>
      <c r="GG27" s="174"/>
      <c r="GH27" s="174"/>
      <c r="GI27" s="174"/>
      <c r="GJ27" s="174"/>
      <c r="GK27" s="174"/>
      <c r="GL27" s="174"/>
      <c r="GM27" s="174"/>
      <c r="GN27" s="174"/>
      <c r="GO27" s="174"/>
      <c r="GP27" s="174"/>
      <c r="GQ27" s="174"/>
      <c r="GR27" s="174"/>
      <c r="GS27" s="174"/>
      <c r="GT27" s="174"/>
      <c r="GU27" s="174"/>
      <c r="GV27" s="174"/>
      <c r="GW27" s="174"/>
      <c r="GX27" s="174"/>
      <c r="GY27" s="174"/>
      <c r="GZ27" s="174"/>
      <c r="HA27" s="174"/>
      <c r="HB27" s="174"/>
      <c r="HC27" s="174"/>
      <c r="HD27" s="174"/>
      <c r="HE27" s="174"/>
      <c r="HF27" s="174"/>
      <c r="HG27" s="174"/>
      <c r="HH27" s="174"/>
      <c r="HI27" s="174"/>
      <c r="HJ27" s="174"/>
      <c r="HK27" s="174"/>
      <c r="HL27" s="174"/>
      <c r="HM27" s="174"/>
      <c r="HN27" s="174"/>
      <c r="HO27" s="174"/>
      <c r="HP27" s="174"/>
      <c r="HQ27" s="174"/>
      <c r="HR27" s="174"/>
      <c r="HS27" s="174"/>
      <c r="HT27" s="174"/>
      <c r="HU27" s="174"/>
      <c r="HV27" s="174"/>
      <c r="HW27" s="174"/>
      <c r="HX27" s="174"/>
      <c r="HY27" s="174"/>
      <c r="HZ27" s="174"/>
      <c r="IA27" s="174"/>
      <c r="IB27" s="174"/>
      <c r="IC27" s="174"/>
      <c r="ID27" s="174"/>
      <c r="IE27" s="174"/>
      <c r="IF27" s="174"/>
      <c r="IG27" s="174"/>
      <c r="IH27" s="174"/>
      <c r="II27" s="174"/>
      <c r="IJ27" s="174"/>
      <c r="IK27" s="174"/>
      <c r="IL27" s="174"/>
      <c r="IM27" s="174"/>
      <c r="IN27" s="174"/>
      <c r="IO27" s="174"/>
      <c r="IP27" s="174"/>
      <c r="IQ27" s="174"/>
      <c r="IR27" s="174"/>
      <c r="IS27" s="174"/>
      <c r="IT27" s="174"/>
      <c r="IU27" s="75"/>
      <c r="IV27" s="75"/>
      <c r="IW27" s="75"/>
      <c r="IX27" s="75"/>
      <c r="IY27" s="75"/>
      <c r="IZ27" s="75"/>
      <c r="JA27" s="75"/>
      <c r="JB27" s="75"/>
      <c r="JC27" s="75"/>
      <c r="JD27" s="75"/>
      <c r="JF27" s="710" t="s">
        <v>830</v>
      </c>
      <c r="JG27" s="710" t="s">
        <v>913</v>
      </c>
      <c r="JH27" s="178">
        <f t="shared" si="1"/>
        <v>27043.639875000001</v>
      </c>
      <c r="JI27" s="174">
        <f t="shared" si="2"/>
        <v>0</v>
      </c>
    </row>
    <row r="28" spans="2:269" ht="15" customHeight="1" x14ac:dyDescent="0.25">
      <c r="B28" s="113">
        <v>25</v>
      </c>
      <c r="C28" s="353" t="str">
        <f t="shared" si="5"/>
        <v>UAC XG</v>
      </c>
      <c r="D28" s="353" t="str">
        <f t="shared" si="6"/>
        <v>UAC (4TC/4TP/150BI/40BO)</v>
      </c>
      <c r="E28" s="174"/>
      <c r="F28" s="174"/>
      <c r="G28" s="174"/>
      <c r="H28" s="174"/>
      <c r="I28" s="174"/>
      <c r="J28" s="174">
        <v>1</v>
      </c>
      <c r="K28" s="174"/>
      <c r="L28" s="174"/>
      <c r="M28" s="174"/>
      <c r="N28" s="174"/>
      <c r="O28" s="174"/>
      <c r="P28" s="174"/>
      <c r="Q28" s="174"/>
      <c r="R28" s="174"/>
      <c r="S28" s="174"/>
      <c r="T28" s="174"/>
      <c r="U28" s="174"/>
      <c r="V28" s="174"/>
      <c r="W28" s="174"/>
      <c r="X28" s="174"/>
      <c r="Y28" s="174"/>
      <c r="Z28" s="174"/>
      <c r="AA28" s="174"/>
      <c r="AB28" s="174"/>
      <c r="AC28" s="174"/>
      <c r="AD28" s="174"/>
      <c r="AE28" s="174"/>
      <c r="AF28" s="174"/>
      <c r="AG28" s="174"/>
      <c r="AH28" s="174"/>
      <c r="AI28" s="174"/>
      <c r="AJ28" s="174"/>
      <c r="AK28" s="174"/>
      <c r="AL28" s="174"/>
      <c r="AM28" s="174"/>
      <c r="AN28" s="174"/>
      <c r="AO28" s="174"/>
      <c r="AP28" s="174"/>
      <c r="AQ28" s="174"/>
      <c r="AR28" s="174"/>
      <c r="AS28" s="174"/>
      <c r="AT28" s="174"/>
      <c r="AU28" s="174"/>
      <c r="AV28" s="174"/>
      <c r="AW28" s="174"/>
      <c r="AX28" s="174"/>
      <c r="AY28" s="174"/>
      <c r="AZ28" s="174"/>
      <c r="BA28" s="174"/>
      <c r="BB28" s="174"/>
      <c r="BC28" s="174"/>
      <c r="BD28" s="174"/>
      <c r="BE28" s="174"/>
      <c r="BF28" s="174"/>
      <c r="BG28" s="174"/>
      <c r="BH28" s="174"/>
      <c r="BI28" s="174"/>
      <c r="BJ28" s="174"/>
      <c r="BK28" s="174"/>
      <c r="BL28" s="174"/>
      <c r="BM28" s="174"/>
      <c r="BN28" s="174"/>
      <c r="BO28" s="174"/>
      <c r="BP28" s="174"/>
      <c r="BQ28" s="174"/>
      <c r="BR28" s="174"/>
      <c r="BS28" s="174"/>
      <c r="BT28" s="174"/>
      <c r="BU28" s="174"/>
      <c r="BV28" s="174"/>
      <c r="BW28" s="174"/>
      <c r="BX28" s="174"/>
      <c r="BY28" s="174"/>
      <c r="BZ28" s="174"/>
      <c r="CA28" s="174"/>
      <c r="CB28" s="174"/>
      <c r="CC28" s="174"/>
      <c r="CD28" s="174"/>
      <c r="CE28" s="174"/>
      <c r="CF28" s="174"/>
      <c r="CG28" s="174"/>
      <c r="CH28" s="174"/>
      <c r="CI28" s="174"/>
      <c r="CJ28" s="174"/>
      <c r="CK28" s="174"/>
      <c r="CL28" s="174"/>
      <c r="CM28" s="174"/>
      <c r="CN28" s="174"/>
      <c r="CO28" s="174"/>
      <c r="CP28" s="174"/>
      <c r="CQ28" s="174"/>
      <c r="CR28" s="174"/>
      <c r="CS28" s="174"/>
      <c r="CT28" s="174"/>
      <c r="CU28" s="174"/>
      <c r="CV28" s="174"/>
      <c r="CW28" s="174"/>
      <c r="CX28" s="174"/>
      <c r="CY28" s="174"/>
      <c r="CZ28" s="174"/>
      <c r="DA28" s="174"/>
      <c r="DB28" s="174"/>
      <c r="DC28" s="174"/>
      <c r="DD28" s="174"/>
      <c r="DE28" s="174"/>
      <c r="DF28" s="174"/>
      <c r="DG28" s="174"/>
      <c r="DH28" s="174"/>
      <c r="DI28" s="174"/>
      <c r="DJ28" s="174"/>
      <c r="DK28" s="174"/>
      <c r="DL28" s="174"/>
      <c r="DM28" s="174"/>
      <c r="DN28" s="174"/>
      <c r="DO28" s="174"/>
      <c r="DP28" s="174"/>
      <c r="DQ28" s="174"/>
      <c r="DR28" s="174"/>
      <c r="DS28" s="174"/>
      <c r="DT28" s="174"/>
      <c r="DU28" s="174"/>
      <c r="DV28" s="174"/>
      <c r="DW28" s="174"/>
      <c r="DX28" s="174"/>
      <c r="DY28" s="174"/>
      <c r="DZ28" s="174"/>
      <c r="EA28" s="174"/>
      <c r="EB28" s="174"/>
      <c r="EC28" s="174"/>
      <c r="ED28" s="174"/>
      <c r="EE28" s="174"/>
      <c r="EF28" s="174"/>
      <c r="EG28" s="174"/>
      <c r="EH28" s="174"/>
      <c r="EI28" s="174"/>
      <c r="EJ28" s="174"/>
      <c r="EK28" s="174"/>
      <c r="EL28" s="174"/>
      <c r="EM28" s="174"/>
      <c r="EN28" s="174"/>
      <c r="EO28" s="174"/>
      <c r="EP28" s="174"/>
      <c r="EQ28" s="174"/>
      <c r="ER28" s="174"/>
      <c r="ES28" s="174"/>
      <c r="ET28" s="174"/>
      <c r="EU28" s="174"/>
      <c r="EV28" s="174"/>
      <c r="EW28" s="174"/>
      <c r="EX28" s="174"/>
      <c r="EY28" s="174"/>
      <c r="EZ28" s="174"/>
      <c r="FA28" s="174"/>
      <c r="FB28" s="174"/>
      <c r="FC28" s="174"/>
      <c r="FD28" s="174"/>
      <c r="FE28" s="174"/>
      <c r="FF28" s="174"/>
      <c r="FG28" s="174"/>
      <c r="FH28" s="174"/>
      <c r="FI28" s="174"/>
      <c r="FJ28" s="174"/>
      <c r="FK28" s="174"/>
      <c r="FL28" s="174"/>
      <c r="FM28" s="174"/>
      <c r="FN28" s="174"/>
      <c r="FO28" s="174"/>
      <c r="FP28" s="174"/>
      <c r="FQ28" s="174"/>
      <c r="FR28" s="174"/>
      <c r="FS28" s="174"/>
      <c r="FT28" s="174"/>
      <c r="FU28" s="174"/>
      <c r="FV28" s="174"/>
      <c r="FW28" s="174"/>
      <c r="FX28" s="174"/>
      <c r="FY28" s="174"/>
      <c r="FZ28" s="174"/>
      <c r="GA28" s="174"/>
      <c r="GB28" s="174"/>
      <c r="GC28" s="174"/>
      <c r="GD28" s="174"/>
      <c r="GE28" s="174"/>
      <c r="GF28" s="174"/>
      <c r="GG28" s="174"/>
      <c r="GH28" s="174"/>
      <c r="GI28" s="174"/>
      <c r="GJ28" s="174"/>
      <c r="GK28" s="174"/>
      <c r="GL28" s="174"/>
      <c r="GM28" s="174"/>
      <c r="GN28" s="174"/>
      <c r="GO28" s="174"/>
      <c r="GP28" s="174"/>
      <c r="GQ28" s="174"/>
      <c r="GR28" s="174"/>
      <c r="GS28" s="174"/>
      <c r="GT28" s="174"/>
      <c r="GU28" s="174"/>
      <c r="GV28" s="174"/>
      <c r="GW28" s="174"/>
      <c r="GX28" s="174"/>
      <c r="GY28" s="174"/>
      <c r="GZ28" s="174"/>
      <c r="HA28" s="174"/>
      <c r="HB28" s="174"/>
      <c r="HC28" s="174"/>
      <c r="HD28" s="174"/>
      <c r="HE28" s="174"/>
      <c r="HF28" s="174"/>
      <c r="HG28" s="174"/>
      <c r="HH28" s="174"/>
      <c r="HI28" s="174"/>
      <c r="HJ28" s="174"/>
      <c r="HK28" s="174"/>
      <c r="HL28" s="174"/>
      <c r="HM28" s="174"/>
      <c r="HN28" s="174"/>
      <c r="HO28" s="174"/>
      <c r="HP28" s="174"/>
      <c r="HQ28" s="174"/>
      <c r="HR28" s="174"/>
      <c r="HS28" s="174"/>
      <c r="HT28" s="174"/>
      <c r="HU28" s="174"/>
      <c r="HV28" s="174"/>
      <c r="HW28" s="174"/>
      <c r="HX28" s="174"/>
      <c r="HY28" s="174"/>
      <c r="HZ28" s="174"/>
      <c r="IA28" s="174"/>
      <c r="IB28" s="174"/>
      <c r="IC28" s="174"/>
      <c r="ID28" s="174"/>
      <c r="IE28" s="174"/>
      <c r="IF28" s="174"/>
      <c r="IG28" s="174"/>
      <c r="IH28" s="174"/>
      <c r="II28" s="174"/>
      <c r="IJ28" s="174"/>
      <c r="IK28" s="174"/>
      <c r="IL28" s="174"/>
      <c r="IM28" s="174"/>
      <c r="IN28" s="174"/>
      <c r="IO28" s="174"/>
      <c r="IP28" s="174"/>
      <c r="IQ28" s="174"/>
      <c r="IR28" s="174"/>
      <c r="IS28" s="174"/>
      <c r="IT28" s="174"/>
      <c r="IU28" s="75"/>
      <c r="IV28" s="75"/>
      <c r="IW28" s="75"/>
      <c r="IX28" s="75"/>
      <c r="IY28" s="75"/>
      <c r="IZ28" s="75"/>
      <c r="JA28" s="75"/>
      <c r="JB28" s="75"/>
      <c r="JC28" s="75"/>
      <c r="JD28" s="75"/>
      <c r="JF28" s="710" t="s">
        <v>831</v>
      </c>
      <c r="JG28" s="710" t="s">
        <v>914</v>
      </c>
      <c r="JH28" s="178">
        <f t="shared" si="1"/>
        <v>32462.789625000001</v>
      </c>
      <c r="JI28" s="174">
        <f t="shared" si="2"/>
        <v>0</v>
      </c>
    </row>
    <row r="29" spans="2:269" ht="15" customHeight="1" x14ac:dyDescent="0.25">
      <c r="B29" s="113">
        <v>26</v>
      </c>
      <c r="C29" s="353" t="str">
        <f t="shared" si="5"/>
        <v>UAC SAUX</v>
      </c>
      <c r="D29" s="353" t="str">
        <f t="shared" si="6"/>
        <v>UAC (8TC/8TP/80BI/20BO/12mA)</v>
      </c>
      <c r="E29" s="174"/>
      <c r="F29" s="174"/>
      <c r="G29" s="174"/>
      <c r="H29" s="174"/>
      <c r="I29" s="174"/>
      <c r="J29" s="174"/>
      <c r="K29" s="174"/>
      <c r="L29" s="174"/>
      <c r="M29" s="174"/>
      <c r="N29" s="174"/>
      <c r="O29" s="174"/>
      <c r="P29" s="174"/>
      <c r="Q29" s="174"/>
      <c r="R29" s="174"/>
      <c r="S29" s="174"/>
      <c r="T29" s="174"/>
      <c r="U29" s="174"/>
      <c r="V29" s="174"/>
      <c r="W29" s="174"/>
      <c r="X29" s="174"/>
      <c r="Y29" s="174"/>
      <c r="Z29" s="174"/>
      <c r="AA29" s="174"/>
      <c r="AB29" s="174"/>
      <c r="AC29" s="174"/>
      <c r="AD29" s="174"/>
      <c r="AE29" s="174"/>
      <c r="AF29" s="174"/>
      <c r="AG29" s="174"/>
      <c r="AH29" s="174"/>
      <c r="AI29" s="174"/>
      <c r="AJ29" s="174"/>
      <c r="AK29" s="174"/>
      <c r="AL29" s="174"/>
      <c r="AM29" s="174"/>
      <c r="AN29" s="174"/>
      <c r="AO29" s="174"/>
      <c r="AP29" s="174"/>
      <c r="AQ29" s="174"/>
      <c r="AR29" s="174"/>
      <c r="AS29" s="174"/>
      <c r="AT29" s="174">
        <v>2</v>
      </c>
      <c r="AU29" s="174"/>
      <c r="AV29" s="174"/>
      <c r="AW29" s="174"/>
      <c r="AX29" s="174"/>
      <c r="AY29" s="174"/>
      <c r="AZ29" s="174"/>
      <c r="BA29" s="174"/>
      <c r="BB29" s="174"/>
      <c r="BC29" s="174"/>
      <c r="BD29" s="174"/>
      <c r="BE29" s="174"/>
      <c r="BF29" s="174"/>
      <c r="BG29" s="174"/>
      <c r="BH29" s="174"/>
      <c r="BI29" s="174"/>
      <c r="BJ29" s="174"/>
      <c r="BK29" s="174"/>
      <c r="BL29" s="174"/>
      <c r="BM29" s="174"/>
      <c r="BN29" s="174"/>
      <c r="BO29" s="174"/>
      <c r="BP29" s="174"/>
      <c r="BQ29" s="174"/>
      <c r="BR29" s="174"/>
      <c r="BS29" s="174"/>
      <c r="BT29" s="174"/>
      <c r="BU29" s="174"/>
      <c r="BV29" s="174"/>
      <c r="BW29" s="174"/>
      <c r="BX29" s="174"/>
      <c r="BY29" s="174"/>
      <c r="BZ29" s="174"/>
      <c r="CA29" s="174"/>
      <c r="CB29" s="174"/>
      <c r="CC29" s="174"/>
      <c r="CD29" s="174"/>
      <c r="CE29" s="174"/>
      <c r="CF29" s="174"/>
      <c r="CG29" s="174"/>
      <c r="CH29" s="174"/>
      <c r="CI29" s="174"/>
      <c r="CJ29" s="174"/>
      <c r="CK29" s="174"/>
      <c r="CL29" s="174"/>
      <c r="CM29" s="174"/>
      <c r="CN29" s="174"/>
      <c r="CO29" s="174"/>
      <c r="CP29" s="174"/>
      <c r="CQ29" s="174"/>
      <c r="CR29" s="174"/>
      <c r="CS29" s="174"/>
      <c r="CT29" s="174"/>
      <c r="CU29" s="174"/>
      <c r="CV29" s="174"/>
      <c r="CW29" s="174"/>
      <c r="CX29" s="174"/>
      <c r="CY29" s="174"/>
      <c r="CZ29" s="174"/>
      <c r="DA29" s="174"/>
      <c r="DB29" s="174"/>
      <c r="DC29" s="174"/>
      <c r="DD29" s="174"/>
      <c r="DE29" s="174"/>
      <c r="DF29" s="174"/>
      <c r="DG29" s="174"/>
      <c r="DH29" s="174"/>
      <c r="DI29" s="174"/>
      <c r="DJ29" s="174"/>
      <c r="DK29" s="174"/>
      <c r="DL29" s="174"/>
      <c r="DM29" s="174"/>
      <c r="DN29" s="174"/>
      <c r="DO29" s="174"/>
      <c r="DP29" s="174"/>
      <c r="DQ29" s="174"/>
      <c r="DR29" s="174"/>
      <c r="DS29" s="174"/>
      <c r="DT29" s="174"/>
      <c r="DU29" s="174"/>
      <c r="DV29" s="174"/>
      <c r="DW29" s="174"/>
      <c r="DX29" s="174"/>
      <c r="DY29" s="174"/>
      <c r="DZ29" s="174"/>
      <c r="EA29" s="174"/>
      <c r="EB29" s="174"/>
      <c r="EC29" s="174"/>
      <c r="ED29" s="174"/>
      <c r="EE29" s="174"/>
      <c r="EF29" s="174"/>
      <c r="EG29" s="174"/>
      <c r="EH29" s="174"/>
      <c r="EI29" s="174"/>
      <c r="EJ29" s="174"/>
      <c r="EK29" s="174"/>
      <c r="EL29" s="174"/>
      <c r="EM29" s="174"/>
      <c r="EN29" s="174"/>
      <c r="EO29" s="174"/>
      <c r="EP29" s="174"/>
      <c r="EQ29" s="174"/>
      <c r="ER29" s="174"/>
      <c r="ES29" s="174"/>
      <c r="ET29" s="174"/>
      <c r="EU29" s="174"/>
      <c r="EV29" s="174"/>
      <c r="EW29" s="174"/>
      <c r="EX29" s="174"/>
      <c r="EY29" s="174"/>
      <c r="EZ29" s="174"/>
      <c r="FA29" s="174"/>
      <c r="FB29" s="174"/>
      <c r="FC29" s="174"/>
      <c r="FD29" s="174"/>
      <c r="FE29" s="174"/>
      <c r="FF29" s="174"/>
      <c r="FG29" s="174"/>
      <c r="FH29" s="174"/>
      <c r="FI29" s="174"/>
      <c r="FJ29" s="174"/>
      <c r="FK29" s="174"/>
      <c r="FL29" s="174"/>
      <c r="FM29" s="174"/>
      <c r="FN29" s="174"/>
      <c r="FO29" s="174"/>
      <c r="FP29" s="174"/>
      <c r="FQ29" s="174"/>
      <c r="FR29" s="174"/>
      <c r="FS29" s="174"/>
      <c r="FT29" s="174"/>
      <c r="FU29" s="174"/>
      <c r="FV29" s="174"/>
      <c r="FW29" s="174"/>
      <c r="FX29" s="174"/>
      <c r="FY29" s="174"/>
      <c r="FZ29" s="174"/>
      <c r="GA29" s="174"/>
      <c r="GB29" s="174"/>
      <c r="GC29" s="174"/>
      <c r="GD29" s="174"/>
      <c r="GE29" s="174"/>
      <c r="GF29" s="174"/>
      <c r="GG29" s="174"/>
      <c r="GH29" s="174"/>
      <c r="GI29" s="174"/>
      <c r="GJ29" s="174"/>
      <c r="GK29" s="174"/>
      <c r="GL29" s="174"/>
      <c r="GM29" s="174"/>
      <c r="GN29" s="174"/>
      <c r="GO29" s="174"/>
      <c r="GP29" s="174"/>
      <c r="GQ29" s="174"/>
      <c r="GR29" s="174"/>
      <c r="GS29" s="174"/>
      <c r="GT29" s="174"/>
      <c r="GU29" s="174"/>
      <c r="GV29" s="174"/>
      <c r="GW29" s="174"/>
      <c r="GX29" s="174"/>
      <c r="GY29" s="174"/>
      <c r="GZ29" s="174"/>
      <c r="HA29" s="174"/>
      <c r="HB29" s="174"/>
      <c r="HC29" s="174"/>
      <c r="HD29" s="174"/>
      <c r="HE29" s="174"/>
      <c r="HF29" s="174"/>
      <c r="HG29" s="174"/>
      <c r="HH29" s="174"/>
      <c r="HI29" s="174"/>
      <c r="HJ29" s="174"/>
      <c r="HK29" s="174"/>
      <c r="HL29" s="174"/>
      <c r="HM29" s="174"/>
      <c r="HN29" s="174"/>
      <c r="HO29" s="174"/>
      <c r="HP29" s="174"/>
      <c r="HQ29" s="174"/>
      <c r="HR29" s="174"/>
      <c r="HS29" s="174"/>
      <c r="HT29" s="174"/>
      <c r="HU29" s="174"/>
      <c r="HV29" s="174"/>
      <c r="HW29" s="174"/>
      <c r="HX29" s="174"/>
      <c r="HY29" s="174"/>
      <c r="HZ29" s="174"/>
      <c r="IA29" s="174"/>
      <c r="IB29" s="174"/>
      <c r="IC29" s="174"/>
      <c r="ID29" s="174"/>
      <c r="IE29" s="174"/>
      <c r="IF29" s="174"/>
      <c r="IG29" s="174"/>
      <c r="IH29" s="174"/>
      <c r="II29" s="174"/>
      <c r="IJ29" s="174"/>
      <c r="IK29" s="174"/>
      <c r="IL29" s="174"/>
      <c r="IM29" s="174"/>
      <c r="IN29" s="174"/>
      <c r="IO29" s="174"/>
      <c r="IP29" s="174"/>
      <c r="IQ29" s="174"/>
      <c r="IR29" s="174"/>
      <c r="IS29" s="174"/>
      <c r="IT29" s="174"/>
      <c r="IU29" s="75"/>
      <c r="IV29" s="75"/>
      <c r="IW29" s="75"/>
      <c r="IX29" s="75"/>
      <c r="IY29" s="75"/>
      <c r="IZ29" s="75"/>
      <c r="JA29" s="75"/>
      <c r="JB29" s="75"/>
      <c r="JC29" s="75"/>
      <c r="JD29" s="75"/>
      <c r="JF29" s="710" t="s">
        <v>832</v>
      </c>
      <c r="JG29" s="710" t="s">
        <v>915</v>
      </c>
      <c r="JH29" s="178">
        <f t="shared" si="1"/>
        <v>31025.972250000003</v>
      </c>
      <c r="JI29" s="174">
        <f t="shared" si="2"/>
        <v>0</v>
      </c>
    </row>
    <row r="30" spans="2:269" ht="15" customHeight="1" x14ac:dyDescent="0.25">
      <c r="B30" s="113">
        <v>27</v>
      </c>
      <c r="C30" s="353" t="str">
        <f t="shared" si="5"/>
        <v/>
      </c>
      <c r="D30" s="353" t="str">
        <f t="shared" si="6"/>
        <v/>
      </c>
      <c r="E30" s="174"/>
      <c r="F30" s="174"/>
      <c r="G30" s="174"/>
      <c r="H30" s="174"/>
      <c r="I30" s="174"/>
      <c r="J30" s="174"/>
      <c r="K30" s="174"/>
      <c r="L30" s="174"/>
      <c r="M30" s="174"/>
      <c r="N30" s="174"/>
      <c r="O30" s="174"/>
      <c r="P30" s="174"/>
      <c r="Q30" s="174"/>
      <c r="R30" s="174"/>
      <c r="S30" s="174"/>
      <c r="T30" s="174"/>
      <c r="U30" s="174"/>
      <c r="V30" s="174"/>
      <c r="W30" s="174"/>
      <c r="X30" s="174"/>
      <c r="Y30" s="174"/>
      <c r="Z30" s="174"/>
      <c r="AA30" s="174"/>
      <c r="AB30" s="174"/>
      <c r="AC30" s="174"/>
      <c r="AD30" s="174"/>
      <c r="AE30" s="174"/>
      <c r="AF30" s="174"/>
      <c r="AG30" s="174"/>
      <c r="AH30" s="174"/>
      <c r="AI30" s="174"/>
      <c r="AJ30" s="174"/>
      <c r="AK30" s="174"/>
      <c r="AL30" s="174"/>
      <c r="AM30" s="174"/>
      <c r="AN30" s="174"/>
      <c r="AO30" s="174"/>
      <c r="AP30" s="174"/>
      <c r="AQ30" s="174"/>
      <c r="AR30" s="174"/>
      <c r="AS30" s="174"/>
      <c r="AT30" s="174"/>
      <c r="AU30" s="174"/>
      <c r="AV30" s="174"/>
      <c r="AW30" s="174"/>
      <c r="AX30" s="174"/>
      <c r="AY30" s="174"/>
      <c r="AZ30" s="174"/>
      <c r="BA30" s="174"/>
      <c r="BB30" s="174"/>
      <c r="BC30" s="174"/>
      <c r="BD30" s="174"/>
      <c r="BE30" s="174"/>
      <c r="BF30" s="174"/>
      <c r="BG30" s="174"/>
      <c r="BH30" s="174"/>
      <c r="BI30" s="174"/>
      <c r="BJ30" s="174"/>
      <c r="BK30" s="174"/>
      <c r="BL30" s="174"/>
      <c r="BM30" s="174"/>
      <c r="BN30" s="174"/>
      <c r="BO30" s="174"/>
      <c r="BP30" s="174"/>
      <c r="BQ30" s="174"/>
      <c r="BR30" s="174"/>
      <c r="BS30" s="174"/>
      <c r="BT30" s="174"/>
      <c r="BU30" s="174"/>
      <c r="BV30" s="174"/>
      <c r="BW30" s="174"/>
      <c r="BX30" s="174"/>
      <c r="BY30" s="174"/>
      <c r="BZ30" s="174"/>
      <c r="CA30" s="174"/>
      <c r="CB30" s="174"/>
      <c r="CC30" s="174"/>
      <c r="CD30" s="174"/>
      <c r="CE30" s="174"/>
      <c r="CF30" s="174"/>
      <c r="CG30" s="174"/>
      <c r="CH30" s="174"/>
      <c r="CI30" s="174"/>
      <c r="CJ30" s="174"/>
      <c r="CK30" s="174"/>
      <c r="CL30" s="174"/>
      <c r="CM30" s="174"/>
      <c r="CN30" s="174"/>
      <c r="CO30" s="174"/>
      <c r="CP30" s="174"/>
      <c r="CQ30" s="174"/>
      <c r="CR30" s="174"/>
      <c r="CS30" s="174"/>
      <c r="CT30" s="174"/>
      <c r="CU30" s="174"/>
      <c r="CV30" s="174"/>
      <c r="CW30" s="174"/>
      <c r="CX30" s="174"/>
      <c r="CY30" s="174"/>
      <c r="CZ30" s="174"/>
      <c r="DA30" s="174"/>
      <c r="DB30" s="174"/>
      <c r="DC30" s="174"/>
      <c r="DD30" s="174"/>
      <c r="DE30" s="174"/>
      <c r="DF30" s="174"/>
      <c r="DG30" s="174"/>
      <c r="DH30" s="174"/>
      <c r="DI30" s="174"/>
      <c r="DJ30" s="174"/>
      <c r="DK30" s="174"/>
      <c r="DL30" s="174"/>
      <c r="DM30" s="174"/>
      <c r="DN30" s="174"/>
      <c r="DO30" s="174"/>
      <c r="DP30" s="174"/>
      <c r="DQ30" s="174"/>
      <c r="DR30" s="174"/>
      <c r="DS30" s="174"/>
      <c r="DT30" s="174"/>
      <c r="DU30" s="174"/>
      <c r="DV30" s="174"/>
      <c r="DW30" s="174"/>
      <c r="DX30" s="174"/>
      <c r="DY30" s="174"/>
      <c r="DZ30" s="174"/>
      <c r="EA30" s="174"/>
      <c r="EB30" s="174"/>
      <c r="EC30" s="174"/>
      <c r="ED30" s="174"/>
      <c r="EE30" s="174"/>
      <c r="EF30" s="174"/>
      <c r="EG30" s="174"/>
      <c r="EH30" s="174"/>
      <c r="EI30" s="174"/>
      <c r="EJ30" s="174"/>
      <c r="EK30" s="174"/>
      <c r="EL30" s="174"/>
      <c r="EM30" s="174"/>
      <c r="EN30" s="174"/>
      <c r="EO30" s="174"/>
      <c r="EP30" s="174"/>
      <c r="EQ30" s="174"/>
      <c r="ER30" s="174"/>
      <c r="ES30" s="174"/>
      <c r="ET30" s="174"/>
      <c r="EU30" s="174"/>
      <c r="EV30" s="174"/>
      <c r="EW30" s="174"/>
      <c r="EX30" s="174"/>
      <c r="EY30" s="174"/>
      <c r="EZ30" s="174"/>
      <c r="FA30" s="174"/>
      <c r="FB30" s="174"/>
      <c r="FC30" s="174"/>
      <c r="FD30" s="174"/>
      <c r="FE30" s="174"/>
      <c r="FF30" s="174"/>
      <c r="FG30" s="174"/>
      <c r="FH30" s="174"/>
      <c r="FI30" s="174"/>
      <c r="FJ30" s="174"/>
      <c r="FK30" s="174"/>
      <c r="FL30" s="174"/>
      <c r="FM30" s="174"/>
      <c r="FN30" s="174"/>
      <c r="FO30" s="174"/>
      <c r="FP30" s="174"/>
      <c r="FQ30" s="174"/>
      <c r="FR30" s="174"/>
      <c r="FS30" s="174"/>
      <c r="FT30" s="174"/>
      <c r="FU30" s="174"/>
      <c r="FV30" s="174"/>
      <c r="FW30" s="174"/>
      <c r="FX30" s="174"/>
      <c r="FY30" s="174"/>
      <c r="FZ30" s="174"/>
      <c r="GA30" s="174"/>
      <c r="GB30" s="174"/>
      <c r="GC30" s="174"/>
      <c r="GD30" s="174"/>
      <c r="GE30" s="174"/>
      <c r="GF30" s="174"/>
      <c r="GG30" s="174"/>
      <c r="GH30" s="174"/>
      <c r="GI30" s="174"/>
      <c r="GJ30" s="174"/>
      <c r="GK30" s="174"/>
      <c r="GL30" s="174"/>
      <c r="GM30" s="174"/>
      <c r="GN30" s="174"/>
      <c r="GO30" s="174"/>
      <c r="GP30" s="174"/>
      <c r="GQ30" s="174"/>
      <c r="GR30" s="174"/>
      <c r="GS30" s="174"/>
      <c r="GT30" s="174"/>
      <c r="GU30" s="174"/>
      <c r="GV30" s="174"/>
      <c r="GW30" s="174"/>
      <c r="GX30" s="174"/>
      <c r="GY30" s="174"/>
      <c r="GZ30" s="174"/>
      <c r="HA30" s="174"/>
      <c r="HB30" s="174"/>
      <c r="HC30" s="174"/>
      <c r="HD30" s="174"/>
      <c r="HE30" s="174"/>
      <c r="HF30" s="174"/>
      <c r="HG30" s="174"/>
      <c r="HH30" s="174"/>
      <c r="HI30" s="174"/>
      <c r="HJ30" s="174"/>
      <c r="HK30" s="174"/>
      <c r="HL30" s="174"/>
      <c r="HM30" s="174"/>
      <c r="HN30" s="174"/>
      <c r="HO30" s="174"/>
      <c r="HP30" s="174"/>
      <c r="HQ30" s="174"/>
      <c r="HR30" s="174"/>
      <c r="HS30" s="174"/>
      <c r="HT30" s="174"/>
      <c r="HU30" s="174"/>
      <c r="HV30" s="174"/>
      <c r="HW30" s="174"/>
      <c r="HX30" s="174"/>
      <c r="HY30" s="174"/>
      <c r="HZ30" s="174"/>
      <c r="IA30" s="174"/>
      <c r="IB30" s="174"/>
      <c r="IC30" s="174"/>
      <c r="ID30" s="174"/>
      <c r="IE30" s="174"/>
      <c r="IF30" s="174"/>
      <c r="IG30" s="174"/>
      <c r="IH30" s="174"/>
      <c r="II30" s="174"/>
      <c r="IJ30" s="174"/>
      <c r="IK30" s="174"/>
      <c r="IL30" s="174"/>
      <c r="IM30" s="174"/>
      <c r="IN30" s="174"/>
      <c r="IO30" s="174"/>
      <c r="IP30" s="174"/>
      <c r="IQ30" s="174"/>
      <c r="IR30" s="174"/>
      <c r="IS30" s="174"/>
      <c r="IT30" s="174"/>
      <c r="IU30" s="75"/>
      <c r="IV30" s="75"/>
      <c r="IW30" s="75"/>
      <c r="IX30" s="75"/>
      <c r="IY30" s="75"/>
      <c r="IZ30" s="75"/>
      <c r="JA30" s="75"/>
      <c r="JB30" s="75"/>
      <c r="JC30" s="75"/>
      <c r="JD30" s="75"/>
      <c r="JF30" s="710"/>
      <c r="JG30" s="710"/>
      <c r="JH30" s="178">
        <f t="shared" si="1"/>
        <v>0</v>
      </c>
      <c r="JI30" s="174">
        <f t="shared" si="2"/>
        <v>0</v>
      </c>
    </row>
    <row r="31" spans="2:269" ht="15" customHeight="1" x14ac:dyDescent="0.25">
      <c r="B31" s="113">
        <v>28</v>
      </c>
      <c r="C31" s="353" t="str">
        <f t="shared" si="5"/>
        <v>Medidor de faturamento</v>
      </c>
      <c r="D31" s="353" t="str">
        <f t="shared" si="6"/>
        <v>medidor de faturamento</v>
      </c>
      <c r="E31" s="174"/>
      <c r="F31" s="174"/>
      <c r="G31" s="174"/>
      <c r="H31" s="174"/>
      <c r="I31" s="174"/>
      <c r="J31" s="174"/>
      <c r="K31" s="174"/>
      <c r="L31" s="174"/>
      <c r="M31" s="174"/>
      <c r="N31" s="174"/>
      <c r="O31" s="174"/>
      <c r="P31" s="174"/>
      <c r="Q31" s="174"/>
      <c r="R31" s="174"/>
      <c r="S31" s="174"/>
      <c r="T31" s="174"/>
      <c r="U31" s="174"/>
      <c r="V31" s="174"/>
      <c r="W31" s="174"/>
      <c r="X31" s="174"/>
      <c r="Y31" s="174"/>
      <c r="Z31" s="174"/>
      <c r="AA31" s="174"/>
      <c r="AB31" s="174"/>
      <c r="AC31" s="174"/>
      <c r="AD31" s="174"/>
      <c r="AE31" s="174"/>
      <c r="AF31" s="174"/>
      <c r="AG31" s="174"/>
      <c r="AH31" s="174"/>
      <c r="AI31" s="174"/>
      <c r="AJ31" s="174"/>
      <c r="AK31" s="174"/>
      <c r="AL31" s="174"/>
      <c r="AM31" s="174"/>
      <c r="AN31" s="174"/>
      <c r="AO31" s="174"/>
      <c r="AP31" s="174"/>
      <c r="AQ31" s="174"/>
      <c r="AR31" s="174"/>
      <c r="AS31" s="174"/>
      <c r="AT31" s="174"/>
      <c r="AU31" s="174"/>
      <c r="AV31" s="174"/>
      <c r="AW31" s="174"/>
      <c r="AX31" s="174"/>
      <c r="AY31" s="174"/>
      <c r="AZ31" s="174">
        <v>2</v>
      </c>
      <c r="BA31" s="174">
        <v>4</v>
      </c>
      <c r="BB31" s="174">
        <v>6</v>
      </c>
      <c r="BC31" s="174">
        <v>8</v>
      </c>
      <c r="BD31" s="174"/>
      <c r="BE31" s="174"/>
      <c r="BF31" s="174"/>
      <c r="BG31" s="174"/>
      <c r="BH31" s="174"/>
      <c r="BI31" s="174"/>
      <c r="BJ31" s="174"/>
      <c r="BK31" s="174"/>
      <c r="BL31" s="174"/>
      <c r="BM31" s="174"/>
      <c r="BN31" s="174"/>
      <c r="BO31" s="174"/>
      <c r="BP31" s="174"/>
      <c r="BQ31" s="174"/>
      <c r="BR31" s="174"/>
      <c r="BS31" s="174"/>
      <c r="BT31" s="174"/>
      <c r="BU31" s="174"/>
      <c r="BV31" s="174"/>
      <c r="BW31" s="174"/>
      <c r="BX31" s="174"/>
      <c r="BY31" s="174"/>
      <c r="BZ31" s="174"/>
      <c r="CA31" s="174"/>
      <c r="CB31" s="174"/>
      <c r="CC31" s="174"/>
      <c r="CD31" s="174"/>
      <c r="CE31" s="174"/>
      <c r="CF31" s="174"/>
      <c r="CG31" s="174"/>
      <c r="CH31" s="174"/>
      <c r="CI31" s="174"/>
      <c r="CJ31" s="174"/>
      <c r="CK31" s="174"/>
      <c r="CL31" s="174"/>
      <c r="CM31" s="174"/>
      <c r="CN31" s="174"/>
      <c r="CO31" s="174"/>
      <c r="CP31" s="174"/>
      <c r="CQ31" s="174"/>
      <c r="CR31" s="174"/>
      <c r="CS31" s="174"/>
      <c r="CT31" s="174"/>
      <c r="CU31" s="174"/>
      <c r="CV31" s="174"/>
      <c r="CW31" s="174"/>
      <c r="CX31" s="174"/>
      <c r="CY31" s="174"/>
      <c r="CZ31" s="174"/>
      <c r="DA31" s="174"/>
      <c r="DB31" s="174"/>
      <c r="DC31" s="174"/>
      <c r="DD31" s="174"/>
      <c r="DE31" s="174"/>
      <c r="DF31" s="174"/>
      <c r="DG31" s="174"/>
      <c r="DH31" s="174"/>
      <c r="DI31" s="174"/>
      <c r="DJ31" s="174"/>
      <c r="DK31" s="174"/>
      <c r="DL31" s="174"/>
      <c r="DM31" s="174"/>
      <c r="DN31" s="174"/>
      <c r="DO31" s="174"/>
      <c r="DP31" s="174"/>
      <c r="DQ31" s="174"/>
      <c r="DR31" s="174"/>
      <c r="DS31" s="174"/>
      <c r="DT31" s="174"/>
      <c r="DU31" s="174"/>
      <c r="DV31" s="174"/>
      <c r="DW31" s="174"/>
      <c r="DX31" s="174"/>
      <c r="DY31" s="174"/>
      <c r="DZ31" s="174"/>
      <c r="EA31" s="174"/>
      <c r="EB31" s="174"/>
      <c r="EC31" s="174"/>
      <c r="ED31" s="174"/>
      <c r="EE31" s="174"/>
      <c r="EF31" s="174"/>
      <c r="EG31" s="174"/>
      <c r="EH31" s="174"/>
      <c r="EI31" s="174"/>
      <c r="EJ31" s="174"/>
      <c r="EK31" s="174"/>
      <c r="EL31" s="174"/>
      <c r="EM31" s="174"/>
      <c r="EN31" s="174"/>
      <c r="EO31" s="174"/>
      <c r="EP31" s="174"/>
      <c r="EQ31" s="174"/>
      <c r="ER31" s="174"/>
      <c r="ES31" s="174"/>
      <c r="ET31" s="174"/>
      <c r="EU31" s="174"/>
      <c r="EV31" s="174"/>
      <c r="EW31" s="174"/>
      <c r="EX31" s="174"/>
      <c r="EY31" s="174"/>
      <c r="EZ31" s="174"/>
      <c r="FA31" s="174"/>
      <c r="FB31" s="174"/>
      <c r="FC31" s="174"/>
      <c r="FD31" s="174"/>
      <c r="FE31" s="174"/>
      <c r="FF31" s="174"/>
      <c r="FG31" s="174"/>
      <c r="FH31" s="174"/>
      <c r="FI31" s="174"/>
      <c r="FJ31" s="174"/>
      <c r="FK31" s="174"/>
      <c r="FL31" s="174"/>
      <c r="FM31" s="174"/>
      <c r="FN31" s="174"/>
      <c r="FO31" s="174"/>
      <c r="FP31" s="174"/>
      <c r="FQ31" s="174"/>
      <c r="FR31" s="174"/>
      <c r="FS31" s="174"/>
      <c r="FT31" s="174"/>
      <c r="FU31" s="174"/>
      <c r="FV31" s="174"/>
      <c r="FW31" s="174"/>
      <c r="FX31" s="174"/>
      <c r="FY31" s="174"/>
      <c r="FZ31" s="174"/>
      <c r="GA31" s="174"/>
      <c r="GB31" s="174"/>
      <c r="GC31" s="174"/>
      <c r="GD31" s="174"/>
      <c r="GE31" s="174"/>
      <c r="GF31" s="174"/>
      <c r="GG31" s="174"/>
      <c r="GH31" s="174"/>
      <c r="GI31" s="174"/>
      <c r="GJ31" s="174"/>
      <c r="GK31" s="174"/>
      <c r="GL31" s="174"/>
      <c r="GM31" s="174"/>
      <c r="GN31" s="174"/>
      <c r="GO31" s="174"/>
      <c r="GP31" s="174"/>
      <c r="GQ31" s="174"/>
      <c r="GR31" s="174"/>
      <c r="GS31" s="174"/>
      <c r="GT31" s="174"/>
      <c r="GU31" s="174"/>
      <c r="GV31" s="174"/>
      <c r="GW31" s="174"/>
      <c r="GX31" s="174"/>
      <c r="GY31" s="174"/>
      <c r="GZ31" s="174"/>
      <c r="HA31" s="174"/>
      <c r="HB31" s="174"/>
      <c r="HC31" s="174"/>
      <c r="HD31" s="174"/>
      <c r="HE31" s="174"/>
      <c r="HF31" s="174"/>
      <c r="HG31" s="174"/>
      <c r="HH31" s="174"/>
      <c r="HI31" s="174"/>
      <c r="HJ31" s="174"/>
      <c r="HK31" s="174"/>
      <c r="HL31" s="174"/>
      <c r="HM31" s="174"/>
      <c r="HN31" s="174"/>
      <c r="HO31" s="174"/>
      <c r="HP31" s="174"/>
      <c r="HQ31" s="174"/>
      <c r="HR31" s="174"/>
      <c r="HS31" s="174"/>
      <c r="HT31" s="174"/>
      <c r="HU31" s="174"/>
      <c r="HV31" s="174"/>
      <c r="HW31" s="174"/>
      <c r="HX31" s="174"/>
      <c r="HY31" s="174"/>
      <c r="HZ31" s="174"/>
      <c r="IA31" s="174"/>
      <c r="IB31" s="174"/>
      <c r="IC31" s="174"/>
      <c r="ID31" s="174"/>
      <c r="IE31" s="174"/>
      <c r="IF31" s="174"/>
      <c r="IG31" s="174"/>
      <c r="IH31" s="174"/>
      <c r="II31" s="174"/>
      <c r="IJ31" s="174"/>
      <c r="IK31" s="174"/>
      <c r="IL31" s="174"/>
      <c r="IM31" s="174"/>
      <c r="IN31" s="174"/>
      <c r="IO31" s="174"/>
      <c r="IP31" s="174"/>
      <c r="IQ31" s="174"/>
      <c r="IR31" s="174"/>
      <c r="IS31" s="174"/>
      <c r="IT31" s="174"/>
      <c r="IU31" s="75"/>
      <c r="IV31" s="75"/>
      <c r="IW31" s="75"/>
      <c r="IX31" s="75"/>
      <c r="IY31" s="75"/>
      <c r="IZ31" s="75"/>
      <c r="JA31" s="75"/>
      <c r="JB31" s="75"/>
      <c r="JC31" s="75"/>
      <c r="JD31" s="75"/>
      <c r="JF31" s="710" t="s">
        <v>749</v>
      </c>
      <c r="JG31" s="710" t="s">
        <v>916</v>
      </c>
      <c r="JH31" s="178">
        <f t="shared" si="1"/>
        <v>19311.313400000003</v>
      </c>
      <c r="JI31" s="174">
        <f t="shared" si="2"/>
        <v>0</v>
      </c>
    </row>
    <row r="32" spans="2:269" ht="15" customHeight="1" x14ac:dyDescent="0.25">
      <c r="B32" s="113">
        <v>29</v>
      </c>
      <c r="C32" s="353" t="str">
        <f t="shared" si="5"/>
        <v/>
      </c>
      <c r="D32" s="353" t="str">
        <f t="shared" si="6"/>
        <v/>
      </c>
      <c r="E32" s="174"/>
      <c r="F32" s="174"/>
      <c r="G32" s="174"/>
      <c r="H32" s="174"/>
      <c r="I32" s="174"/>
      <c r="J32" s="174"/>
      <c r="K32" s="174"/>
      <c r="L32" s="174"/>
      <c r="M32" s="174"/>
      <c r="N32" s="174"/>
      <c r="O32" s="174"/>
      <c r="P32" s="174"/>
      <c r="Q32" s="174"/>
      <c r="R32" s="174"/>
      <c r="S32" s="174"/>
      <c r="T32" s="174"/>
      <c r="U32" s="174"/>
      <c r="V32" s="174"/>
      <c r="W32" s="174"/>
      <c r="X32" s="174"/>
      <c r="Y32" s="174"/>
      <c r="Z32" s="174"/>
      <c r="AA32" s="174"/>
      <c r="AB32" s="174"/>
      <c r="AC32" s="174"/>
      <c r="AD32" s="174"/>
      <c r="AE32" s="174"/>
      <c r="AF32" s="174"/>
      <c r="AG32" s="174"/>
      <c r="AH32" s="174"/>
      <c r="AI32" s="174"/>
      <c r="AJ32" s="174"/>
      <c r="AK32" s="174"/>
      <c r="AL32" s="174"/>
      <c r="AM32" s="174"/>
      <c r="AN32" s="174"/>
      <c r="AO32" s="174"/>
      <c r="AP32" s="174"/>
      <c r="AQ32" s="174"/>
      <c r="AR32" s="174"/>
      <c r="AS32" s="174"/>
      <c r="AT32" s="174"/>
      <c r="AU32" s="174"/>
      <c r="AV32" s="174"/>
      <c r="AW32" s="174"/>
      <c r="AX32" s="174"/>
      <c r="AY32" s="174"/>
      <c r="AZ32" s="174"/>
      <c r="BA32" s="174"/>
      <c r="BB32" s="174"/>
      <c r="BC32" s="174"/>
      <c r="BD32" s="174"/>
      <c r="BE32" s="174"/>
      <c r="BF32" s="174"/>
      <c r="BG32" s="174"/>
      <c r="BH32" s="174"/>
      <c r="BI32" s="174"/>
      <c r="BJ32" s="174"/>
      <c r="BK32" s="174"/>
      <c r="BL32" s="174"/>
      <c r="BM32" s="174"/>
      <c r="BN32" s="174"/>
      <c r="BO32" s="174"/>
      <c r="BP32" s="174"/>
      <c r="BQ32" s="174"/>
      <c r="BR32" s="174"/>
      <c r="BS32" s="174"/>
      <c r="BT32" s="174"/>
      <c r="BU32" s="174"/>
      <c r="BV32" s="174"/>
      <c r="BW32" s="174"/>
      <c r="BX32" s="174"/>
      <c r="BY32" s="174"/>
      <c r="BZ32" s="174"/>
      <c r="CA32" s="174"/>
      <c r="CB32" s="174"/>
      <c r="CC32" s="174"/>
      <c r="CD32" s="174"/>
      <c r="CE32" s="174"/>
      <c r="CF32" s="174"/>
      <c r="CG32" s="174"/>
      <c r="CH32" s="174"/>
      <c r="CI32" s="174"/>
      <c r="CJ32" s="174"/>
      <c r="CK32" s="174"/>
      <c r="CL32" s="174"/>
      <c r="CM32" s="174"/>
      <c r="CN32" s="174"/>
      <c r="CO32" s="174"/>
      <c r="CP32" s="174"/>
      <c r="CQ32" s="174"/>
      <c r="CR32" s="174"/>
      <c r="CS32" s="174"/>
      <c r="CT32" s="174"/>
      <c r="CU32" s="174"/>
      <c r="CV32" s="174"/>
      <c r="CW32" s="174"/>
      <c r="CX32" s="174"/>
      <c r="CY32" s="174"/>
      <c r="CZ32" s="174"/>
      <c r="DA32" s="174"/>
      <c r="DB32" s="174"/>
      <c r="DC32" s="174"/>
      <c r="DD32" s="174"/>
      <c r="DE32" s="174"/>
      <c r="DF32" s="174"/>
      <c r="DG32" s="174"/>
      <c r="DH32" s="174"/>
      <c r="DI32" s="174"/>
      <c r="DJ32" s="174"/>
      <c r="DK32" s="174"/>
      <c r="DL32" s="174"/>
      <c r="DM32" s="174"/>
      <c r="DN32" s="174"/>
      <c r="DO32" s="174"/>
      <c r="DP32" s="174"/>
      <c r="DQ32" s="174"/>
      <c r="DR32" s="174"/>
      <c r="DS32" s="174"/>
      <c r="DT32" s="174"/>
      <c r="DU32" s="174"/>
      <c r="DV32" s="174"/>
      <c r="DW32" s="174"/>
      <c r="DX32" s="174"/>
      <c r="DY32" s="174"/>
      <c r="DZ32" s="174"/>
      <c r="EA32" s="174"/>
      <c r="EB32" s="174"/>
      <c r="EC32" s="174"/>
      <c r="ED32" s="174"/>
      <c r="EE32" s="174"/>
      <c r="EF32" s="174"/>
      <c r="EG32" s="174"/>
      <c r="EH32" s="174"/>
      <c r="EI32" s="174"/>
      <c r="EJ32" s="174"/>
      <c r="EK32" s="174"/>
      <c r="EL32" s="174"/>
      <c r="EM32" s="174"/>
      <c r="EN32" s="174"/>
      <c r="EO32" s="174"/>
      <c r="EP32" s="174"/>
      <c r="EQ32" s="174"/>
      <c r="ER32" s="174"/>
      <c r="ES32" s="174"/>
      <c r="ET32" s="174"/>
      <c r="EU32" s="174"/>
      <c r="EV32" s="174"/>
      <c r="EW32" s="174"/>
      <c r="EX32" s="174"/>
      <c r="EY32" s="174"/>
      <c r="EZ32" s="174"/>
      <c r="FA32" s="174"/>
      <c r="FB32" s="174"/>
      <c r="FC32" s="174"/>
      <c r="FD32" s="174"/>
      <c r="FE32" s="174"/>
      <c r="FF32" s="174"/>
      <c r="FG32" s="174"/>
      <c r="FH32" s="174"/>
      <c r="FI32" s="174"/>
      <c r="FJ32" s="174"/>
      <c r="FK32" s="174"/>
      <c r="FL32" s="174"/>
      <c r="FM32" s="174"/>
      <c r="FN32" s="174"/>
      <c r="FO32" s="174"/>
      <c r="FP32" s="174"/>
      <c r="FQ32" s="174"/>
      <c r="FR32" s="174"/>
      <c r="FS32" s="174"/>
      <c r="FT32" s="174"/>
      <c r="FU32" s="174"/>
      <c r="FV32" s="174"/>
      <c r="FW32" s="174"/>
      <c r="FX32" s="174"/>
      <c r="FY32" s="174"/>
      <c r="FZ32" s="174"/>
      <c r="GA32" s="174"/>
      <c r="GB32" s="174"/>
      <c r="GC32" s="174"/>
      <c r="GD32" s="174"/>
      <c r="GE32" s="174"/>
      <c r="GF32" s="174"/>
      <c r="GG32" s="174"/>
      <c r="GH32" s="174"/>
      <c r="GI32" s="174"/>
      <c r="GJ32" s="174"/>
      <c r="GK32" s="174"/>
      <c r="GL32" s="174"/>
      <c r="GM32" s="174"/>
      <c r="GN32" s="174"/>
      <c r="GO32" s="174"/>
      <c r="GP32" s="174"/>
      <c r="GQ32" s="174"/>
      <c r="GR32" s="174"/>
      <c r="GS32" s="174"/>
      <c r="GT32" s="174"/>
      <c r="GU32" s="174"/>
      <c r="GV32" s="174"/>
      <c r="GW32" s="174"/>
      <c r="GX32" s="174"/>
      <c r="GY32" s="174"/>
      <c r="GZ32" s="174"/>
      <c r="HA32" s="174"/>
      <c r="HB32" s="174"/>
      <c r="HC32" s="174"/>
      <c r="HD32" s="174"/>
      <c r="HE32" s="174"/>
      <c r="HF32" s="174"/>
      <c r="HG32" s="174"/>
      <c r="HH32" s="174"/>
      <c r="HI32" s="174"/>
      <c r="HJ32" s="174"/>
      <c r="HK32" s="174"/>
      <c r="HL32" s="174"/>
      <c r="HM32" s="174"/>
      <c r="HN32" s="174"/>
      <c r="HO32" s="174"/>
      <c r="HP32" s="174"/>
      <c r="HQ32" s="174"/>
      <c r="HR32" s="174"/>
      <c r="HS32" s="174"/>
      <c r="HT32" s="174"/>
      <c r="HU32" s="174"/>
      <c r="HV32" s="174"/>
      <c r="HW32" s="174"/>
      <c r="HX32" s="174"/>
      <c r="HY32" s="174"/>
      <c r="HZ32" s="174"/>
      <c r="IA32" s="174"/>
      <c r="IB32" s="174"/>
      <c r="IC32" s="174"/>
      <c r="ID32" s="174"/>
      <c r="IE32" s="174"/>
      <c r="IF32" s="174"/>
      <c r="IG32" s="174"/>
      <c r="IH32" s="174"/>
      <c r="II32" s="174"/>
      <c r="IJ32" s="174"/>
      <c r="IK32" s="174"/>
      <c r="IL32" s="174"/>
      <c r="IM32" s="174"/>
      <c r="IN32" s="174"/>
      <c r="IO32" s="174"/>
      <c r="IP32" s="174"/>
      <c r="IQ32" s="174"/>
      <c r="IR32" s="174"/>
      <c r="IS32" s="174"/>
      <c r="IT32" s="174"/>
      <c r="IU32" s="75"/>
      <c r="IV32" s="75"/>
      <c r="IW32" s="75"/>
      <c r="IX32" s="75"/>
      <c r="IY32" s="75"/>
      <c r="IZ32" s="75"/>
      <c r="JA32" s="75"/>
      <c r="JB32" s="75"/>
      <c r="JC32" s="75"/>
      <c r="JD32" s="75"/>
      <c r="JF32" s="710"/>
      <c r="JG32" s="710"/>
      <c r="JH32" s="178">
        <f t="shared" si="1"/>
        <v>0</v>
      </c>
      <c r="JI32" s="174">
        <f t="shared" si="2"/>
        <v>0</v>
      </c>
    </row>
    <row r="33" spans="2:269" ht="15" customHeight="1" x14ac:dyDescent="0.25">
      <c r="B33" s="113">
        <v>30</v>
      </c>
      <c r="C33" s="353" t="str">
        <f t="shared" si="5"/>
        <v>Painel Serviços Auxiliares CA</v>
      </c>
      <c r="D33" s="353" t="str">
        <f t="shared" si="6"/>
        <v>painel de serviços auxiliares 220/127 VCA</v>
      </c>
      <c r="E33" s="174"/>
      <c r="F33" s="174"/>
      <c r="G33" s="174"/>
      <c r="H33" s="174"/>
      <c r="I33" s="174"/>
      <c r="J33" s="174"/>
      <c r="K33" s="174"/>
      <c r="L33" s="174"/>
      <c r="M33" s="174"/>
      <c r="N33" s="174"/>
      <c r="O33" s="174"/>
      <c r="P33" s="174"/>
      <c r="Q33" s="174"/>
      <c r="R33" s="174"/>
      <c r="S33" s="174"/>
      <c r="T33" s="174"/>
      <c r="U33" s="174"/>
      <c r="V33" s="174"/>
      <c r="W33" s="174"/>
      <c r="X33" s="174"/>
      <c r="Y33" s="174"/>
      <c r="Z33" s="174"/>
      <c r="AA33" s="174"/>
      <c r="AB33" s="174"/>
      <c r="AC33" s="174"/>
      <c r="AD33" s="174"/>
      <c r="AE33" s="174"/>
      <c r="AF33" s="174"/>
      <c r="AG33" s="174"/>
      <c r="AH33" s="174"/>
      <c r="AI33" s="174"/>
      <c r="AJ33" s="174"/>
      <c r="AK33" s="174"/>
      <c r="AL33" s="174"/>
      <c r="AM33" s="174"/>
      <c r="AN33" s="174"/>
      <c r="AO33" s="174"/>
      <c r="AP33" s="174"/>
      <c r="AQ33" s="174"/>
      <c r="AR33" s="174"/>
      <c r="AS33" s="174"/>
      <c r="AT33" s="174"/>
      <c r="AU33" s="174"/>
      <c r="AV33" s="174"/>
      <c r="AW33" s="174"/>
      <c r="AX33" s="174"/>
      <c r="AY33" s="174"/>
      <c r="AZ33" s="174"/>
      <c r="BA33" s="174"/>
      <c r="BB33" s="174"/>
      <c r="BC33" s="174"/>
      <c r="BD33" s="174"/>
      <c r="BE33" s="174">
        <v>1</v>
      </c>
      <c r="BF33" s="174"/>
      <c r="BG33" s="174"/>
      <c r="BH33" s="174"/>
      <c r="BI33" s="174"/>
      <c r="BJ33" s="174"/>
      <c r="BK33" s="174"/>
      <c r="BL33" s="174"/>
      <c r="BM33" s="174"/>
      <c r="BN33" s="174"/>
      <c r="BO33" s="174"/>
      <c r="BP33" s="174"/>
      <c r="BQ33" s="174"/>
      <c r="BR33" s="174"/>
      <c r="BS33" s="174"/>
      <c r="BT33" s="174"/>
      <c r="BU33" s="174"/>
      <c r="BV33" s="174"/>
      <c r="BW33" s="174"/>
      <c r="BX33" s="174"/>
      <c r="BY33" s="174"/>
      <c r="BZ33" s="174"/>
      <c r="CA33" s="174"/>
      <c r="CB33" s="174"/>
      <c r="CC33" s="174"/>
      <c r="CD33" s="174"/>
      <c r="CE33" s="174"/>
      <c r="CF33" s="174"/>
      <c r="CG33" s="174"/>
      <c r="CH33" s="174"/>
      <c r="CI33" s="174"/>
      <c r="CJ33" s="174"/>
      <c r="CK33" s="174"/>
      <c r="CL33" s="174"/>
      <c r="CM33" s="174"/>
      <c r="CN33" s="174"/>
      <c r="CO33" s="174"/>
      <c r="CP33" s="174"/>
      <c r="CQ33" s="174"/>
      <c r="CR33" s="174"/>
      <c r="CS33" s="174"/>
      <c r="CT33" s="174"/>
      <c r="CU33" s="174"/>
      <c r="CV33" s="174"/>
      <c r="CW33" s="174"/>
      <c r="CX33" s="174"/>
      <c r="CY33" s="174"/>
      <c r="CZ33" s="174"/>
      <c r="DA33" s="174"/>
      <c r="DB33" s="174"/>
      <c r="DC33" s="174"/>
      <c r="DD33" s="174"/>
      <c r="DE33" s="174"/>
      <c r="DF33" s="174"/>
      <c r="DG33" s="174"/>
      <c r="DH33" s="174"/>
      <c r="DI33" s="174"/>
      <c r="DJ33" s="174"/>
      <c r="DK33" s="174"/>
      <c r="DL33" s="174"/>
      <c r="DM33" s="174"/>
      <c r="DN33" s="174"/>
      <c r="DO33" s="174"/>
      <c r="DP33" s="174"/>
      <c r="DQ33" s="174"/>
      <c r="DR33" s="174"/>
      <c r="DS33" s="174"/>
      <c r="DT33" s="174"/>
      <c r="DU33" s="174"/>
      <c r="DV33" s="174"/>
      <c r="DW33" s="174"/>
      <c r="DX33" s="174"/>
      <c r="DY33" s="174"/>
      <c r="DZ33" s="174"/>
      <c r="EA33" s="174"/>
      <c r="EB33" s="174"/>
      <c r="EC33" s="174"/>
      <c r="ED33" s="174"/>
      <c r="EE33" s="174"/>
      <c r="EF33" s="174"/>
      <c r="EG33" s="174"/>
      <c r="EH33" s="174"/>
      <c r="EI33" s="174"/>
      <c r="EJ33" s="174"/>
      <c r="EK33" s="174"/>
      <c r="EL33" s="174"/>
      <c r="EM33" s="174"/>
      <c r="EN33" s="174"/>
      <c r="EO33" s="174"/>
      <c r="EP33" s="174"/>
      <c r="EQ33" s="174"/>
      <c r="ER33" s="174"/>
      <c r="ES33" s="174"/>
      <c r="ET33" s="174"/>
      <c r="EU33" s="174"/>
      <c r="EV33" s="174"/>
      <c r="EW33" s="174"/>
      <c r="EX33" s="174"/>
      <c r="EY33" s="174"/>
      <c r="EZ33" s="174"/>
      <c r="FA33" s="174"/>
      <c r="FB33" s="174"/>
      <c r="FC33" s="174"/>
      <c r="FD33" s="174"/>
      <c r="FE33" s="174"/>
      <c r="FF33" s="174"/>
      <c r="FG33" s="174"/>
      <c r="FH33" s="174"/>
      <c r="FI33" s="174"/>
      <c r="FJ33" s="174"/>
      <c r="FK33" s="174"/>
      <c r="FL33" s="174"/>
      <c r="FM33" s="174"/>
      <c r="FN33" s="174"/>
      <c r="FO33" s="174"/>
      <c r="FP33" s="174"/>
      <c r="FQ33" s="174"/>
      <c r="FR33" s="174"/>
      <c r="FS33" s="174"/>
      <c r="FT33" s="174"/>
      <c r="FU33" s="174"/>
      <c r="FV33" s="174"/>
      <c r="FW33" s="174"/>
      <c r="FX33" s="174"/>
      <c r="FY33" s="174"/>
      <c r="FZ33" s="174"/>
      <c r="GA33" s="174"/>
      <c r="GB33" s="174"/>
      <c r="GC33" s="174"/>
      <c r="GD33" s="174"/>
      <c r="GE33" s="174"/>
      <c r="GF33" s="174"/>
      <c r="GG33" s="174"/>
      <c r="GH33" s="174"/>
      <c r="GI33" s="174"/>
      <c r="GJ33" s="174"/>
      <c r="GK33" s="174"/>
      <c r="GL33" s="174"/>
      <c r="GM33" s="174"/>
      <c r="GN33" s="174"/>
      <c r="GO33" s="174"/>
      <c r="GP33" s="174"/>
      <c r="GQ33" s="174"/>
      <c r="GR33" s="174"/>
      <c r="GS33" s="174"/>
      <c r="GT33" s="174"/>
      <c r="GU33" s="174"/>
      <c r="GV33" s="174"/>
      <c r="GW33" s="174"/>
      <c r="GX33" s="174"/>
      <c r="GY33" s="174"/>
      <c r="GZ33" s="174"/>
      <c r="HA33" s="174"/>
      <c r="HB33" s="174"/>
      <c r="HC33" s="174"/>
      <c r="HD33" s="174"/>
      <c r="HE33" s="174"/>
      <c r="HF33" s="174"/>
      <c r="HG33" s="174"/>
      <c r="HH33" s="174"/>
      <c r="HI33" s="174"/>
      <c r="HJ33" s="174"/>
      <c r="HK33" s="174"/>
      <c r="HL33" s="174"/>
      <c r="HM33" s="174"/>
      <c r="HN33" s="174"/>
      <c r="HO33" s="174"/>
      <c r="HP33" s="174"/>
      <c r="HQ33" s="174"/>
      <c r="HR33" s="174"/>
      <c r="HS33" s="174"/>
      <c r="HT33" s="174"/>
      <c r="HU33" s="174"/>
      <c r="HV33" s="174"/>
      <c r="HW33" s="174"/>
      <c r="HX33" s="174"/>
      <c r="HY33" s="174"/>
      <c r="HZ33" s="174"/>
      <c r="IA33" s="174"/>
      <c r="IB33" s="174"/>
      <c r="IC33" s="174"/>
      <c r="ID33" s="174"/>
      <c r="IE33" s="174"/>
      <c r="IF33" s="174"/>
      <c r="IG33" s="174"/>
      <c r="IH33" s="174"/>
      <c r="II33" s="174"/>
      <c r="IJ33" s="174"/>
      <c r="IK33" s="174"/>
      <c r="IL33" s="174"/>
      <c r="IM33" s="174"/>
      <c r="IN33" s="174"/>
      <c r="IO33" s="174"/>
      <c r="IP33" s="174"/>
      <c r="IQ33" s="174"/>
      <c r="IR33" s="174"/>
      <c r="IS33" s="174"/>
      <c r="IT33" s="174"/>
      <c r="IU33" s="75"/>
      <c r="IV33" s="75"/>
      <c r="IW33" s="75"/>
      <c r="IX33" s="75"/>
      <c r="IY33" s="75"/>
      <c r="IZ33" s="75"/>
      <c r="JA33" s="75"/>
      <c r="JB33" s="75"/>
      <c r="JC33" s="75"/>
      <c r="JD33" s="75"/>
      <c r="JF33" s="710" t="s">
        <v>1004</v>
      </c>
      <c r="JG33" s="710" t="s">
        <v>1019</v>
      </c>
      <c r="JH33" s="178">
        <f t="shared" si="1"/>
        <v>80000</v>
      </c>
      <c r="JI33" s="174">
        <f t="shared" si="2"/>
        <v>0</v>
      </c>
    </row>
    <row r="34" spans="2:269" ht="15" customHeight="1" x14ac:dyDescent="0.25">
      <c r="B34" s="113">
        <v>31</v>
      </c>
      <c r="C34" s="353" t="str">
        <f t="shared" si="5"/>
        <v>Painel Serviços Auxiliares CC</v>
      </c>
      <c r="D34" s="353" t="str">
        <f t="shared" si="6"/>
        <v>painel de serviços auxiliares 125 VCC</v>
      </c>
      <c r="E34" s="174"/>
      <c r="F34" s="174"/>
      <c r="G34" s="174"/>
      <c r="H34" s="174"/>
      <c r="I34" s="174"/>
      <c r="J34" s="174"/>
      <c r="K34" s="174"/>
      <c r="L34" s="174"/>
      <c r="M34" s="174"/>
      <c r="N34" s="174"/>
      <c r="O34" s="174"/>
      <c r="P34" s="174"/>
      <c r="Q34" s="174"/>
      <c r="R34" s="174"/>
      <c r="S34" s="174"/>
      <c r="T34" s="174"/>
      <c r="U34" s="174"/>
      <c r="V34" s="174"/>
      <c r="W34" s="174"/>
      <c r="X34" s="174"/>
      <c r="Y34" s="174"/>
      <c r="Z34" s="174"/>
      <c r="AA34" s="174"/>
      <c r="AB34" s="174"/>
      <c r="AC34" s="174"/>
      <c r="AD34" s="174"/>
      <c r="AE34" s="174"/>
      <c r="AF34" s="174"/>
      <c r="AG34" s="174"/>
      <c r="AH34" s="174"/>
      <c r="AI34" s="174"/>
      <c r="AJ34" s="174"/>
      <c r="AK34" s="174"/>
      <c r="AL34" s="174"/>
      <c r="AM34" s="174"/>
      <c r="AN34" s="174"/>
      <c r="AO34" s="174"/>
      <c r="AP34" s="174"/>
      <c r="AQ34" s="174"/>
      <c r="AR34" s="174"/>
      <c r="AS34" s="174"/>
      <c r="AT34" s="174"/>
      <c r="AU34" s="174"/>
      <c r="AV34" s="174"/>
      <c r="AW34" s="174"/>
      <c r="AX34" s="174"/>
      <c r="AY34" s="174"/>
      <c r="AZ34" s="174"/>
      <c r="BA34" s="174"/>
      <c r="BB34" s="174"/>
      <c r="BC34" s="174"/>
      <c r="BD34" s="174"/>
      <c r="BE34" s="174"/>
      <c r="BF34" s="174">
        <v>1</v>
      </c>
      <c r="BG34" s="174"/>
      <c r="BH34" s="174"/>
      <c r="BI34" s="174"/>
      <c r="BJ34" s="174"/>
      <c r="BK34" s="174"/>
      <c r="BL34" s="174"/>
      <c r="BM34" s="174"/>
      <c r="BN34" s="174"/>
      <c r="BO34" s="174"/>
      <c r="BP34" s="174"/>
      <c r="BQ34" s="174"/>
      <c r="BR34" s="174"/>
      <c r="BS34" s="174"/>
      <c r="BT34" s="174"/>
      <c r="BU34" s="174"/>
      <c r="BV34" s="174"/>
      <c r="BW34" s="174"/>
      <c r="BX34" s="174"/>
      <c r="BY34" s="174"/>
      <c r="BZ34" s="174"/>
      <c r="CA34" s="174"/>
      <c r="CB34" s="174"/>
      <c r="CC34" s="174"/>
      <c r="CD34" s="174"/>
      <c r="CE34" s="174"/>
      <c r="CF34" s="174"/>
      <c r="CG34" s="174"/>
      <c r="CH34" s="174"/>
      <c r="CI34" s="174"/>
      <c r="CJ34" s="174"/>
      <c r="CK34" s="174"/>
      <c r="CL34" s="174"/>
      <c r="CM34" s="174"/>
      <c r="CN34" s="174"/>
      <c r="CO34" s="174"/>
      <c r="CP34" s="174"/>
      <c r="CQ34" s="174"/>
      <c r="CR34" s="174"/>
      <c r="CS34" s="174"/>
      <c r="CT34" s="174"/>
      <c r="CU34" s="174"/>
      <c r="CV34" s="174"/>
      <c r="CW34" s="174"/>
      <c r="CX34" s="174"/>
      <c r="CY34" s="174"/>
      <c r="CZ34" s="174"/>
      <c r="DA34" s="174"/>
      <c r="DB34" s="174"/>
      <c r="DC34" s="174"/>
      <c r="DD34" s="174"/>
      <c r="DE34" s="174"/>
      <c r="DF34" s="174"/>
      <c r="DG34" s="174"/>
      <c r="DH34" s="174"/>
      <c r="DI34" s="174"/>
      <c r="DJ34" s="174"/>
      <c r="DK34" s="174"/>
      <c r="DL34" s="174"/>
      <c r="DM34" s="174"/>
      <c r="DN34" s="174"/>
      <c r="DO34" s="174"/>
      <c r="DP34" s="174"/>
      <c r="DQ34" s="174"/>
      <c r="DR34" s="174"/>
      <c r="DS34" s="174"/>
      <c r="DT34" s="174"/>
      <c r="DU34" s="174"/>
      <c r="DV34" s="174"/>
      <c r="DW34" s="174"/>
      <c r="DX34" s="174"/>
      <c r="DY34" s="174"/>
      <c r="DZ34" s="174"/>
      <c r="EA34" s="174"/>
      <c r="EB34" s="174"/>
      <c r="EC34" s="174"/>
      <c r="ED34" s="174"/>
      <c r="EE34" s="174"/>
      <c r="EF34" s="174"/>
      <c r="EG34" s="174"/>
      <c r="EH34" s="174"/>
      <c r="EI34" s="174"/>
      <c r="EJ34" s="174"/>
      <c r="EK34" s="174"/>
      <c r="EL34" s="174"/>
      <c r="EM34" s="174"/>
      <c r="EN34" s="174"/>
      <c r="EO34" s="174"/>
      <c r="EP34" s="174"/>
      <c r="EQ34" s="174"/>
      <c r="ER34" s="174"/>
      <c r="ES34" s="174"/>
      <c r="ET34" s="174"/>
      <c r="EU34" s="174"/>
      <c r="EV34" s="174"/>
      <c r="EW34" s="174"/>
      <c r="EX34" s="174"/>
      <c r="EY34" s="174"/>
      <c r="EZ34" s="174"/>
      <c r="FA34" s="174"/>
      <c r="FB34" s="174"/>
      <c r="FC34" s="174"/>
      <c r="FD34" s="174"/>
      <c r="FE34" s="174"/>
      <c r="FF34" s="174"/>
      <c r="FG34" s="174"/>
      <c r="FH34" s="174"/>
      <c r="FI34" s="174"/>
      <c r="FJ34" s="174"/>
      <c r="FK34" s="174"/>
      <c r="FL34" s="174"/>
      <c r="FM34" s="174"/>
      <c r="FN34" s="174"/>
      <c r="FO34" s="174"/>
      <c r="FP34" s="174"/>
      <c r="FQ34" s="174"/>
      <c r="FR34" s="174"/>
      <c r="FS34" s="174"/>
      <c r="FT34" s="174"/>
      <c r="FU34" s="174"/>
      <c r="FV34" s="174"/>
      <c r="FW34" s="174"/>
      <c r="FX34" s="174"/>
      <c r="FY34" s="174"/>
      <c r="FZ34" s="174"/>
      <c r="GA34" s="174"/>
      <c r="GB34" s="174"/>
      <c r="GC34" s="174"/>
      <c r="GD34" s="174"/>
      <c r="GE34" s="174"/>
      <c r="GF34" s="174"/>
      <c r="GG34" s="174"/>
      <c r="GH34" s="174"/>
      <c r="GI34" s="174"/>
      <c r="GJ34" s="174"/>
      <c r="GK34" s="174"/>
      <c r="GL34" s="174"/>
      <c r="GM34" s="174"/>
      <c r="GN34" s="174"/>
      <c r="GO34" s="174"/>
      <c r="GP34" s="174"/>
      <c r="GQ34" s="174"/>
      <c r="GR34" s="174"/>
      <c r="GS34" s="174"/>
      <c r="GT34" s="174"/>
      <c r="GU34" s="174"/>
      <c r="GV34" s="174"/>
      <c r="GW34" s="174"/>
      <c r="GX34" s="174"/>
      <c r="GY34" s="174"/>
      <c r="GZ34" s="174"/>
      <c r="HA34" s="174"/>
      <c r="HB34" s="174"/>
      <c r="HC34" s="174"/>
      <c r="HD34" s="174"/>
      <c r="HE34" s="174"/>
      <c r="HF34" s="174"/>
      <c r="HG34" s="174"/>
      <c r="HH34" s="174"/>
      <c r="HI34" s="174"/>
      <c r="HJ34" s="174"/>
      <c r="HK34" s="174"/>
      <c r="HL34" s="174"/>
      <c r="HM34" s="174"/>
      <c r="HN34" s="174"/>
      <c r="HO34" s="174"/>
      <c r="HP34" s="174"/>
      <c r="HQ34" s="174"/>
      <c r="HR34" s="174"/>
      <c r="HS34" s="174"/>
      <c r="HT34" s="174"/>
      <c r="HU34" s="174"/>
      <c r="HV34" s="174"/>
      <c r="HW34" s="174"/>
      <c r="HX34" s="174"/>
      <c r="HY34" s="174"/>
      <c r="HZ34" s="174"/>
      <c r="IA34" s="174"/>
      <c r="IB34" s="174"/>
      <c r="IC34" s="174"/>
      <c r="ID34" s="174"/>
      <c r="IE34" s="174"/>
      <c r="IF34" s="174"/>
      <c r="IG34" s="174"/>
      <c r="IH34" s="174"/>
      <c r="II34" s="174"/>
      <c r="IJ34" s="174"/>
      <c r="IK34" s="174"/>
      <c r="IL34" s="174"/>
      <c r="IM34" s="174"/>
      <c r="IN34" s="174"/>
      <c r="IO34" s="174"/>
      <c r="IP34" s="174"/>
      <c r="IQ34" s="174"/>
      <c r="IR34" s="174"/>
      <c r="IS34" s="174"/>
      <c r="IT34" s="174"/>
      <c r="IU34" s="75"/>
      <c r="IV34" s="75"/>
      <c r="IW34" s="75"/>
      <c r="IX34" s="75"/>
      <c r="IY34" s="75"/>
      <c r="IZ34" s="75"/>
      <c r="JA34" s="75"/>
      <c r="JB34" s="75"/>
      <c r="JC34" s="75"/>
      <c r="JD34" s="75"/>
      <c r="JF34" s="710" t="s">
        <v>1005</v>
      </c>
      <c r="JG34" s="710" t="s">
        <v>1020</v>
      </c>
      <c r="JH34" s="178">
        <f t="shared" si="1"/>
        <v>50000.000000000007</v>
      </c>
      <c r="JI34" s="174">
        <f t="shared" si="2"/>
        <v>0</v>
      </c>
    </row>
    <row r="35" spans="2:269" ht="15" customHeight="1" x14ac:dyDescent="0.25">
      <c r="B35" s="113">
        <v>32</v>
      </c>
      <c r="C35" s="353" t="str">
        <f t="shared" si="5"/>
        <v/>
      </c>
      <c r="D35" s="353" t="str">
        <f t="shared" si="6"/>
        <v/>
      </c>
      <c r="E35" s="174"/>
      <c r="F35" s="174"/>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c r="AF35" s="174"/>
      <c r="AG35" s="174"/>
      <c r="AH35" s="174"/>
      <c r="AI35" s="174"/>
      <c r="AJ35" s="174"/>
      <c r="AK35" s="174"/>
      <c r="AL35" s="174"/>
      <c r="AM35" s="174"/>
      <c r="AN35" s="174"/>
      <c r="AO35" s="174"/>
      <c r="AP35" s="174"/>
      <c r="AQ35" s="174"/>
      <c r="AR35" s="174"/>
      <c r="AS35" s="174"/>
      <c r="AT35" s="174"/>
      <c r="AU35" s="174"/>
      <c r="AV35" s="174"/>
      <c r="AW35" s="174"/>
      <c r="AX35" s="174"/>
      <c r="AY35" s="174"/>
      <c r="AZ35" s="174"/>
      <c r="BA35" s="174"/>
      <c r="BB35" s="174"/>
      <c r="BC35" s="174"/>
      <c r="BD35" s="174"/>
      <c r="BE35" s="174"/>
      <c r="BF35" s="174"/>
      <c r="BG35" s="174"/>
      <c r="BH35" s="174"/>
      <c r="BI35" s="174"/>
      <c r="BJ35" s="174"/>
      <c r="BK35" s="174"/>
      <c r="BL35" s="174"/>
      <c r="BM35" s="174"/>
      <c r="BN35" s="174"/>
      <c r="BO35" s="174"/>
      <c r="BP35" s="174"/>
      <c r="BQ35" s="174"/>
      <c r="BR35" s="174"/>
      <c r="BS35" s="174"/>
      <c r="BT35" s="174"/>
      <c r="BU35" s="174"/>
      <c r="BV35" s="174"/>
      <c r="BW35" s="174"/>
      <c r="BX35" s="174"/>
      <c r="BY35" s="174"/>
      <c r="BZ35" s="174"/>
      <c r="CA35" s="174"/>
      <c r="CB35" s="174"/>
      <c r="CC35" s="174"/>
      <c r="CD35" s="174"/>
      <c r="CE35" s="174"/>
      <c r="CF35" s="174"/>
      <c r="CG35" s="174"/>
      <c r="CH35" s="174"/>
      <c r="CI35" s="174"/>
      <c r="CJ35" s="174"/>
      <c r="CK35" s="174"/>
      <c r="CL35" s="174"/>
      <c r="CM35" s="174"/>
      <c r="CN35" s="174"/>
      <c r="CO35" s="174"/>
      <c r="CP35" s="174"/>
      <c r="CQ35" s="174"/>
      <c r="CR35" s="174"/>
      <c r="CS35" s="174"/>
      <c r="CT35" s="174"/>
      <c r="CU35" s="174"/>
      <c r="CV35" s="174"/>
      <c r="CW35" s="174"/>
      <c r="CX35" s="174"/>
      <c r="CY35" s="174"/>
      <c r="CZ35" s="174"/>
      <c r="DA35" s="174"/>
      <c r="DB35" s="174"/>
      <c r="DC35" s="174"/>
      <c r="DD35" s="174"/>
      <c r="DE35" s="174"/>
      <c r="DF35" s="174"/>
      <c r="DG35" s="174"/>
      <c r="DH35" s="174"/>
      <c r="DI35" s="174"/>
      <c r="DJ35" s="174"/>
      <c r="DK35" s="174"/>
      <c r="DL35" s="174"/>
      <c r="DM35" s="174"/>
      <c r="DN35" s="174"/>
      <c r="DO35" s="174"/>
      <c r="DP35" s="174"/>
      <c r="DQ35" s="174"/>
      <c r="DR35" s="174"/>
      <c r="DS35" s="174"/>
      <c r="DT35" s="174"/>
      <c r="DU35" s="174"/>
      <c r="DV35" s="174"/>
      <c r="DW35" s="174"/>
      <c r="DX35" s="174"/>
      <c r="DY35" s="174"/>
      <c r="DZ35" s="174"/>
      <c r="EA35" s="174"/>
      <c r="EB35" s="174"/>
      <c r="EC35" s="174"/>
      <c r="ED35" s="174"/>
      <c r="EE35" s="174"/>
      <c r="EF35" s="174"/>
      <c r="EG35" s="174"/>
      <c r="EH35" s="174"/>
      <c r="EI35" s="174"/>
      <c r="EJ35" s="174"/>
      <c r="EK35" s="174"/>
      <c r="EL35" s="174"/>
      <c r="EM35" s="174"/>
      <c r="EN35" s="174"/>
      <c r="EO35" s="174"/>
      <c r="EP35" s="174"/>
      <c r="EQ35" s="174"/>
      <c r="ER35" s="174"/>
      <c r="ES35" s="174"/>
      <c r="ET35" s="174"/>
      <c r="EU35" s="174"/>
      <c r="EV35" s="174"/>
      <c r="EW35" s="174"/>
      <c r="EX35" s="174"/>
      <c r="EY35" s="174"/>
      <c r="EZ35" s="174"/>
      <c r="FA35" s="174"/>
      <c r="FB35" s="174"/>
      <c r="FC35" s="174"/>
      <c r="FD35" s="174"/>
      <c r="FE35" s="174"/>
      <c r="FF35" s="174"/>
      <c r="FG35" s="174"/>
      <c r="FH35" s="174"/>
      <c r="FI35" s="174"/>
      <c r="FJ35" s="174"/>
      <c r="FK35" s="174"/>
      <c r="FL35" s="174"/>
      <c r="FM35" s="174"/>
      <c r="FN35" s="174"/>
      <c r="FO35" s="174"/>
      <c r="FP35" s="174"/>
      <c r="FQ35" s="174"/>
      <c r="FR35" s="174"/>
      <c r="FS35" s="174"/>
      <c r="FT35" s="174"/>
      <c r="FU35" s="174"/>
      <c r="FV35" s="174"/>
      <c r="FW35" s="174"/>
      <c r="FX35" s="174"/>
      <c r="FY35" s="174"/>
      <c r="FZ35" s="174"/>
      <c r="GA35" s="174"/>
      <c r="GB35" s="174"/>
      <c r="GC35" s="174"/>
      <c r="GD35" s="174"/>
      <c r="GE35" s="174"/>
      <c r="GF35" s="174"/>
      <c r="GG35" s="174"/>
      <c r="GH35" s="174"/>
      <c r="GI35" s="174"/>
      <c r="GJ35" s="174"/>
      <c r="GK35" s="174"/>
      <c r="GL35" s="174"/>
      <c r="GM35" s="174"/>
      <c r="GN35" s="174"/>
      <c r="GO35" s="174"/>
      <c r="GP35" s="174"/>
      <c r="GQ35" s="174"/>
      <c r="GR35" s="174"/>
      <c r="GS35" s="174"/>
      <c r="GT35" s="174"/>
      <c r="GU35" s="174"/>
      <c r="GV35" s="174"/>
      <c r="GW35" s="174"/>
      <c r="GX35" s="174"/>
      <c r="GY35" s="174"/>
      <c r="GZ35" s="174"/>
      <c r="HA35" s="174"/>
      <c r="HB35" s="174"/>
      <c r="HC35" s="174"/>
      <c r="HD35" s="174"/>
      <c r="HE35" s="174"/>
      <c r="HF35" s="174"/>
      <c r="HG35" s="174"/>
      <c r="HH35" s="174"/>
      <c r="HI35" s="174"/>
      <c r="HJ35" s="174"/>
      <c r="HK35" s="174"/>
      <c r="HL35" s="174"/>
      <c r="HM35" s="174"/>
      <c r="HN35" s="174"/>
      <c r="HO35" s="174"/>
      <c r="HP35" s="174"/>
      <c r="HQ35" s="174"/>
      <c r="HR35" s="174"/>
      <c r="HS35" s="174"/>
      <c r="HT35" s="174"/>
      <c r="HU35" s="174"/>
      <c r="HV35" s="174"/>
      <c r="HW35" s="174"/>
      <c r="HX35" s="174"/>
      <c r="HY35" s="174"/>
      <c r="HZ35" s="174"/>
      <c r="IA35" s="174"/>
      <c r="IB35" s="174"/>
      <c r="IC35" s="174"/>
      <c r="ID35" s="174"/>
      <c r="IE35" s="174"/>
      <c r="IF35" s="174"/>
      <c r="IG35" s="174"/>
      <c r="IH35" s="174"/>
      <c r="II35" s="174"/>
      <c r="IJ35" s="174"/>
      <c r="IK35" s="174"/>
      <c r="IL35" s="174"/>
      <c r="IM35" s="174"/>
      <c r="IN35" s="174"/>
      <c r="IO35" s="174"/>
      <c r="IP35" s="174"/>
      <c r="IQ35" s="174"/>
      <c r="IR35" s="174"/>
      <c r="IS35" s="174"/>
      <c r="IT35" s="174"/>
      <c r="IU35" s="75"/>
      <c r="IV35" s="75"/>
      <c r="IW35" s="75"/>
      <c r="IX35" s="75"/>
      <c r="IY35" s="75"/>
      <c r="IZ35" s="75"/>
      <c r="JA35" s="75"/>
      <c r="JB35" s="75"/>
      <c r="JC35" s="75"/>
      <c r="JD35" s="75"/>
      <c r="JF35" s="710"/>
      <c r="JG35" s="710"/>
      <c r="JH35" s="178">
        <f t="shared" si="1"/>
        <v>0</v>
      </c>
      <c r="JI35" s="174">
        <f t="shared" si="2"/>
        <v>0</v>
      </c>
    </row>
    <row r="36" spans="2:269" ht="15" customHeight="1" x14ac:dyDescent="0.25">
      <c r="B36" s="113">
        <v>33</v>
      </c>
      <c r="C36" s="353" t="str">
        <f t="shared" si="5"/>
        <v>SAGE - SCADA/IHM</v>
      </c>
      <c r="D36" s="353" t="str">
        <f t="shared" si="6"/>
        <v>licença SAGE</v>
      </c>
      <c r="E36" s="174"/>
      <c r="F36" s="174"/>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174"/>
      <c r="AG36" s="174"/>
      <c r="AH36" s="174"/>
      <c r="AI36" s="174"/>
      <c r="AJ36" s="174"/>
      <c r="AK36" s="174"/>
      <c r="AL36" s="174"/>
      <c r="AM36" s="174"/>
      <c r="AN36" s="174"/>
      <c r="AO36" s="174"/>
      <c r="AP36" s="174"/>
      <c r="AQ36" s="174"/>
      <c r="AR36" s="174"/>
      <c r="AS36" s="174"/>
      <c r="AT36" s="174"/>
      <c r="AU36" s="174">
        <v>2</v>
      </c>
      <c r="AV36" s="174"/>
      <c r="AW36" s="174"/>
      <c r="AX36" s="174"/>
      <c r="AY36" s="174"/>
      <c r="AZ36" s="174"/>
      <c r="BA36" s="174"/>
      <c r="BB36" s="174"/>
      <c r="BC36" s="174"/>
      <c r="BD36" s="174"/>
      <c r="BE36" s="174"/>
      <c r="BF36" s="174"/>
      <c r="BG36" s="174"/>
      <c r="BH36" s="174"/>
      <c r="BI36" s="174"/>
      <c r="BJ36" s="174"/>
      <c r="BK36" s="174"/>
      <c r="BL36" s="174"/>
      <c r="BM36" s="174"/>
      <c r="BN36" s="174"/>
      <c r="BO36" s="174"/>
      <c r="BP36" s="174"/>
      <c r="BQ36" s="174"/>
      <c r="BR36" s="174"/>
      <c r="BS36" s="174"/>
      <c r="BT36" s="174"/>
      <c r="BU36" s="174"/>
      <c r="BV36" s="174"/>
      <c r="BW36" s="174"/>
      <c r="BX36" s="174"/>
      <c r="BY36" s="174"/>
      <c r="BZ36" s="174"/>
      <c r="CA36" s="174"/>
      <c r="CB36" s="174"/>
      <c r="CC36" s="174"/>
      <c r="CD36" s="174"/>
      <c r="CE36" s="174"/>
      <c r="CF36" s="174"/>
      <c r="CG36" s="174"/>
      <c r="CH36" s="174"/>
      <c r="CI36" s="174"/>
      <c r="CJ36" s="174"/>
      <c r="CK36" s="174"/>
      <c r="CL36" s="174"/>
      <c r="CM36" s="174"/>
      <c r="CN36" s="174"/>
      <c r="CO36" s="174"/>
      <c r="CP36" s="174"/>
      <c r="CQ36" s="174"/>
      <c r="CR36" s="174"/>
      <c r="CS36" s="174"/>
      <c r="CT36" s="174"/>
      <c r="CU36" s="174"/>
      <c r="CV36" s="174"/>
      <c r="CW36" s="174"/>
      <c r="CX36" s="174"/>
      <c r="CY36" s="174"/>
      <c r="CZ36" s="174"/>
      <c r="DA36" s="174"/>
      <c r="DB36" s="174"/>
      <c r="DC36" s="174"/>
      <c r="DD36" s="174"/>
      <c r="DE36" s="174"/>
      <c r="DF36" s="174"/>
      <c r="DG36" s="174"/>
      <c r="DH36" s="174"/>
      <c r="DI36" s="174"/>
      <c r="DJ36" s="174"/>
      <c r="DK36" s="174"/>
      <c r="DL36" s="174"/>
      <c r="DM36" s="174"/>
      <c r="DN36" s="174"/>
      <c r="DO36" s="174"/>
      <c r="DP36" s="174"/>
      <c r="DQ36" s="174"/>
      <c r="DR36" s="174"/>
      <c r="DS36" s="174"/>
      <c r="DT36" s="174"/>
      <c r="DU36" s="174"/>
      <c r="DV36" s="174"/>
      <c r="DW36" s="174"/>
      <c r="DX36" s="174"/>
      <c r="DY36" s="174"/>
      <c r="DZ36" s="174"/>
      <c r="EA36" s="174"/>
      <c r="EB36" s="174"/>
      <c r="EC36" s="174"/>
      <c r="ED36" s="174"/>
      <c r="EE36" s="174"/>
      <c r="EF36" s="174"/>
      <c r="EG36" s="174"/>
      <c r="EH36" s="174"/>
      <c r="EI36" s="174"/>
      <c r="EJ36" s="174"/>
      <c r="EK36" s="174"/>
      <c r="EL36" s="174"/>
      <c r="EM36" s="174"/>
      <c r="EN36" s="174"/>
      <c r="EO36" s="174"/>
      <c r="EP36" s="174"/>
      <c r="EQ36" s="174"/>
      <c r="ER36" s="174"/>
      <c r="ES36" s="174"/>
      <c r="ET36" s="174"/>
      <c r="EU36" s="174"/>
      <c r="EV36" s="174"/>
      <c r="EW36" s="174"/>
      <c r="EX36" s="174"/>
      <c r="EY36" s="174"/>
      <c r="EZ36" s="174"/>
      <c r="FA36" s="174"/>
      <c r="FB36" s="174"/>
      <c r="FC36" s="174"/>
      <c r="FD36" s="174"/>
      <c r="FE36" s="174"/>
      <c r="FF36" s="174"/>
      <c r="FG36" s="174"/>
      <c r="FH36" s="174"/>
      <c r="FI36" s="174"/>
      <c r="FJ36" s="174"/>
      <c r="FK36" s="174"/>
      <c r="FL36" s="174"/>
      <c r="FM36" s="174"/>
      <c r="FN36" s="174"/>
      <c r="FO36" s="174"/>
      <c r="FP36" s="174"/>
      <c r="FQ36" s="174"/>
      <c r="FR36" s="174"/>
      <c r="FS36" s="174"/>
      <c r="FT36" s="174"/>
      <c r="FU36" s="174"/>
      <c r="FV36" s="174"/>
      <c r="FW36" s="174"/>
      <c r="FX36" s="174"/>
      <c r="FY36" s="174"/>
      <c r="FZ36" s="174"/>
      <c r="GA36" s="174"/>
      <c r="GB36" s="174"/>
      <c r="GC36" s="174"/>
      <c r="GD36" s="174"/>
      <c r="GE36" s="174"/>
      <c r="GF36" s="174"/>
      <c r="GG36" s="174"/>
      <c r="GH36" s="174"/>
      <c r="GI36" s="174"/>
      <c r="GJ36" s="174"/>
      <c r="GK36" s="174"/>
      <c r="GL36" s="174"/>
      <c r="GM36" s="174"/>
      <c r="GN36" s="174"/>
      <c r="GO36" s="174"/>
      <c r="GP36" s="174"/>
      <c r="GQ36" s="174"/>
      <c r="GR36" s="174"/>
      <c r="GS36" s="174"/>
      <c r="GT36" s="174"/>
      <c r="GU36" s="174"/>
      <c r="GV36" s="174"/>
      <c r="GW36" s="174"/>
      <c r="GX36" s="174"/>
      <c r="GY36" s="174"/>
      <c r="GZ36" s="174"/>
      <c r="HA36" s="174"/>
      <c r="HB36" s="174"/>
      <c r="HC36" s="174"/>
      <c r="HD36" s="174"/>
      <c r="HE36" s="174"/>
      <c r="HF36" s="174"/>
      <c r="HG36" s="174"/>
      <c r="HH36" s="174"/>
      <c r="HI36" s="174"/>
      <c r="HJ36" s="174"/>
      <c r="HK36" s="174"/>
      <c r="HL36" s="174"/>
      <c r="HM36" s="174"/>
      <c r="HN36" s="174"/>
      <c r="HO36" s="174"/>
      <c r="HP36" s="174"/>
      <c r="HQ36" s="174"/>
      <c r="HR36" s="174"/>
      <c r="HS36" s="174"/>
      <c r="HT36" s="174"/>
      <c r="HU36" s="174"/>
      <c r="HV36" s="174"/>
      <c r="HW36" s="174"/>
      <c r="HX36" s="174"/>
      <c r="HY36" s="174"/>
      <c r="HZ36" s="174"/>
      <c r="IA36" s="174"/>
      <c r="IB36" s="174"/>
      <c r="IC36" s="174"/>
      <c r="ID36" s="174"/>
      <c r="IE36" s="174"/>
      <c r="IF36" s="174"/>
      <c r="IG36" s="174"/>
      <c r="IH36" s="174"/>
      <c r="II36" s="174"/>
      <c r="IJ36" s="174"/>
      <c r="IK36" s="174"/>
      <c r="IL36" s="174"/>
      <c r="IM36" s="174"/>
      <c r="IN36" s="174"/>
      <c r="IO36" s="174"/>
      <c r="IP36" s="174"/>
      <c r="IQ36" s="174"/>
      <c r="IR36" s="174"/>
      <c r="IS36" s="174"/>
      <c r="IT36" s="174"/>
      <c r="IU36" s="75"/>
      <c r="IV36" s="75"/>
      <c r="IW36" s="75"/>
      <c r="IX36" s="75"/>
      <c r="IY36" s="75"/>
      <c r="IZ36" s="75"/>
      <c r="JA36" s="75"/>
      <c r="JB36" s="75"/>
      <c r="JC36" s="75"/>
      <c r="JD36" s="75"/>
      <c r="JF36" s="710" t="s">
        <v>696</v>
      </c>
      <c r="JG36" s="710" t="s">
        <v>917</v>
      </c>
      <c r="JH36" s="178">
        <f t="shared" si="1"/>
        <v>32488.500000000004</v>
      </c>
      <c r="JI36" s="174">
        <f t="shared" si="2"/>
        <v>0</v>
      </c>
    </row>
    <row r="37" spans="2:269" ht="15" customHeight="1" x14ac:dyDescent="0.25">
      <c r="B37" s="113">
        <v>34</v>
      </c>
      <c r="C37" s="353" t="str">
        <f t="shared" si="5"/>
        <v>SAGE - IEC 61850</v>
      </c>
      <c r="D37" s="353" t="str">
        <f t="shared" si="6"/>
        <v>driver IEC61850</v>
      </c>
      <c r="E37" s="174"/>
      <c r="F37" s="174"/>
      <c r="G37" s="174"/>
      <c r="H37" s="174"/>
      <c r="I37" s="174"/>
      <c r="J37" s="174"/>
      <c r="K37" s="174"/>
      <c r="L37" s="174"/>
      <c r="M37" s="174"/>
      <c r="N37" s="174"/>
      <c r="O37" s="174"/>
      <c r="P37" s="174"/>
      <c r="Q37" s="174"/>
      <c r="R37" s="174"/>
      <c r="S37" s="174"/>
      <c r="T37" s="174"/>
      <c r="U37" s="174"/>
      <c r="V37" s="174"/>
      <c r="W37" s="174"/>
      <c r="X37" s="174"/>
      <c r="Y37" s="174"/>
      <c r="Z37" s="174"/>
      <c r="AA37" s="174"/>
      <c r="AB37" s="174"/>
      <c r="AC37" s="174"/>
      <c r="AD37" s="174"/>
      <c r="AE37" s="174"/>
      <c r="AF37" s="174"/>
      <c r="AG37" s="174"/>
      <c r="AH37" s="174"/>
      <c r="AI37" s="174"/>
      <c r="AJ37" s="174"/>
      <c r="AK37" s="174"/>
      <c r="AL37" s="174"/>
      <c r="AM37" s="174"/>
      <c r="AN37" s="174"/>
      <c r="AO37" s="174"/>
      <c r="AP37" s="174"/>
      <c r="AQ37" s="174"/>
      <c r="AR37" s="174"/>
      <c r="AS37" s="174"/>
      <c r="AT37" s="174"/>
      <c r="AU37" s="174">
        <v>2</v>
      </c>
      <c r="AV37" s="174"/>
      <c r="AW37" s="174"/>
      <c r="AX37" s="174"/>
      <c r="AY37" s="174"/>
      <c r="AZ37" s="174"/>
      <c r="BA37" s="174"/>
      <c r="BB37" s="174"/>
      <c r="BC37" s="174"/>
      <c r="BD37" s="174"/>
      <c r="BE37" s="174"/>
      <c r="BF37" s="174"/>
      <c r="BG37" s="174"/>
      <c r="BH37" s="174"/>
      <c r="BI37" s="174"/>
      <c r="BJ37" s="174"/>
      <c r="BK37" s="174"/>
      <c r="BL37" s="174"/>
      <c r="BM37" s="174"/>
      <c r="BN37" s="174"/>
      <c r="BO37" s="174"/>
      <c r="BP37" s="174"/>
      <c r="BQ37" s="174"/>
      <c r="BR37" s="174"/>
      <c r="BS37" s="174"/>
      <c r="BT37" s="174"/>
      <c r="BU37" s="174"/>
      <c r="BV37" s="174"/>
      <c r="BW37" s="174"/>
      <c r="BX37" s="174"/>
      <c r="BY37" s="174"/>
      <c r="BZ37" s="174"/>
      <c r="CA37" s="174"/>
      <c r="CB37" s="174"/>
      <c r="CC37" s="174"/>
      <c r="CD37" s="174"/>
      <c r="CE37" s="174"/>
      <c r="CF37" s="174"/>
      <c r="CG37" s="174"/>
      <c r="CH37" s="174"/>
      <c r="CI37" s="174"/>
      <c r="CJ37" s="174"/>
      <c r="CK37" s="174"/>
      <c r="CL37" s="174"/>
      <c r="CM37" s="174"/>
      <c r="CN37" s="174"/>
      <c r="CO37" s="174"/>
      <c r="CP37" s="174"/>
      <c r="CQ37" s="174"/>
      <c r="CR37" s="174"/>
      <c r="CS37" s="174"/>
      <c r="CT37" s="174"/>
      <c r="CU37" s="174"/>
      <c r="CV37" s="174"/>
      <c r="CW37" s="174"/>
      <c r="CX37" s="174"/>
      <c r="CY37" s="174"/>
      <c r="CZ37" s="174"/>
      <c r="DA37" s="174"/>
      <c r="DB37" s="174"/>
      <c r="DC37" s="174"/>
      <c r="DD37" s="174"/>
      <c r="DE37" s="174"/>
      <c r="DF37" s="174"/>
      <c r="DG37" s="174"/>
      <c r="DH37" s="174"/>
      <c r="DI37" s="174"/>
      <c r="DJ37" s="174"/>
      <c r="DK37" s="174"/>
      <c r="DL37" s="174"/>
      <c r="DM37" s="174"/>
      <c r="DN37" s="174"/>
      <c r="DO37" s="174"/>
      <c r="DP37" s="174"/>
      <c r="DQ37" s="174"/>
      <c r="DR37" s="174"/>
      <c r="DS37" s="174"/>
      <c r="DT37" s="174"/>
      <c r="DU37" s="174"/>
      <c r="DV37" s="174"/>
      <c r="DW37" s="174"/>
      <c r="DX37" s="174"/>
      <c r="DY37" s="174"/>
      <c r="DZ37" s="174"/>
      <c r="EA37" s="174"/>
      <c r="EB37" s="174"/>
      <c r="EC37" s="174"/>
      <c r="ED37" s="174"/>
      <c r="EE37" s="174"/>
      <c r="EF37" s="174"/>
      <c r="EG37" s="174"/>
      <c r="EH37" s="174"/>
      <c r="EI37" s="174"/>
      <c r="EJ37" s="174"/>
      <c r="EK37" s="174"/>
      <c r="EL37" s="174"/>
      <c r="EM37" s="174"/>
      <c r="EN37" s="174"/>
      <c r="EO37" s="174"/>
      <c r="EP37" s="174"/>
      <c r="EQ37" s="174"/>
      <c r="ER37" s="174"/>
      <c r="ES37" s="174"/>
      <c r="ET37" s="174"/>
      <c r="EU37" s="174"/>
      <c r="EV37" s="174"/>
      <c r="EW37" s="174"/>
      <c r="EX37" s="174"/>
      <c r="EY37" s="174"/>
      <c r="EZ37" s="174"/>
      <c r="FA37" s="174"/>
      <c r="FB37" s="174"/>
      <c r="FC37" s="174"/>
      <c r="FD37" s="174"/>
      <c r="FE37" s="174"/>
      <c r="FF37" s="174"/>
      <c r="FG37" s="174"/>
      <c r="FH37" s="174"/>
      <c r="FI37" s="174"/>
      <c r="FJ37" s="174"/>
      <c r="FK37" s="174"/>
      <c r="FL37" s="174"/>
      <c r="FM37" s="174"/>
      <c r="FN37" s="174"/>
      <c r="FO37" s="174"/>
      <c r="FP37" s="174"/>
      <c r="FQ37" s="174"/>
      <c r="FR37" s="174"/>
      <c r="FS37" s="174"/>
      <c r="FT37" s="174"/>
      <c r="FU37" s="174"/>
      <c r="FV37" s="174"/>
      <c r="FW37" s="174"/>
      <c r="FX37" s="174"/>
      <c r="FY37" s="174"/>
      <c r="FZ37" s="174"/>
      <c r="GA37" s="174"/>
      <c r="GB37" s="174"/>
      <c r="GC37" s="174"/>
      <c r="GD37" s="174"/>
      <c r="GE37" s="174"/>
      <c r="GF37" s="174"/>
      <c r="GG37" s="174"/>
      <c r="GH37" s="174"/>
      <c r="GI37" s="174"/>
      <c r="GJ37" s="174"/>
      <c r="GK37" s="174"/>
      <c r="GL37" s="174"/>
      <c r="GM37" s="174"/>
      <c r="GN37" s="174"/>
      <c r="GO37" s="174"/>
      <c r="GP37" s="174"/>
      <c r="GQ37" s="174"/>
      <c r="GR37" s="174"/>
      <c r="GS37" s="174"/>
      <c r="GT37" s="174"/>
      <c r="GU37" s="174"/>
      <c r="GV37" s="174"/>
      <c r="GW37" s="174"/>
      <c r="GX37" s="174"/>
      <c r="GY37" s="174"/>
      <c r="GZ37" s="174"/>
      <c r="HA37" s="174"/>
      <c r="HB37" s="174"/>
      <c r="HC37" s="174"/>
      <c r="HD37" s="174"/>
      <c r="HE37" s="174"/>
      <c r="HF37" s="174"/>
      <c r="HG37" s="174"/>
      <c r="HH37" s="174"/>
      <c r="HI37" s="174"/>
      <c r="HJ37" s="174"/>
      <c r="HK37" s="174"/>
      <c r="HL37" s="174"/>
      <c r="HM37" s="174"/>
      <c r="HN37" s="174"/>
      <c r="HO37" s="174"/>
      <c r="HP37" s="174"/>
      <c r="HQ37" s="174"/>
      <c r="HR37" s="174"/>
      <c r="HS37" s="174"/>
      <c r="HT37" s="174"/>
      <c r="HU37" s="174"/>
      <c r="HV37" s="174"/>
      <c r="HW37" s="174"/>
      <c r="HX37" s="174"/>
      <c r="HY37" s="174"/>
      <c r="HZ37" s="174"/>
      <c r="IA37" s="174"/>
      <c r="IB37" s="174"/>
      <c r="IC37" s="174"/>
      <c r="ID37" s="174"/>
      <c r="IE37" s="174"/>
      <c r="IF37" s="174"/>
      <c r="IG37" s="174"/>
      <c r="IH37" s="174"/>
      <c r="II37" s="174"/>
      <c r="IJ37" s="174"/>
      <c r="IK37" s="174"/>
      <c r="IL37" s="174"/>
      <c r="IM37" s="174"/>
      <c r="IN37" s="174"/>
      <c r="IO37" s="174"/>
      <c r="IP37" s="174"/>
      <c r="IQ37" s="174"/>
      <c r="IR37" s="174"/>
      <c r="IS37" s="174"/>
      <c r="IT37" s="174"/>
      <c r="IU37" s="75"/>
      <c r="IV37" s="75"/>
      <c r="IW37" s="75"/>
      <c r="IX37" s="75"/>
      <c r="IY37" s="75"/>
      <c r="IZ37" s="75"/>
      <c r="JA37" s="75"/>
      <c r="JB37" s="75"/>
      <c r="JC37" s="75"/>
      <c r="JD37" s="75"/>
      <c r="JF37" s="710" t="s">
        <v>698</v>
      </c>
      <c r="JG37" s="710" t="s">
        <v>918</v>
      </c>
      <c r="JH37" s="178">
        <f t="shared" si="1"/>
        <v>7350.7500000000009</v>
      </c>
      <c r="JI37" s="174">
        <f t="shared" si="2"/>
        <v>0</v>
      </c>
    </row>
    <row r="38" spans="2:269" ht="15" customHeight="1" x14ac:dyDescent="0.25">
      <c r="B38" s="113">
        <v>35</v>
      </c>
      <c r="C38" s="353" t="str">
        <f t="shared" si="5"/>
        <v>Elipse Power HMI 5.000</v>
      </c>
      <c r="D38" s="353" t="str">
        <f t="shared" si="6"/>
        <v>licença Elipse Power HMI</v>
      </c>
      <c r="E38" s="174"/>
      <c r="F38" s="174"/>
      <c r="G38" s="174"/>
      <c r="H38" s="174"/>
      <c r="I38" s="174"/>
      <c r="J38" s="174"/>
      <c r="K38" s="174"/>
      <c r="L38" s="174"/>
      <c r="M38" s="174"/>
      <c r="N38" s="174"/>
      <c r="O38" s="174"/>
      <c r="P38" s="174"/>
      <c r="Q38" s="174"/>
      <c r="R38" s="174"/>
      <c r="S38" s="174"/>
      <c r="T38" s="174"/>
      <c r="U38" s="174"/>
      <c r="V38" s="174"/>
      <c r="W38" s="174"/>
      <c r="X38" s="174"/>
      <c r="Y38" s="174"/>
      <c r="Z38" s="174"/>
      <c r="AA38" s="174"/>
      <c r="AB38" s="174"/>
      <c r="AC38" s="174"/>
      <c r="AD38" s="174"/>
      <c r="AE38" s="174"/>
      <c r="AF38" s="174"/>
      <c r="AG38" s="174"/>
      <c r="AH38" s="174"/>
      <c r="AI38" s="174"/>
      <c r="AJ38" s="174"/>
      <c r="AK38" s="174"/>
      <c r="AL38" s="174"/>
      <c r="AM38" s="174"/>
      <c r="AN38" s="174"/>
      <c r="AO38" s="174"/>
      <c r="AP38" s="174"/>
      <c r="AQ38" s="174"/>
      <c r="AR38" s="174"/>
      <c r="AS38" s="174"/>
      <c r="AT38" s="174"/>
      <c r="AU38" s="174"/>
      <c r="AV38" s="174">
        <v>2</v>
      </c>
      <c r="AW38" s="174"/>
      <c r="AX38" s="174"/>
      <c r="AY38" s="174"/>
      <c r="AZ38" s="174"/>
      <c r="BA38" s="174"/>
      <c r="BB38" s="174"/>
      <c r="BC38" s="174"/>
      <c r="BD38" s="174"/>
      <c r="BE38" s="174"/>
      <c r="BF38" s="174"/>
      <c r="BG38" s="174"/>
      <c r="BH38" s="174"/>
      <c r="BI38" s="174"/>
      <c r="BJ38" s="174"/>
      <c r="BK38" s="174"/>
      <c r="BL38" s="174"/>
      <c r="BM38" s="174"/>
      <c r="BN38" s="174"/>
      <c r="BO38" s="174"/>
      <c r="BP38" s="174"/>
      <c r="BQ38" s="174"/>
      <c r="BR38" s="174"/>
      <c r="BS38" s="174"/>
      <c r="BT38" s="174"/>
      <c r="BU38" s="174"/>
      <c r="BV38" s="174"/>
      <c r="BW38" s="174"/>
      <c r="BX38" s="174"/>
      <c r="BY38" s="174"/>
      <c r="BZ38" s="174"/>
      <c r="CA38" s="174"/>
      <c r="CB38" s="174"/>
      <c r="CC38" s="174"/>
      <c r="CD38" s="174"/>
      <c r="CE38" s="174"/>
      <c r="CF38" s="174"/>
      <c r="CG38" s="174"/>
      <c r="CH38" s="174"/>
      <c r="CI38" s="174"/>
      <c r="CJ38" s="174"/>
      <c r="CK38" s="174"/>
      <c r="CL38" s="174"/>
      <c r="CM38" s="174"/>
      <c r="CN38" s="174"/>
      <c r="CO38" s="174"/>
      <c r="CP38" s="174"/>
      <c r="CQ38" s="174"/>
      <c r="CR38" s="174"/>
      <c r="CS38" s="174"/>
      <c r="CT38" s="174"/>
      <c r="CU38" s="174"/>
      <c r="CV38" s="174"/>
      <c r="CW38" s="174"/>
      <c r="CX38" s="174"/>
      <c r="CY38" s="174"/>
      <c r="CZ38" s="174"/>
      <c r="DA38" s="174"/>
      <c r="DB38" s="174"/>
      <c r="DC38" s="174"/>
      <c r="DD38" s="174"/>
      <c r="DE38" s="174"/>
      <c r="DF38" s="174"/>
      <c r="DG38" s="174"/>
      <c r="DH38" s="174"/>
      <c r="DI38" s="174"/>
      <c r="DJ38" s="174"/>
      <c r="DK38" s="174"/>
      <c r="DL38" s="174"/>
      <c r="DM38" s="174"/>
      <c r="DN38" s="174"/>
      <c r="DO38" s="174"/>
      <c r="DP38" s="174"/>
      <c r="DQ38" s="174"/>
      <c r="DR38" s="174"/>
      <c r="DS38" s="174"/>
      <c r="DT38" s="174"/>
      <c r="DU38" s="174"/>
      <c r="DV38" s="174"/>
      <c r="DW38" s="174"/>
      <c r="DX38" s="174"/>
      <c r="DY38" s="174"/>
      <c r="DZ38" s="174"/>
      <c r="EA38" s="174"/>
      <c r="EB38" s="174"/>
      <c r="EC38" s="174"/>
      <c r="ED38" s="174"/>
      <c r="EE38" s="174"/>
      <c r="EF38" s="174"/>
      <c r="EG38" s="174"/>
      <c r="EH38" s="174"/>
      <c r="EI38" s="174"/>
      <c r="EJ38" s="174"/>
      <c r="EK38" s="174"/>
      <c r="EL38" s="174"/>
      <c r="EM38" s="174"/>
      <c r="EN38" s="174"/>
      <c r="EO38" s="174"/>
      <c r="EP38" s="174"/>
      <c r="EQ38" s="174"/>
      <c r="ER38" s="174"/>
      <c r="ES38" s="174"/>
      <c r="ET38" s="174"/>
      <c r="EU38" s="174"/>
      <c r="EV38" s="174"/>
      <c r="EW38" s="174"/>
      <c r="EX38" s="174"/>
      <c r="EY38" s="174"/>
      <c r="EZ38" s="174"/>
      <c r="FA38" s="174"/>
      <c r="FB38" s="174"/>
      <c r="FC38" s="174"/>
      <c r="FD38" s="174"/>
      <c r="FE38" s="174"/>
      <c r="FF38" s="174"/>
      <c r="FG38" s="174"/>
      <c r="FH38" s="174"/>
      <c r="FI38" s="174"/>
      <c r="FJ38" s="174"/>
      <c r="FK38" s="174"/>
      <c r="FL38" s="174"/>
      <c r="FM38" s="174"/>
      <c r="FN38" s="174"/>
      <c r="FO38" s="174"/>
      <c r="FP38" s="174"/>
      <c r="FQ38" s="174"/>
      <c r="FR38" s="174"/>
      <c r="FS38" s="174"/>
      <c r="FT38" s="174"/>
      <c r="FU38" s="174"/>
      <c r="FV38" s="174"/>
      <c r="FW38" s="174"/>
      <c r="FX38" s="174"/>
      <c r="FY38" s="174"/>
      <c r="FZ38" s="174"/>
      <c r="GA38" s="174"/>
      <c r="GB38" s="174"/>
      <c r="GC38" s="174"/>
      <c r="GD38" s="174"/>
      <c r="GE38" s="174"/>
      <c r="GF38" s="174"/>
      <c r="GG38" s="174"/>
      <c r="GH38" s="174"/>
      <c r="GI38" s="174"/>
      <c r="GJ38" s="174"/>
      <c r="GK38" s="174"/>
      <c r="GL38" s="174"/>
      <c r="GM38" s="174"/>
      <c r="GN38" s="174"/>
      <c r="GO38" s="174"/>
      <c r="GP38" s="174"/>
      <c r="GQ38" s="174"/>
      <c r="GR38" s="174"/>
      <c r="GS38" s="174"/>
      <c r="GT38" s="174"/>
      <c r="GU38" s="174"/>
      <c r="GV38" s="174"/>
      <c r="GW38" s="174"/>
      <c r="GX38" s="174"/>
      <c r="GY38" s="174"/>
      <c r="GZ38" s="174"/>
      <c r="HA38" s="174"/>
      <c r="HB38" s="174"/>
      <c r="HC38" s="174"/>
      <c r="HD38" s="174"/>
      <c r="HE38" s="174"/>
      <c r="HF38" s="174"/>
      <c r="HG38" s="174"/>
      <c r="HH38" s="174"/>
      <c r="HI38" s="174"/>
      <c r="HJ38" s="174"/>
      <c r="HK38" s="174"/>
      <c r="HL38" s="174"/>
      <c r="HM38" s="174"/>
      <c r="HN38" s="174"/>
      <c r="HO38" s="174"/>
      <c r="HP38" s="174"/>
      <c r="HQ38" s="174"/>
      <c r="HR38" s="174"/>
      <c r="HS38" s="174"/>
      <c r="HT38" s="174"/>
      <c r="HU38" s="174"/>
      <c r="HV38" s="174"/>
      <c r="HW38" s="174"/>
      <c r="HX38" s="174"/>
      <c r="HY38" s="174"/>
      <c r="HZ38" s="174"/>
      <c r="IA38" s="174"/>
      <c r="IB38" s="174"/>
      <c r="IC38" s="174"/>
      <c r="ID38" s="174"/>
      <c r="IE38" s="174"/>
      <c r="IF38" s="174"/>
      <c r="IG38" s="174"/>
      <c r="IH38" s="174"/>
      <c r="II38" s="174"/>
      <c r="IJ38" s="174"/>
      <c r="IK38" s="174"/>
      <c r="IL38" s="174"/>
      <c r="IM38" s="174"/>
      <c r="IN38" s="174"/>
      <c r="IO38" s="174"/>
      <c r="IP38" s="174"/>
      <c r="IQ38" s="174"/>
      <c r="IR38" s="174"/>
      <c r="IS38" s="174"/>
      <c r="IT38" s="174"/>
      <c r="IU38" s="75"/>
      <c r="IV38" s="75"/>
      <c r="IW38" s="75"/>
      <c r="IX38" s="75"/>
      <c r="IY38" s="75"/>
      <c r="IZ38" s="75"/>
      <c r="JA38" s="75"/>
      <c r="JB38" s="75"/>
      <c r="JC38" s="75"/>
      <c r="JD38" s="75"/>
      <c r="JF38" s="710" t="s">
        <v>797</v>
      </c>
      <c r="JG38" s="710" t="s">
        <v>919</v>
      </c>
      <c r="JH38" s="178">
        <f t="shared" si="1"/>
        <v>45157.200000000004</v>
      </c>
      <c r="JI38" s="174">
        <f t="shared" si="2"/>
        <v>0</v>
      </c>
    </row>
    <row r="39" spans="2:269" ht="15" customHeight="1" x14ac:dyDescent="0.25">
      <c r="B39" s="113">
        <v>36</v>
      </c>
      <c r="C39" s="353" t="str">
        <f t="shared" si="5"/>
        <v>Driver IEC 61850 (25 connections)</v>
      </c>
      <c r="D39" s="353" t="str">
        <f t="shared" si="6"/>
        <v>driver IEC61850</v>
      </c>
      <c r="E39" s="174"/>
      <c r="F39" s="174"/>
      <c r="G39" s="174"/>
      <c r="H39" s="174"/>
      <c r="I39" s="174"/>
      <c r="J39" s="174"/>
      <c r="K39" s="174"/>
      <c r="L39" s="174"/>
      <c r="M39" s="174"/>
      <c r="N39" s="174"/>
      <c r="O39" s="174"/>
      <c r="P39" s="174"/>
      <c r="Q39" s="174"/>
      <c r="R39" s="174"/>
      <c r="S39" s="174"/>
      <c r="T39" s="174"/>
      <c r="U39" s="174"/>
      <c r="V39" s="174"/>
      <c r="W39" s="174"/>
      <c r="X39" s="174"/>
      <c r="Y39" s="174"/>
      <c r="Z39" s="174"/>
      <c r="AA39" s="174"/>
      <c r="AB39" s="174"/>
      <c r="AC39" s="174"/>
      <c r="AD39" s="174"/>
      <c r="AE39" s="174"/>
      <c r="AF39" s="174"/>
      <c r="AG39" s="174"/>
      <c r="AH39" s="174"/>
      <c r="AI39" s="174"/>
      <c r="AJ39" s="174"/>
      <c r="AK39" s="174"/>
      <c r="AL39" s="174"/>
      <c r="AM39" s="174"/>
      <c r="AN39" s="174"/>
      <c r="AO39" s="174"/>
      <c r="AP39" s="174"/>
      <c r="AQ39" s="174"/>
      <c r="AR39" s="174"/>
      <c r="AS39" s="174"/>
      <c r="AT39" s="174"/>
      <c r="AU39" s="174"/>
      <c r="AV39" s="174">
        <v>2</v>
      </c>
      <c r="AW39" s="174"/>
      <c r="AX39" s="174"/>
      <c r="AY39" s="174"/>
      <c r="AZ39" s="174"/>
      <c r="BA39" s="174"/>
      <c r="BB39" s="174"/>
      <c r="BC39" s="174"/>
      <c r="BD39" s="174"/>
      <c r="BE39" s="174"/>
      <c r="BF39" s="174"/>
      <c r="BG39" s="174"/>
      <c r="BH39" s="174"/>
      <c r="BI39" s="174"/>
      <c r="BJ39" s="174"/>
      <c r="BK39" s="174"/>
      <c r="BL39" s="174"/>
      <c r="BM39" s="174"/>
      <c r="BN39" s="174"/>
      <c r="BO39" s="174"/>
      <c r="BP39" s="174"/>
      <c r="BQ39" s="174"/>
      <c r="BR39" s="174"/>
      <c r="BS39" s="174"/>
      <c r="BT39" s="174"/>
      <c r="BU39" s="174"/>
      <c r="BV39" s="174"/>
      <c r="BW39" s="174"/>
      <c r="BX39" s="174"/>
      <c r="BY39" s="174"/>
      <c r="BZ39" s="174"/>
      <c r="CA39" s="174"/>
      <c r="CB39" s="174"/>
      <c r="CC39" s="174"/>
      <c r="CD39" s="174"/>
      <c r="CE39" s="174"/>
      <c r="CF39" s="174"/>
      <c r="CG39" s="174"/>
      <c r="CH39" s="174"/>
      <c r="CI39" s="174"/>
      <c r="CJ39" s="174"/>
      <c r="CK39" s="174"/>
      <c r="CL39" s="174"/>
      <c r="CM39" s="174"/>
      <c r="CN39" s="174"/>
      <c r="CO39" s="174"/>
      <c r="CP39" s="174"/>
      <c r="CQ39" s="174"/>
      <c r="CR39" s="174"/>
      <c r="CS39" s="174"/>
      <c r="CT39" s="174"/>
      <c r="CU39" s="174"/>
      <c r="CV39" s="174"/>
      <c r="CW39" s="174"/>
      <c r="CX39" s="174"/>
      <c r="CY39" s="174"/>
      <c r="CZ39" s="174"/>
      <c r="DA39" s="174"/>
      <c r="DB39" s="174"/>
      <c r="DC39" s="174"/>
      <c r="DD39" s="174"/>
      <c r="DE39" s="174"/>
      <c r="DF39" s="174"/>
      <c r="DG39" s="174"/>
      <c r="DH39" s="174"/>
      <c r="DI39" s="174"/>
      <c r="DJ39" s="174"/>
      <c r="DK39" s="174"/>
      <c r="DL39" s="174"/>
      <c r="DM39" s="174"/>
      <c r="DN39" s="174"/>
      <c r="DO39" s="174"/>
      <c r="DP39" s="174"/>
      <c r="DQ39" s="174"/>
      <c r="DR39" s="174"/>
      <c r="DS39" s="174"/>
      <c r="DT39" s="174"/>
      <c r="DU39" s="174"/>
      <c r="DV39" s="174"/>
      <c r="DW39" s="174"/>
      <c r="DX39" s="174"/>
      <c r="DY39" s="174"/>
      <c r="DZ39" s="174"/>
      <c r="EA39" s="174"/>
      <c r="EB39" s="174"/>
      <c r="EC39" s="174"/>
      <c r="ED39" s="174"/>
      <c r="EE39" s="174"/>
      <c r="EF39" s="174"/>
      <c r="EG39" s="174"/>
      <c r="EH39" s="174"/>
      <c r="EI39" s="174"/>
      <c r="EJ39" s="174"/>
      <c r="EK39" s="174"/>
      <c r="EL39" s="174"/>
      <c r="EM39" s="174"/>
      <c r="EN39" s="174"/>
      <c r="EO39" s="174"/>
      <c r="EP39" s="174"/>
      <c r="EQ39" s="174"/>
      <c r="ER39" s="174"/>
      <c r="ES39" s="174"/>
      <c r="ET39" s="174"/>
      <c r="EU39" s="174"/>
      <c r="EV39" s="174"/>
      <c r="EW39" s="174"/>
      <c r="EX39" s="174"/>
      <c r="EY39" s="174"/>
      <c r="EZ39" s="174"/>
      <c r="FA39" s="174"/>
      <c r="FB39" s="174"/>
      <c r="FC39" s="174"/>
      <c r="FD39" s="174"/>
      <c r="FE39" s="174"/>
      <c r="FF39" s="174"/>
      <c r="FG39" s="174"/>
      <c r="FH39" s="174"/>
      <c r="FI39" s="174"/>
      <c r="FJ39" s="174"/>
      <c r="FK39" s="174"/>
      <c r="FL39" s="174"/>
      <c r="FM39" s="174"/>
      <c r="FN39" s="174"/>
      <c r="FO39" s="174"/>
      <c r="FP39" s="174"/>
      <c r="FQ39" s="174"/>
      <c r="FR39" s="174"/>
      <c r="FS39" s="174"/>
      <c r="FT39" s="174"/>
      <c r="FU39" s="174"/>
      <c r="FV39" s="174"/>
      <c r="FW39" s="174"/>
      <c r="FX39" s="174"/>
      <c r="FY39" s="174"/>
      <c r="FZ39" s="174"/>
      <c r="GA39" s="174"/>
      <c r="GB39" s="174"/>
      <c r="GC39" s="174"/>
      <c r="GD39" s="174"/>
      <c r="GE39" s="174"/>
      <c r="GF39" s="174"/>
      <c r="GG39" s="174"/>
      <c r="GH39" s="174"/>
      <c r="GI39" s="174"/>
      <c r="GJ39" s="174"/>
      <c r="GK39" s="174"/>
      <c r="GL39" s="174"/>
      <c r="GM39" s="174"/>
      <c r="GN39" s="174"/>
      <c r="GO39" s="174"/>
      <c r="GP39" s="174"/>
      <c r="GQ39" s="174"/>
      <c r="GR39" s="174"/>
      <c r="GS39" s="174"/>
      <c r="GT39" s="174"/>
      <c r="GU39" s="174"/>
      <c r="GV39" s="174"/>
      <c r="GW39" s="174"/>
      <c r="GX39" s="174"/>
      <c r="GY39" s="174"/>
      <c r="GZ39" s="174"/>
      <c r="HA39" s="174"/>
      <c r="HB39" s="174"/>
      <c r="HC39" s="174"/>
      <c r="HD39" s="174"/>
      <c r="HE39" s="174"/>
      <c r="HF39" s="174"/>
      <c r="HG39" s="174"/>
      <c r="HH39" s="174"/>
      <c r="HI39" s="174"/>
      <c r="HJ39" s="174"/>
      <c r="HK39" s="174"/>
      <c r="HL39" s="174"/>
      <c r="HM39" s="174"/>
      <c r="HN39" s="174"/>
      <c r="HO39" s="174"/>
      <c r="HP39" s="174"/>
      <c r="HQ39" s="174"/>
      <c r="HR39" s="174"/>
      <c r="HS39" s="174"/>
      <c r="HT39" s="174"/>
      <c r="HU39" s="174"/>
      <c r="HV39" s="174"/>
      <c r="HW39" s="174"/>
      <c r="HX39" s="174"/>
      <c r="HY39" s="174"/>
      <c r="HZ39" s="174"/>
      <c r="IA39" s="174"/>
      <c r="IB39" s="174"/>
      <c r="IC39" s="174"/>
      <c r="ID39" s="174"/>
      <c r="IE39" s="174"/>
      <c r="IF39" s="174"/>
      <c r="IG39" s="174"/>
      <c r="IH39" s="174"/>
      <c r="II39" s="174"/>
      <c r="IJ39" s="174"/>
      <c r="IK39" s="174"/>
      <c r="IL39" s="174"/>
      <c r="IM39" s="174"/>
      <c r="IN39" s="174"/>
      <c r="IO39" s="174"/>
      <c r="IP39" s="174"/>
      <c r="IQ39" s="174"/>
      <c r="IR39" s="174"/>
      <c r="IS39" s="174"/>
      <c r="IT39" s="174"/>
      <c r="IU39" s="75"/>
      <c r="IV39" s="75"/>
      <c r="IW39" s="75"/>
      <c r="IX39" s="75"/>
      <c r="IY39" s="75"/>
      <c r="IZ39" s="75"/>
      <c r="JA39" s="75"/>
      <c r="JB39" s="75"/>
      <c r="JC39" s="75"/>
      <c r="JD39" s="75"/>
      <c r="JF39" s="710" t="s">
        <v>798</v>
      </c>
      <c r="JG39" s="710" t="s">
        <v>918</v>
      </c>
      <c r="JH39" s="178">
        <f t="shared" si="1"/>
        <v>5218.1250000000009</v>
      </c>
      <c r="JI39" s="174">
        <f t="shared" si="2"/>
        <v>0</v>
      </c>
    </row>
    <row r="40" spans="2:269" ht="15" customHeight="1" x14ac:dyDescent="0.25">
      <c r="B40" s="113">
        <v>37</v>
      </c>
      <c r="C40" s="353" t="str">
        <f t="shared" si="5"/>
        <v>Driver IEC 870-5-101/104 Master/Slave</v>
      </c>
      <c r="D40" s="353" t="str">
        <f t="shared" si="6"/>
        <v>driver IEC104</v>
      </c>
      <c r="E40" s="174"/>
      <c r="F40" s="174"/>
      <c r="G40" s="174"/>
      <c r="H40" s="174"/>
      <c r="I40" s="174"/>
      <c r="J40" s="174"/>
      <c r="K40" s="174"/>
      <c r="L40" s="174"/>
      <c r="M40" s="174"/>
      <c r="N40" s="174"/>
      <c r="O40" s="174"/>
      <c r="P40" s="174"/>
      <c r="Q40" s="174"/>
      <c r="R40" s="174"/>
      <c r="S40" s="174"/>
      <c r="T40" s="174"/>
      <c r="U40" s="174"/>
      <c r="V40" s="174"/>
      <c r="W40" s="174"/>
      <c r="X40" s="174"/>
      <c r="Y40" s="174"/>
      <c r="Z40" s="174"/>
      <c r="AA40" s="174"/>
      <c r="AB40" s="174"/>
      <c r="AC40" s="174"/>
      <c r="AD40" s="174"/>
      <c r="AE40" s="174"/>
      <c r="AF40" s="174"/>
      <c r="AG40" s="174"/>
      <c r="AH40" s="174"/>
      <c r="AI40" s="174"/>
      <c r="AJ40" s="174"/>
      <c r="AK40" s="174"/>
      <c r="AL40" s="174"/>
      <c r="AM40" s="174"/>
      <c r="AN40" s="174"/>
      <c r="AO40" s="174"/>
      <c r="AP40" s="174"/>
      <c r="AQ40" s="174"/>
      <c r="AR40" s="174"/>
      <c r="AS40" s="174"/>
      <c r="AT40" s="174"/>
      <c r="AU40" s="174"/>
      <c r="AV40" s="174">
        <v>2</v>
      </c>
      <c r="AW40" s="174"/>
      <c r="AX40" s="174"/>
      <c r="AY40" s="174"/>
      <c r="AZ40" s="174"/>
      <c r="BA40" s="174"/>
      <c r="BB40" s="174"/>
      <c r="BC40" s="174"/>
      <c r="BD40" s="174"/>
      <c r="BE40" s="174"/>
      <c r="BF40" s="174"/>
      <c r="BG40" s="174"/>
      <c r="BH40" s="174"/>
      <c r="BI40" s="174"/>
      <c r="BJ40" s="174"/>
      <c r="BK40" s="174"/>
      <c r="BL40" s="174"/>
      <c r="BM40" s="174"/>
      <c r="BN40" s="174"/>
      <c r="BO40" s="174"/>
      <c r="BP40" s="174"/>
      <c r="BQ40" s="174"/>
      <c r="BR40" s="174"/>
      <c r="BS40" s="174"/>
      <c r="BT40" s="174"/>
      <c r="BU40" s="174"/>
      <c r="BV40" s="174"/>
      <c r="BW40" s="174"/>
      <c r="BX40" s="174"/>
      <c r="BY40" s="174"/>
      <c r="BZ40" s="174"/>
      <c r="CA40" s="174"/>
      <c r="CB40" s="174"/>
      <c r="CC40" s="174"/>
      <c r="CD40" s="174"/>
      <c r="CE40" s="174"/>
      <c r="CF40" s="174"/>
      <c r="CG40" s="174"/>
      <c r="CH40" s="174"/>
      <c r="CI40" s="174"/>
      <c r="CJ40" s="174"/>
      <c r="CK40" s="174"/>
      <c r="CL40" s="174"/>
      <c r="CM40" s="174"/>
      <c r="CN40" s="174"/>
      <c r="CO40" s="174"/>
      <c r="CP40" s="174"/>
      <c r="CQ40" s="174"/>
      <c r="CR40" s="174"/>
      <c r="CS40" s="174"/>
      <c r="CT40" s="174"/>
      <c r="CU40" s="174"/>
      <c r="CV40" s="174"/>
      <c r="CW40" s="174"/>
      <c r="CX40" s="174"/>
      <c r="CY40" s="174"/>
      <c r="CZ40" s="174"/>
      <c r="DA40" s="174"/>
      <c r="DB40" s="174"/>
      <c r="DC40" s="174"/>
      <c r="DD40" s="174"/>
      <c r="DE40" s="174"/>
      <c r="DF40" s="174"/>
      <c r="DG40" s="174"/>
      <c r="DH40" s="174"/>
      <c r="DI40" s="174"/>
      <c r="DJ40" s="174"/>
      <c r="DK40" s="174"/>
      <c r="DL40" s="174"/>
      <c r="DM40" s="174"/>
      <c r="DN40" s="174"/>
      <c r="DO40" s="174"/>
      <c r="DP40" s="174"/>
      <c r="DQ40" s="174"/>
      <c r="DR40" s="174"/>
      <c r="DS40" s="174"/>
      <c r="DT40" s="174"/>
      <c r="DU40" s="174"/>
      <c r="DV40" s="174"/>
      <c r="DW40" s="174"/>
      <c r="DX40" s="174"/>
      <c r="DY40" s="174"/>
      <c r="DZ40" s="174"/>
      <c r="EA40" s="174"/>
      <c r="EB40" s="174"/>
      <c r="EC40" s="174"/>
      <c r="ED40" s="174"/>
      <c r="EE40" s="174"/>
      <c r="EF40" s="174"/>
      <c r="EG40" s="174"/>
      <c r="EH40" s="174"/>
      <c r="EI40" s="174"/>
      <c r="EJ40" s="174"/>
      <c r="EK40" s="174"/>
      <c r="EL40" s="174"/>
      <c r="EM40" s="174"/>
      <c r="EN40" s="174"/>
      <c r="EO40" s="174"/>
      <c r="EP40" s="174"/>
      <c r="EQ40" s="174"/>
      <c r="ER40" s="174"/>
      <c r="ES40" s="174"/>
      <c r="ET40" s="174"/>
      <c r="EU40" s="174"/>
      <c r="EV40" s="174"/>
      <c r="EW40" s="174"/>
      <c r="EX40" s="174"/>
      <c r="EY40" s="174"/>
      <c r="EZ40" s="174"/>
      <c r="FA40" s="174"/>
      <c r="FB40" s="174"/>
      <c r="FC40" s="174"/>
      <c r="FD40" s="174"/>
      <c r="FE40" s="174"/>
      <c r="FF40" s="174"/>
      <c r="FG40" s="174"/>
      <c r="FH40" s="174"/>
      <c r="FI40" s="174"/>
      <c r="FJ40" s="174"/>
      <c r="FK40" s="174"/>
      <c r="FL40" s="174"/>
      <c r="FM40" s="174"/>
      <c r="FN40" s="174"/>
      <c r="FO40" s="174"/>
      <c r="FP40" s="174"/>
      <c r="FQ40" s="174"/>
      <c r="FR40" s="174"/>
      <c r="FS40" s="174"/>
      <c r="FT40" s="174"/>
      <c r="FU40" s="174"/>
      <c r="FV40" s="174"/>
      <c r="FW40" s="174"/>
      <c r="FX40" s="174"/>
      <c r="FY40" s="174"/>
      <c r="FZ40" s="174"/>
      <c r="GA40" s="174"/>
      <c r="GB40" s="174"/>
      <c r="GC40" s="174"/>
      <c r="GD40" s="174"/>
      <c r="GE40" s="174"/>
      <c r="GF40" s="174"/>
      <c r="GG40" s="174"/>
      <c r="GH40" s="174"/>
      <c r="GI40" s="174"/>
      <c r="GJ40" s="174"/>
      <c r="GK40" s="174"/>
      <c r="GL40" s="174"/>
      <c r="GM40" s="174"/>
      <c r="GN40" s="174"/>
      <c r="GO40" s="174"/>
      <c r="GP40" s="174"/>
      <c r="GQ40" s="174"/>
      <c r="GR40" s="174"/>
      <c r="GS40" s="174"/>
      <c r="GT40" s="174"/>
      <c r="GU40" s="174"/>
      <c r="GV40" s="174"/>
      <c r="GW40" s="174"/>
      <c r="GX40" s="174"/>
      <c r="GY40" s="174"/>
      <c r="GZ40" s="174"/>
      <c r="HA40" s="174"/>
      <c r="HB40" s="174"/>
      <c r="HC40" s="174"/>
      <c r="HD40" s="174"/>
      <c r="HE40" s="174"/>
      <c r="HF40" s="174"/>
      <c r="HG40" s="174"/>
      <c r="HH40" s="174"/>
      <c r="HI40" s="174"/>
      <c r="HJ40" s="174"/>
      <c r="HK40" s="174"/>
      <c r="HL40" s="174"/>
      <c r="HM40" s="174"/>
      <c r="HN40" s="174"/>
      <c r="HO40" s="174"/>
      <c r="HP40" s="174"/>
      <c r="HQ40" s="174"/>
      <c r="HR40" s="174"/>
      <c r="HS40" s="174"/>
      <c r="HT40" s="174"/>
      <c r="HU40" s="174"/>
      <c r="HV40" s="174"/>
      <c r="HW40" s="174"/>
      <c r="HX40" s="174"/>
      <c r="HY40" s="174"/>
      <c r="HZ40" s="174"/>
      <c r="IA40" s="174"/>
      <c r="IB40" s="174"/>
      <c r="IC40" s="174"/>
      <c r="ID40" s="174"/>
      <c r="IE40" s="174"/>
      <c r="IF40" s="174"/>
      <c r="IG40" s="174"/>
      <c r="IH40" s="174"/>
      <c r="II40" s="174"/>
      <c r="IJ40" s="174"/>
      <c r="IK40" s="174"/>
      <c r="IL40" s="174"/>
      <c r="IM40" s="174"/>
      <c r="IN40" s="174"/>
      <c r="IO40" s="174"/>
      <c r="IP40" s="174"/>
      <c r="IQ40" s="174"/>
      <c r="IR40" s="174"/>
      <c r="IS40" s="174"/>
      <c r="IT40" s="174"/>
      <c r="IU40" s="75"/>
      <c r="IV40" s="75"/>
      <c r="IW40" s="75"/>
      <c r="IX40" s="75"/>
      <c r="IY40" s="75"/>
      <c r="IZ40" s="75"/>
      <c r="JA40" s="75"/>
      <c r="JB40" s="75"/>
      <c r="JC40" s="75"/>
      <c r="JD40" s="75"/>
      <c r="JF40" s="710" t="s">
        <v>800</v>
      </c>
      <c r="JG40" s="710" t="s">
        <v>920</v>
      </c>
      <c r="JH40" s="178">
        <f t="shared" si="1"/>
        <v>5218.1250000000009</v>
      </c>
      <c r="JI40" s="174">
        <f t="shared" si="2"/>
        <v>0</v>
      </c>
    </row>
    <row r="41" spans="2:269" ht="15" customHeight="1" x14ac:dyDescent="0.25">
      <c r="B41" s="113">
        <v>38</v>
      </c>
      <c r="C41" s="353" t="str">
        <f t="shared" si="5"/>
        <v>Driver IEC 870-5-101/104 Master/Slave (connection)</v>
      </c>
      <c r="D41" s="353" t="str">
        <f t="shared" si="6"/>
        <v/>
      </c>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74"/>
      <c r="AG41" s="174"/>
      <c r="AH41" s="174"/>
      <c r="AI41" s="174"/>
      <c r="AJ41" s="174"/>
      <c r="AK41" s="174"/>
      <c r="AL41" s="174"/>
      <c r="AM41" s="174"/>
      <c r="AN41" s="174"/>
      <c r="AO41" s="174"/>
      <c r="AP41" s="174"/>
      <c r="AQ41" s="174"/>
      <c r="AR41" s="174"/>
      <c r="AS41" s="174"/>
      <c r="AT41" s="174"/>
      <c r="AU41" s="174"/>
      <c r="AV41" s="174"/>
      <c r="AW41" s="174"/>
      <c r="AX41" s="174"/>
      <c r="AY41" s="174"/>
      <c r="AZ41" s="174"/>
      <c r="BA41" s="174"/>
      <c r="BB41" s="174"/>
      <c r="BC41" s="174"/>
      <c r="BD41" s="174"/>
      <c r="BE41" s="174"/>
      <c r="BF41" s="174"/>
      <c r="BG41" s="174"/>
      <c r="BH41" s="174"/>
      <c r="BI41" s="174"/>
      <c r="BJ41" s="174"/>
      <c r="BK41" s="174"/>
      <c r="BL41" s="174"/>
      <c r="BM41" s="174"/>
      <c r="BN41" s="174"/>
      <c r="BO41" s="174"/>
      <c r="BP41" s="174"/>
      <c r="BQ41" s="174"/>
      <c r="BR41" s="174"/>
      <c r="BS41" s="174"/>
      <c r="BT41" s="174"/>
      <c r="BU41" s="174"/>
      <c r="BV41" s="174"/>
      <c r="BW41" s="174"/>
      <c r="BX41" s="174"/>
      <c r="BY41" s="174"/>
      <c r="BZ41" s="174"/>
      <c r="CA41" s="174"/>
      <c r="CB41" s="174"/>
      <c r="CC41" s="174"/>
      <c r="CD41" s="174"/>
      <c r="CE41" s="174"/>
      <c r="CF41" s="174"/>
      <c r="CG41" s="174"/>
      <c r="CH41" s="174"/>
      <c r="CI41" s="174"/>
      <c r="CJ41" s="174"/>
      <c r="CK41" s="174"/>
      <c r="CL41" s="174"/>
      <c r="CM41" s="174"/>
      <c r="CN41" s="174"/>
      <c r="CO41" s="174"/>
      <c r="CP41" s="174"/>
      <c r="CQ41" s="174"/>
      <c r="CR41" s="174"/>
      <c r="CS41" s="174"/>
      <c r="CT41" s="174"/>
      <c r="CU41" s="174"/>
      <c r="CV41" s="174"/>
      <c r="CW41" s="174"/>
      <c r="CX41" s="174"/>
      <c r="CY41" s="174"/>
      <c r="CZ41" s="174"/>
      <c r="DA41" s="174"/>
      <c r="DB41" s="174"/>
      <c r="DC41" s="174"/>
      <c r="DD41" s="174"/>
      <c r="DE41" s="174"/>
      <c r="DF41" s="174"/>
      <c r="DG41" s="174"/>
      <c r="DH41" s="174"/>
      <c r="DI41" s="174"/>
      <c r="DJ41" s="174"/>
      <c r="DK41" s="174"/>
      <c r="DL41" s="174"/>
      <c r="DM41" s="174"/>
      <c r="DN41" s="174"/>
      <c r="DO41" s="174"/>
      <c r="DP41" s="174"/>
      <c r="DQ41" s="174"/>
      <c r="DR41" s="174"/>
      <c r="DS41" s="174"/>
      <c r="DT41" s="174"/>
      <c r="DU41" s="174"/>
      <c r="DV41" s="174"/>
      <c r="DW41" s="174"/>
      <c r="DX41" s="174"/>
      <c r="DY41" s="174"/>
      <c r="DZ41" s="174"/>
      <c r="EA41" s="174"/>
      <c r="EB41" s="174"/>
      <c r="EC41" s="174"/>
      <c r="ED41" s="174"/>
      <c r="EE41" s="174"/>
      <c r="EF41" s="174"/>
      <c r="EG41" s="174"/>
      <c r="EH41" s="174"/>
      <c r="EI41" s="174"/>
      <c r="EJ41" s="174"/>
      <c r="EK41" s="174"/>
      <c r="EL41" s="174"/>
      <c r="EM41" s="174"/>
      <c r="EN41" s="174"/>
      <c r="EO41" s="174"/>
      <c r="EP41" s="174"/>
      <c r="EQ41" s="174"/>
      <c r="ER41" s="174"/>
      <c r="ES41" s="174"/>
      <c r="ET41" s="174"/>
      <c r="EU41" s="174"/>
      <c r="EV41" s="174"/>
      <c r="EW41" s="174"/>
      <c r="EX41" s="174"/>
      <c r="EY41" s="174"/>
      <c r="EZ41" s="174"/>
      <c r="FA41" s="174"/>
      <c r="FB41" s="174"/>
      <c r="FC41" s="174"/>
      <c r="FD41" s="174"/>
      <c r="FE41" s="174"/>
      <c r="FF41" s="174"/>
      <c r="FG41" s="174"/>
      <c r="FH41" s="174"/>
      <c r="FI41" s="174"/>
      <c r="FJ41" s="174"/>
      <c r="FK41" s="174"/>
      <c r="FL41" s="174"/>
      <c r="FM41" s="174"/>
      <c r="FN41" s="174"/>
      <c r="FO41" s="174"/>
      <c r="FP41" s="174"/>
      <c r="FQ41" s="174"/>
      <c r="FR41" s="174"/>
      <c r="FS41" s="174"/>
      <c r="FT41" s="174"/>
      <c r="FU41" s="174"/>
      <c r="FV41" s="174"/>
      <c r="FW41" s="174"/>
      <c r="FX41" s="174"/>
      <c r="FY41" s="174"/>
      <c r="FZ41" s="174"/>
      <c r="GA41" s="174"/>
      <c r="GB41" s="174"/>
      <c r="GC41" s="174"/>
      <c r="GD41" s="174"/>
      <c r="GE41" s="174"/>
      <c r="GF41" s="174"/>
      <c r="GG41" s="174"/>
      <c r="GH41" s="174"/>
      <c r="GI41" s="174"/>
      <c r="GJ41" s="174"/>
      <c r="GK41" s="174"/>
      <c r="GL41" s="174"/>
      <c r="GM41" s="174"/>
      <c r="GN41" s="174"/>
      <c r="GO41" s="174"/>
      <c r="GP41" s="174"/>
      <c r="GQ41" s="174"/>
      <c r="GR41" s="174"/>
      <c r="GS41" s="174"/>
      <c r="GT41" s="174"/>
      <c r="GU41" s="174"/>
      <c r="GV41" s="174"/>
      <c r="GW41" s="174"/>
      <c r="GX41" s="174"/>
      <c r="GY41" s="174"/>
      <c r="GZ41" s="174"/>
      <c r="HA41" s="174"/>
      <c r="HB41" s="174"/>
      <c r="HC41" s="174"/>
      <c r="HD41" s="174"/>
      <c r="HE41" s="174"/>
      <c r="HF41" s="174"/>
      <c r="HG41" s="174"/>
      <c r="HH41" s="174"/>
      <c r="HI41" s="174"/>
      <c r="HJ41" s="174"/>
      <c r="HK41" s="174"/>
      <c r="HL41" s="174"/>
      <c r="HM41" s="174"/>
      <c r="HN41" s="174"/>
      <c r="HO41" s="174"/>
      <c r="HP41" s="174"/>
      <c r="HQ41" s="174"/>
      <c r="HR41" s="174"/>
      <c r="HS41" s="174"/>
      <c r="HT41" s="174"/>
      <c r="HU41" s="174"/>
      <c r="HV41" s="174"/>
      <c r="HW41" s="174"/>
      <c r="HX41" s="174"/>
      <c r="HY41" s="174"/>
      <c r="HZ41" s="174"/>
      <c r="IA41" s="174"/>
      <c r="IB41" s="174"/>
      <c r="IC41" s="174"/>
      <c r="ID41" s="174"/>
      <c r="IE41" s="174"/>
      <c r="IF41" s="174"/>
      <c r="IG41" s="174"/>
      <c r="IH41" s="174"/>
      <c r="II41" s="174"/>
      <c r="IJ41" s="174"/>
      <c r="IK41" s="174"/>
      <c r="IL41" s="174"/>
      <c r="IM41" s="174"/>
      <c r="IN41" s="174"/>
      <c r="IO41" s="174"/>
      <c r="IP41" s="174"/>
      <c r="IQ41" s="174"/>
      <c r="IR41" s="174"/>
      <c r="IS41" s="174"/>
      <c r="IT41" s="174"/>
      <c r="IU41" s="75"/>
      <c r="IV41" s="75"/>
      <c r="IW41" s="75"/>
      <c r="IX41" s="75"/>
      <c r="IY41" s="75"/>
      <c r="IZ41" s="75"/>
      <c r="JA41" s="75"/>
      <c r="JB41" s="75"/>
      <c r="JC41" s="75"/>
      <c r="JD41" s="75"/>
      <c r="JF41" s="710" t="s">
        <v>801</v>
      </c>
      <c r="JG41" s="710"/>
      <c r="JH41" s="178">
        <f t="shared" si="1"/>
        <v>635.25000000000011</v>
      </c>
      <c r="JI41" s="174">
        <f t="shared" si="2"/>
        <v>0</v>
      </c>
    </row>
    <row r="42" spans="2:269" ht="15" customHeight="1" x14ac:dyDescent="0.25">
      <c r="B42" s="113">
        <v>39</v>
      </c>
      <c r="C42" s="353" t="str">
        <f t="shared" si="5"/>
        <v>Driver Modicon Modbus Master (ASC/RTU/TCP)</v>
      </c>
      <c r="D42" s="353" t="str">
        <f t="shared" si="6"/>
        <v>driver modbus master</v>
      </c>
      <c r="E42" s="174"/>
      <c r="F42" s="174"/>
      <c r="G42" s="174"/>
      <c r="H42" s="174"/>
      <c r="I42" s="174"/>
      <c r="J42" s="174"/>
      <c r="K42" s="174"/>
      <c r="L42" s="174"/>
      <c r="M42" s="174"/>
      <c r="N42" s="174"/>
      <c r="O42" s="174"/>
      <c r="P42" s="174"/>
      <c r="Q42" s="174"/>
      <c r="R42" s="174"/>
      <c r="S42" s="174"/>
      <c r="T42" s="174"/>
      <c r="U42" s="174"/>
      <c r="V42" s="174"/>
      <c r="W42" s="174"/>
      <c r="X42" s="174"/>
      <c r="Y42" s="174"/>
      <c r="Z42" s="174"/>
      <c r="AA42" s="174"/>
      <c r="AB42" s="174"/>
      <c r="AC42" s="174"/>
      <c r="AD42" s="174"/>
      <c r="AE42" s="174"/>
      <c r="AF42" s="174"/>
      <c r="AG42" s="174"/>
      <c r="AH42" s="174"/>
      <c r="AI42" s="174"/>
      <c r="AJ42" s="174"/>
      <c r="AK42" s="174"/>
      <c r="AL42" s="174"/>
      <c r="AM42" s="174"/>
      <c r="AN42" s="174"/>
      <c r="AO42" s="174"/>
      <c r="AP42" s="174"/>
      <c r="AQ42" s="174"/>
      <c r="AR42" s="174"/>
      <c r="AS42" s="174"/>
      <c r="AT42" s="174"/>
      <c r="AU42" s="174"/>
      <c r="AV42" s="174">
        <v>2</v>
      </c>
      <c r="AW42" s="174"/>
      <c r="AX42" s="174"/>
      <c r="AY42" s="174"/>
      <c r="AZ42" s="174"/>
      <c r="BA42" s="174"/>
      <c r="BB42" s="174"/>
      <c r="BC42" s="174"/>
      <c r="BD42" s="174"/>
      <c r="BE42" s="174"/>
      <c r="BF42" s="174"/>
      <c r="BG42" s="174"/>
      <c r="BH42" s="174"/>
      <c r="BI42" s="174"/>
      <c r="BJ42" s="174"/>
      <c r="BK42" s="174"/>
      <c r="BL42" s="174"/>
      <c r="BM42" s="174"/>
      <c r="BN42" s="174"/>
      <c r="BO42" s="174"/>
      <c r="BP42" s="174"/>
      <c r="BQ42" s="174"/>
      <c r="BR42" s="174"/>
      <c r="BS42" s="174"/>
      <c r="BT42" s="174"/>
      <c r="BU42" s="174"/>
      <c r="BV42" s="174"/>
      <c r="BW42" s="174"/>
      <c r="BX42" s="174"/>
      <c r="BY42" s="174"/>
      <c r="BZ42" s="174"/>
      <c r="CA42" s="174"/>
      <c r="CB42" s="174"/>
      <c r="CC42" s="174"/>
      <c r="CD42" s="174"/>
      <c r="CE42" s="174"/>
      <c r="CF42" s="174"/>
      <c r="CG42" s="174"/>
      <c r="CH42" s="174"/>
      <c r="CI42" s="174"/>
      <c r="CJ42" s="174"/>
      <c r="CK42" s="174"/>
      <c r="CL42" s="174"/>
      <c r="CM42" s="174"/>
      <c r="CN42" s="174"/>
      <c r="CO42" s="174"/>
      <c r="CP42" s="174"/>
      <c r="CQ42" s="174"/>
      <c r="CR42" s="174"/>
      <c r="CS42" s="174"/>
      <c r="CT42" s="174"/>
      <c r="CU42" s="174"/>
      <c r="CV42" s="174"/>
      <c r="CW42" s="174"/>
      <c r="CX42" s="174"/>
      <c r="CY42" s="174"/>
      <c r="CZ42" s="174"/>
      <c r="DA42" s="174"/>
      <c r="DB42" s="174"/>
      <c r="DC42" s="174"/>
      <c r="DD42" s="174"/>
      <c r="DE42" s="174"/>
      <c r="DF42" s="174"/>
      <c r="DG42" s="174"/>
      <c r="DH42" s="174"/>
      <c r="DI42" s="174"/>
      <c r="DJ42" s="174"/>
      <c r="DK42" s="174"/>
      <c r="DL42" s="174"/>
      <c r="DM42" s="174"/>
      <c r="DN42" s="174"/>
      <c r="DO42" s="174"/>
      <c r="DP42" s="174"/>
      <c r="DQ42" s="174"/>
      <c r="DR42" s="174"/>
      <c r="DS42" s="174"/>
      <c r="DT42" s="174"/>
      <c r="DU42" s="174"/>
      <c r="DV42" s="174"/>
      <c r="DW42" s="174"/>
      <c r="DX42" s="174"/>
      <c r="DY42" s="174"/>
      <c r="DZ42" s="174"/>
      <c r="EA42" s="174"/>
      <c r="EB42" s="174"/>
      <c r="EC42" s="174"/>
      <c r="ED42" s="174"/>
      <c r="EE42" s="174"/>
      <c r="EF42" s="174"/>
      <c r="EG42" s="174"/>
      <c r="EH42" s="174"/>
      <c r="EI42" s="174"/>
      <c r="EJ42" s="174"/>
      <c r="EK42" s="174"/>
      <c r="EL42" s="174"/>
      <c r="EM42" s="174"/>
      <c r="EN42" s="174"/>
      <c r="EO42" s="174"/>
      <c r="EP42" s="174"/>
      <c r="EQ42" s="174"/>
      <c r="ER42" s="174"/>
      <c r="ES42" s="174"/>
      <c r="ET42" s="174"/>
      <c r="EU42" s="174"/>
      <c r="EV42" s="174"/>
      <c r="EW42" s="174"/>
      <c r="EX42" s="174"/>
      <c r="EY42" s="174"/>
      <c r="EZ42" s="174"/>
      <c r="FA42" s="174"/>
      <c r="FB42" s="174"/>
      <c r="FC42" s="174"/>
      <c r="FD42" s="174"/>
      <c r="FE42" s="174"/>
      <c r="FF42" s="174"/>
      <c r="FG42" s="174"/>
      <c r="FH42" s="174"/>
      <c r="FI42" s="174"/>
      <c r="FJ42" s="174"/>
      <c r="FK42" s="174"/>
      <c r="FL42" s="174"/>
      <c r="FM42" s="174"/>
      <c r="FN42" s="174"/>
      <c r="FO42" s="174"/>
      <c r="FP42" s="174"/>
      <c r="FQ42" s="174"/>
      <c r="FR42" s="174"/>
      <c r="FS42" s="174"/>
      <c r="FT42" s="174"/>
      <c r="FU42" s="174"/>
      <c r="FV42" s="174"/>
      <c r="FW42" s="174"/>
      <c r="FX42" s="174"/>
      <c r="FY42" s="174"/>
      <c r="FZ42" s="174"/>
      <c r="GA42" s="174"/>
      <c r="GB42" s="174"/>
      <c r="GC42" s="174"/>
      <c r="GD42" s="174"/>
      <c r="GE42" s="174"/>
      <c r="GF42" s="174"/>
      <c r="GG42" s="174"/>
      <c r="GH42" s="174"/>
      <c r="GI42" s="174"/>
      <c r="GJ42" s="174"/>
      <c r="GK42" s="174"/>
      <c r="GL42" s="174"/>
      <c r="GM42" s="174"/>
      <c r="GN42" s="174"/>
      <c r="GO42" s="174"/>
      <c r="GP42" s="174"/>
      <c r="GQ42" s="174"/>
      <c r="GR42" s="174"/>
      <c r="GS42" s="174"/>
      <c r="GT42" s="174"/>
      <c r="GU42" s="174"/>
      <c r="GV42" s="174"/>
      <c r="GW42" s="174"/>
      <c r="GX42" s="174"/>
      <c r="GY42" s="174"/>
      <c r="GZ42" s="174"/>
      <c r="HA42" s="174"/>
      <c r="HB42" s="174"/>
      <c r="HC42" s="174"/>
      <c r="HD42" s="174"/>
      <c r="HE42" s="174"/>
      <c r="HF42" s="174"/>
      <c r="HG42" s="174"/>
      <c r="HH42" s="174"/>
      <c r="HI42" s="174"/>
      <c r="HJ42" s="174"/>
      <c r="HK42" s="174"/>
      <c r="HL42" s="174"/>
      <c r="HM42" s="174"/>
      <c r="HN42" s="174"/>
      <c r="HO42" s="174"/>
      <c r="HP42" s="174"/>
      <c r="HQ42" s="174"/>
      <c r="HR42" s="174"/>
      <c r="HS42" s="174"/>
      <c r="HT42" s="174"/>
      <c r="HU42" s="174"/>
      <c r="HV42" s="174"/>
      <c r="HW42" s="174"/>
      <c r="HX42" s="174"/>
      <c r="HY42" s="174"/>
      <c r="HZ42" s="174"/>
      <c r="IA42" s="174"/>
      <c r="IB42" s="174"/>
      <c r="IC42" s="174"/>
      <c r="ID42" s="174"/>
      <c r="IE42" s="174"/>
      <c r="IF42" s="174"/>
      <c r="IG42" s="174"/>
      <c r="IH42" s="174"/>
      <c r="II42" s="174"/>
      <c r="IJ42" s="174"/>
      <c r="IK42" s="174"/>
      <c r="IL42" s="174"/>
      <c r="IM42" s="174"/>
      <c r="IN42" s="174"/>
      <c r="IO42" s="174"/>
      <c r="IP42" s="174"/>
      <c r="IQ42" s="174"/>
      <c r="IR42" s="174"/>
      <c r="IS42" s="174"/>
      <c r="IT42" s="174"/>
      <c r="IU42" s="75"/>
      <c r="IV42" s="75"/>
      <c r="IW42" s="75"/>
      <c r="IX42" s="75"/>
      <c r="IY42" s="75"/>
      <c r="IZ42" s="75"/>
      <c r="JA42" s="75"/>
      <c r="JB42" s="75"/>
      <c r="JC42" s="75"/>
      <c r="JD42" s="75"/>
      <c r="JF42" s="710" t="s">
        <v>694</v>
      </c>
      <c r="JG42" s="710" t="s">
        <v>921</v>
      </c>
      <c r="JH42" s="178" t="e">
        <f t="shared" si="1"/>
        <v>#N/A</v>
      </c>
      <c r="JI42" s="174">
        <f t="shared" si="2"/>
        <v>0</v>
      </c>
    </row>
    <row r="43" spans="2:269" ht="15" customHeight="1" x14ac:dyDescent="0.25">
      <c r="B43" s="113">
        <v>40</v>
      </c>
      <c r="C43" s="353" t="str">
        <f t="shared" si="5"/>
        <v>Driver Modicon Modbus Master (ASC/RTU/TCP) (connection)</v>
      </c>
      <c r="D43" s="353" t="str">
        <f t="shared" si="6"/>
        <v/>
      </c>
      <c r="E43" s="174"/>
      <c r="F43" s="174"/>
      <c r="G43" s="174"/>
      <c r="H43" s="174"/>
      <c r="I43" s="174"/>
      <c r="J43" s="174"/>
      <c r="K43" s="174"/>
      <c r="L43" s="174"/>
      <c r="M43" s="174"/>
      <c r="N43" s="174"/>
      <c r="O43" s="174"/>
      <c r="P43" s="174"/>
      <c r="Q43" s="174"/>
      <c r="R43" s="174"/>
      <c r="S43" s="174"/>
      <c r="T43" s="174"/>
      <c r="U43" s="174"/>
      <c r="V43" s="174"/>
      <c r="W43" s="174"/>
      <c r="X43" s="174"/>
      <c r="Y43" s="174"/>
      <c r="Z43" s="174"/>
      <c r="AA43" s="174"/>
      <c r="AB43" s="174"/>
      <c r="AC43" s="174"/>
      <c r="AD43" s="174"/>
      <c r="AE43" s="174"/>
      <c r="AF43" s="174"/>
      <c r="AG43" s="174"/>
      <c r="AH43" s="174"/>
      <c r="AI43" s="174"/>
      <c r="AJ43" s="174"/>
      <c r="AK43" s="174"/>
      <c r="AL43" s="174"/>
      <c r="AM43" s="174"/>
      <c r="AN43" s="174"/>
      <c r="AO43" s="174"/>
      <c r="AP43" s="174"/>
      <c r="AQ43" s="174"/>
      <c r="AR43" s="174"/>
      <c r="AS43" s="174"/>
      <c r="AT43" s="174"/>
      <c r="AU43" s="174"/>
      <c r="AV43" s="174">
        <v>8</v>
      </c>
      <c r="AW43" s="174"/>
      <c r="AX43" s="174"/>
      <c r="AY43" s="174"/>
      <c r="AZ43" s="174"/>
      <c r="BA43" s="174"/>
      <c r="BB43" s="174"/>
      <c r="BC43" s="174"/>
      <c r="BD43" s="174"/>
      <c r="BE43" s="174"/>
      <c r="BF43" s="174"/>
      <c r="BG43" s="174"/>
      <c r="BH43" s="174"/>
      <c r="BI43" s="174"/>
      <c r="BJ43" s="174"/>
      <c r="BK43" s="174"/>
      <c r="BL43" s="174"/>
      <c r="BM43" s="174"/>
      <c r="BN43" s="174"/>
      <c r="BO43" s="174"/>
      <c r="BP43" s="174"/>
      <c r="BQ43" s="174"/>
      <c r="BR43" s="174"/>
      <c r="BS43" s="174"/>
      <c r="BT43" s="174"/>
      <c r="BU43" s="174"/>
      <c r="BV43" s="174"/>
      <c r="BW43" s="174"/>
      <c r="BX43" s="174"/>
      <c r="BY43" s="174"/>
      <c r="BZ43" s="174"/>
      <c r="CA43" s="174"/>
      <c r="CB43" s="174"/>
      <c r="CC43" s="174"/>
      <c r="CD43" s="174"/>
      <c r="CE43" s="174"/>
      <c r="CF43" s="174"/>
      <c r="CG43" s="174"/>
      <c r="CH43" s="174"/>
      <c r="CI43" s="174"/>
      <c r="CJ43" s="174"/>
      <c r="CK43" s="174"/>
      <c r="CL43" s="174"/>
      <c r="CM43" s="174"/>
      <c r="CN43" s="174"/>
      <c r="CO43" s="174"/>
      <c r="CP43" s="174"/>
      <c r="CQ43" s="174"/>
      <c r="CR43" s="174"/>
      <c r="CS43" s="174"/>
      <c r="CT43" s="174"/>
      <c r="CU43" s="174"/>
      <c r="CV43" s="174"/>
      <c r="CW43" s="174"/>
      <c r="CX43" s="174"/>
      <c r="CY43" s="174"/>
      <c r="CZ43" s="174"/>
      <c r="DA43" s="174"/>
      <c r="DB43" s="174"/>
      <c r="DC43" s="174"/>
      <c r="DD43" s="174"/>
      <c r="DE43" s="174"/>
      <c r="DF43" s="174"/>
      <c r="DG43" s="174"/>
      <c r="DH43" s="174"/>
      <c r="DI43" s="174"/>
      <c r="DJ43" s="174"/>
      <c r="DK43" s="174"/>
      <c r="DL43" s="174"/>
      <c r="DM43" s="174"/>
      <c r="DN43" s="174"/>
      <c r="DO43" s="174"/>
      <c r="DP43" s="174"/>
      <c r="DQ43" s="174"/>
      <c r="DR43" s="174"/>
      <c r="DS43" s="174"/>
      <c r="DT43" s="174"/>
      <c r="DU43" s="174"/>
      <c r="DV43" s="174"/>
      <c r="DW43" s="174"/>
      <c r="DX43" s="174"/>
      <c r="DY43" s="174"/>
      <c r="DZ43" s="174"/>
      <c r="EA43" s="174"/>
      <c r="EB43" s="174"/>
      <c r="EC43" s="174"/>
      <c r="ED43" s="174"/>
      <c r="EE43" s="174"/>
      <c r="EF43" s="174"/>
      <c r="EG43" s="174"/>
      <c r="EH43" s="174"/>
      <c r="EI43" s="174"/>
      <c r="EJ43" s="174"/>
      <c r="EK43" s="174"/>
      <c r="EL43" s="174"/>
      <c r="EM43" s="174"/>
      <c r="EN43" s="174"/>
      <c r="EO43" s="174"/>
      <c r="EP43" s="174"/>
      <c r="EQ43" s="174"/>
      <c r="ER43" s="174"/>
      <c r="ES43" s="174"/>
      <c r="ET43" s="174"/>
      <c r="EU43" s="174"/>
      <c r="EV43" s="174"/>
      <c r="EW43" s="174"/>
      <c r="EX43" s="174"/>
      <c r="EY43" s="174"/>
      <c r="EZ43" s="174"/>
      <c r="FA43" s="174"/>
      <c r="FB43" s="174"/>
      <c r="FC43" s="174"/>
      <c r="FD43" s="174"/>
      <c r="FE43" s="174"/>
      <c r="FF43" s="174"/>
      <c r="FG43" s="174"/>
      <c r="FH43" s="174"/>
      <c r="FI43" s="174"/>
      <c r="FJ43" s="174"/>
      <c r="FK43" s="174"/>
      <c r="FL43" s="174"/>
      <c r="FM43" s="174"/>
      <c r="FN43" s="174"/>
      <c r="FO43" s="174"/>
      <c r="FP43" s="174"/>
      <c r="FQ43" s="174"/>
      <c r="FR43" s="174"/>
      <c r="FS43" s="174"/>
      <c r="FT43" s="174"/>
      <c r="FU43" s="174"/>
      <c r="FV43" s="174"/>
      <c r="FW43" s="174"/>
      <c r="FX43" s="174"/>
      <c r="FY43" s="174"/>
      <c r="FZ43" s="174"/>
      <c r="GA43" s="174"/>
      <c r="GB43" s="174"/>
      <c r="GC43" s="174"/>
      <c r="GD43" s="174"/>
      <c r="GE43" s="174"/>
      <c r="GF43" s="174"/>
      <c r="GG43" s="174"/>
      <c r="GH43" s="174"/>
      <c r="GI43" s="174"/>
      <c r="GJ43" s="174"/>
      <c r="GK43" s="174"/>
      <c r="GL43" s="174"/>
      <c r="GM43" s="174"/>
      <c r="GN43" s="174"/>
      <c r="GO43" s="174"/>
      <c r="GP43" s="174"/>
      <c r="GQ43" s="174"/>
      <c r="GR43" s="174"/>
      <c r="GS43" s="174"/>
      <c r="GT43" s="174"/>
      <c r="GU43" s="174"/>
      <c r="GV43" s="174"/>
      <c r="GW43" s="174"/>
      <c r="GX43" s="174"/>
      <c r="GY43" s="174"/>
      <c r="GZ43" s="174"/>
      <c r="HA43" s="174"/>
      <c r="HB43" s="174"/>
      <c r="HC43" s="174"/>
      <c r="HD43" s="174"/>
      <c r="HE43" s="174"/>
      <c r="HF43" s="174"/>
      <c r="HG43" s="174"/>
      <c r="HH43" s="174"/>
      <c r="HI43" s="174"/>
      <c r="HJ43" s="174"/>
      <c r="HK43" s="174"/>
      <c r="HL43" s="174"/>
      <c r="HM43" s="174"/>
      <c r="HN43" s="174"/>
      <c r="HO43" s="174"/>
      <c r="HP43" s="174"/>
      <c r="HQ43" s="174"/>
      <c r="HR43" s="174"/>
      <c r="HS43" s="174"/>
      <c r="HT43" s="174"/>
      <c r="HU43" s="174"/>
      <c r="HV43" s="174"/>
      <c r="HW43" s="174"/>
      <c r="HX43" s="174"/>
      <c r="HY43" s="174"/>
      <c r="HZ43" s="174"/>
      <c r="IA43" s="174"/>
      <c r="IB43" s="174"/>
      <c r="IC43" s="174"/>
      <c r="ID43" s="174"/>
      <c r="IE43" s="174"/>
      <c r="IF43" s="174"/>
      <c r="IG43" s="174"/>
      <c r="IH43" s="174"/>
      <c r="II43" s="174"/>
      <c r="IJ43" s="174"/>
      <c r="IK43" s="174"/>
      <c r="IL43" s="174"/>
      <c r="IM43" s="174"/>
      <c r="IN43" s="174"/>
      <c r="IO43" s="174"/>
      <c r="IP43" s="174"/>
      <c r="IQ43" s="174"/>
      <c r="IR43" s="174"/>
      <c r="IS43" s="174"/>
      <c r="IT43" s="174"/>
      <c r="IU43" s="75"/>
      <c r="IV43" s="75"/>
      <c r="IW43" s="75"/>
      <c r="IX43" s="75"/>
      <c r="IY43" s="75"/>
      <c r="IZ43" s="75"/>
      <c r="JA43" s="75"/>
      <c r="JB43" s="75"/>
      <c r="JC43" s="75"/>
      <c r="JD43" s="75"/>
      <c r="JF43" s="710" t="s">
        <v>799</v>
      </c>
      <c r="JG43" s="710"/>
      <c r="JH43" s="178" t="e">
        <f t="shared" si="1"/>
        <v>#N/A</v>
      </c>
      <c r="JI43" s="174">
        <f t="shared" si="2"/>
        <v>0</v>
      </c>
    </row>
    <row r="44" spans="2:269" ht="15" customHeight="1" x14ac:dyDescent="0.25">
      <c r="B44" s="113">
        <v>41</v>
      </c>
      <c r="C44" s="353" t="str">
        <f t="shared" si="5"/>
        <v>Driver DNP 3.0 Master/Slave</v>
      </c>
      <c r="D44" s="353" t="str">
        <f t="shared" si="6"/>
        <v>driver DNP 3.0 master</v>
      </c>
      <c r="E44" s="174"/>
      <c r="F44" s="174"/>
      <c r="G44" s="174"/>
      <c r="H44" s="174"/>
      <c r="I44" s="174"/>
      <c r="J44" s="174"/>
      <c r="K44" s="174"/>
      <c r="L44" s="174"/>
      <c r="M44" s="174"/>
      <c r="N44" s="174"/>
      <c r="O44" s="174"/>
      <c r="P44" s="174"/>
      <c r="Q44" s="174"/>
      <c r="R44" s="174"/>
      <c r="S44" s="174"/>
      <c r="T44" s="174"/>
      <c r="U44" s="174"/>
      <c r="V44" s="174"/>
      <c r="W44" s="174"/>
      <c r="X44" s="174"/>
      <c r="Y44" s="174"/>
      <c r="Z44" s="174"/>
      <c r="AA44" s="174"/>
      <c r="AB44" s="174"/>
      <c r="AC44" s="174"/>
      <c r="AD44" s="174"/>
      <c r="AE44" s="174"/>
      <c r="AF44" s="174"/>
      <c r="AG44" s="174"/>
      <c r="AH44" s="174"/>
      <c r="AI44" s="174"/>
      <c r="AJ44" s="174"/>
      <c r="AK44" s="174"/>
      <c r="AL44" s="174"/>
      <c r="AM44" s="174"/>
      <c r="AN44" s="174"/>
      <c r="AO44" s="174"/>
      <c r="AP44" s="174"/>
      <c r="AQ44" s="174"/>
      <c r="AR44" s="174"/>
      <c r="AS44" s="174"/>
      <c r="AT44" s="174"/>
      <c r="AU44" s="174"/>
      <c r="AV44" s="174">
        <v>2</v>
      </c>
      <c r="AW44" s="174"/>
      <c r="AX44" s="174"/>
      <c r="AY44" s="174"/>
      <c r="AZ44" s="174"/>
      <c r="BA44" s="174"/>
      <c r="BB44" s="174"/>
      <c r="BC44" s="174"/>
      <c r="BD44" s="174"/>
      <c r="BE44" s="174"/>
      <c r="BF44" s="174"/>
      <c r="BG44" s="174"/>
      <c r="BH44" s="174"/>
      <c r="BI44" s="174"/>
      <c r="BJ44" s="174"/>
      <c r="BK44" s="174"/>
      <c r="BL44" s="174"/>
      <c r="BM44" s="174"/>
      <c r="BN44" s="174"/>
      <c r="BO44" s="174"/>
      <c r="BP44" s="174"/>
      <c r="BQ44" s="174"/>
      <c r="BR44" s="174"/>
      <c r="BS44" s="174"/>
      <c r="BT44" s="174"/>
      <c r="BU44" s="174"/>
      <c r="BV44" s="174"/>
      <c r="BW44" s="174"/>
      <c r="BX44" s="174"/>
      <c r="BY44" s="174"/>
      <c r="BZ44" s="174"/>
      <c r="CA44" s="174"/>
      <c r="CB44" s="174"/>
      <c r="CC44" s="174"/>
      <c r="CD44" s="174"/>
      <c r="CE44" s="174"/>
      <c r="CF44" s="174"/>
      <c r="CG44" s="174"/>
      <c r="CH44" s="174"/>
      <c r="CI44" s="174"/>
      <c r="CJ44" s="174"/>
      <c r="CK44" s="174"/>
      <c r="CL44" s="174"/>
      <c r="CM44" s="174"/>
      <c r="CN44" s="174"/>
      <c r="CO44" s="174"/>
      <c r="CP44" s="174"/>
      <c r="CQ44" s="174"/>
      <c r="CR44" s="174"/>
      <c r="CS44" s="174"/>
      <c r="CT44" s="174"/>
      <c r="CU44" s="174"/>
      <c r="CV44" s="174"/>
      <c r="CW44" s="174"/>
      <c r="CX44" s="174"/>
      <c r="CY44" s="174"/>
      <c r="CZ44" s="174"/>
      <c r="DA44" s="174"/>
      <c r="DB44" s="174"/>
      <c r="DC44" s="174"/>
      <c r="DD44" s="174"/>
      <c r="DE44" s="174"/>
      <c r="DF44" s="174"/>
      <c r="DG44" s="174"/>
      <c r="DH44" s="174"/>
      <c r="DI44" s="174"/>
      <c r="DJ44" s="174"/>
      <c r="DK44" s="174"/>
      <c r="DL44" s="174"/>
      <c r="DM44" s="174"/>
      <c r="DN44" s="174"/>
      <c r="DO44" s="174"/>
      <c r="DP44" s="174"/>
      <c r="DQ44" s="174"/>
      <c r="DR44" s="174"/>
      <c r="DS44" s="174"/>
      <c r="DT44" s="174"/>
      <c r="DU44" s="174"/>
      <c r="DV44" s="174"/>
      <c r="DW44" s="174"/>
      <c r="DX44" s="174"/>
      <c r="DY44" s="174"/>
      <c r="DZ44" s="174"/>
      <c r="EA44" s="174"/>
      <c r="EB44" s="174"/>
      <c r="EC44" s="174"/>
      <c r="ED44" s="174"/>
      <c r="EE44" s="174"/>
      <c r="EF44" s="174"/>
      <c r="EG44" s="174"/>
      <c r="EH44" s="174"/>
      <c r="EI44" s="174"/>
      <c r="EJ44" s="174"/>
      <c r="EK44" s="174"/>
      <c r="EL44" s="174"/>
      <c r="EM44" s="174"/>
      <c r="EN44" s="174"/>
      <c r="EO44" s="174"/>
      <c r="EP44" s="174"/>
      <c r="EQ44" s="174"/>
      <c r="ER44" s="174"/>
      <c r="ES44" s="174"/>
      <c r="ET44" s="174"/>
      <c r="EU44" s="174"/>
      <c r="EV44" s="174"/>
      <c r="EW44" s="174"/>
      <c r="EX44" s="174"/>
      <c r="EY44" s="174"/>
      <c r="EZ44" s="174"/>
      <c r="FA44" s="174"/>
      <c r="FB44" s="174"/>
      <c r="FC44" s="174"/>
      <c r="FD44" s="174"/>
      <c r="FE44" s="174"/>
      <c r="FF44" s="174"/>
      <c r="FG44" s="174"/>
      <c r="FH44" s="174"/>
      <c r="FI44" s="174"/>
      <c r="FJ44" s="174"/>
      <c r="FK44" s="174"/>
      <c r="FL44" s="174"/>
      <c r="FM44" s="174"/>
      <c r="FN44" s="174"/>
      <c r="FO44" s="174"/>
      <c r="FP44" s="174"/>
      <c r="FQ44" s="174"/>
      <c r="FR44" s="174"/>
      <c r="FS44" s="174"/>
      <c r="FT44" s="174"/>
      <c r="FU44" s="174"/>
      <c r="FV44" s="174"/>
      <c r="FW44" s="174"/>
      <c r="FX44" s="174"/>
      <c r="FY44" s="174"/>
      <c r="FZ44" s="174"/>
      <c r="GA44" s="174"/>
      <c r="GB44" s="174"/>
      <c r="GC44" s="174"/>
      <c r="GD44" s="174"/>
      <c r="GE44" s="174"/>
      <c r="GF44" s="174"/>
      <c r="GG44" s="174"/>
      <c r="GH44" s="174"/>
      <c r="GI44" s="174"/>
      <c r="GJ44" s="174"/>
      <c r="GK44" s="174"/>
      <c r="GL44" s="174"/>
      <c r="GM44" s="174"/>
      <c r="GN44" s="174"/>
      <c r="GO44" s="174"/>
      <c r="GP44" s="174"/>
      <c r="GQ44" s="174"/>
      <c r="GR44" s="174"/>
      <c r="GS44" s="174"/>
      <c r="GT44" s="174"/>
      <c r="GU44" s="174"/>
      <c r="GV44" s="174"/>
      <c r="GW44" s="174"/>
      <c r="GX44" s="174"/>
      <c r="GY44" s="174"/>
      <c r="GZ44" s="174"/>
      <c r="HA44" s="174"/>
      <c r="HB44" s="174"/>
      <c r="HC44" s="174"/>
      <c r="HD44" s="174"/>
      <c r="HE44" s="174"/>
      <c r="HF44" s="174"/>
      <c r="HG44" s="174"/>
      <c r="HH44" s="174"/>
      <c r="HI44" s="174"/>
      <c r="HJ44" s="174"/>
      <c r="HK44" s="174"/>
      <c r="HL44" s="174"/>
      <c r="HM44" s="174"/>
      <c r="HN44" s="174"/>
      <c r="HO44" s="174"/>
      <c r="HP44" s="174"/>
      <c r="HQ44" s="174"/>
      <c r="HR44" s="174"/>
      <c r="HS44" s="174"/>
      <c r="HT44" s="174"/>
      <c r="HU44" s="174"/>
      <c r="HV44" s="174"/>
      <c r="HW44" s="174"/>
      <c r="HX44" s="174"/>
      <c r="HY44" s="174"/>
      <c r="HZ44" s="174"/>
      <c r="IA44" s="174"/>
      <c r="IB44" s="174"/>
      <c r="IC44" s="174"/>
      <c r="ID44" s="174"/>
      <c r="IE44" s="174"/>
      <c r="IF44" s="174"/>
      <c r="IG44" s="174"/>
      <c r="IH44" s="174"/>
      <c r="II44" s="174"/>
      <c r="IJ44" s="174"/>
      <c r="IK44" s="174"/>
      <c r="IL44" s="174"/>
      <c r="IM44" s="174"/>
      <c r="IN44" s="174"/>
      <c r="IO44" s="174"/>
      <c r="IP44" s="174"/>
      <c r="IQ44" s="174"/>
      <c r="IR44" s="174"/>
      <c r="IS44" s="174"/>
      <c r="IT44" s="174"/>
      <c r="IU44" s="75"/>
      <c r="IV44" s="75"/>
      <c r="IW44" s="75"/>
      <c r="IX44" s="75"/>
      <c r="IY44" s="75"/>
      <c r="IZ44" s="75"/>
      <c r="JA44" s="75"/>
      <c r="JB44" s="75"/>
      <c r="JC44" s="75"/>
      <c r="JD44" s="75"/>
      <c r="JF44" s="710" t="s">
        <v>940</v>
      </c>
      <c r="JG44" s="710" t="s">
        <v>922</v>
      </c>
      <c r="JH44" s="178">
        <f t="shared" si="1"/>
        <v>5218.1250000000009</v>
      </c>
      <c r="JI44" s="174">
        <f t="shared" si="2"/>
        <v>0</v>
      </c>
    </row>
    <row r="45" spans="2:269" ht="15" customHeight="1" x14ac:dyDescent="0.25">
      <c r="B45" s="113">
        <v>42</v>
      </c>
      <c r="C45" s="353" t="str">
        <f t="shared" si="5"/>
        <v>Driver DNP 3.0 Master/Slave (connection)</v>
      </c>
      <c r="D45" s="353" t="str">
        <f t="shared" si="6"/>
        <v/>
      </c>
      <c r="E45" s="174"/>
      <c r="F45" s="174"/>
      <c r="G45" s="174"/>
      <c r="H45" s="174"/>
      <c r="I45" s="174"/>
      <c r="J45" s="174"/>
      <c r="K45" s="174"/>
      <c r="L45" s="174"/>
      <c r="M45" s="174"/>
      <c r="N45" s="174"/>
      <c r="O45" s="174"/>
      <c r="P45" s="174"/>
      <c r="Q45" s="174"/>
      <c r="R45" s="174"/>
      <c r="S45" s="174"/>
      <c r="T45" s="174"/>
      <c r="U45" s="174"/>
      <c r="V45" s="174"/>
      <c r="W45" s="174"/>
      <c r="X45" s="174"/>
      <c r="Y45" s="174"/>
      <c r="Z45" s="174"/>
      <c r="AA45" s="174"/>
      <c r="AB45" s="174"/>
      <c r="AC45" s="174"/>
      <c r="AD45" s="174"/>
      <c r="AE45" s="174"/>
      <c r="AF45" s="174"/>
      <c r="AG45" s="174"/>
      <c r="AH45" s="174"/>
      <c r="AI45" s="174"/>
      <c r="AJ45" s="174"/>
      <c r="AK45" s="174"/>
      <c r="AL45" s="174"/>
      <c r="AM45" s="174"/>
      <c r="AN45" s="174"/>
      <c r="AO45" s="174"/>
      <c r="AP45" s="174"/>
      <c r="AQ45" s="174"/>
      <c r="AR45" s="174"/>
      <c r="AS45" s="174"/>
      <c r="AT45" s="174"/>
      <c r="AU45" s="174"/>
      <c r="AV45" s="174">
        <v>8</v>
      </c>
      <c r="AW45" s="174"/>
      <c r="AX45" s="174"/>
      <c r="AY45" s="174"/>
      <c r="AZ45" s="174"/>
      <c r="BA45" s="174"/>
      <c r="BB45" s="174"/>
      <c r="BC45" s="174"/>
      <c r="BD45" s="174"/>
      <c r="BE45" s="174"/>
      <c r="BF45" s="174"/>
      <c r="BG45" s="174"/>
      <c r="BH45" s="174"/>
      <c r="BI45" s="174"/>
      <c r="BJ45" s="174"/>
      <c r="BK45" s="174"/>
      <c r="BL45" s="174"/>
      <c r="BM45" s="174"/>
      <c r="BN45" s="174"/>
      <c r="BO45" s="174"/>
      <c r="BP45" s="174"/>
      <c r="BQ45" s="174"/>
      <c r="BR45" s="174"/>
      <c r="BS45" s="174"/>
      <c r="BT45" s="174"/>
      <c r="BU45" s="174"/>
      <c r="BV45" s="174"/>
      <c r="BW45" s="174"/>
      <c r="BX45" s="174"/>
      <c r="BY45" s="174"/>
      <c r="BZ45" s="174"/>
      <c r="CA45" s="174"/>
      <c r="CB45" s="174"/>
      <c r="CC45" s="174"/>
      <c r="CD45" s="174"/>
      <c r="CE45" s="174"/>
      <c r="CF45" s="174"/>
      <c r="CG45" s="174"/>
      <c r="CH45" s="174"/>
      <c r="CI45" s="174"/>
      <c r="CJ45" s="174"/>
      <c r="CK45" s="174"/>
      <c r="CL45" s="174"/>
      <c r="CM45" s="174"/>
      <c r="CN45" s="174"/>
      <c r="CO45" s="174"/>
      <c r="CP45" s="174"/>
      <c r="CQ45" s="174"/>
      <c r="CR45" s="174"/>
      <c r="CS45" s="174"/>
      <c r="CT45" s="174"/>
      <c r="CU45" s="174"/>
      <c r="CV45" s="174"/>
      <c r="CW45" s="174"/>
      <c r="CX45" s="174"/>
      <c r="CY45" s="174"/>
      <c r="CZ45" s="174"/>
      <c r="DA45" s="174"/>
      <c r="DB45" s="174"/>
      <c r="DC45" s="174"/>
      <c r="DD45" s="174"/>
      <c r="DE45" s="174"/>
      <c r="DF45" s="174"/>
      <c r="DG45" s="174"/>
      <c r="DH45" s="174"/>
      <c r="DI45" s="174"/>
      <c r="DJ45" s="174"/>
      <c r="DK45" s="174"/>
      <c r="DL45" s="174"/>
      <c r="DM45" s="174"/>
      <c r="DN45" s="174"/>
      <c r="DO45" s="174"/>
      <c r="DP45" s="174"/>
      <c r="DQ45" s="174"/>
      <c r="DR45" s="174"/>
      <c r="DS45" s="174"/>
      <c r="DT45" s="174"/>
      <c r="DU45" s="174"/>
      <c r="DV45" s="174"/>
      <c r="DW45" s="174"/>
      <c r="DX45" s="174"/>
      <c r="DY45" s="174"/>
      <c r="DZ45" s="174"/>
      <c r="EA45" s="174"/>
      <c r="EB45" s="174"/>
      <c r="EC45" s="174"/>
      <c r="ED45" s="174"/>
      <c r="EE45" s="174"/>
      <c r="EF45" s="174"/>
      <c r="EG45" s="174"/>
      <c r="EH45" s="174"/>
      <c r="EI45" s="174"/>
      <c r="EJ45" s="174"/>
      <c r="EK45" s="174"/>
      <c r="EL45" s="174"/>
      <c r="EM45" s="174"/>
      <c r="EN45" s="174"/>
      <c r="EO45" s="174"/>
      <c r="EP45" s="174"/>
      <c r="EQ45" s="174"/>
      <c r="ER45" s="174"/>
      <c r="ES45" s="174"/>
      <c r="ET45" s="174"/>
      <c r="EU45" s="174"/>
      <c r="EV45" s="174"/>
      <c r="EW45" s="174"/>
      <c r="EX45" s="174"/>
      <c r="EY45" s="174"/>
      <c r="EZ45" s="174"/>
      <c r="FA45" s="174"/>
      <c r="FB45" s="174"/>
      <c r="FC45" s="174"/>
      <c r="FD45" s="174"/>
      <c r="FE45" s="174"/>
      <c r="FF45" s="174"/>
      <c r="FG45" s="174"/>
      <c r="FH45" s="174"/>
      <c r="FI45" s="174"/>
      <c r="FJ45" s="174"/>
      <c r="FK45" s="174"/>
      <c r="FL45" s="174"/>
      <c r="FM45" s="174"/>
      <c r="FN45" s="174"/>
      <c r="FO45" s="174"/>
      <c r="FP45" s="174"/>
      <c r="FQ45" s="174"/>
      <c r="FR45" s="174"/>
      <c r="FS45" s="174"/>
      <c r="FT45" s="174"/>
      <c r="FU45" s="174"/>
      <c r="FV45" s="174"/>
      <c r="FW45" s="174"/>
      <c r="FX45" s="174"/>
      <c r="FY45" s="174"/>
      <c r="FZ45" s="174"/>
      <c r="GA45" s="174"/>
      <c r="GB45" s="174"/>
      <c r="GC45" s="174"/>
      <c r="GD45" s="174"/>
      <c r="GE45" s="174"/>
      <c r="GF45" s="174"/>
      <c r="GG45" s="174"/>
      <c r="GH45" s="174"/>
      <c r="GI45" s="174"/>
      <c r="GJ45" s="174"/>
      <c r="GK45" s="174"/>
      <c r="GL45" s="174"/>
      <c r="GM45" s="174"/>
      <c r="GN45" s="174"/>
      <c r="GO45" s="174"/>
      <c r="GP45" s="174"/>
      <c r="GQ45" s="174"/>
      <c r="GR45" s="174"/>
      <c r="GS45" s="174"/>
      <c r="GT45" s="174"/>
      <c r="GU45" s="174"/>
      <c r="GV45" s="174"/>
      <c r="GW45" s="174"/>
      <c r="GX45" s="174"/>
      <c r="GY45" s="174"/>
      <c r="GZ45" s="174"/>
      <c r="HA45" s="174"/>
      <c r="HB45" s="174"/>
      <c r="HC45" s="174"/>
      <c r="HD45" s="174"/>
      <c r="HE45" s="174"/>
      <c r="HF45" s="174"/>
      <c r="HG45" s="174"/>
      <c r="HH45" s="174"/>
      <c r="HI45" s="174"/>
      <c r="HJ45" s="174"/>
      <c r="HK45" s="174"/>
      <c r="HL45" s="174"/>
      <c r="HM45" s="174"/>
      <c r="HN45" s="174"/>
      <c r="HO45" s="174"/>
      <c r="HP45" s="174"/>
      <c r="HQ45" s="174"/>
      <c r="HR45" s="174"/>
      <c r="HS45" s="174"/>
      <c r="HT45" s="174"/>
      <c r="HU45" s="174"/>
      <c r="HV45" s="174"/>
      <c r="HW45" s="174"/>
      <c r="HX45" s="174"/>
      <c r="HY45" s="174"/>
      <c r="HZ45" s="174"/>
      <c r="IA45" s="174"/>
      <c r="IB45" s="174"/>
      <c r="IC45" s="174"/>
      <c r="ID45" s="174"/>
      <c r="IE45" s="174"/>
      <c r="IF45" s="174"/>
      <c r="IG45" s="174"/>
      <c r="IH45" s="174"/>
      <c r="II45" s="174"/>
      <c r="IJ45" s="174"/>
      <c r="IK45" s="174"/>
      <c r="IL45" s="174"/>
      <c r="IM45" s="174"/>
      <c r="IN45" s="174"/>
      <c r="IO45" s="174"/>
      <c r="IP45" s="174"/>
      <c r="IQ45" s="174"/>
      <c r="IR45" s="174"/>
      <c r="IS45" s="174"/>
      <c r="IT45" s="174"/>
      <c r="IU45" s="75"/>
      <c r="IV45" s="75"/>
      <c r="IW45" s="75"/>
      <c r="IX45" s="75"/>
      <c r="IY45" s="75"/>
      <c r="IZ45" s="75"/>
      <c r="JA45" s="75"/>
      <c r="JB45" s="75"/>
      <c r="JC45" s="75"/>
      <c r="JD45" s="75"/>
      <c r="JF45" s="710" t="s">
        <v>1079</v>
      </c>
      <c r="JG45" s="710"/>
      <c r="JH45" s="178">
        <f t="shared" si="1"/>
        <v>635.25000000000011</v>
      </c>
      <c r="JI45" s="174">
        <f t="shared" si="2"/>
        <v>0</v>
      </c>
    </row>
    <row r="46" spans="2:269" ht="15" customHeight="1" x14ac:dyDescent="0.25">
      <c r="B46" s="113">
        <v>43</v>
      </c>
      <c r="C46" s="353" t="str">
        <f t="shared" si="5"/>
        <v>Elipse Power Studio</v>
      </c>
      <c r="D46" s="353" t="str">
        <f t="shared" si="6"/>
        <v>software de edição do Elipse Power</v>
      </c>
      <c r="E46" s="174"/>
      <c r="F46" s="174"/>
      <c r="G46" s="174"/>
      <c r="H46" s="174"/>
      <c r="I46" s="174"/>
      <c r="J46" s="174"/>
      <c r="K46" s="174"/>
      <c r="L46" s="174"/>
      <c r="M46" s="174"/>
      <c r="N46" s="174"/>
      <c r="O46" s="174"/>
      <c r="P46" s="174"/>
      <c r="Q46" s="174"/>
      <c r="R46" s="174"/>
      <c r="S46" s="174"/>
      <c r="T46" s="174"/>
      <c r="U46" s="174"/>
      <c r="V46" s="174"/>
      <c r="W46" s="174"/>
      <c r="X46" s="174"/>
      <c r="Y46" s="174"/>
      <c r="Z46" s="174"/>
      <c r="AA46" s="174"/>
      <c r="AB46" s="174"/>
      <c r="AC46" s="174"/>
      <c r="AD46" s="174"/>
      <c r="AE46" s="174"/>
      <c r="AF46" s="174"/>
      <c r="AG46" s="174"/>
      <c r="AH46" s="174"/>
      <c r="AI46" s="174"/>
      <c r="AJ46" s="174"/>
      <c r="AK46" s="174"/>
      <c r="AL46" s="174"/>
      <c r="AM46" s="174"/>
      <c r="AN46" s="174"/>
      <c r="AO46" s="174"/>
      <c r="AP46" s="174"/>
      <c r="AQ46" s="174"/>
      <c r="AR46" s="174"/>
      <c r="AS46" s="174"/>
      <c r="AT46" s="174"/>
      <c r="AU46" s="174"/>
      <c r="AV46" s="174">
        <v>1</v>
      </c>
      <c r="AW46" s="174"/>
      <c r="AX46" s="174"/>
      <c r="AY46" s="174"/>
      <c r="AZ46" s="174"/>
      <c r="BA46" s="174"/>
      <c r="BB46" s="174"/>
      <c r="BC46" s="174"/>
      <c r="BD46" s="174"/>
      <c r="BE46" s="174"/>
      <c r="BF46" s="174"/>
      <c r="BG46" s="174"/>
      <c r="BH46" s="174"/>
      <c r="BI46" s="174"/>
      <c r="BJ46" s="174"/>
      <c r="BK46" s="174"/>
      <c r="BL46" s="174"/>
      <c r="BM46" s="174"/>
      <c r="BN46" s="174"/>
      <c r="BO46" s="174"/>
      <c r="BP46" s="174"/>
      <c r="BQ46" s="174"/>
      <c r="BR46" s="174"/>
      <c r="BS46" s="174"/>
      <c r="BT46" s="174"/>
      <c r="BU46" s="174"/>
      <c r="BV46" s="174"/>
      <c r="BW46" s="174"/>
      <c r="BX46" s="174"/>
      <c r="BY46" s="174"/>
      <c r="BZ46" s="174"/>
      <c r="CA46" s="174"/>
      <c r="CB46" s="174"/>
      <c r="CC46" s="174"/>
      <c r="CD46" s="174"/>
      <c r="CE46" s="174"/>
      <c r="CF46" s="174"/>
      <c r="CG46" s="174"/>
      <c r="CH46" s="174"/>
      <c r="CI46" s="174"/>
      <c r="CJ46" s="174"/>
      <c r="CK46" s="174"/>
      <c r="CL46" s="174"/>
      <c r="CM46" s="174"/>
      <c r="CN46" s="174"/>
      <c r="CO46" s="174"/>
      <c r="CP46" s="174"/>
      <c r="CQ46" s="174"/>
      <c r="CR46" s="174"/>
      <c r="CS46" s="174"/>
      <c r="CT46" s="174"/>
      <c r="CU46" s="174"/>
      <c r="CV46" s="174"/>
      <c r="CW46" s="174"/>
      <c r="CX46" s="174"/>
      <c r="CY46" s="174"/>
      <c r="CZ46" s="174"/>
      <c r="DA46" s="174"/>
      <c r="DB46" s="174"/>
      <c r="DC46" s="174"/>
      <c r="DD46" s="174"/>
      <c r="DE46" s="174"/>
      <c r="DF46" s="174"/>
      <c r="DG46" s="174"/>
      <c r="DH46" s="174"/>
      <c r="DI46" s="174"/>
      <c r="DJ46" s="174"/>
      <c r="DK46" s="174"/>
      <c r="DL46" s="174"/>
      <c r="DM46" s="174"/>
      <c r="DN46" s="174"/>
      <c r="DO46" s="174"/>
      <c r="DP46" s="174"/>
      <c r="DQ46" s="174"/>
      <c r="DR46" s="174"/>
      <c r="DS46" s="174"/>
      <c r="DT46" s="174"/>
      <c r="DU46" s="174"/>
      <c r="DV46" s="174"/>
      <c r="DW46" s="174"/>
      <c r="DX46" s="174"/>
      <c r="DY46" s="174"/>
      <c r="DZ46" s="174"/>
      <c r="EA46" s="174"/>
      <c r="EB46" s="174"/>
      <c r="EC46" s="174"/>
      <c r="ED46" s="174"/>
      <c r="EE46" s="174"/>
      <c r="EF46" s="174"/>
      <c r="EG46" s="174"/>
      <c r="EH46" s="174"/>
      <c r="EI46" s="174"/>
      <c r="EJ46" s="174"/>
      <c r="EK46" s="174"/>
      <c r="EL46" s="174"/>
      <c r="EM46" s="174"/>
      <c r="EN46" s="174"/>
      <c r="EO46" s="174"/>
      <c r="EP46" s="174"/>
      <c r="EQ46" s="174"/>
      <c r="ER46" s="174"/>
      <c r="ES46" s="174"/>
      <c r="ET46" s="174"/>
      <c r="EU46" s="174"/>
      <c r="EV46" s="174"/>
      <c r="EW46" s="174"/>
      <c r="EX46" s="174"/>
      <c r="EY46" s="174"/>
      <c r="EZ46" s="174"/>
      <c r="FA46" s="174"/>
      <c r="FB46" s="174"/>
      <c r="FC46" s="174"/>
      <c r="FD46" s="174"/>
      <c r="FE46" s="174"/>
      <c r="FF46" s="174"/>
      <c r="FG46" s="174"/>
      <c r="FH46" s="174"/>
      <c r="FI46" s="174"/>
      <c r="FJ46" s="174"/>
      <c r="FK46" s="174"/>
      <c r="FL46" s="174"/>
      <c r="FM46" s="174"/>
      <c r="FN46" s="174"/>
      <c r="FO46" s="174"/>
      <c r="FP46" s="174"/>
      <c r="FQ46" s="174"/>
      <c r="FR46" s="174"/>
      <c r="FS46" s="174"/>
      <c r="FT46" s="174"/>
      <c r="FU46" s="174"/>
      <c r="FV46" s="174"/>
      <c r="FW46" s="174"/>
      <c r="FX46" s="174"/>
      <c r="FY46" s="174"/>
      <c r="FZ46" s="174"/>
      <c r="GA46" s="174"/>
      <c r="GB46" s="174"/>
      <c r="GC46" s="174"/>
      <c r="GD46" s="174"/>
      <c r="GE46" s="174"/>
      <c r="GF46" s="174"/>
      <c r="GG46" s="174"/>
      <c r="GH46" s="174"/>
      <c r="GI46" s="174"/>
      <c r="GJ46" s="174"/>
      <c r="GK46" s="174"/>
      <c r="GL46" s="174"/>
      <c r="GM46" s="174"/>
      <c r="GN46" s="174"/>
      <c r="GO46" s="174"/>
      <c r="GP46" s="174"/>
      <c r="GQ46" s="174"/>
      <c r="GR46" s="174"/>
      <c r="GS46" s="174"/>
      <c r="GT46" s="174"/>
      <c r="GU46" s="174"/>
      <c r="GV46" s="174"/>
      <c r="GW46" s="174"/>
      <c r="GX46" s="174"/>
      <c r="GY46" s="174"/>
      <c r="GZ46" s="174"/>
      <c r="HA46" s="174"/>
      <c r="HB46" s="174"/>
      <c r="HC46" s="174"/>
      <c r="HD46" s="174"/>
      <c r="HE46" s="174"/>
      <c r="HF46" s="174"/>
      <c r="HG46" s="174"/>
      <c r="HH46" s="174"/>
      <c r="HI46" s="174"/>
      <c r="HJ46" s="174"/>
      <c r="HK46" s="174"/>
      <c r="HL46" s="174"/>
      <c r="HM46" s="174"/>
      <c r="HN46" s="174"/>
      <c r="HO46" s="174"/>
      <c r="HP46" s="174"/>
      <c r="HQ46" s="174"/>
      <c r="HR46" s="174"/>
      <c r="HS46" s="174"/>
      <c r="HT46" s="174"/>
      <c r="HU46" s="174"/>
      <c r="HV46" s="174"/>
      <c r="HW46" s="174"/>
      <c r="HX46" s="174"/>
      <c r="HY46" s="174"/>
      <c r="HZ46" s="174"/>
      <c r="IA46" s="174"/>
      <c r="IB46" s="174"/>
      <c r="IC46" s="174"/>
      <c r="ID46" s="174"/>
      <c r="IE46" s="174"/>
      <c r="IF46" s="174"/>
      <c r="IG46" s="174"/>
      <c r="IH46" s="174"/>
      <c r="II46" s="174"/>
      <c r="IJ46" s="174"/>
      <c r="IK46" s="174"/>
      <c r="IL46" s="174"/>
      <c r="IM46" s="174"/>
      <c r="IN46" s="174"/>
      <c r="IO46" s="174"/>
      <c r="IP46" s="174"/>
      <c r="IQ46" s="174"/>
      <c r="IR46" s="174"/>
      <c r="IS46" s="174"/>
      <c r="IT46" s="174"/>
      <c r="IU46" s="75"/>
      <c r="IV46" s="75"/>
      <c r="IW46" s="75"/>
      <c r="IX46" s="75"/>
      <c r="IY46" s="75"/>
      <c r="IZ46" s="75"/>
      <c r="JA46" s="75"/>
      <c r="JB46" s="75"/>
      <c r="JC46" s="75"/>
      <c r="JD46" s="75"/>
      <c r="JF46" s="710" t="s">
        <v>802</v>
      </c>
      <c r="JG46" s="710" t="s">
        <v>923</v>
      </c>
      <c r="JH46" s="178">
        <f t="shared" si="1"/>
        <v>16806.900000000001</v>
      </c>
      <c r="JI46" s="174">
        <f t="shared" si="2"/>
        <v>0</v>
      </c>
    </row>
    <row r="47" spans="2:269" ht="15" customHeight="1" x14ac:dyDescent="0.25">
      <c r="B47" s="113">
        <v>44</v>
      </c>
      <c r="C47" s="353" t="str">
        <f t="shared" si="5"/>
        <v/>
      </c>
      <c r="D47" s="353" t="str">
        <f t="shared" si="6"/>
        <v/>
      </c>
      <c r="E47" s="174"/>
      <c r="F47" s="174"/>
      <c r="G47" s="174"/>
      <c r="H47" s="174"/>
      <c r="I47" s="174"/>
      <c r="J47" s="174"/>
      <c r="K47" s="174"/>
      <c r="L47" s="174"/>
      <c r="M47" s="174"/>
      <c r="N47" s="174"/>
      <c r="O47" s="174"/>
      <c r="P47" s="174"/>
      <c r="Q47" s="174"/>
      <c r="R47" s="174"/>
      <c r="S47" s="174"/>
      <c r="T47" s="174"/>
      <c r="U47" s="174"/>
      <c r="V47" s="174"/>
      <c r="W47" s="174"/>
      <c r="X47" s="174"/>
      <c r="Y47" s="174"/>
      <c r="Z47" s="174"/>
      <c r="AA47" s="174"/>
      <c r="AB47" s="174"/>
      <c r="AC47" s="174"/>
      <c r="AD47" s="174"/>
      <c r="AE47" s="174"/>
      <c r="AF47" s="174"/>
      <c r="AG47" s="174"/>
      <c r="AH47" s="174"/>
      <c r="AI47" s="174"/>
      <c r="AJ47" s="174"/>
      <c r="AK47" s="174"/>
      <c r="AL47" s="174"/>
      <c r="AM47" s="174"/>
      <c r="AN47" s="174"/>
      <c r="AO47" s="174"/>
      <c r="AP47" s="174"/>
      <c r="AQ47" s="174"/>
      <c r="AR47" s="174"/>
      <c r="AS47" s="174"/>
      <c r="AT47" s="174"/>
      <c r="AU47" s="174"/>
      <c r="AV47" s="174"/>
      <c r="AW47" s="174"/>
      <c r="AX47" s="174"/>
      <c r="AY47" s="174"/>
      <c r="AZ47" s="174"/>
      <c r="BA47" s="174"/>
      <c r="BB47" s="174"/>
      <c r="BC47" s="174"/>
      <c r="BD47" s="174"/>
      <c r="BE47" s="174"/>
      <c r="BF47" s="174"/>
      <c r="BG47" s="174"/>
      <c r="BH47" s="174"/>
      <c r="BI47" s="174"/>
      <c r="BJ47" s="174"/>
      <c r="BK47" s="174"/>
      <c r="BL47" s="174"/>
      <c r="BM47" s="174"/>
      <c r="BN47" s="174"/>
      <c r="BO47" s="174"/>
      <c r="BP47" s="174"/>
      <c r="BQ47" s="174"/>
      <c r="BR47" s="174"/>
      <c r="BS47" s="174"/>
      <c r="BT47" s="174"/>
      <c r="BU47" s="174"/>
      <c r="BV47" s="174"/>
      <c r="BW47" s="174"/>
      <c r="BX47" s="174"/>
      <c r="BY47" s="174"/>
      <c r="BZ47" s="174"/>
      <c r="CA47" s="174"/>
      <c r="CB47" s="174"/>
      <c r="CC47" s="174"/>
      <c r="CD47" s="174"/>
      <c r="CE47" s="174"/>
      <c r="CF47" s="174"/>
      <c r="CG47" s="174"/>
      <c r="CH47" s="174"/>
      <c r="CI47" s="174"/>
      <c r="CJ47" s="174"/>
      <c r="CK47" s="174"/>
      <c r="CL47" s="174"/>
      <c r="CM47" s="174"/>
      <c r="CN47" s="174"/>
      <c r="CO47" s="174"/>
      <c r="CP47" s="174"/>
      <c r="CQ47" s="174"/>
      <c r="CR47" s="174"/>
      <c r="CS47" s="174"/>
      <c r="CT47" s="174"/>
      <c r="CU47" s="174"/>
      <c r="CV47" s="174"/>
      <c r="CW47" s="174"/>
      <c r="CX47" s="174"/>
      <c r="CY47" s="174"/>
      <c r="CZ47" s="174"/>
      <c r="DA47" s="174"/>
      <c r="DB47" s="174"/>
      <c r="DC47" s="174"/>
      <c r="DD47" s="174"/>
      <c r="DE47" s="174"/>
      <c r="DF47" s="174"/>
      <c r="DG47" s="174"/>
      <c r="DH47" s="174"/>
      <c r="DI47" s="174"/>
      <c r="DJ47" s="174"/>
      <c r="DK47" s="174"/>
      <c r="DL47" s="174"/>
      <c r="DM47" s="174"/>
      <c r="DN47" s="174"/>
      <c r="DO47" s="174"/>
      <c r="DP47" s="174"/>
      <c r="DQ47" s="174"/>
      <c r="DR47" s="174"/>
      <c r="DS47" s="174"/>
      <c r="DT47" s="174"/>
      <c r="DU47" s="174"/>
      <c r="DV47" s="174"/>
      <c r="DW47" s="174"/>
      <c r="DX47" s="174"/>
      <c r="DY47" s="174"/>
      <c r="DZ47" s="174"/>
      <c r="EA47" s="174"/>
      <c r="EB47" s="174"/>
      <c r="EC47" s="174"/>
      <c r="ED47" s="174"/>
      <c r="EE47" s="174"/>
      <c r="EF47" s="174"/>
      <c r="EG47" s="174"/>
      <c r="EH47" s="174"/>
      <c r="EI47" s="174"/>
      <c r="EJ47" s="174"/>
      <c r="EK47" s="174"/>
      <c r="EL47" s="174"/>
      <c r="EM47" s="174"/>
      <c r="EN47" s="174"/>
      <c r="EO47" s="174"/>
      <c r="EP47" s="174"/>
      <c r="EQ47" s="174"/>
      <c r="ER47" s="174"/>
      <c r="ES47" s="174"/>
      <c r="ET47" s="174"/>
      <c r="EU47" s="174"/>
      <c r="EV47" s="174"/>
      <c r="EW47" s="174"/>
      <c r="EX47" s="174"/>
      <c r="EY47" s="174"/>
      <c r="EZ47" s="174"/>
      <c r="FA47" s="174"/>
      <c r="FB47" s="174"/>
      <c r="FC47" s="174"/>
      <c r="FD47" s="174"/>
      <c r="FE47" s="174"/>
      <c r="FF47" s="174"/>
      <c r="FG47" s="174"/>
      <c r="FH47" s="174"/>
      <c r="FI47" s="174"/>
      <c r="FJ47" s="174"/>
      <c r="FK47" s="174"/>
      <c r="FL47" s="174"/>
      <c r="FM47" s="174"/>
      <c r="FN47" s="174"/>
      <c r="FO47" s="174"/>
      <c r="FP47" s="174"/>
      <c r="FQ47" s="174"/>
      <c r="FR47" s="174"/>
      <c r="FS47" s="174"/>
      <c r="FT47" s="174"/>
      <c r="FU47" s="174"/>
      <c r="FV47" s="174"/>
      <c r="FW47" s="174"/>
      <c r="FX47" s="174"/>
      <c r="FY47" s="174"/>
      <c r="FZ47" s="174"/>
      <c r="GA47" s="174"/>
      <c r="GB47" s="174"/>
      <c r="GC47" s="174"/>
      <c r="GD47" s="174"/>
      <c r="GE47" s="174"/>
      <c r="GF47" s="174"/>
      <c r="GG47" s="174"/>
      <c r="GH47" s="174"/>
      <c r="GI47" s="174"/>
      <c r="GJ47" s="174"/>
      <c r="GK47" s="174"/>
      <c r="GL47" s="174"/>
      <c r="GM47" s="174"/>
      <c r="GN47" s="174"/>
      <c r="GO47" s="174"/>
      <c r="GP47" s="174"/>
      <c r="GQ47" s="174"/>
      <c r="GR47" s="174"/>
      <c r="GS47" s="174"/>
      <c r="GT47" s="174"/>
      <c r="GU47" s="174"/>
      <c r="GV47" s="174"/>
      <c r="GW47" s="174"/>
      <c r="GX47" s="174"/>
      <c r="GY47" s="174"/>
      <c r="GZ47" s="174"/>
      <c r="HA47" s="174"/>
      <c r="HB47" s="174"/>
      <c r="HC47" s="174"/>
      <c r="HD47" s="174"/>
      <c r="HE47" s="174"/>
      <c r="HF47" s="174"/>
      <c r="HG47" s="174"/>
      <c r="HH47" s="174"/>
      <c r="HI47" s="174"/>
      <c r="HJ47" s="174"/>
      <c r="HK47" s="174"/>
      <c r="HL47" s="174"/>
      <c r="HM47" s="174"/>
      <c r="HN47" s="174"/>
      <c r="HO47" s="174"/>
      <c r="HP47" s="174"/>
      <c r="HQ47" s="174"/>
      <c r="HR47" s="174"/>
      <c r="HS47" s="174"/>
      <c r="HT47" s="174"/>
      <c r="HU47" s="174"/>
      <c r="HV47" s="174"/>
      <c r="HW47" s="174"/>
      <c r="HX47" s="174"/>
      <c r="HY47" s="174"/>
      <c r="HZ47" s="174"/>
      <c r="IA47" s="174"/>
      <c r="IB47" s="174"/>
      <c r="IC47" s="174"/>
      <c r="ID47" s="174"/>
      <c r="IE47" s="174"/>
      <c r="IF47" s="174"/>
      <c r="IG47" s="174"/>
      <c r="IH47" s="174"/>
      <c r="II47" s="174"/>
      <c r="IJ47" s="174"/>
      <c r="IK47" s="174"/>
      <c r="IL47" s="174"/>
      <c r="IM47" s="174"/>
      <c r="IN47" s="174"/>
      <c r="IO47" s="174"/>
      <c r="IP47" s="174"/>
      <c r="IQ47" s="174"/>
      <c r="IR47" s="174"/>
      <c r="IS47" s="174"/>
      <c r="IT47" s="174"/>
      <c r="IU47" s="75"/>
      <c r="IV47" s="75"/>
      <c r="IW47" s="75"/>
      <c r="IX47" s="75"/>
      <c r="IY47" s="75"/>
      <c r="IZ47" s="75"/>
      <c r="JA47" s="75"/>
      <c r="JB47" s="75"/>
      <c r="JC47" s="75"/>
      <c r="JD47" s="75"/>
      <c r="JF47" s="710"/>
      <c r="JG47" s="710"/>
      <c r="JH47" s="178">
        <f t="shared" si="1"/>
        <v>0</v>
      </c>
      <c r="JI47" s="174">
        <f t="shared" si="2"/>
        <v>0</v>
      </c>
    </row>
    <row r="48" spans="2:269" ht="15" customHeight="1" x14ac:dyDescent="0.25">
      <c r="B48" s="113">
        <v>45</v>
      </c>
      <c r="C48" s="353" t="str">
        <f t="shared" si="5"/>
        <v>Computador Industrial 19'' SSD</v>
      </c>
      <c r="D48" s="353" t="str">
        <f t="shared" si="6"/>
        <v>computador industrial (ventilação forçada, 1x SSD MLC 120GB, Intel Core i5 quad-core, 8GB DDR4)</v>
      </c>
      <c r="E48" s="174"/>
      <c r="F48" s="174"/>
      <c r="G48" s="174"/>
      <c r="H48" s="174"/>
      <c r="I48" s="174"/>
      <c r="J48" s="174"/>
      <c r="K48" s="174"/>
      <c r="L48" s="174"/>
      <c r="M48" s="174"/>
      <c r="N48" s="174"/>
      <c r="O48" s="174"/>
      <c r="P48" s="174"/>
      <c r="Q48" s="174"/>
      <c r="R48" s="174"/>
      <c r="S48" s="174"/>
      <c r="T48" s="174"/>
      <c r="U48" s="174"/>
      <c r="V48" s="174"/>
      <c r="W48" s="174"/>
      <c r="X48" s="174"/>
      <c r="Y48" s="174"/>
      <c r="Z48" s="174"/>
      <c r="AA48" s="174"/>
      <c r="AB48" s="174"/>
      <c r="AC48" s="174"/>
      <c r="AD48" s="174"/>
      <c r="AE48" s="174"/>
      <c r="AF48" s="174"/>
      <c r="AG48" s="174"/>
      <c r="AH48" s="174"/>
      <c r="AI48" s="174"/>
      <c r="AJ48" s="174"/>
      <c r="AK48" s="174"/>
      <c r="AL48" s="174"/>
      <c r="AM48" s="174"/>
      <c r="AN48" s="174"/>
      <c r="AO48" s="174"/>
      <c r="AP48" s="174"/>
      <c r="AQ48" s="174"/>
      <c r="AR48" s="174"/>
      <c r="AS48" s="174"/>
      <c r="AT48" s="174"/>
      <c r="AU48" s="174">
        <v>2</v>
      </c>
      <c r="AV48" s="174">
        <v>2</v>
      </c>
      <c r="AW48" s="174">
        <v>1</v>
      </c>
      <c r="AX48" s="174"/>
      <c r="AY48" s="174"/>
      <c r="AZ48" s="174"/>
      <c r="BA48" s="174"/>
      <c r="BB48" s="174"/>
      <c r="BC48" s="174"/>
      <c r="BD48" s="174"/>
      <c r="BE48" s="174"/>
      <c r="BF48" s="174"/>
      <c r="BG48" s="174"/>
      <c r="BH48" s="174"/>
      <c r="BI48" s="174"/>
      <c r="BJ48" s="174"/>
      <c r="BK48" s="174"/>
      <c r="BL48" s="174"/>
      <c r="BM48" s="174"/>
      <c r="BN48" s="174"/>
      <c r="BO48" s="174"/>
      <c r="BP48" s="174"/>
      <c r="BQ48" s="174"/>
      <c r="BR48" s="174"/>
      <c r="BS48" s="174"/>
      <c r="BT48" s="174"/>
      <c r="BU48" s="174"/>
      <c r="BV48" s="174"/>
      <c r="BW48" s="174"/>
      <c r="BX48" s="174"/>
      <c r="BY48" s="174"/>
      <c r="BZ48" s="174"/>
      <c r="CA48" s="174"/>
      <c r="CB48" s="174"/>
      <c r="CC48" s="174"/>
      <c r="CD48" s="174"/>
      <c r="CE48" s="174"/>
      <c r="CF48" s="174"/>
      <c r="CG48" s="174"/>
      <c r="CH48" s="174"/>
      <c r="CI48" s="174"/>
      <c r="CJ48" s="174"/>
      <c r="CK48" s="174"/>
      <c r="CL48" s="174"/>
      <c r="CM48" s="174"/>
      <c r="CN48" s="174"/>
      <c r="CO48" s="174"/>
      <c r="CP48" s="174"/>
      <c r="CQ48" s="174"/>
      <c r="CR48" s="174"/>
      <c r="CS48" s="174"/>
      <c r="CT48" s="174"/>
      <c r="CU48" s="174"/>
      <c r="CV48" s="174"/>
      <c r="CW48" s="174"/>
      <c r="CX48" s="174"/>
      <c r="CY48" s="174"/>
      <c r="CZ48" s="174"/>
      <c r="DA48" s="174"/>
      <c r="DB48" s="174"/>
      <c r="DC48" s="174"/>
      <c r="DD48" s="174"/>
      <c r="DE48" s="174"/>
      <c r="DF48" s="174"/>
      <c r="DG48" s="174"/>
      <c r="DH48" s="174"/>
      <c r="DI48" s="174"/>
      <c r="DJ48" s="174"/>
      <c r="DK48" s="174"/>
      <c r="DL48" s="174"/>
      <c r="DM48" s="174"/>
      <c r="DN48" s="174"/>
      <c r="DO48" s="174"/>
      <c r="DP48" s="174"/>
      <c r="DQ48" s="174"/>
      <c r="DR48" s="174"/>
      <c r="DS48" s="174"/>
      <c r="DT48" s="174"/>
      <c r="DU48" s="174"/>
      <c r="DV48" s="174"/>
      <c r="DW48" s="174"/>
      <c r="DX48" s="174"/>
      <c r="DY48" s="174"/>
      <c r="DZ48" s="174"/>
      <c r="EA48" s="174"/>
      <c r="EB48" s="174"/>
      <c r="EC48" s="174"/>
      <c r="ED48" s="174"/>
      <c r="EE48" s="174"/>
      <c r="EF48" s="174"/>
      <c r="EG48" s="174"/>
      <c r="EH48" s="174"/>
      <c r="EI48" s="174"/>
      <c r="EJ48" s="174"/>
      <c r="EK48" s="174"/>
      <c r="EL48" s="174"/>
      <c r="EM48" s="174"/>
      <c r="EN48" s="174"/>
      <c r="EO48" s="174"/>
      <c r="EP48" s="174"/>
      <c r="EQ48" s="174"/>
      <c r="ER48" s="174"/>
      <c r="ES48" s="174"/>
      <c r="ET48" s="174"/>
      <c r="EU48" s="174"/>
      <c r="EV48" s="174"/>
      <c r="EW48" s="174"/>
      <c r="EX48" s="174"/>
      <c r="EY48" s="174"/>
      <c r="EZ48" s="174"/>
      <c r="FA48" s="174"/>
      <c r="FB48" s="174"/>
      <c r="FC48" s="174"/>
      <c r="FD48" s="174"/>
      <c r="FE48" s="174"/>
      <c r="FF48" s="174"/>
      <c r="FG48" s="174"/>
      <c r="FH48" s="174"/>
      <c r="FI48" s="174"/>
      <c r="FJ48" s="174"/>
      <c r="FK48" s="174"/>
      <c r="FL48" s="174"/>
      <c r="FM48" s="174"/>
      <c r="FN48" s="174"/>
      <c r="FO48" s="174"/>
      <c r="FP48" s="174"/>
      <c r="FQ48" s="174"/>
      <c r="FR48" s="174"/>
      <c r="FS48" s="174"/>
      <c r="FT48" s="174"/>
      <c r="FU48" s="174"/>
      <c r="FV48" s="174"/>
      <c r="FW48" s="174"/>
      <c r="FX48" s="174"/>
      <c r="FY48" s="174"/>
      <c r="FZ48" s="174"/>
      <c r="GA48" s="174"/>
      <c r="GB48" s="174"/>
      <c r="GC48" s="174"/>
      <c r="GD48" s="174"/>
      <c r="GE48" s="174"/>
      <c r="GF48" s="174"/>
      <c r="GG48" s="174"/>
      <c r="GH48" s="174"/>
      <c r="GI48" s="174"/>
      <c r="GJ48" s="174"/>
      <c r="GK48" s="174"/>
      <c r="GL48" s="174"/>
      <c r="GM48" s="174"/>
      <c r="GN48" s="174"/>
      <c r="GO48" s="174"/>
      <c r="GP48" s="174"/>
      <c r="GQ48" s="174"/>
      <c r="GR48" s="174"/>
      <c r="GS48" s="174"/>
      <c r="GT48" s="174"/>
      <c r="GU48" s="174"/>
      <c r="GV48" s="174"/>
      <c r="GW48" s="174"/>
      <c r="GX48" s="174"/>
      <c r="GY48" s="174"/>
      <c r="GZ48" s="174"/>
      <c r="HA48" s="174"/>
      <c r="HB48" s="174"/>
      <c r="HC48" s="174"/>
      <c r="HD48" s="174"/>
      <c r="HE48" s="174"/>
      <c r="HF48" s="174"/>
      <c r="HG48" s="174"/>
      <c r="HH48" s="174"/>
      <c r="HI48" s="174"/>
      <c r="HJ48" s="174"/>
      <c r="HK48" s="174"/>
      <c r="HL48" s="174"/>
      <c r="HM48" s="174"/>
      <c r="HN48" s="174"/>
      <c r="HO48" s="174"/>
      <c r="HP48" s="174"/>
      <c r="HQ48" s="174"/>
      <c r="HR48" s="174"/>
      <c r="HS48" s="174"/>
      <c r="HT48" s="174"/>
      <c r="HU48" s="174"/>
      <c r="HV48" s="174"/>
      <c r="HW48" s="174"/>
      <c r="HX48" s="174"/>
      <c r="HY48" s="174"/>
      <c r="HZ48" s="174"/>
      <c r="IA48" s="174"/>
      <c r="IB48" s="174"/>
      <c r="IC48" s="174"/>
      <c r="ID48" s="174"/>
      <c r="IE48" s="174"/>
      <c r="IF48" s="174"/>
      <c r="IG48" s="174"/>
      <c r="IH48" s="174"/>
      <c r="II48" s="174"/>
      <c r="IJ48" s="174"/>
      <c r="IK48" s="174"/>
      <c r="IL48" s="174"/>
      <c r="IM48" s="174"/>
      <c r="IN48" s="174"/>
      <c r="IO48" s="174"/>
      <c r="IP48" s="174"/>
      <c r="IQ48" s="174"/>
      <c r="IR48" s="174"/>
      <c r="IS48" s="174"/>
      <c r="IT48" s="174"/>
      <c r="IU48" s="75"/>
      <c r="IV48" s="75"/>
      <c r="IW48" s="75"/>
      <c r="IX48" s="75"/>
      <c r="IY48" s="75"/>
      <c r="IZ48" s="75"/>
      <c r="JA48" s="75"/>
      <c r="JB48" s="75"/>
      <c r="JC48" s="75"/>
      <c r="JD48" s="75"/>
      <c r="JF48" s="710" t="s">
        <v>735</v>
      </c>
      <c r="JG48" s="710" t="s">
        <v>924</v>
      </c>
      <c r="JH48" s="178" t="e">
        <f t="shared" si="1"/>
        <v>#N/A</v>
      </c>
      <c r="JI48" s="174">
        <f t="shared" si="2"/>
        <v>0</v>
      </c>
    </row>
    <row r="49" spans="2:269" ht="15" customHeight="1" x14ac:dyDescent="0.25">
      <c r="B49" s="113">
        <v>46</v>
      </c>
      <c r="C49" s="353" t="str">
        <f t="shared" si="5"/>
        <v>Windows 7 Pro</v>
      </c>
      <c r="D49" s="353" t="str">
        <f t="shared" si="6"/>
        <v/>
      </c>
      <c r="E49" s="174"/>
      <c r="F49" s="174"/>
      <c r="G49" s="174"/>
      <c r="H49" s="174"/>
      <c r="I49" s="174"/>
      <c r="J49" s="174"/>
      <c r="K49" s="174"/>
      <c r="L49" s="174"/>
      <c r="M49" s="174"/>
      <c r="N49" s="174"/>
      <c r="O49" s="174"/>
      <c r="P49" s="174"/>
      <c r="Q49" s="174"/>
      <c r="R49" s="174"/>
      <c r="S49" s="174"/>
      <c r="T49" s="174"/>
      <c r="U49" s="174"/>
      <c r="V49" s="174"/>
      <c r="W49" s="174"/>
      <c r="X49" s="174"/>
      <c r="Y49" s="174"/>
      <c r="Z49" s="174"/>
      <c r="AA49" s="174"/>
      <c r="AB49" s="174"/>
      <c r="AC49" s="174"/>
      <c r="AD49" s="174"/>
      <c r="AE49" s="174"/>
      <c r="AF49" s="174"/>
      <c r="AG49" s="174"/>
      <c r="AH49" s="174"/>
      <c r="AI49" s="174"/>
      <c r="AJ49" s="174"/>
      <c r="AK49" s="174"/>
      <c r="AL49" s="174"/>
      <c r="AM49" s="174"/>
      <c r="AN49" s="174"/>
      <c r="AO49" s="174"/>
      <c r="AP49" s="174"/>
      <c r="AQ49" s="174"/>
      <c r="AR49" s="174"/>
      <c r="AS49" s="174"/>
      <c r="AT49" s="174"/>
      <c r="AU49" s="174"/>
      <c r="AV49" s="174">
        <v>2</v>
      </c>
      <c r="AW49" s="174">
        <v>1</v>
      </c>
      <c r="AX49" s="174"/>
      <c r="AY49" s="174"/>
      <c r="AZ49" s="174"/>
      <c r="BA49" s="174"/>
      <c r="BB49" s="174"/>
      <c r="BC49" s="174"/>
      <c r="BD49" s="174"/>
      <c r="BE49" s="174"/>
      <c r="BF49" s="174"/>
      <c r="BG49" s="174"/>
      <c r="BH49" s="174"/>
      <c r="BI49" s="174"/>
      <c r="BJ49" s="174"/>
      <c r="BK49" s="174"/>
      <c r="BL49" s="174"/>
      <c r="BM49" s="174"/>
      <c r="BN49" s="174"/>
      <c r="BO49" s="174"/>
      <c r="BP49" s="174"/>
      <c r="BQ49" s="174"/>
      <c r="BR49" s="174"/>
      <c r="BS49" s="174"/>
      <c r="BT49" s="174"/>
      <c r="BU49" s="174"/>
      <c r="BV49" s="174"/>
      <c r="BW49" s="174"/>
      <c r="BX49" s="174"/>
      <c r="BY49" s="174"/>
      <c r="BZ49" s="174"/>
      <c r="CA49" s="174"/>
      <c r="CB49" s="174"/>
      <c r="CC49" s="174"/>
      <c r="CD49" s="174"/>
      <c r="CE49" s="174"/>
      <c r="CF49" s="174"/>
      <c r="CG49" s="174"/>
      <c r="CH49" s="174"/>
      <c r="CI49" s="174"/>
      <c r="CJ49" s="174"/>
      <c r="CK49" s="174"/>
      <c r="CL49" s="174"/>
      <c r="CM49" s="174"/>
      <c r="CN49" s="174"/>
      <c r="CO49" s="174"/>
      <c r="CP49" s="174"/>
      <c r="CQ49" s="174"/>
      <c r="CR49" s="174"/>
      <c r="CS49" s="174"/>
      <c r="CT49" s="174"/>
      <c r="CU49" s="174"/>
      <c r="CV49" s="174"/>
      <c r="CW49" s="174"/>
      <c r="CX49" s="174"/>
      <c r="CY49" s="174"/>
      <c r="CZ49" s="174"/>
      <c r="DA49" s="174"/>
      <c r="DB49" s="174"/>
      <c r="DC49" s="174"/>
      <c r="DD49" s="174"/>
      <c r="DE49" s="174"/>
      <c r="DF49" s="174"/>
      <c r="DG49" s="174"/>
      <c r="DH49" s="174"/>
      <c r="DI49" s="174"/>
      <c r="DJ49" s="174"/>
      <c r="DK49" s="174"/>
      <c r="DL49" s="174"/>
      <c r="DM49" s="174"/>
      <c r="DN49" s="174"/>
      <c r="DO49" s="174"/>
      <c r="DP49" s="174"/>
      <c r="DQ49" s="174"/>
      <c r="DR49" s="174"/>
      <c r="DS49" s="174"/>
      <c r="DT49" s="174"/>
      <c r="DU49" s="174"/>
      <c r="DV49" s="174"/>
      <c r="DW49" s="174"/>
      <c r="DX49" s="174"/>
      <c r="DY49" s="174"/>
      <c r="DZ49" s="174"/>
      <c r="EA49" s="174"/>
      <c r="EB49" s="174"/>
      <c r="EC49" s="174"/>
      <c r="ED49" s="174"/>
      <c r="EE49" s="174"/>
      <c r="EF49" s="174"/>
      <c r="EG49" s="174"/>
      <c r="EH49" s="174"/>
      <c r="EI49" s="174"/>
      <c r="EJ49" s="174"/>
      <c r="EK49" s="174"/>
      <c r="EL49" s="174"/>
      <c r="EM49" s="174"/>
      <c r="EN49" s="174"/>
      <c r="EO49" s="174"/>
      <c r="EP49" s="174"/>
      <c r="EQ49" s="174"/>
      <c r="ER49" s="174"/>
      <c r="ES49" s="174"/>
      <c r="ET49" s="174"/>
      <c r="EU49" s="174"/>
      <c r="EV49" s="174"/>
      <c r="EW49" s="174"/>
      <c r="EX49" s="174"/>
      <c r="EY49" s="174"/>
      <c r="EZ49" s="174"/>
      <c r="FA49" s="174"/>
      <c r="FB49" s="174"/>
      <c r="FC49" s="174"/>
      <c r="FD49" s="174"/>
      <c r="FE49" s="174"/>
      <c r="FF49" s="174"/>
      <c r="FG49" s="174"/>
      <c r="FH49" s="174"/>
      <c r="FI49" s="174"/>
      <c r="FJ49" s="174"/>
      <c r="FK49" s="174"/>
      <c r="FL49" s="174"/>
      <c r="FM49" s="174"/>
      <c r="FN49" s="174"/>
      <c r="FO49" s="174"/>
      <c r="FP49" s="174"/>
      <c r="FQ49" s="174"/>
      <c r="FR49" s="174"/>
      <c r="FS49" s="174"/>
      <c r="FT49" s="174"/>
      <c r="FU49" s="174"/>
      <c r="FV49" s="174"/>
      <c r="FW49" s="174"/>
      <c r="FX49" s="174"/>
      <c r="FY49" s="174"/>
      <c r="FZ49" s="174"/>
      <c r="GA49" s="174"/>
      <c r="GB49" s="174"/>
      <c r="GC49" s="174"/>
      <c r="GD49" s="174"/>
      <c r="GE49" s="174"/>
      <c r="GF49" s="174"/>
      <c r="GG49" s="174"/>
      <c r="GH49" s="174"/>
      <c r="GI49" s="174"/>
      <c r="GJ49" s="174"/>
      <c r="GK49" s="174"/>
      <c r="GL49" s="174"/>
      <c r="GM49" s="174"/>
      <c r="GN49" s="174"/>
      <c r="GO49" s="174"/>
      <c r="GP49" s="174"/>
      <c r="GQ49" s="174"/>
      <c r="GR49" s="174"/>
      <c r="GS49" s="174"/>
      <c r="GT49" s="174"/>
      <c r="GU49" s="174"/>
      <c r="GV49" s="174"/>
      <c r="GW49" s="174"/>
      <c r="GX49" s="174"/>
      <c r="GY49" s="174"/>
      <c r="GZ49" s="174"/>
      <c r="HA49" s="174"/>
      <c r="HB49" s="174"/>
      <c r="HC49" s="174"/>
      <c r="HD49" s="174"/>
      <c r="HE49" s="174"/>
      <c r="HF49" s="174"/>
      <c r="HG49" s="174"/>
      <c r="HH49" s="174"/>
      <c r="HI49" s="174"/>
      <c r="HJ49" s="174"/>
      <c r="HK49" s="174"/>
      <c r="HL49" s="174"/>
      <c r="HM49" s="174"/>
      <c r="HN49" s="174"/>
      <c r="HO49" s="174"/>
      <c r="HP49" s="174"/>
      <c r="HQ49" s="174"/>
      <c r="HR49" s="174"/>
      <c r="HS49" s="174"/>
      <c r="HT49" s="174"/>
      <c r="HU49" s="174"/>
      <c r="HV49" s="174"/>
      <c r="HW49" s="174"/>
      <c r="HX49" s="174"/>
      <c r="HY49" s="174"/>
      <c r="HZ49" s="174"/>
      <c r="IA49" s="174"/>
      <c r="IB49" s="174"/>
      <c r="IC49" s="174"/>
      <c r="ID49" s="174"/>
      <c r="IE49" s="174"/>
      <c r="IF49" s="174"/>
      <c r="IG49" s="174"/>
      <c r="IH49" s="174"/>
      <c r="II49" s="174"/>
      <c r="IJ49" s="174"/>
      <c r="IK49" s="174"/>
      <c r="IL49" s="174"/>
      <c r="IM49" s="174"/>
      <c r="IN49" s="174"/>
      <c r="IO49" s="174"/>
      <c r="IP49" s="174"/>
      <c r="IQ49" s="174"/>
      <c r="IR49" s="174"/>
      <c r="IS49" s="174"/>
      <c r="IT49" s="174"/>
      <c r="IU49" s="75"/>
      <c r="IV49" s="75"/>
      <c r="IW49" s="75"/>
      <c r="IX49" s="75"/>
      <c r="IY49" s="75"/>
      <c r="IZ49" s="75"/>
      <c r="JA49" s="75"/>
      <c r="JB49" s="75"/>
      <c r="JC49" s="75"/>
      <c r="JD49" s="75"/>
      <c r="JF49" s="710" t="s">
        <v>739</v>
      </c>
      <c r="JG49" s="710"/>
      <c r="JH49" s="178" t="e">
        <f t="shared" si="1"/>
        <v>#N/A</v>
      </c>
      <c r="JI49" s="174">
        <f t="shared" si="2"/>
        <v>0</v>
      </c>
    </row>
    <row r="50" spans="2:269" ht="15" customHeight="1" x14ac:dyDescent="0.25">
      <c r="B50" s="113">
        <v>47</v>
      </c>
      <c r="C50" s="353" t="str">
        <f t="shared" si="5"/>
        <v>Monitor 21''</v>
      </c>
      <c r="D50" s="353" t="str">
        <f t="shared" si="6"/>
        <v>monitor 21.5''</v>
      </c>
      <c r="E50" s="174"/>
      <c r="F50" s="174"/>
      <c r="G50" s="174"/>
      <c r="H50" s="174"/>
      <c r="I50" s="174"/>
      <c r="J50" s="174"/>
      <c r="K50" s="174"/>
      <c r="L50" s="174"/>
      <c r="M50" s="174"/>
      <c r="N50" s="174"/>
      <c r="O50" s="174"/>
      <c r="P50" s="174"/>
      <c r="Q50" s="174"/>
      <c r="R50" s="174"/>
      <c r="S50" s="174"/>
      <c r="T50" s="174"/>
      <c r="U50" s="174"/>
      <c r="V50" s="174"/>
      <c r="W50" s="174"/>
      <c r="X50" s="174"/>
      <c r="Y50" s="174"/>
      <c r="Z50" s="174"/>
      <c r="AA50" s="174"/>
      <c r="AB50" s="174"/>
      <c r="AC50" s="174"/>
      <c r="AD50" s="174"/>
      <c r="AE50" s="174"/>
      <c r="AF50" s="174"/>
      <c r="AG50" s="174"/>
      <c r="AH50" s="174"/>
      <c r="AI50" s="174"/>
      <c r="AJ50" s="174"/>
      <c r="AK50" s="174"/>
      <c r="AL50" s="174"/>
      <c r="AM50" s="174"/>
      <c r="AN50" s="174"/>
      <c r="AO50" s="174"/>
      <c r="AP50" s="174"/>
      <c r="AQ50" s="174"/>
      <c r="AR50" s="174"/>
      <c r="AS50" s="174"/>
      <c r="AT50" s="174"/>
      <c r="AU50" s="174">
        <v>2</v>
      </c>
      <c r="AV50" s="174">
        <v>2</v>
      </c>
      <c r="AW50" s="174">
        <v>1</v>
      </c>
      <c r="AX50" s="174"/>
      <c r="AY50" s="174"/>
      <c r="AZ50" s="174"/>
      <c r="BA50" s="174"/>
      <c r="BB50" s="174"/>
      <c r="BC50" s="174"/>
      <c r="BD50" s="174"/>
      <c r="BE50" s="174"/>
      <c r="BF50" s="174"/>
      <c r="BG50" s="174"/>
      <c r="BH50" s="174"/>
      <c r="BI50" s="174"/>
      <c r="BJ50" s="174"/>
      <c r="BK50" s="174"/>
      <c r="BL50" s="174"/>
      <c r="BM50" s="174"/>
      <c r="BN50" s="174"/>
      <c r="BO50" s="174"/>
      <c r="BP50" s="174"/>
      <c r="BQ50" s="174"/>
      <c r="BR50" s="174"/>
      <c r="BS50" s="174"/>
      <c r="BT50" s="174"/>
      <c r="BU50" s="174"/>
      <c r="BV50" s="174"/>
      <c r="BW50" s="174"/>
      <c r="BX50" s="174"/>
      <c r="BY50" s="174"/>
      <c r="BZ50" s="174"/>
      <c r="CA50" s="174"/>
      <c r="CB50" s="174"/>
      <c r="CC50" s="174"/>
      <c r="CD50" s="174"/>
      <c r="CE50" s="174"/>
      <c r="CF50" s="174"/>
      <c r="CG50" s="174"/>
      <c r="CH50" s="174"/>
      <c r="CI50" s="174"/>
      <c r="CJ50" s="174"/>
      <c r="CK50" s="174"/>
      <c r="CL50" s="174"/>
      <c r="CM50" s="174"/>
      <c r="CN50" s="174"/>
      <c r="CO50" s="174"/>
      <c r="CP50" s="174"/>
      <c r="CQ50" s="174"/>
      <c r="CR50" s="174"/>
      <c r="CS50" s="174"/>
      <c r="CT50" s="174"/>
      <c r="CU50" s="174"/>
      <c r="CV50" s="174"/>
      <c r="CW50" s="174"/>
      <c r="CX50" s="174"/>
      <c r="CY50" s="174"/>
      <c r="CZ50" s="174"/>
      <c r="DA50" s="174"/>
      <c r="DB50" s="174"/>
      <c r="DC50" s="174"/>
      <c r="DD50" s="174"/>
      <c r="DE50" s="174"/>
      <c r="DF50" s="174"/>
      <c r="DG50" s="174"/>
      <c r="DH50" s="174"/>
      <c r="DI50" s="174"/>
      <c r="DJ50" s="174"/>
      <c r="DK50" s="174"/>
      <c r="DL50" s="174"/>
      <c r="DM50" s="174"/>
      <c r="DN50" s="174"/>
      <c r="DO50" s="174"/>
      <c r="DP50" s="174"/>
      <c r="DQ50" s="174"/>
      <c r="DR50" s="174"/>
      <c r="DS50" s="174"/>
      <c r="DT50" s="174"/>
      <c r="DU50" s="174"/>
      <c r="DV50" s="174"/>
      <c r="DW50" s="174"/>
      <c r="DX50" s="174"/>
      <c r="DY50" s="174"/>
      <c r="DZ50" s="174"/>
      <c r="EA50" s="174"/>
      <c r="EB50" s="174"/>
      <c r="EC50" s="174"/>
      <c r="ED50" s="174"/>
      <c r="EE50" s="174"/>
      <c r="EF50" s="174"/>
      <c r="EG50" s="174"/>
      <c r="EH50" s="174"/>
      <c r="EI50" s="174"/>
      <c r="EJ50" s="174"/>
      <c r="EK50" s="174"/>
      <c r="EL50" s="174"/>
      <c r="EM50" s="174"/>
      <c r="EN50" s="174"/>
      <c r="EO50" s="174"/>
      <c r="EP50" s="174"/>
      <c r="EQ50" s="174"/>
      <c r="ER50" s="174"/>
      <c r="ES50" s="174"/>
      <c r="ET50" s="174"/>
      <c r="EU50" s="174"/>
      <c r="EV50" s="174"/>
      <c r="EW50" s="174"/>
      <c r="EX50" s="174"/>
      <c r="EY50" s="174"/>
      <c r="EZ50" s="174"/>
      <c r="FA50" s="174"/>
      <c r="FB50" s="174"/>
      <c r="FC50" s="174"/>
      <c r="FD50" s="174"/>
      <c r="FE50" s="174"/>
      <c r="FF50" s="174"/>
      <c r="FG50" s="174"/>
      <c r="FH50" s="174"/>
      <c r="FI50" s="174"/>
      <c r="FJ50" s="174"/>
      <c r="FK50" s="174"/>
      <c r="FL50" s="174"/>
      <c r="FM50" s="174"/>
      <c r="FN50" s="174"/>
      <c r="FO50" s="174"/>
      <c r="FP50" s="174"/>
      <c r="FQ50" s="174"/>
      <c r="FR50" s="174"/>
      <c r="FS50" s="174"/>
      <c r="FT50" s="174"/>
      <c r="FU50" s="174"/>
      <c r="FV50" s="174"/>
      <c r="FW50" s="174"/>
      <c r="FX50" s="174"/>
      <c r="FY50" s="174"/>
      <c r="FZ50" s="174"/>
      <c r="GA50" s="174"/>
      <c r="GB50" s="174"/>
      <c r="GC50" s="174"/>
      <c r="GD50" s="174"/>
      <c r="GE50" s="174"/>
      <c r="GF50" s="174"/>
      <c r="GG50" s="174"/>
      <c r="GH50" s="174"/>
      <c r="GI50" s="174"/>
      <c r="GJ50" s="174"/>
      <c r="GK50" s="174"/>
      <c r="GL50" s="174"/>
      <c r="GM50" s="174"/>
      <c r="GN50" s="174"/>
      <c r="GO50" s="174"/>
      <c r="GP50" s="174"/>
      <c r="GQ50" s="174"/>
      <c r="GR50" s="174"/>
      <c r="GS50" s="174"/>
      <c r="GT50" s="174"/>
      <c r="GU50" s="174"/>
      <c r="GV50" s="174"/>
      <c r="GW50" s="174"/>
      <c r="GX50" s="174"/>
      <c r="GY50" s="174"/>
      <c r="GZ50" s="174"/>
      <c r="HA50" s="174"/>
      <c r="HB50" s="174"/>
      <c r="HC50" s="174"/>
      <c r="HD50" s="174"/>
      <c r="HE50" s="174"/>
      <c r="HF50" s="174"/>
      <c r="HG50" s="174"/>
      <c r="HH50" s="174"/>
      <c r="HI50" s="174"/>
      <c r="HJ50" s="174"/>
      <c r="HK50" s="174"/>
      <c r="HL50" s="174"/>
      <c r="HM50" s="174"/>
      <c r="HN50" s="174"/>
      <c r="HO50" s="174"/>
      <c r="HP50" s="174"/>
      <c r="HQ50" s="174"/>
      <c r="HR50" s="174"/>
      <c r="HS50" s="174"/>
      <c r="HT50" s="174"/>
      <c r="HU50" s="174"/>
      <c r="HV50" s="174"/>
      <c r="HW50" s="174"/>
      <c r="HX50" s="174"/>
      <c r="HY50" s="174"/>
      <c r="HZ50" s="174"/>
      <c r="IA50" s="174"/>
      <c r="IB50" s="174"/>
      <c r="IC50" s="174"/>
      <c r="ID50" s="174"/>
      <c r="IE50" s="174"/>
      <c r="IF50" s="174"/>
      <c r="IG50" s="174"/>
      <c r="IH50" s="174"/>
      <c r="II50" s="174"/>
      <c r="IJ50" s="174"/>
      <c r="IK50" s="174"/>
      <c r="IL50" s="174"/>
      <c r="IM50" s="174"/>
      <c r="IN50" s="174"/>
      <c r="IO50" s="174"/>
      <c r="IP50" s="174"/>
      <c r="IQ50" s="174"/>
      <c r="IR50" s="174"/>
      <c r="IS50" s="174"/>
      <c r="IT50" s="174"/>
      <c r="IU50" s="75"/>
      <c r="IV50" s="75"/>
      <c r="IW50" s="75"/>
      <c r="IX50" s="75"/>
      <c r="IY50" s="75"/>
      <c r="IZ50" s="75"/>
      <c r="JA50" s="75"/>
      <c r="JB50" s="75"/>
      <c r="JC50" s="75"/>
      <c r="JD50" s="75"/>
      <c r="JF50" s="710" t="s">
        <v>736</v>
      </c>
      <c r="JG50" s="710" t="s">
        <v>925</v>
      </c>
      <c r="JH50" s="178">
        <f t="shared" si="1"/>
        <v>862.52400000000023</v>
      </c>
      <c r="JI50" s="174">
        <f t="shared" si="2"/>
        <v>0</v>
      </c>
    </row>
    <row r="51" spans="2:269" ht="15" customHeight="1" x14ac:dyDescent="0.25">
      <c r="B51" s="113">
        <v>48</v>
      </c>
      <c r="C51" s="353" t="str">
        <f t="shared" si="5"/>
        <v>Trendnet TK-409K</v>
      </c>
      <c r="D51" s="353" t="str">
        <f t="shared" si="6"/>
        <v>KVM</v>
      </c>
      <c r="E51" s="174"/>
      <c r="F51" s="174"/>
      <c r="G51" s="174"/>
      <c r="H51" s="174"/>
      <c r="I51" s="174"/>
      <c r="J51" s="174"/>
      <c r="K51" s="174"/>
      <c r="L51" s="174"/>
      <c r="M51" s="174"/>
      <c r="N51" s="174"/>
      <c r="O51" s="174"/>
      <c r="P51" s="174"/>
      <c r="Q51" s="174"/>
      <c r="R51" s="174"/>
      <c r="S51" s="174"/>
      <c r="T51" s="174"/>
      <c r="U51" s="174"/>
      <c r="V51" s="174"/>
      <c r="W51" s="174"/>
      <c r="X51" s="174"/>
      <c r="Y51" s="174"/>
      <c r="Z51" s="174"/>
      <c r="AA51" s="174"/>
      <c r="AB51" s="174"/>
      <c r="AC51" s="174"/>
      <c r="AD51" s="174"/>
      <c r="AE51" s="174"/>
      <c r="AF51" s="174"/>
      <c r="AG51" s="174"/>
      <c r="AH51" s="174"/>
      <c r="AI51" s="174"/>
      <c r="AJ51" s="174"/>
      <c r="AK51" s="174"/>
      <c r="AL51" s="174"/>
      <c r="AM51" s="174"/>
      <c r="AN51" s="174"/>
      <c r="AO51" s="174"/>
      <c r="AP51" s="174"/>
      <c r="AQ51" s="174"/>
      <c r="AR51" s="174"/>
      <c r="AS51" s="174"/>
      <c r="AT51" s="174"/>
      <c r="AU51" s="174">
        <v>1</v>
      </c>
      <c r="AV51" s="174">
        <v>1</v>
      </c>
      <c r="AW51" s="174"/>
      <c r="AX51" s="174"/>
      <c r="AY51" s="174"/>
      <c r="AZ51" s="174"/>
      <c r="BA51" s="174"/>
      <c r="BB51" s="174"/>
      <c r="BC51" s="174"/>
      <c r="BD51" s="174"/>
      <c r="BE51" s="174"/>
      <c r="BF51" s="174"/>
      <c r="BG51" s="174"/>
      <c r="BH51" s="174"/>
      <c r="BI51" s="174"/>
      <c r="BJ51" s="174"/>
      <c r="BK51" s="174"/>
      <c r="BL51" s="174"/>
      <c r="BM51" s="174"/>
      <c r="BN51" s="174"/>
      <c r="BO51" s="174"/>
      <c r="BP51" s="174"/>
      <c r="BQ51" s="174"/>
      <c r="BR51" s="174"/>
      <c r="BS51" s="174"/>
      <c r="BT51" s="174"/>
      <c r="BU51" s="174"/>
      <c r="BV51" s="174"/>
      <c r="BW51" s="174"/>
      <c r="BX51" s="174"/>
      <c r="BY51" s="174"/>
      <c r="BZ51" s="174"/>
      <c r="CA51" s="174"/>
      <c r="CB51" s="174"/>
      <c r="CC51" s="174"/>
      <c r="CD51" s="174"/>
      <c r="CE51" s="174"/>
      <c r="CF51" s="174"/>
      <c r="CG51" s="174"/>
      <c r="CH51" s="174"/>
      <c r="CI51" s="174"/>
      <c r="CJ51" s="174"/>
      <c r="CK51" s="174"/>
      <c r="CL51" s="174"/>
      <c r="CM51" s="174"/>
      <c r="CN51" s="174"/>
      <c r="CO51" s="174"/>
      <c r="CP51" s="174"/>
      <c r="CQ51" s="174"/>
      <c r="CR51" s="174"/>
      <c r="CS51" s="174"/>
      <c r="CT51" s="174"/>
      <c r="CU51" s="174"/>
      <c r="CV51" s="174"/>
      <c r="CW51" s="174"/>
      <c r="CX51" s="174"/>
      <c r="CY51" s="174"/>
      <c r="CZ51" s="174"/>
      <c r="DA51" s="174"/>
      <c r="DB51" s="174"/>
      <c r="DC51" s="174"/>
      <c r="DD51" s="174"/>
      <c r="DE51" s="174"/>
      <c r="DF51" s="174"/>
      <c r="DG51" s="174"/>
      <c r="DH51" s="174"/>
      <c r="DI51" s="174"/>
      <c r="DJ51" s="174"/>
      <c r="DK51" s="174"/>
      <c r="DL51" s="174"/>
      <c r="DM51" s="174"/>
      <c r="DN51" s="174"/>
      <c r="DO51" s="174"/>
      <c r="DP51" s="174"/>
      <c r="DQ51" s="174"/>
      <c r="DR51" s="174"/>
      <c r="DS51" s="174"/>
      <c r="DT51" s="174"/>
      <c r="DU51" s="174"/>
      <c r="DV51" s="174"/>
      <c r="DW51" s="174"/>
      <c r="DX51" s="174"/>
      <c r="DY51" s="174"/>
      <c r="DZ51" s="174"/>
      <c r="EA51" s="174"/>
      <c r="EB51" s="174"/>
      <c r="EC51" s="174"/>
      <c r="ED51" s="174"/>
      <c r="EE51" s="174"/>
      <c r="EF51" s="174"/>
      <c r="EG51" s="174"/>
      <c r="EH51" s="174"/>
      <c r="EI51" s="174"/>
      <c r="EJ51" s="174"/>
      <c r="EK51" s="174"/>
      <c r="EL51" s="174"/>
      <c r="EM51" s="174"/>
      <c r="EN51" s="174"/>
      <c r="EO51" s="174"/>
      <c r="EP51" s="174"/>
      <c r="EQ51" s="174"/>
      <c r="ER51" s="174"/>
      <c r="ES51" s="174"/>
      <c r="ET51" s="174"/>
      <c r="EU51" s="174"/>
      <c r="EV51" s="174"/>
      <c r="EW51" s="174"/>
      <c r="EX51" s="174"/>
      <c r="EY51" s="174"/>
      <c r="EZ51" s="174"/>
      <c r="FA51" s="174"/>
      <c r="FB51" s="174"/>
      <c r="FC51" s="174"/>
      <c r="FD51" s="174"/>
      <c r="FE51" s="174"/>
      <c r="FF51" s="174"/>
      <c r="FG51" s="174"/>
      <c r="FH51" s="174"/>
      <c r="FI51" s="174"/>
      <c r="FJ51" s="174"/>
      <c r="FK51" s="174"/>
      <c r="FL51" s="174"/>
      <c r="FM51" s="174"/>
      <c r="FN51" s="174"/>
      <c r="FO51" s="174"/>
      <c r="FP51" s="174"/>
      <c r="FQ51" s="174"/>
      <c r="FR51" s="174"/>
      <c r="FS51" s="174"/>
      <c r="FT51" s="174"/>
      <c r="FU51" s="174"/>
      <c r="FV51" s="174"/>
      <c r="FW51" s="174"/>
      <c r="FX51" s="174"/>
      <c r="FY51" s="174"/>
      <c r="FZ51" s="174"/>
      <c r="GA51" s="174"/>
      <c r="GB51" s="174"/>
      <c r="GC51" s="174"/>
      <c r="GD51" s="174"/>
      <c r="GE51" s="174"/>
      <c r="GF51" s="174"/>
      <c r="GG51" s="174"/>
      <c r="GH51" s="174"/>
      <c r="GI51" s="174"/>
      <c r="GJ51" s="174"/>
      <c r="GK51" s="174"/>
      <c r="GL51" s="174"/>
      <c r="GM51" s="174"/>
      <c r="GN51" s="174"/>
      <c r="GO51" s="174"/>
      <c r="GP51" s="174"/>
      <c r="GQ51" s="174"/>
      <c r="GR51" s="174"/>
      <c r="GS51" s="174"/>
      <c r="GT51" s="174"/>
      <c r="GU51" s="174"/>
      <c r="GV51" s="174"/>
      <c r="GW51" s="174"/>
      <c r="GX51" s="174"/>
      <c r="GY51" s="174"/>
      <c r="GZ51" s="174"/>
      <c r="HA51" s="174"/>
      <c r="HB51" s="174"/>
      <c r="HC51" s="174"/>
      <c r="HD51" s="174"/>
      <c r="HE51" s="174"/>
      <c r="HF51" s="174"/>
      <c r="HG51" s="174"/>
      <c r="HH51" s="174"/>
      <c r="HI51" s="174"/>
      <c r="HJ51" s="174"/>
      <c r="HK51" s="174"/>
      <c r="HL51" s="174"/>
      <c r="HM51" s="174"/>
      <c r="HN51" s="174"/>
      <c r="HO51" s="174"/>
      <c r="HP51" s="174"/>
      <c r="HQ51" s="174"/>
      <c r="HR51" s="174"/>
      <c r="HS51" s="174"/>
      <c r="HT51" s="174"/>
      <c r="HU51" s="174"/>
      <c r="HV51" s="174"/>
      <c r="HW51" s="174"/>
      <c r="HX51" s="174"/>
      <c r="HY51" s="174"/>
      <c r="HZ51" s="174"/>
      <c r="IA51" s="174"/>
      <c r="IB51" s="174"/>
      <c r="IC51" s="174"/>
      <c r="ID51" s="174"/>
      <c r="IE51" s="174"/>
      <c r="IF51" s="174"/>
      <c r="IG51" s="174"/>
      <c r="IH51" s="174"/>
      <c r="II51" s="174"/>
      <c r="IJ51" s="174"/>
      <c r="IK51" s="174"/>
      <c r="IL51" s="174"/>
      <c r="IM51" s="174"/>
      <c r="IN51" s="174"/>
      <c r="IO51" s="174"/>
      <c r="IP51" s="174"/>
      <c r="IQ51" s="174"/>
      <c r="IR51" s="174"/>
      <c r="IS51" s="174"/>
      <c r="IT51" s="174"/>
      <c r="IU51" s="75"/>
      <c r="IV51" s="75"/>
      <c r="IW51" s="75"/>
      <c r="IX51" s="75"/>
      <c r="IY51" s="75"/>
      <c r="IZ51" s="75"/>
      <c r="JA51" s="75"/>
      <c r="JB51" s="75"/>
      <c r="JC51" s="75"/>
      <c r="JD51" s="75"/>
      <c r="JF51" s="710" t="s">
        <v>743</v>
      </c>
      <c r="JG51" s="710" t="s">
        <v>926</v>
      </c>
      <c r="JH51" s="178">
        <f t="shared" si="1"/>
        <v>1042.2165000000002</v>
      </c>
      <c r="JI51" s="174">
        <f t="shared" si="2"/>
        <v>0</v>
      </c>
    </row>
    <row r="52" spans="2:269" ht="15" customHeight="1" x14ac:dyDescent="0.25">
      <c r="B52" s="113">
        <v>49</v>
      </c>
      <c r="C52" s="353" t="str">
        <f t="shared" si="5"/>
        <v>D-Link DGS-1016D</v>
      </c>
      <c r="D52" s="353" t="str">
        <f t="shared" si="6"/>
        <v>switch não gerenciável</v>
      </c>
      <c r="E52" s="174"/>
      <c r="F52" s="174"/>
      <c r="G52" s="174"/>
      <c r="H52" s="174"/>
      <c r="I52" s="174"/>
      <c r="J52" s="174"/>
      <c r="K52" s="174"/>
      <c r="L52" s="174"/>
      <c r="M52" s="174"/>
      <c r="N52" s="174"/>
      <c r="O52" s="174"/>
      <c r="P52" s="174"/>
      <c r="Q52" s="174"/>
      <c r="R52" s="174"/>
      <c r="S52" s="174"/>
      <c r="T52" s="174"/>
      <c r="U52" s="174"/>
      <c r="V52" s="174"/>
      <c r="W52" s="174"/>
      <c r="X52" s="174"/>
      <c r="Y52" s="174"/>
      <c r="Z52" s="174"/>
      <c r="AA52" s="174"/>
      <c r="AB52" s="174"/>
      <c r="AC52" s="174"/>
      <c r="AD52" s="174"/>
      <c r="AE52" s="174"/>
      <c r="AF52" s="174"/>
      <c r="AG52" s="174"/>
      <c r="AH52" s="174"/>
      <c r="AI52" s="174"/>
      <c r="AJ52" s="174"/>
      <c r="AK52" s="174"/>
      <c r="AL52" s="174"/>
      <c r="AM52" s="174"/>
      <c r="AN52" s="174"/>
      <c r="AO52" s="174"/>
      <c r="AP52" s="174"/>
      <c r="AQ52" s="174"/>
      <c r="AR52" s="174"/>
      <c r="AS52" s="174"/>
      <c r="AT52" s="174"/>
      <c r="AU52" s="174"/>
      <c r="AV52" s="174"/>
      <c r="AW52" s="174"/>
      <c r="AX52" s="174"/>
      <c r="AY52" s="174"/>
      <c r="AZ52" s="174">
        <v>1</v>
      </c>
      <c r="BA52" s="174">
        <v>1</v>
      </c>
      <c r="BB52" s="174">
        <v>1</v>
      </c>
      <c r="BC52" s="174">
        <v>1</v>
      </c>
      <c r="BD52" s="174"/>
      <c r="BE52" s="174"/>
      <c r="BF52" s="174"/>
      <c r="BG52" s="174"/>
      <c r="BH52" s="174"/>
      <c r="BI52" s="174"/>
      <c r="BJ52" s="174"/>
      <c r="BK52" s="174"/>
      <c r="BL52" s="174"/>
      <c r="BM52" s="174"/>
      <c r="BN52" s="174"/>
      <c r="BO52" s="174"/>
      <c r="BP52" s="174"/>
      <c r="BQ52" s="174"/>
      <c r="BR52" s="174"/>
      <c r="BS52" s="174"/>
      <c r="BT52" s="174"/>
      <c r="BU52" s="174"/>
      <c r="BV52" s="174"/>
      <c r="BW52" s="174"/>
      <c r="BX52" s="174"/>
      <c r="BY52" s="174"/>
      <c r="BZ52" s="174"/>
      <c r="CA52" s="174"/>
      <c r="CB52" s="174"/>
      <c r="CC52" s="174"/>
      <c r="CD52" s="174"/>
      <c r="CE52" s="174"/>
      <c r="CF52" s="174"/>
      <c r="CG52" s="174"/>
      <c r="CH52" s="174"/>
      <c r="CI52" s="174"/>
      <c r="CJ52" s="174"/>
      <c r="CK52" s="174"/>
      <c r="CL52" s="174"/>
      <c r="CM52" s="174"/>
      <c r="CN52" s="174"/>
      <c r="CO52" s="174"/>
      <c r="CP52" s="174"/>
      <c r="CQ52" s="174"/>
      <c r="CR52" s="174"/>
      <c r="CS52" s="174"/>
      <c r="CT52" s="174"/>
      <c r="CU52" s="174"/>
      <c r="CV52" s="174"/>
      <c r="CW52" s="174"/>
      <c r="CX52" s="174"/>
      <c r="CY52" s="174"/>
      <c r="CZ52" s="174"/>
      <c r="DA52" s="174"/>
      <c r="DB52" s="174"/>
      <c r="DC52" s="174"/>
      <c r="DD52" s="174"/>
      <c r="DE52" s="174"/>
      <c r="DF52" s="174"/>
      <c r="DG52" s="174"/>
      <c r="DH52" s="174"/>
      <c r="DI52" s="174"/>
      <c r="DJ52" s="174"/>
      <c r="DK52" s="174"/>
      <c r="DL52" s="174"/>
      <c r="DM52" s="174"/>
      <c r="DN52" s="174"/>
      <c r="DO52" s="174"/>
      <c r="DP52" s="174"/>
      <c r="DQ52" s="174"/>
      <c r="DR52" s="174"/>
      <c r="DS52" s="174"/>
      <c r="DT52" s="174"/>
      <c r="DU52" s="174"/>
      <c r="DV52" s="174"/>
      <c r="DW52" s="174"/>
      <c r="DX52" s="174"/>
      <c r="DY52" s="174"/>
      <c r="DZ52" s="174"/>
      <c r="EA52" s="174"/>
      <c r="EB52" s="174"/>
      <c r="EC52" s="174"/>
      <c r="ED52" s="174"/>
      <c r="EE52" s="174"/>
      <c r="EF52" s="174"/>
      <c r="EG52" s="174"/>
      <c r="EH52" s="174"/>
      <c r="EI52" s="174"/>
      <c r="EJ52" s="174"/>
      <c r="EK52" s="174"/>
      <c r="EL52" s="174"/>
      <c r="EM52" s="174"/>
      <c r="EN52" s="174"/>
      <c r="EO52" s="174"/>
      <c r="EP52" s="174"/>
      <c r="EQ52" s="174"/>
      <c r="ER52" s="174"/>
      <c r="ES52" s="174"/>
      <c r="ET52" s="174"/>
      <c r="EU52" s="174"/>
      <c r="EV52" s="174"/>
      <c r="EW52" s="174"/>
      <c r="EX52" s="174"/>
      <c r="EY52" s="174"/>
      <c r="EZ52" s="174"/>
      <c r="FA52" s="174"/>
      <c r="FB52" s="174"/>
      <c r="FC52" s="174"/>
      <c r="FD52" s="174"/>
      <c r="FE52" s="174"/>
      <c r="FF52" s="174"/>
      <c r="FG52" s="174"/>
      <c r="FH52" s="174"/>
      <c r="FI52" s="174"/>
      <c r="FJ52" s="174"/>
      <c r="FK52" s="174"/>
      <c r="FL52" s="174"/>
      <c r="FM52" s="174"/>
      <c r="FN52" s="174"/>
      <c r="FO52" s="174"/>
      <c r="FP52" s="174"/>
      <c r="FQ52" s="174"/>
      <c r="FR52" s="174"/>
      <c r="FS52" s="174"/>
      <c r="FT52" s="174"/>
      <c r="FU52" s="174"/>
      <c r="FV52" s="174"/>
      <c r="FW52" s="174"/>
      <c r="FX52" s="174"/>
      <c r="FY52" s="174"/>
      <c r="FZ52" s="174"/>
      <c r="GA52" s="174"/>
      <c r="GB52" s="174"/>
      <c r="GC52" s="174"/>
      <c r="GD52" s="174"/>
      <c r="GE52" s="174"/>
      <c r="GF52" s="174"/>
      <c r="GG52" s="174"/>
      <c r="GH52" s="174"/>
      <c r="GI52" s="174"/>
      <c r="GJ52" s="174"/>
      <c r="GK52" s="174"/>
      <c r="GL52" s="174"/>
      <c r="GM52" s="174"/>
      <c r="GN52" s="174"/>
      <c r="GO52" s="174"/>
      <c r="GP52" s="174"/>
      <c r="GQ52" s="174"/>
      <c r="GR52" s="174"/>
      <c r="GS52" s="174"/>
      <c r="GT52" s="174"/>
      <c r="GU52" s="174"/>
      <c r="GV52" s="174"/>
      <c r="GW52" s="174"/>
      <c r="GX52" s="174"/>
      <c r="GY52" s="174"/>
      <c r="GZ52" s="174"/>
      <c r="HA52" s="174"/>
      <c r="HB52" s="174"/>
      <c r="HC52" s="174"/>
      <c r="HD52" s="174"/>
      <c r="HE52" s="174"/>
      <c r="HF52" s="174"/>
      <c r="HG52" s="174"/>
      <c r="HH52" s="174"/>
      <c r="HI52" s="174"/>
      <c r="HJ52" s="174"/>
      <c r="HK52" s="174"/>
      <c r="HL52" s="174"/>
      <c r="HM52" s="174"/>
      <c r="HN52" s="174"/>
      <c r="HO52" s="174"/>
      <c r="HP52" s="174"/>
      <c r="HQ52" s="174"/>
      <c r="HR52" s="174"/>
      <c r="HS52" s="174"/>
      <c r="HT52" s="174"/>
      <c r="HU52" s="174"/>
      <c r="HV52" s="174"/>
      <c r="HW52" s="174"/>
      <c r="HX52" s="174"/>
      <c r="HY52" s="174"/>
      <c r="HZ52" s="174"/>
      <c r="IA52" s="174"/>
      <c r="IB52" s="174"/>
      <c r="IC52" s="174"/>
      <c r="ID52" s="174"/>
      <c r="IE52" s="174"/>
      <c r="IF52" s="174"/>
      <c r="IG52" s="174"/>
      <c r="IH52" s="174"/>
      <c r="II52" s="174"/>
      <c r="IJ52" s="174"/>
      <c r="IK52" s="174"/>
      <c r="IL52" s="174"/>
      <c r="IM52" s="174"/>
      <c r="IN52" s="174"/>
      <c r="IO52" s="174"/>
      <c r="IP52" s="174"/>
      <c r="IQ52" s="174"/>
      <c r="IR52" s="174"/>
      <c r="IS52" s="174"/>
      <c r="IT52" s="174"/>
      <c r="IU52" s="75"/>
      <c r="IV52" s="75"/>
      <c r="IW52" s="75"/>
      <c r="IX52" s="75"/>
      <c r="IY52" s="75"/>
      <c r="IZ52" s="75"/>
      <c r="JA52" s="75"/>
      <c r="JB52" s="75"/>
      <c r="JC52" s="75"/>
      <c r="JD52" s="75"/>
      <c r="JF52" s="710" t="s">
        <v>745</v>
      </c>
      <c r="JG52" s="710" t="s">
        <v>927</v>
      </c>
      <c r="JH52" s="178" t="e">
        <f t="shared" si="1"/>
        <v>#N/A</v>
      </c>
      <c r="JI52" s="174">
        <f t="shared" si="2"/>
        <v>0</v>
      </c>
    </row>
    <row r="53" spans="2:269" ht="15" customHeight="1" x14ac:dyDescent="0.25">
      <c r="B53" s="113">
        <v>50</v>
      </c>
      <c r="C53" s="353" t="str">
        <f t="shared" si="5"/>
        <v>TL-ER6120</v>
      </c>
      <c r="D53" s="353" t="str">
        <f t="shared" si="6"/>
        <v>roteador</v>
      </c>
      <c r="E53" s="174"/>
      <c r="F53" s="174"/>
      <c r="G53" s="174"/>
      <c r="H53" s="174"/>
      <c r="I53" s="174"/>
      <c r="J53" s="174"/>
      <c r="K53" s="174"/>
      <c r="L53" s="174"/>
      <c r="M53" s="174"/>
      <c r="N53" s="174"/>
      <c r="O53" s="174"/>
      <c r="P53" s="174"/>
      <c r="Q53" s="174"/>
      <c r="R53" s="174"/>
      <c r="S53" s="174"/>
      <c r="T53" s="174"/>
      <c r="U53" s="174"/>
      <c r="V53" s="174"/>
      <c r="W53" s="174"/>
      <c r="X53" s="174"/>
      <c r="Y53" s="174"/>
      <c r="Z53" s="174"/>
      <c r="AA53" s="174"/>
      <c r="AB53" s="174"/>
      <c r="AC53" s="174"/>
      <c r="AD53" s="174"/>
      <c r="AE53" s="174"/>
      <c r="AF53" s="174"/>
      <c r="AG53" s="174"/>
      <c r="AH53" s="174"/>
      <c r="AI53" s="174"/>
      <c r="AJ53" s="174"/>
      <c r="AK53" s="174"/>
      <c r="AL53" s="174"/>
      <c r="AM53" s="174"/>
      <c r="AN53" s="174"/>
      <c r="AO53" s="174"/>
      <c r="AP53" s="174"/>
      <c r="AQ53" s="174"/>
      <c r="AR53" s="174"/>
      <c r="AS53" s="174"/>
      <c r="AT53" s="174"/>
      <c r="AU53" s="174"/>
      <c r="AV53" s="174"/>
      <c r="AW53" s="174"/>
      <c r="AX53" s="174"/>
      <c r="AY53" s="174"/>
      <c r="AZ53" s="174">
        <v>1</v>
      </c>
      <c r="BA53" s="174">
        <v>1</v>
      </c>
      <c r="BB53" s="174">
        <v>1</v>
      </c>
      <c r="BC53" s="174">
        <v>1</v>
      </c>
      <c r="BD53" s="174"/>
      <c r="BE53" s="174"/>
      <c r="BF53" s="174"/>
      <c r="BG53" s="174"/>
      <c r="BH53" s="174"/>
      <c r="BI53" s="174"/>
      <c r="BJ53" s="174"/>
      <c r="BK53" s="174"/>
      <c r="BL53" s="174"/>
      <c r="BM53" s="174"/>
      <c r="BN53" s="174"/>
      <c r="BO53" s="174"/>
      <c r="BP53" s="174"/>
      <c r="BQ53" s="174"/>
      <c r="BR53" s="174"/>
      <c r="BS53" s="174"/>
      <c r="BT53" s="174"/>
      <c r="BU53" s="174"/>
      <c r="BV53" s="174"/>
      <c r="BW53" s="174"/>
      <c r="BX53" s="174"/>
      <c r="BY53" s="174"/>
      <c r="BZ53" s="174"/>
      <c r="CA53" s="174"/>
      <c r="CB53" s="174"/>
      <c r="CC53" s="174"/>
      <c r="CD53" s="174"/>
      <c r="CE53" s="174"/>
      <c r="CF53" s="174"/>
      <c r="CG53" s="174"/>
      <c r="CH53" s="174"/>
      <c r="CI53" s="174"/>
      <c r="CJ53" s="174"/>
      <c r="CK53" s="174"/>
      <c r="CL53" s="174"/>
      <c r="CM53" s="174"/>
      <c r="CN53" s="174"/>
      <c r="CO53" s="174"/>
      <c r="CP53" s="174"/>
      <c r="CQ53" s="174"/>
      <c r="CR53" s="174"/>
      <c r="CS53" s="174"/>
      <c r="CT53" s="174"/>
      <c r="CU53" s="174"/>
      <c r="CV53" s="174"/>
      <c r="CW53" s="174"/>
      <c r="CX53" s="174"/>
      <c r="CY53" s="174"/>
      <c r="CZ53" s="174"/>
      <c r="DA53" s="174"/>
      <c r="DB53" s="174"/>
      <c r="DC53" s="174"/>
      <c r="DD53" s="174"/>
      <c r="DE53" s="174"/>
      <c r="DF53" s="174"/>
      <c r="DG53" s="174"/>
      <c r="DH53" s="174"/>
      <c r="DI53" s="174"/>
      <c r="DJ53" s="174"/>
      <c r="DK53" s="174"/>
      <c r="DL53" s="174"/>
      <c r="DM53" s="174"/>
      <c r="DN53" s="174"/>
      <c r="DO53" s="174"/>
      <c r="DP53" s="174"/>
      <c r="DQ53" s="174"/>
      <c r="DR53" s="174"/>
      <c r="DS53" s="174"/>
      <c r="DT53" s="174"/>
      <c r="DU53" s="174"/>
      <c r="DV53" s="174"/>
      <c r="DW53" s="174"/>
      <c r="DX53" s="174"/>
      <c r="DY53" s="174"/>
      <c r="DZ53" s="174"/>
      <c r="EA53" s="174"/>
      <c r="EB53" s="174"/>
      <c r="EC53" s="174"/>
      <c r="ED53" s="174"/>
      <c r="EE53" s="174"/>
      <c r="EF53" s="174"/>
      <c r="EG53" s="174"/>
      <c r="EH53" s="174"/>
      <c r="EI53" s="174"/>
      <c r="EJ53" s="174"/>
      <c r="EK53" s="174"/>
      <c r="EL53" s="174"/>
      <c r="EM53" s="174"/>
      <c r="EN53" s="174"/>
      <c r="EO53" s="174"/>
      <c r="EP53" s="174"/>
      <c r="EQ53" s="174"/>
      <c r="ER53" s="174"/>
      <c r="ES53" s="174"/>
      <c r="ET53" s="174"/>
      <c r="EU53" s="174"/>
      <c r="EV53" s="174"/>
      <c r="EW53" s="174"/>
      <c r="EX53" s="174"/>
      <c r="EY53" s="174"/>
      <c r="EZ53" s="174"/>
      <c r="FA53" s="174"/>
      <c r="FB53" s="174"/>
      <c r="FC53" s="174"/>
      <c r="FD53" s="174"/>
      <c r="FE53" s="174"/>
      <c r="FF53" s="174"/>
      <c r="FG53" s="174"/>
      <c r="FH53" s="174"/>
      <c r="FI53" s="174"/>
      <c r="FJ53" s="174"/>
      <c r="FK53" s="174"/>
      <c r="FL53" s="174"/>
      <c r="FM53" s="174"/>
      <c r="FN53" s="174"/>
      <c r="FO53" s="174"/>
      <c r="FP53" s="174"/>
      <c r="FQ53" s="174"/>
      <c r="FR53" s="174"/>
      <c r="FS53" s="174"/>
      <c r="FT53" s="174"/>
      <c r="FU53" s="174"/>
      <c r="FV53" s="174"/>
      <c r="FW53" s="174"/>
      <c r="FX53" s="174"/>
      <c r="FY53" s="174"/>
      <c r="FZ53" s="174"/>
      <c r="GA53" s="174"/>
      <c r="GB53" s="174"/>
      <c r="GC53" s="174"/>
      <c r="GD53" s="174"/>
      <c r="GE53" s="174"/>
      <c r="GF53" s="174"/>
      <c r="GG53" s="174"/>
      <c r="GH53" s="174"/>
      <c r="GI53" s="174"/>
      <c r="GJ53" s="174"/>
      <c r="GK53" s="174"/>
      <c r="GL53" s="174"/>
      <c r="GM53" s="174"/>
      <c r="GN53" s="174"/>
      <c r="GO53" s="174"/>
      <c r="GP53" s="174"/>
      <c r="GQ53" s="174"/>
      <c r="GR53" s="174"/>
      <c r="GS53" s="174"/>
      <c r="GT53" s="174"/>
      <c r="GU53" s="174"/>
      <c r="GV53" s="174"/>
      <c r="GW53" s="174"/>
      <c r="GX53" s="174"/>
      <c r="GY53" s="174"/>
      <c r="GZ53" s="174"/>
      <c r="HA53" s="174"/>
      <c r="HB53" s="174"/>
      <c r="HC53" s="174"/>
      <c r="HD53" s="174"/>
      <c r="HE53" s="174"/>
      <c r="HF53" s="174"/>
      <c r="HG53" s="174"/>
      <c r="HH53" s="174"/>
      <c r="HI53" s="174"/>
      <c r="HJ53" s="174"/>
      <c r="HK53" s="174"/>
      <c r="HL53" s="174"/>
      <c r="HM53" s="174"/>
      <c r="HN53" s="174"/>
      <c r="HO53" s="174"/>
      <c r="HP53" s="174"/>
      <c r="HQ53" s="174"/>
      <c r="HR53" s="174"/>
      <c r="HS53" s="174"/>
      <c r="HT53" s="174"/>
      <c r="HU53" s="174"/>
      <c r="HV53" s="174"/>
      <c r="HW53" s="174"/>
      <c r="HX53" s="174"/>
      <c r="HY53" s="174"/>
      <c r="HZ53" s="174"/>
      <c r="IA53" s="174"/>
      <c r="IB53" s="174"/>
      <c r="IC53" s="174"/>
      <c r="ID53" s="174"/>
      <c r="IE53" s="174"/>
      <c r="IF53" s="174"/>
      <c r="IG53" s="174"/>
      <c r="IH53" s="174"/>
      <c r="II53" s="174"/>
      <c r="IJ53" s="174"/>
      <c r="IK53" s="174"/>
      <c r="IL53" s="174"/>
      <c r="IM53" s="174"/>
      <c r="IN53" s="174"/>
      <c r="IO53" s="174"/>
      <c r="IP53" s="174"/>
      <c r="IQ53" s="174"/>
      <c r="IR53" s="174"/>
      <c r="IS53" s="174"/>
      <c r="IT53" s="174"/>
      <c r="IU53" s="75"/>
      <c r="IV53" s="75"/>
      <c r="IW53" s="75"/>
      <c r="IX53" s="75"/>
      <c r="IY53" s="75"/>
      <c r="IZ53" s="75"/>
      <c r="JA53" s="75"/>
      <c r="JB53" s="75"/>
      <c r="JC53" s="75"/>
      <c r="JD53" s="75"/>
      <c r="JF53" s="710" t="s">
        <v>746</v>
      </c>
      <c r="JG53" s="710" t="s">
        <v>928</v>
      </c>
      <c r="JH53" s="178" t="e">
        <f t="shared" si="1"/>
        <v>#N/A</v>
      </c>
      <c r="JI53" s="174">
        <f t="shared" si="2"/>
        <v>0</v>
      </c>
    </row>
    <row r="54" spans="2:269" ht="15" customHeight="1" x14ac:dyDescent="0.25">
      <c r="B54" s="113">
        <v>51</v>
      </c>
      <c r="C54" s="353" t="str">
        <f t="shared" si="5"/>
        <v>6GK6021-0AS13-3DB0-Z A05+B05+C05+D05+E00+F00+G01+H01+J00+K00</v>
      </c>
      <c r="D54" s="353" t="str">
        <f t="shared" si="6"/>
        <v>switch (fonte redundante, 8 FO-MM, 4 RJ45)</v>
      </c>
      <c r="E54" s="174"/>
      <c r="F54" s="174"/>
      <c r="G54" s="174"/>
      <c r="H54" s="174"/>
      <c r="I54" s="174"/>
      <c r="J54" s="174"/>
      <c r="K54" s="174"/>
      <c r="L54" s="174"/>
      <c r="M54" s="174"/>
      <c r="N54" s="174"/>
      <c r="O54" s="174"/>
      <c r="P54" s="174"/>
      <c r="Q54" s="174"/>
      <c r="R54" s="174"/>
      <c r="S54" s="174"/>
      <c r="T54" s="174"/>
      <c r="U54" s="174"/>
      <c r="V54" s="174"/>
      <c r="W54" s="174"/>
      <c r="X54" s="174"/>
      <c r="Y54" s="174"/>
      <c r="Z54" s="174"/>
      <c r="AA54" s="174"/>
      <c r="AB54" s="174"/>
      <c r="AC54" s="174"/>
      <c r="AD54" s="174"/>
      <c r="AE54" s="174"/>
      <c r="AF54" s="174"/>
      <c r="AG54" s="174"/>
      <c r="AH54" s="174"/>
      <c r="AI54" s="174"/>
      <c r="AJ54" s="174"/>
      <c r="AK54" s="174"/>
      <c r="AL54" s="174"/>
      <c r="AM54" s="174"/>
      <c r="AN54" s="174"/>
      <c r="AO54" s="174"/>
      <c r="AP54" s="174"/>
      <c r="AQ54" s="174"/>
      <c r="AR54" s="174"/>
      <c r="AS54" s="174"/>
      <c r="AT54" s="174"/>
      <c r="AU54" s="174">
        <v>2</v>
      </c>
      <c r="AV54" s="174">
        <v>2</v>
      </c>
      <c r="AW54" s="174"/>
      <c r="AX54" s="174"/>
      <c r="AY54" s="174"/>
      <c r="AZ54" s="174"/>
      <c r="BA54" s="174"/>
      <c r="BB54" s="174"/>
      <c r="BC54" s="174"/>
      <c r="BD54" s="174"/>
      <c r="BE54" s="174"/>
      <c r="BF54" s="174"/>
      <c r="BG54" s="174"/>
      <c r="BH54" s="174"/>
      <c r="BI54" s="174"/>
      <c r="BJ54" s="174"/>
      <c r="BK54" s="174"/>
      <c r="BL54" s="174"/>
      <c r="BM54" s="174"/>
      <c r="BN54" s="174"/>
      <c r="BO54" s="174"/>
      <c r="BP54" s="174"/>
      <c r="BQ54" s="174"/>
      <c r="BR54" s="174"/>
      <c r="BS54" s="174"/>
      <c r="BT54" s="174"/>
      <c r="BU54" s="174"/>
      <c r="BV54" s="174"/>
      <c r="BW54" s="174"/>
      <c r="BX54" s="174"/>
      <c r="BY54" s="174"/>
      <c r="BZ54" s="174"/>
      <c r="CA54" s="174"/>
      <c r="CB54" s="174"/>
      <c r="CC54" s="174"/>
      <c r="CD54" s="174"/>
      <c r="CE54" s="174"/>
      <c r="CF54" s="174"/>
      <c r="CG54" s="174"/>
      <c r="CH54" s="174"/>
      <c r="CI54" s="174"/>
      <c r="CJ54" s="174"/>
      <c r="CK54" s="174"/>
      <c r="CL54" s="174"/>
      <c r="CM54" s="174"/>
      <c r="CN54" s="174"/>
      <c r="CO54" s="174"/>
      <c r="CP54" s="174"/>
      <c r="CQ54" s="174"/>
      <c r="CR54" s="174"/>
      <c r="CS54" s="174"/>
      <c r="CT54" s="174"/>
      <c r="CU54" s="174"/>
      <c r="CV54" s="174"/>
      <c r="CW54" s="174"/>
      <c r="CX54" s="174"/>
      <c r="CY54" s="174"/>
      <c r="CZ54" s="174"/>
      <c r="DA54" s="174"/>
      <c r="DB54" s="174"/>
      <c r="DC54" s="174"/>
      <c r="DD54" s="174"/>
      <c r="DE54" s="174"/>
      <c r="DF54" s="174"/>
      <c r="DG54" s="174"/>
      <c r="DH54" s="174"/>
      <c r="DI54" s="174"/>
      <c r="DJ54" s="174"/>
      <c r="DK54" s="174"/>
      <c r="DL54" s="174"/>
      <c r="DM54" s="174"/>
      <c r="DN54" s="174"/>
      <c r="DO54" s="174"/>
      <c r="DP54" s="174"/>
      <c r="DQ54" s="174"/>
      <c r="DR54" s="174"/>
      <c r="DS54" s="174"/>
      <c r="DT54" s="174"/>
      <c r="DU54" s="174"/>
      <c r="DV54" s="174"/>
      <c r="DW54" s="174"/>
      <c r="DX54" s="174"/>
      <c r="DY54" s="174"/>
      <c r="DZ54" s="174"/>
      <c r="EA54" s="174"/>
      <c r="EB54" s="174"/>
      <c r="EC54" s="174"/>
      <c r="ED54" s="174"/>
      <c r="EE54" s="174"/>
      <c r="EF54" s="174"/>
      <c r="EG54" s="174"/>
      <c r="EH54" s="174"/>
      <c r="EI54" s="174"/>
      <c r="EJ54" s="174"/>
      <c r="EK54" s="174"/>
      <c r="EL54" s="174"/>
      <c r="EM54" s="174"/>
      <c r="EN54" s="174"/>
      <c r="EO54" s="174"/>
      <c r="EP54" s="174"/>
      <c r="EQ54" s="174"/>
      <c r="ER54" s="174"/>
      <c r="ES54" s="174"/>
      <c r="ET54" s="174"/>
      <c r="EU54" s="174"/>
      <c r="EV54" s="174"/>
      <c r="EW54" s="174"/>
      <c r="EX54" s="174"/>
      <c r="EY54" s="174"/>
      <c r="EZ54" s="174"/>
      <c r="FA54" s="174"/>
      <c r="FB54" s="174"/>
      <c r="FC54" s="174"/>
      <c r="FD54" s="174"/>
      <c r="FE54" s="174"/>
      <c r="FF54" s="174"/>
      <c r="FG54" s="174"/>
      <c r="FH54" s="174"/>
      <c r="FI54" s="174"/>
      <c r="FJ54" s="174"/>
      <c r="FK54" s="174"/>
      <c r="FL54" s="174"/>
      <c r="FM54" s="174"/>
      <c r="FN54" s="174"/>
      <c r="FO54" s="174"/>
      <c r="FP54" s="174"/>
      <c r="FQ54" s="174"/>
      <c r="FR54" s="174"/>
      <c r="FS54" s="174"/>
      <c r="FT54" s="174"/>
      <c r="FU54" s="174"/>
      <c r="FV54" s="174"/>
      <c r="FW54" s="174"/>
      <c r="FX54" s="174"/>
      <c r="FY54" s="174"/>
      <c r="FZ54" s="174"/>
      <c r="GA54" s="174"/>
      <c r="GB54" s="174"/>
      <c r="GC54" s="174"/>
      <c r="GD54" s="174"/>
      <c r="GE54" s="174"/>
      <c r="GF54" s="174"/>
      <c r="GG54" s="174"/>
      <c r="GH54" s="174"/>
      <c r="GI54" s="174"/>
      <c r="GJ54" s="174"/>
      <c r="GK54" s="174"/>
      <c r="GL54" s="174"/>
      <c r="GM54" s="174"/>
      <c r="GN54" s="174"/>
      <c r="GO54" s="174"/>
      <c r="GP54" s="174"/>
      <c r="GQ54" s="174"/>
      <c r="GR54" s="174"/>
      <c r="GS54" s="174"/>
      <c r="GT54" s="174"/>
      <c r="GU54" s="174"/>
      <c r="GV54" s="174"/>
      <c r="GW54" s="174"/>
      <c r="GX54" s="174"/>
      <c r="GY54" s="174"/>
      <c r="GZ54" s="174"/>
      <c r="HA54" s="174"/>
      <c r="HB54" s="174"/>
      <c r="HC54" s="174"/>
      <c r="HD54" s="174"/>
      <c r="HE54" s="174"/>
      <c r="HF54" s="174"/>
      <c r="HG54" s="174"/>
      <c r="HH54" s="174"/>
      <c r="HI54" s="174"/>
      <c r="HJ54" s="174"/>
      <c r="HK54" s="174"/>
      <c r="HL54" s="174"/>
      <c r="HM54" s="174"/>
      <c r="HN54" s="174"/>
      <c r="HO54" s="174"/>
      <c r="HP54" s="174"/>
      <c r="HQ54" s="174"/>
      <c r="HR54" s="174"/>
      <c r="HS54" s="174"/>
      <c r="HT54" s="174"/>
      <c r="HU54" s="174"/>
      <c r="HV54" s="174"/>
      <c r="HW54" s="174"/>
      <c r="HX54" s="174"/>
      <c r="HY54" s="174"/>
      <c r="HZ54" s="174"/>
      <c r="IA54" s="174"/>
      <c r="IB54" s="174"/>
      <c r="IC54" s="174"/>
      <c r="ID54" s="174"/>
      <c r="IE54" s="174"/>
      <c r="IF54" s="174"/>
      <c r="IG54" s="174"/>
      <c r="IH54" s="174"/>
      <c r="II54" s="174"/>
      <c r="IJ54" s="174"/>
      <c r="IK54" s="174"/>
      <c r="IL54" s="174"/>
      <c r="IM54" s="174"/>
      <c r="IN54" s="174"/>
      <c r="IO54" s="174"/>
      <c r="IP54" s="174"/>
      <c r="IQ54" s="174"/>
      <c r="IR54" s="174"/>
      <c r="IS54" s="174"/>
      <c r="IT54" s="174"/>
      <c r="IU54" s="75"/>
      <c r="IV54" s="75"/>
      <c r="IW54" s="75"/>
      <c r="IX54" s="75"/>
      <c r="IY54" s="75"/>
      <c r="IZ54" s="75"/>
      <c r="JA54" s="75"/>
      <c r="JB54" s="75"/>
      <c r="JC54" s="75"/>
      <c r="JD54" s="75"/>
      <c r="JF54" s="710" t="s">
        <v>685</v>
      </c>
      <c r="JG54" s="710" t="s">
        <v>1112</v>
      </c>
      <c r="JH54" s="178" t="e">
        <f t="shared" si="1"/>
        <v>#N/A</v>
      </c>
      <c r="JI54" s="174">
        <f t="shared" si="2"/>
        <v>0</v>
      </c>
    </row>
    <row r="55" spans="2:269" ht="15" customHeight="1" x14ac:dyDescent="0.25">
      <c r="B55" s="113">
        <v>52</v>
      </c>
      <c r="C55" s="353" t="str">
        <f t="shared" si="5"/>
        <v>RT4303XPCA2C08B231</v>
      </c>
      <c r="D55" s="353" t="str">
        <f t="shared" si="6"/>
        <v>GPS (2 saídas SNTP eth)</v>
      </c>
      <c r="E55" s="174"/>
      <c r="F55" s="174"/>
      <c r="G55" s="174"/>
      <c r="H55" s="174"/>
      <c r="I55" s="174"/>
      <c r="J55" s="174"/>
      <c r="K55" s="174"/>
      <c r="L55" s="174"/>
      <c r="M55" s="174"/>
      <c r="N55" s="174"/>
      <c r="O55" s="174"/>
      <c r="P55" s="174"/>
      <c r="Q55" s="174"/>
      <c r="R55" s="174"/>
      <c r="S55" s="174"/>
      <c r="T55" s="174"/>
      <c r="U55" s="174"/>
      <c r="V55" s="174"/>
      <c r="W55" s="174"/>
      <c r="X55" s="174"/>
      <c r="Y55" s="174"/>
      <c r="Z55" s="174"/>
      <c r="AA55" s="174"/>
      <c r="AB55" s="174"/>
      <c r="AC55" s="174"/>
      <c r="AD55" s="174"/>
      <c r="AE55" s="174"/>
      <c r="AF55" s="174"/>
      <c r="AG55" s="174"/>
      <c r="AH55" s="174"/>
      <c r="AI55" s="174"/>
      <c r="AJ55" s="174"/>
      <c r="AK55" s="174"/>
      <c r="AL55" s="174"/>
      <c r="AM55" s="174"/>
      <c r="AN55" s="174"/>
      <c r="AO55" s="174"/>
      <c r="AP55" s="174"/>
      <c r="AQ55" s="174"/>
      <c r="AR55" s="174"/>
      <c r="AS55" s="174"/>
      <c r="AT55" s="174"/>
      <c r="AU55" s="174">
        <v>1</v>
      </c>
      <c r="AV55" s="174">
        <v>1</v>
      </c>
      <c r="AW55" s="174"/>
      <c r="AX55" s="174"/>
      <c r="AY55" s="174"/>
      <c r="AZ55" s="174"/>
      <c r="BA55" s="174"/>
      <c r="BB55" s="174"/>
      <c r="BC55" s="174"/>
      <c r="BD55" s="174"/>
      <c r="BE55" s="174"/>
      <c r="BF55" s="174"/>
      <c r="BG55" s="174"/>
      <c r="BH55" s="174"/>
      <c r="BI55" s="174"/>
      <c r="BJ55" s="174"/>
      <c r="BK55" s="174"/>
      <c r="BL55" s="174"/>
      <c r="BM55" s="174"/>
      <c r="BN55" s="174"/>
      <c r="BO55" s="174"/>
      <c r="BP55" s="174"/>
      <c r="BQ55" s="174"/>
      <c r="BR55" s="174"/>
      <c r="BS55" s="174"/>
      <c r="BT55" s="174"/>
      <c r="BU55" s="174"/>
      <c r="BV55" s="174"/>
      <c r="BW55" s="174"/>
      <c r="BX55" s="174"/>
      <c r="BY55" s="174"/>
      <c r="BZ55" s="174"/>
      <c r="CA55" s="174"/>
      <c r="CB55" s="174"/>
      <c r="CC55" s="174"/>
      <c r="CD55" s="174"/>
      <c r="CE55" s="174"/>
      <c r="CF55" s="174"/>
      <c r="CG55" s="174"/>
      <c r="CH55" s="174"/>
      <c r="CI55" s="174"/>
      <c r="CJ55" s="174"/>
      <c r="CK55" s="174"/>
      <c r="CL55" s="174"/>
      <c r="CM55" s="174"/>
      <c r="CN55" s="174"/>
      <c r="CO55" s="174"/>
      <c r="CP55" s="174"/>
      <c r="CQ55" s="174"/>
      <c r="CR55" s="174"/>
      <c r="CS55" s="174"/>
      <c r="CT55" s="174"/>
      <c r="CU55" s="174"/>
      <c r="CV55" s="174"/>
      <c r="CW55" s="174"/>
      <c r="CX55" s="174"/>
      <c r="CY55" s="174"/>
      <c r="CZ55" s="174"/>
      <c r="DA55" s="174"/>
      <c r="DB55" s="174"/>
      <c r="DC55" s="174"/>
      <c r="DD55" s="174"/>
      <c r="DE55" s="174"/>
      <c r="DF55" s="174"/>
      <c r="DG55" s="174"/>
      <c r="DH55" s="174"/>
      <c r="DI55" s="174"/>
      <c r="DJ55" s="174"/>
      <c r="DK55" s="174"/>
      <c r="DL55" s="174"/>
      <c r="DM55" s="174"/>
      <c r="DN55" s="174"/>
      <c r="DO55" s="174"/>
      <c r="DP55" s="174"/>
      <c r="DQ55" s="174"/>
      <c r="DR55" s="174"/>
      <c r="DS55" s="174"/>
      <c r="DT55" s="174"/>
      <c r="DU55" s="174"/>
      <c r="DV55" s="174"/>
      <c r="DW55" s="174"/>
      <c r="DX55" s="174"/>
      <c r="DY55" s="174"/>
      <c r="DZ55" s="174"/>
      <c r="EA55" s="174"/>
      <c r="EB55" s="174"/>
      <c r="EC55" s="174"/>
      <c r="ED55" s="174"/>
      <c r="EE55" s="174"/>
      <c r="EF55" s="174"/>
      <c r="EG55" s="174"/>
      <c r="EH55" s="174"/>
      <c r="EI55" s="174"/>
      <c r="EJ55" s="174"/>
      <c r="EK55" s="174"/>
      <c r="EL55" s="174"/>
      <c r="EM55" s="174"/>
      <c r="EN55" s="174"/>
      <c r="EO55" s="174"/>
      <c r="EP55" s="174"/>
      <c r="EQ55" s="174"/>
      <c r="ER55" s="174"/>
      <c r="ES55" s="174"/>
      <c r="ET55" s="174"/>
      <c r="EU55" s="174"/>
      <c r="EV55" s="174"/>
      <c r="EW55" s="174"/>
      <c r="EX55" s="174"/>
      <c r="EY55" s="174"/>
      <c r="EZ55" s="174"/>
      <c r="FA55" s="174"/>
      <c r="FB55" s="174"/>
      <c r="FC55" s="174"/>
      <c r="FD55" s="174"/>
      <c r="FE55" s="174"/>
      <c r="FF55" s="174"/>
      <c r="FG55" s="174"/>
      <c r="FH55" s="174"/>
      <c r="FI55" s="174"/>
      <c r="FJ55" s="174"/>
      <c r="FK55" s="174"/>
      <c r="FL55" s="174"/>
      <c r="FM55" s="174"/>
      <c r="FN55" s="174"/>
      <c r="FO55" s="174"/>
      <c r="FP55" s="174"/>
      <c r="FQ55" s="174"/>
      <c r="FR55" s="174"/>
      <c r="FS55" s="174"/>
      <c r="FT55" s="174"/>
      <c r="FU55" s="174"/>
      <c r="FV55" s="174"/>
      <c r="FW55" s="174"/>
      <c r="FX55" s="174"/>
      <c r="FY55" s="174"/>
      <c r="FZ55" s="174"/>
      <c r="GA55" s="174"/>
      <c r="GB55" s="174"/>
      <c r="GC55" s="174"/>
      <c r="GD55" s="174"/>
      <c r="GE55" s="174"/>
      <c r="GF55" s="174"/>
      <c r="GG55" s="174"/>
      <c r="GH55" s="174"/>
      <c r="GI55" s="174"/>
      <c r="GJ55" s="174"/>
      <c r="GK55" s="174"/>
      <c r="GL55" s="174"/>
      <c r="GM55" s="174"/>
      <c r="GN55" s="174"/>
      <c r="GO55" s="174"/>
      <c r="GP55" s="174"/>
      <c r="GQ55" s="174"/>
      <c r="GR55" s="174"/>
      <c r="GS55" s="174"/>
      <c r="GT55" s="174"/>
      <c r="GU55" s="174"/>
      <c r="GV55" s="174"/>
      <c r="GW55" s="174"/>
      <c r="GX55" s="174"/>
      <c r="GY55" s="174"/>
      <c r="GZ55" s="174"/>
      <c r="HA55" s="174"/>
      <c r="HB55" s="174"/>
      <c r="HC55" s="174"/>
      <c r="HD55" s="174"/>
      <c r="HE55" s="174"/>
      <c r="HF55" s="174"/>
      <c r="HG55" s="174"/>
      <c r="HH55" s="174"/>
      <c r="HI55" s="174"/>
      <c r="HJ55" s="174"/>
      <c r="HK55" s="174"/>
      <c r="HL55" s="174"/>
      <c r="HM55" s="174"/>
      <c r="HN55" s="174"/>
      <c r="HO55" s="174"/>
      <c r="HP55" s="174"/>
      <c r="HQ55" s="174"/>
      <c r="HR55" s="174"/>
      <c r="HS55" s="174"/>
      <c r="HT55" s="174"/>
      <c r="HU55" s="174"/>
      <c r="HV55" s="174"/>
      <c r="HW55" s="174"/>
      <c r="HX55" s="174"/>
      <c r="HY55" s="174"/>
      <c r="HZ55" s="174"/>
      <c r="IA55" s="174"/>
      <c r="IB55" s="174"/>
      <c r="IC55" s="174"/>
      <c r="ID55" s="174"/>
      <c r="IE55" s="174"/>
      <c r="IF55" s="174"/>
      <c r="IG55" s="174"/>
      <c r="IH55" s="174"/>
      <c r="II55" s="174"/>
      <c r="IJ55" s="174"/>
      <c r="IK55" s="174"/>
      <c r="IL55" s="174"/>
      <c r="IM55" s="174"/>
      <c r="IN55" s="174"/>
      <c r="IO55" s="174"/>
      <c r="IP55" s="174"/>
      <c r="IQ55" s="174"/>
      <c r="IR55" s="174"/>
      <c r="IS55" s="174"/>
      <c r="IT55" s="174"/>
      <c r="IU55" s="75"/>
      <c r="IV55" s="75"/>
      <c r="IW55" s="75"/>
      <c r="IX55" s="75"/>
      <c r="IY55" s="75"/>
      <c r="IZ55" s="75"/>
      <c r="JA55" s="75"/>
      <c r="JB55" s="75"/>
      <c r="JC55" s="75"/>
      <c r="JD55" s="75"/>
      <c r="JF55" s="710" t="s">
        <v>596</v>
      </c>
      <c r="JG55" s="710" t="s">
        <v>929</v>
      </c>
      <c r="JH55" s="178" t="e">
        <f t="shared" si="1"/>
        <v>#N/A</v>
      </c>
      <c r="JI55" s="174">
        <f t="shared" si="2"/>
        <v>0</v>
      </c>
    </row>
    <row r="56" spans="2:269" ht="15" customHeight="1" x14ac:dyDescent="0.25">
      <c r="B56" s="113">
        <v>53</v>
      </c>
      <c r="C56" s="353" t="str">
        <f t="shared" si="5"/>
        <v/>
      </c>
      <c r="D56" s="353" t="str">
        <f t="shared" si="6"/>
        <v/>
      </c>
      <c r="E56" s="174"/>
      <c r="F56" s="174"/>
      <c r="G56" s="174"/>
      <c r="H56" s="174"/>
      <c r="I56" s="174"/>
      <c r="J56" s="174"/>
      <c r="K56" s="174"/>
      <c r="L56" s="174"/>
      <c r="M56" s="174"/>
      <c r="N56" s="174"/>
      <c r="O56" s="174"/>
      <c r="P56" s="174"/>
      <c r="Q56" s="174"/>
      <c r="R56" s="174"/>
      <c r="S56" s="174"/>
      <c r="T56" s="174"/>
      <c r="U56" s="174"/>
      <c r="V56" s="174"/>
      <c r="W56" s="174"/>
      <c r="X56" s="174"/>
      <c r="Y56" s="174"/>
      <c r="Z56" s="174"/>
      <c r="AA56" s="174"/>
      <c r="AB56" s="174"/>
      <c r="AC56" s="174"/>
      <c r="AD56" s="174"/>
      <c r="AE56" s="174"/>
      <c r="AF56" s="174"/>
      <c r="AG56" s="174"/>
      <c r="AH56" s="174"/>
      <c r="AI56" s="174"/>
      <c r="AJ56" s="174"/>
      <c r="AK56" s="174"/>
      <c r="AL56" s="174"/>
      <c r="AM56" s="174"/>
      <c r="AN56" s="174"/>
      <c r="AO56" s="174"/>
      <c r="AP56" s="174"/>
      <c r="AQ56" s="174"/>
      <c r="AR56" s="174"/>
      <c r="AS56" s="174"/>
      <c r="AT56" s="174"/>
      <c r="AU56" s="174"/>
      <c r="AV56" s="174"/>
      <c r="AW56" s="174"/>
      <c r="AX56" s="174"/>
      <c r="AY56" s="174"/>
      <c r="AZ56" s="174"/>
      <c r="BA56" s="174"/>
      <c r="BB56" s="174"/>
      <c r="BC56" s="174"/>
      <c r="BD56" s="174"/>
      <c r="BE56" s="174"/>
      <c r="BF56" s="174"/>
      <c r="BG56" s="174"/>
      <c r="BH56" s="174"/>
      <c r="BI56" s="174"/>
      <c r="BJ56" s="174"/>
      <c r="BK56" s="174"/>
      <c r="BL56" s="174"/>
      <c r="BM56" s="174"/>
      <c r="BN56" s="174"/>
      <c r="BO56" s="174"/>
      <c r="BP56" s="174"/>
      <c r="BQ56" s="174"/>
      <c r="BR56" s="174"/>
      <c r="BS56" s="174"/>
      <c r="BT56" s="174"/>
      <c r="BU56" s="174"/>
      <c r="BV56" s="174"/>
      <c r="BW56" s="174"/>
      <c r="BX56" s="174"/>
      <c r="BY56" s="174"/>
      <c r="BZ56" s="174"/>
      <c r="CA56" s="174"/>
      <c r="CB56" s="174"/>
      <c r="CC56" s="174"/>
      <c r="CD56" s="174"/>
      <c r="CE56" s="174"/>
      <c r="CF56" s="174"/>
      <c r="CG56" s="174"/>
      <c r="CH56" s="174"/>
      <c r="CI56" s="174"/>
      <c r="CJ56" s="174"/>
      <c r="CK56" s="174"/>
      <c r="CL56" s="174"/>
      <c r="CM56" s="174"/>
      <c r="CN56" s="174"/>
      <c r="CO56" s="174"/>
      <c r="CP56" s="174"/>
      <c r="CQ56" s="174"/>
      <c r="CR56" s="174"/>
      <c r="CS56" s="174"/>
      <c r="CT56" s="174"/>
      <c r="CU56" s="174"/>
      <c r="CV56" s="174"/>
      <c r="CW56" s="174"/>
      <c r="CX56" s="174"/>
      <c r="CY56" s="174"/>
      <c r="CZ56" s="174"/>
      <c r="DA56" s="174"/>
      <c r="DB56" s="174"/>
      <c r="DC56" s="174"/>
      <c r="DD56" s="174"/>
      <c r="DE56" s="174"/>
      <c r="DF56" s="174"/>
      <c r="DG56" s="174"/>
      <c r="DH56" s="174"/>
      <c r="DI56" s="174"/>
      <c r="DJ56" s="174"/>
      <c r="DK56" s="174"/>
      <c r="DL56" s="174"/>
      <c r="DM56" s="174"/>
      <c r="DN56" s="174"/>
      <c r="DO56" s="174"/>
      <c r="DP56" s="174"/>
      <c r="DQ56" s="174"/>
      <c r="DR56" s="174"/>
      <c r="DS56" s="174"/>
      <c r="DT56" s="174"/>
      <c r="DU56" s="174"/>
      <c r="DV56" s="174"/>
      <c r="DW56" s="174"/>
      <c r="DX56" s="174"/>
      <c r="DY56" s="174"/>
      <c r="DZ56" s="174"/>
      <c r="EA56" s="174"/>
      <c r="EB56" s="174"/>
      <c r="EC56" s="174"/>
      <c r="ED56" s="174"/>
      <c r="EE56" s="174"/>
      <c r="EF56" s="174"/>
      <c r="EG56" s="174"/>
      <c r="EH56" s="174"/>
      <c r="EI56" s="174"/>
      <c r="EJ56" s="174"/>
      <c r="EK56" s="174"/>
      <c r="EL56" s="174"/>
      <c r="EM56" s="174"/>
      <c r="EN56" s="174"/>
      <c r="EO56" s="174"/>
      <c r="EP56" s="174"/>
      <c r="EQ56" s="174"/>
      <c r="ER56" s="174"/>
      <c r="ES56" s="174"/>
      <c r="ET56" s="174"/>
      <c r="EU56" s="174"/>
      <c r="EV56" s="174"/>
      <c r="EW56" s="174"/>
      <c r="EX56" s="174"/>
      <c r="EY56" s="174"/>
      <c r="EZ56" s="174"/>
      <c r="FA56" s="174"/>
      <c r="FB56" s="174"/>
      <c r="FC56" s="174"/>
      <c r="FD56" s="174"/>
      <c r="FE56" s="174"/>
      <c r="FF56" s="174"/>
      <c r="FG56" s="174"/>
      <c r="FH56" s="174"/>
      <c r="FI56" s="174"/>
      <c r="FJ56" s="174"/>
      <c r="FK56" s="174"/>
      <c r="FL56" s="174"/>
      <c r="FM56" s="174"/>
      <c r="FN56" s="174"/>
      <c r="FO56" s="174"/>
      <c r="FP56" s="174"/>
      <c r="FQ56" s="174"/>
      <c r="FR56" s="174"/>
      <c r="FS56" s="174"/>
      <c r="FT56" s="174"/>
      <c r="FU56" s="174"/>
      <c r="FV56" s="174"/>
      <c r="FW56" s="174"/>
      <c r="FX56" s="174"/>
      <c r="FY56" s="174"/>
      <c r="FZ56" s="174"/>
      <c r="GA56" s="174"/>
      <c r="GB56" s="174"/>
      <c r="GC56" s="174"/>
      <c r="GD56" s="174"/>
      <c r="GE56" s="174"/>
      <c r="GF56" s="174"/>
      <c r="GG56" s="174"/>
      <c r="GH56" s="174"/>
      <c r="GI56" s="174"/>
      <c r="GJ56" s="174"/>
      <c r="GK56" s="174"/>
      <c r="GL56" s="174"/>
      <c r="GM56" s="174"/>
      <c r="GN56" s="174"/>
      <c r="GO56" s="174"/>
      <c r="GP56" s="174"/>
      <c r="GQ56" s="174"/>
      <c r="GR56" s="174"/>
      <c r="GS56" s="174"/>
      <c r="GT56" s="174"/>
      <c r="GU56" s="174"/>
      <c r="GV56" s="174"/>
      <c r="GW56" s="174"/>
      <c r="GX56" s="174"/>
      <c r="GY56" s="174"/>
      <c r="GZ56" s="174"/>
      <c r="HA56" s="174"/>
      <c r="HB56" s="174"/>
      <c r="HC56" s="174"/>
      <c r="HD56" s="174"/>
      <c r="HE56" s="174"/>
      <c r="HF56" s="174"/>
      <c r="HG56" s="174"/>
      <c r="HH56" s="174"/>
      <c r="HI56" s="174"/>
      <c r="HJ56" s="174"/>
      <c r="HK56" s="174"/>
      <c r="HL56" s="174"/>
      <c r="HM56" s="174"/>
      <c r="HN56" s="174"/>
      <c r="HO56" s="174"/>
      <c r="HP56" s="174"/>
      <c r="HQ56" s="174"/>
      <c r="HR56" s="174"/>
      <c r="HS56" s="174"/>
      <c r="HT56" s="174"/>
      <c r="HU56" s="174"/>
      <c r="HV56" s="174"/>
      <c r="HW56" s="174"/>
      <c r="HX56" s="174"/>
      <c r="HY56" s="174"/>
      <c r="HZ56" s="174"/>
      <c r="IA56" s="174"/>
      <c r="IB56" s="174"/>
      <c r="IC56" s="174"/>
      <c r="ID56" s="174"/>
      <c r="IE56" s="174"/>
      <c r="IF56" s="174"/>
      <c r="IG56" s="174"/>
      <c r="IH56" s="174"/>
      <c r="II56" s="174"/>
      <c r="IJ56" s="174"/>
      <c r="IK56" s="174"/>
      <c r="IL56" s="174"/>
      <c r="IM56" s="174"/>
      <c r="IN56" s="174"/>
      <c r="IO56" s="174"/>
      <c r="IP56" s="174"/>
      <c r="IQ56" s="174"/>
      <c r="IR56" s="174"/>
      <c r="IS56" s="174"/>
      <c r="IT56" s="174"/>
      <c r="IU56" s="75"/>
      <c r="IV56" s="75"/>
      <c r="IW56" s="75"/>
      <c r="IX56" s="75"/>
      <c r="IY56" s="75"/>
      <c r="IZ56" s="75"/>
      <c r="JA56" s="75"/>
      <c r="JB56" s="75"/>
      <c r="JC56" s="75"/>
      <c r="JD56" s="75"/>
      <c r="JF56" s="710"/>
      <c r="JG56" s="710"/>
      <c r="JH56" s="178">
        <f t="shared" si="1"/>
        <v>0</v>
      </c>
      <c r="JI56" s="174">
        <f t="shared" si="2"/>
        <v>0</v>
      </c>
    </row>
    <row r="57" spans="2:269" ht="15" customHeight="1" x14ac:dyDescent="0.25">
      <c r="B57" s="113">
        <v>54</v>
      </c>
      <c r="C57" s="353" t="str">
        <f t="shared" si="5"/>
        <v>Software dos IED's</v>
      </c>
      <c r="D57" s="353" t="str">
        <f t="shared" si="6"/>
        <v>software de parametrização e engenharia</v>
      </c>
      <c r="E57" s="174"/>
      <c r="F57" s="174"/>
      <c r="G57" s="174"/>
      <c r="H57" s="174"/>
      <c r="I57" s="174"/>
      <c r="J57" s="174"/>
      <c r="K57" s="174"/>
      <c r="L57" s="174"/>
      <c r="M57" s="174"/>
      <c r="N57" s="174"/>
      <c r="O57" s="174"/>
      <c r="P57" s="174"/>
      <c r="Q57" s="174"/>
      <c r="R57" s="174"/>
      <c r="S57" s="174"/>
      <c r="T57" s="174"/>
      <c r="U57" s="174"/>
      <c r="V57" s="174"/>
      <c r="W57" s="174"/>
      <c r="X57" s="174"/>
      <c r="Y57" s="174"/>
      <c r="Z57" s="174"/>
      <c r="AA57" s="174"/>
      <c r="AB57" s="174"/>
      <c r="AC57" s="174"/>
      <c r="AD57" s="174"/>
      <c r="AE57" s="174"/>
      <c r="AF57" s="174"/>
      <c r="AG57" s="174"/>
      <c r="AH57" s="174"/>
      <c r="AI57" s="174"/>
      <c r="AJ57" s="174"/>
      <c r="AK57" s="174"/>
      <c r="AL57" s="174"/>
      <c r="AM57" s="174"/>
      <c r="AN57" s="174"/>
      <c r="AO57" s="174"/>
      <c r="AP57" s="174"/>
      <c r="AQ57" s="174"/>
      <c r="AR57" s="174"/>
      <c r="AS57" s="174"/>
      <c r="AT57" s="174"/>
      <c r="AU57" s="174"/>
      <c r="AV57" s="174"/>
      <c r="AW57" s="174">
        <v>1</v>
      </c>
      <c r="AX57" s="174"/>
      <c r="AY57" s="174"/>
      <c r="AZ57" s="174"/>
      <c r="BA57" s="174"/>
      <c r="BB57" s="174"/>
      <c r="BC57" s="174"/>
      <c r="BD57" s="174"/>
      <c r="BE57" s="174"/>
      <c r="BF57" s="174"/>
      <c r="BG57" s="174"/>
      <c r="BH57" s="174"/>
      <c r="BI57" s="174"/>
      <c r="BJ57" s="174"/>
      <c r="BK57" s="174"/>
      <c r="BL57" s="174"/>
      <c r="BM57" s="174"/>
      <c r="BN57" s="174"/>
      <c r="BO57" s="174"/>
      <c r="BP57" s="174"/>
      <c r="BQ57" s="174"/>
      <c r="BR57" s="174"/>
      <c r="BS57" s="174"/>
      <c r="BT57" s="174"/>
      <c r="BU57" s="174"/>
      <c r="BV57" s="174"/>
      <c r="BW57" s="174"/>
      <c r="BX57" s="174"/>
      <c r="BY57" s="174"/>
      <c r="BZ57" s="174"/>
      <c r="CA57" s="174"/>
      <c r="CB57" s="174"/>
      <c r="CC57" s="174"/>
      <c r="CD57" s="174"/>
      <c r="CE57" s="174"/>
      <c r="CF57" s="174"/>
      <c r="CG57" s="174"/>
      <c r="CH57" s="174"/>
      <c r="CI57" s="174"/>
      <c r="CJ57" s="174"/>
      <c r="CK57" s="174"/>
      <c r="CL57" s="174"/>
      <c r="CM57" s="174"/>
      <c r="CN57" s="174"/>
      <c r="CO57" s="174"/>
      <c r="CP57" s="174"/>
      <c r="CQ57" s="174"/>
      <c r="CR57" s="174"/>
      <c r="CS57" s="174"/>
      <c r="CT57" s="174"/>
      <c r="CU57" s="174"/>
      <c r="CV57" s="174"/>
      <c r="CW57" s="174"/>
      <c r="CX57" s="174"/>
      <c r="CY57" s="174"/>
      <c r="CZ57" s="174"/>
      <c r="DA57" s="174"/>
      <c r="DB57" s="174"/>
      <c r="DC57" s="174"/>
      <c r="DD57" s="174"/>
      <c r="DE57" s="174"/>
      <c r="DF57" s="174"/>
      <c r="DG57" s="174"/>
      <c r="DH57" s="174"/>
      <c r="DI57" s="174"/>
      <c r="DJ57" s="174"/>
      <c r="DK57" s="174"/>
      <c r="DL57" s="174"/>
      <c r="DM57" s="174"/>
      <c r="DN57" s="174"/>
      <c r="DO57" s="174"/>
      <c r="DP57" s="174"/>
      <c r="DQ57" s="174"/>
      <c r="DR57" s="174"/>
      <c r="DS57" s="174"/>
      <c r="DT57" s="174"/>
      <c r="DU57" s="174"/>
      <c r="DV57" s="174"/>
      <c r="DW57" s="174"/>
      <c r="DX57" s="174"/>
      <c r="DY57" s="174"/>
      <c r="DZ57" s="174"/>
      <c r="EA57" s="174"/>
      <c r="EB57" s="174"/>
      <c r="EC57" s="174"/>
      <c r="ED57" s="174"/>
      <c r="EE57" s="174"/>
      <c r="EF57" s="174"/>
      <c r="EG57" s="174"/>
      <c r="EH57" s="174"/>
      <c r="EI57" s="174"/>
      <c r="EJ57" s="174"/>
      <c r="EK57" s="174"/>
      <c r="EL57" s="174"/>
      <c r="EM57" s="174"/>
      <c r="EN57" s="174"/>
      <c r="EO57" s="174"/>
      <c r="EP57" s="174"/>
      <c r="EQ57" s="174"/>
      <c r="ER57" s="174"/>
      <c r="ES57" s="174"/>
      <c r="ET57" s="174"/>
      <c r="EU57" s="174"/>
      <c r="EV57" s="174"/>
      <c r="EW57" s="174"/>
      <c r="EX57" s="174"/>
      <c r="EY57" s="174"/>
      <c r="EZ57" s="174"/>
      <c r="FA57" s="174"/>
      <c r="FB57" s="174"/>
      <c r="FC57" s="174"/>
      <c r="FD57" s="174"/>
      <c r="FE57" s="174"/>
      <c r="FF57" s="174"/>
      <c r="FG57" s="174"/>
      <c r="FH57" s="174"/>
      <c r="FI57" s="174"/>
      <c r="FJ57" s="174"/>
      <c r="FK57" s="174"/>
      <c r="FL57" s="174"/>
      <c r="FM57" s="174"/>
      <c r="FN57" s="174"/>
      <c r="FO57" s="174"/>
      <c r="FP57" s="174"/>
      <c r="FQ57" s="174"/>
      <c r="FR57" s="174"/>
      <c r="FS57" s="174"/>
      <c r="FT57" s="174"/>
      <c r="FU57" s="174"/>
      <c r="FV57" s="174"/>
      <c r="FW57" s="174"/>
      <c r="FX57" s="174"/>
      <c r="FY57" s="174"/>
      <c r="FZ57" s="174"/>
      <c r="GA57" s="174"/>
      <c r="GB57" s="174"/>
      <c r="GC57" s="174"/>
      <c r="GD57" s="174"/>
      <c r="GE57" s="174"/>
      <c r="GF57" s="174"/>
      <c r="GG57" s="174"/>
      <c r="GH57" s="174"/>
      <c r="GI57" s="174"/>
      <c r="GJ57" s="174"/>
      <c r="GK57" s="174"/>
      <c r="GL57" s="174"/>
      <c r="GM57" s="174"/>
      <c r="GN57" s="174"/>
      <c r="GO57" s="174"/>
      <c r="GP57" s="174"/>
      <c r="GQ57" s="174"/>
      <c r="GR57" s="174"/>
      <c r="GS57" s="174"/>
      <c r="GT57" s="174"/>
      <c r="GU57" s="174"/>
      <c r="GV57" s="174"/>
      <c r="GW57" s="174"/>
      <c r="GX57" s="174"/>
      <c r="GY57" s="174"/>
      <c r="GZ57" s="174"/>
      <c r="HA57" s="174"/>
      <c r="HB57" s="174"/>
      <c r="HC57" s="174"/>
      <c r="HD57" s="174"/>
      <c r="HE57" s="174"/>
      <c r="HF57" s="174"/>
      <c r="HG57" s="174"/>
      <c r="HH57" s="174"/>
      <c r="HI57" s="174"/>
      <c r="HJ57" s="174"/>
      <c r="HK57" s="174"/>
      <c r="HL57" s="174"/>
      <c r="HM57" s="174"/>
      <c r="HN57" s="174"/>
      <c r="HO57" s="174"/>
      <c r="HP57" s="174"/>
      <c r="HQ57" s="174"/>
      <c r="HR57" s="174"/>
      <c r="HS57" s="174"/>
      <c r="HT57" s="174"/>
      <c r="HU57" s="174"/>
      <c r="HV57" s="174"/>
      <c r="HW57" s="174"/>
      <c r="HX57" s="174"/>
      <c r="HY57" s="174"/>
      <c r="HZ57" s="174"/>
      <c r="IA57" s="174"/>
      <c r="IB57" s="174"/>
      <c r="IC57" s="174"/>
      <c r="ID57" s="174"/>
      <c r="IE57" s="174"/>
      <c r="IF57" s="174"/>
      <c r="IG57" s="174"/>
      <c r="IH57" s="174"/>
      <c r="II57" s="174"/>
      <c r="IJ57" s="174"/>
      <c r="IK57" s="174"/>
      <c r="IL57" s="174"/>
      <c r="IM57" s="174"/>
      <c r="IN57" s="174"/>
      <c r="IO57" s="174"/>
      <c r="IP57" s="174"/>
      <c r="IQ57" s="174"/>
      <c r="IR57" s="174"/>
      <c r="IS57" s="174"/>
      <c r="IT57" s="174"/>
      <c r="IU57" s="75"/>
      <c r="IV57" s="75"/>
      <c r="IW57" s="75"/>
      <c r="IX57" s="75"/>
      <c r="IY57" s="75"/>
      <c r="IZ57" s="75"/>
      <c r="JA57" s="75"/>
      <c r="JB57" s="75"/>
      <c r="JC57" s="75"/>
      <c r="JD57" s="75"/>
      <c r="JF57" s="710" t="s">
        <v>833</v>
      </c>
      <c r="JG57" s="710" t="s">
        <v>930</v>
      </c>
      <c r="JH57" s="178" t="e">
        <f t="shared" si="1"/>
        <v>#N/A</v>
      </c>
      <c r="JI57" s="174">
        <f t="shared" si="2"/>
        <v>0</v>
      </c>
    </row>
    <row r="58" spans="2:269" ht="15" customHeight="1" x14ac:dyDescent="0.25">
      <c r="B58" s="113">
        <v>55</v>
      </c>
      <c r="C58" s="353" t="str">
        <f t="shared" si="5"/>
        <v/>
      </c>
      <c r="D58" s="353" t="str">
        <f t="shared" si="6"/>
        <v/>
      </c>
      <c r="E58" s="174"/>
      <c r="F58" s="174"/>
      <c r="G58" s="174"/>
      <c r="H58" s="174"/>
      <c r="I58" s="174"/>
      <c r="J58" s="174"/>
      <c r="K58" s="174"/>
      <c r="L58" s="174"/>
      <c r="M58" s="174"/>
      <c r="N58" s="174"/>
      <c r="O58" s="174"/>
      <c r="P58" s="174"/>
      <c r="Q58" s="174"/>
      <c r="R58" s="174"/>
      <c r="S58" s="174"/>
      <c r="T58" s="174"/>
      <c r="U58" s="174"/>
      <c r="V58" s="174"/>
      <c r="W58" s="174"/>
      <c r="X58" s="174"/>
      <c r="Y58" s="174"/>
      <c r="Z58" s="174"/>
      <c r="AA58" s="174"/>
      <c r="AB58" s="174"/>
      <c r="AC58" s="174"/>
      <c r="AD58" s="174"/>
      <c r="AE58" s="174"/>
      <c r="AF58" s="174"/>
      <c r="AG58" s="174"/>
      <c r="AH58" s="174"/>
      <c r="AI58" s="174"/>
      <c r="AJ58" s="174"/>
      <c r="AK58" s="174"/>
      <c r="AL58" s="174"/>
      <c r="AM58" s="174"/>
      <c r="AN58" s="174"/>
      <c r="AO58" s="174"/>
      <c r="AP58" s="174"/>
      <c r="AQ58" s="174"/>
      <c r="AR58" s="174"/>
      <c r="AS58" s="174"/>
      <c r="AT58" s="174"/>
      <c r="AU58" s="174"/>
      <c r="AV58" s="174"/>
      <c r="AW58" s="174"/>
      <c r="AX58" s="174"/>
      <c r="AY58" s="174"/>
      <c r="AZ58" s="174"/>
      <c r="BA58" s="174"/>
      <c r="BB58" s="174"/>
      <c r="BC58" s="174"/>
      <c r="BD58" s="174"/>
      <c r="BE58" s="174"/>
      <c r="BF58" s="174"/>
      <c r="BG58" s="174"/>
      <c r="BH58" s="174"/>
      <c r="BI58" s="174"/>
      <c r="BJ58" s="174"/>
      <c r="BK58" s="174"/>
      <c r="BL58" s="174"/>
      <c r="BM58" s="174"/>
      <c r="BN58" s="174"/>
      <c r="BO58" s="174"/>
      <c r="BP58" s="174"/>
      <c r="BQ58" s="174"/>
      <c r="BR58" s="174"/>
      <c r="BS58" s="174"/>
      <c r="BT58" s="174"/>
      <c r="BU58" s="174"/>
      <c r="BV58" s="174"/>
      <c r="BW58" s="174"/>
      <c r="BX58" s="174"/>
      <c r="BY58" s="174"/>
      <c r="BZ58" s="174"/>
      <c r="CA58" s="174"/>
      <c r="CB58" s="174"/>
      <c r="CC58" s="174"/>
      <c r="CD58" s="174"/>
      <c r="CE58" s="174"/>
      <c r="CF58" s="174"/>
      <c r="CG58" s="174"/>
      <c r="CH58" s="174"/>
      <c r="CI58" s="174"/>
      <c r="CJ58" s="174"/>
      <c r="CK58" s="174"/>
      <c r="CL58" s="174"/>
      <c r="CM58" s="174"/>
      <c r="CN58" s="174"/>
      <c r="CO58" s="174"/>
      <c r="CP58" s="174"/>
      <c r="CQ58" s="174"/>
      <c r="CR58" s="174"/>
      <c r="CS58" s="174"/>
      <c r="CT58" s="174"/>
      <c r="CU58" s="174"/>
      <c r="CV58" s="174"/>
      <c r="CW58" s="174"/>
      <c r="CX58" s="174"/>
      <c r="CY58" s="174"/>
      <c r="CZ58" s="174"/>
      <c r="DA58" s="174"/>
      <c r="DB58" s="174"/>
      <c r="DC58" s="174"/>
      <c r="DD58" s="174"/>
      <c r="DE58" s="174"/>
      <c r="DF58" s="174"/>
      <c r="DG58" s="174"/>
      <c r="DH58" s="174"/>
      <c r="DI58" s="174"/>
      <c r="DJ58" s="174"/>
      <c r="DK58" s="174"/>
      <c r="DL58" s="174"/>
      <c r="DM58" s="174"/>
      <c r="DN58" s="174"/>
      <c r="DO58" s="174"/>
      <c r="DP58" s="174"/>
      <c r="DQ58" s="174"/>
      <c r="DR58" s="174"/>
      <c r="DS58" s="174"/>
      <c r="DT58" s="174"/>
      <c r="DU58" s="174"/>
      <c r="DV58" s="174"/>
      <c r="DW58" s="174"/>
      <c r="DX58" s="174"/>
      <c r="DY58" s="174"/>
      <c r="DZ58" s="174"/>
      <c r="EA58" s="174"/>
      <c r="EB58" s="174"/>
      <c r="EC58" s="174"/>
      <c r="ED58" s="174"/>
      <c r="EE58" s="174"/>
      <c r="EF58" s="174"/>
      <c r="EG58" s="174"/>
      <c r="EH58" s="174"/>
      <c r="EI58" s="174"/>
      <c r="EJ58" s="174"/>
      <c r="EK58" s="174"/>
      <c r="EL58" s="174"/>
      <c r="EM58" s="174"/>
      <c r="EN58" s="174"/>
      <c r="EO58" s="174"/>
      <c r="EP58" s="174"/>
      <c r="EQ58" s="174"/>
      <c r="ER58" s="174"/>
      <c r="ES58" s="174"/>
      <c r="ET58" s="174"/>
      <c r="EU58" s="174"/>
      <c r="EV58" s="174"/>
      <c r="EW58" s="174"/>
      <c r="EX58" s="174"/>
      <c r="EY58" s="174"/>
      <c r="EZ58" s="174"/>
      <c r="FA58" s="174"/>
      <c r="FB58" s="174"/>
      <c r="FC58" s="174"/>
      <c r="FD58" s="174"/>
      <c r="FE58" s="174"/>
      <c r="FF58" s="174"/>
      <c r="FG58" s="174"/>
      <c r="FH58" s="174"/>
      <c r="FI58" s="174"/>
      <c r="FJ58" s="174"/>
      <c r="FK58" s="174"/>
      <c r="FL58" s="174"/>
      <c r="FM58" s="174"/>
      <c r="FN58" s="174"/>
      <c r="FO58" s="174"/>
      <c r="FP58" s="174"/>
      <c r="FQ58" s="174"/>
      <c r="FR58" s="174"/>
      <c r="FS58" s="174"/>
      <c r="FT58" s="174"/>
      <c r="FU58" s="174"/>
      <c r="FV58" s="174"/>
      <c r="FW58" s="174"/>
      <c r="FX58" s="174"/>
      <c r="FY58" s="174"/>
      <c r="FZ58" s="174"/>
      <c r="GA58" s="174"/>
      <c r="GB58" s="174"/>
      <c r="GC58" s="174"/>
      <c r="GD58" s="174"/>
      <c r="GE58" s="174"/>
      <c r="GF58" s="174"/>
      <c r="GG58" s="174"/>
      <c r="GH58" s="174"/>
      <c r="GI58" s="174"/>
      <c r="GJ58" s="174"/>
      <c r="GK58" s="174"/>
      <c r="GL58" s="174"/>
      <c r="GM58" s="174"/>
      <c r="GN58" s="174"/>
      <c r="GO58" s="174"/>
      <c r="GP58" s="174"/>
      <c r="GQ58" s="174"/>
      <c r="GR58" s="174"/>
      <c r="GS58" s="174"/>
      <c r="GT58" s="174"/>
      <c r="GU58" s="174"/>
      <c r="GV58" s="174"/>
      <c r="GW58" s="174"/>
      <c r="GX58" s="174"/>
      <c r="GY58" s="174"/>
      <c r="GZ58" s="174"/>
      <c r="HA58" s="174"/>
      <c r="HB58" s="174"/>
      <c r="HC58" s="174"/>
      <c r="HD58" s="174"/>
      <c r="HE58" s="174"/>
      <c r="HF58" s="174"/>
      <c r="HG58" s="174"/>
      <c r="HH58" s="174"/>
      <c r="HI58" s="174"/>
      <c r="HJ58" s="174"/>
      <c r="HK58" s="174"/>
      <c r="HL58" s="174"/>
      <c r="HM58" s="174"/>
      <c r="HN58" s="174"/>
      <c r="HO58" s="174"/>
      <c r="HP58" s="174"/>
      <c r="HQ58" s="174"/>
      <c r="HR58" s="174"/>
      <c r="HS58" s="174"/>
      <c r="HT58" s="174"/>
      <c r="HU58" s="174"/>
      <c r="HV58" s="174"/>
      <c r="HW58" s="174"/>
      <c r="HX58" s="174"/>
      <c r="HY58" s="174"/>
      <c r="HZ58" s="174"/>
      <c r="IA58" s="174"/>
      <c r="IB58" s="174"/>
      <c r="IC58" s="174"/>
      <c r="ID58" s="174"/>
      <c r="IE58" s="174"/>
      <c r="IF58" s="174"/>
      <c r="IG58" s="174"/>
      <c r="IH58" s="174"/>
      <c r="II58" s="174"/>
      <c r="IJ58" s="174"/>
      <c r="IK58" s="174"/>
      <c r="IL58" s="174"/>
      <c r="IM58" s="174"/>
      <c r="IN58" s="174"/>
      <c r="IO58" s="174"/>
      <c r="IP58" s="174"/>
      <c r="IQ58" s="174"/>
      <c r="IR58" s="174"/>
      <c r="IS58" s="174"/>
      <c r="IT58" s="174"/>
      <c r="IU58" s="75"/>
      <c r="IV58" s="75"/>
      <c r="IW58" s="75"/>
      <c r="IX58" s="75"/>
      <c r="IY58" s="75"/>
      <c r="IZ58" s="75"/>
      <c r="JA58" s="75"/>
      <c r="JB58" s="75"/>
      <c r="JC58" s="75"/>
      <c r="JD58" s="75"/>
      <c r="JF58" s="710"/>
      <c r="JG58" s="710"/>
      <c r="JH58" s="178">
        <f t="shared" si="1"/>
        <v>0</v>
      </c>
      <c r="JI58" s="174">
        <f t="shared" si="2"/>
        <v>0</v>
      </c>
    </row>
    <row r="59" spans="2:269" ht="15" customHeight="1" x14ac:dyDescent="0.25">
      <c r="B59" s="113">
        <v>56</v>
      </c>
      <c r="C59" s="353" t="str">
        <f t="shared" si="5"/>
        <v>KEY-E</v>
      </c>
      <c r="D59" s="353" t="str">
        <f t="shared" si="6"/>
        <v/>
      </c>
      <c r="E59" s="174">
        <v>4</v>
      </c>
      <c r="F59" s="174">
        <v>6</v>
      </c>
      <c r="G59" s="174">
        <v>4</v>
      </c>
      <c r="H59" s="174">
        <v>6</v>
      </c>
      <c r="I59" s="174">
        <v>2</v>
      </c>
      <c r="J59" s="174">
        <v>2</v>
      </c>
      <c r="K59" s="174"/>
      <c r="L59" s="174"/>
      <c r="M59" s="174"/>
      <c r="N59" s="174">
        <v>2</v>
      </c>
      <c r="O59" s="174">
        <v>4</v>
      </c>
      <c r="P59" s="174">
        <v>6</v>
      </c>
      <c r="Q59" s="174">
        <v>1</v>
      </c>
      <c r="R59" s="174">
        <v>2</v>
      </c>
      <c r="S59" s="174">
        <v>3</v>
      </c>
      <c r="T59" s="174"/>
      <c r="U59" s="174"/>
      <c r="V59" s="174"/>
      <c r="W59" s="174"/>
      <c r="X59" s="174"/>
      <c r="Y59" s="174">
        <v>4</v>
      </c>
      <c r="Z59" s="174"/>
      <c r="AA59" s="174">
        <v>2</v>
      </c>
      <c r="AB59" s="174"/>
      <c r="AC59" s="174"/>
      <c r="AD59" s="174"/>
      <c r="AE59" s="174"/>
      <c r="AF59" s="174"/>
      <c r="AG59" s="174"/>
      <c r="AH59" s="174">
        <v>4</v>
      </c>
      <c r="AI59" s="174"/>
      <c r="AJ59" s="174">
        <v>2</v>
      </c>
      <c r="AK59" s="174">
        <v>2</v>
      </c>
      <c r="AL59" s="174"/>
      <c r="AM59" s="174"/>
      <c r="AN59" s="174"/>
      <c r="AO59" s="174"/>
      <c r="AP59" s="174"/>
      <c r="AQ59" s="174">
        <v>2</v>
      </c>
      <c r="AR59" s="174"/>
      <c r="AS59" s="174"/>
      <c r="AT59" s="174"/>
      <c r="AU59" s="174"/>
      <c r="AV59" s="174"/>
      <c r="AW59" s="174"/>
      <c r="AX59" s="174"/>
      <c r="AY59" s="174"/>
      <c r="AZ59" s="174"/>
      <c r="BA59" s="174"/>
      <c r="BB59" s="174"/>
      <c r="BC59" s="174"/>
      <c r="BD59" s="174"/>
      <c r="BE59" s="174"/>
      <c r="BF59" s="174"/>
      <c r="BG59" s="174"/>
      <c r="BH59" s="174"/>
      <c r="BI59" s="174"/>
      <c r="BJ59" s="174"/>
      <c r="BK59" s="174"/>
      <c r="BL59" s="174"/>
      <c r="BM59" s="174"/>
      <c r="BN59" s="174"/>
      <c r="BO59" s="174"/>
      <c r="BP59" s="174"/>
      <c r="BQ59" s="174"/>
      <c r="BR59" s="174"/>
      <c r="BS59" s="174"/>
      <c r="BT59" s="174"/>
      <c r="BU59" s="174"/>
      <c r="BV59" s="174"/>
      <c r="BW59" s="174"/>
      <c r="BX59" s="174"/>
      <c r="BY59" s="174"/>
      <c r="BZ59" s="174"/>
      <c r="CA59" s="174"/>
      <c r="CB59" s="174"/>
      <c r="CC59" s="174"/>
      <c r="CD59" s="174"/>
      <c r="CE59" s="174"/>
      <c r="CF59" s="174"/>
      <c r="CG59" s="174"/>
      <c r="CH59" s="174"/>
      <c r="CI59" s="174"/>
      <c r="CJ59" s="174"/>
      <c r="CK59" s="174"/>
      <c r="CL59" s="174"/>
      <c r="CM59" s="174"/>
      <c r="CN59" s="174"/>
      <c r="CO59" s="174"/>
      <c r="CP59" s="174"/>
      <c r="CQ59" s="174"/>
      <c r="CR59" s="174"/>
      <c r="CS59" s="174"/>
      <c r="CT59" s="174"/>
      <c r="CU59" s="174"/>
      <c r="CV59" s="174"/>
      <c r="CW59" s="174"/>
      <c r="CX59" s="174"/>
      <c r="CY59" s="174"/>
      <c r="CZ59" s="174"/>
      <c r="DA59" s="174"/>
      <c r="DB59" s="174"/>
      <c r="DC59" s="174"/>
      <c r="DD59" s="174"/>
      <c r="DE59" s="174"/>
      <c r="DF59" s="174"/>
      <c r="DG59" s="174"/>
      <c r="DH59" s="174"/>
      <c r="DI59" s="174"/>
      <c r="DJ59" s="174"/>
      <c r="DK59" s="174"/>
      <c r="DL59" s="174"/>
      <c r="DM59" s="174"/>
      <c r="DN59" s="174"/>
      <c r="DO59" s="174"/>
      <c r="DP59" s="174"/>
      <c r="DQ59" s="174"/>
      <c r="DR59" s="174"/>
      <c r="DS59" s="174"/>
      <c r="DT59" s="174"/>
      <c r="DU59" s="174"/>
      <c r="DV59" s="174"/>
      <c r="DW59" s="174"/>
      <c r="DX59" s="174"/>
      <c r="DY59" s="174"/>
      <c r="DZ59" s="174"/>
      <c r="EA59" s="174"/>
      <c r="EB59" s="174"/>
      <c r="EC59" s="174"/>
      <c r="ED59" s="174"/>
      <c r="EE59" s="174"/>
      <c r="EF59" s="174"/>
      <c r="EG59" s="174"/>
      <c r="EH59" s="174"/>
      <c r="EI59" s="174"/>
      <c r="EJ59" s="174"/>
      <c r="EK59" s="174"/>
      <c r="EL59" s="174"/>
      <c r="EM59" s="174"/>
      <c r="EN59" s="174"/>
      <c r="EO59" s="174"/>
      <c r="EP59" s="174"/>
      <c r="EQ59" s="174"/>
      <c r="ER59" s="174"/>
      <c r="ES59" s="174"/>
      <c r="ET59" s="174"/>
      <c r="EU59" s="174"/>
      <c r="EV59" s="174"/>
      <c r="EW59" s="174"/>
      <c r="EX59" s="174"/>
      <c r="EY59" s="174"/>
      <c r="EZ59" s="174"/>
      <c r="FA59" s="174"/>
      <c r="FB59" s="174"/>
      <c r="FC59" s="174"/>
      <c r="FD59" s="174"/>
      <c r="FE59" s="174"/>
      <c r="FF59" s="174"/>
      <c r="FG59" s="174"/>
      <c r="FH59" s="174"/>
      <c r="FI59" s="174"/>
      <c r="FJ59" s="174"/>
      <c r="FK59" s="174"/>
      <c r="FL59" s="174"/>
      <c r="FM59" s="174"/>
      <c r="FN59" s="174"/>
      <c r="FO59" s="174"/>
      <c r="FP59" s="174"/>
      <c r="FQ59" s="174"/>
      <c r="FR59" s="174"/>
      <c r="FS59" s="174"/>
      <c r="FT59" s="174"/>
      <c r="FU59" s="174"/>
      <c r="FV59" s="174"/>
      <c r="FW59" s="174"/>
      <c r="FX59" s="174"/>
      <c r="FY59" s="174"/>
      <c r="FZ59" s="174"/>
      <c r="GA59" s="174"/>
      <c r="GB59" s="174"/>
      <c r="GC59" s="174"/>
      <c r="GD59" s="174"/>
      <c r="GE59" s="174"/>
      <c r="GF59" s="174"/>
      <c r="GG59" s="174"/>
      <c r="GH59" s="174"/>
      <c r="GI59" s="174"/>
      <c r="GJ59" s="174"/>
      <c r="GK59" s="174"/>
      <c r="GL59" s="174"/>
      <c r="GM59" s="174"/>
      <c r="GN59" s="174"/>
      <c r="GO59" s="174"/>
      <c r="GP59" s="174"/>
      <c r="GQ59" s="174"/>
      <c r="GR59" s="174"/>
      <c r="GS59" s="174"/>
      <c r="GT59" s="174"/>
      <c r="GU59" s="174"/>
      <c r="GV59" s="174"/>
      <c r="GW59" s="174"/>
      <c r="GX59" s="174"/>
      <c r="GY59" s="174"/>
      <c r="GZ59" s="174"/>
      <c r="HA59" s="174"/>
      <c r="HB59" s="174"/>
      <c r="HC59" s="174"/>
      <c r="HD59" s="174"/>
      <c r="HE59" s="174"/>
      <c r="HF59" s="174"/>
      <c r="HG59" s="174"/>
      <c r="HH59" s="174"/>
      <c r="HI59" s="174"/>
      <c r="HJ59" s="174"/>
      <c r="HK59" s="174"/>
      <c r="HL59" s="174"/>
      <c r="HM59" s="174"/>
      <c r="HN59" s="174"/>
      <c r="HO59" s="174"/>
      <c r="HP59" s="174"/>
      <c r="HQ59" s="174"/>
      <c r="HR59" s="174"/>
      <c r="HS59" s="174"/>
      <c r="HT59" s="174"/>
      <c r="HU59" s="174"/>
      <c r="HV59" s="174"/>
      <c r="HW59" s="174"/>
      <c r="HX59" s="174"/>
      <c r="HY59" s="174"/>
      <c r="HZ59" s="174"/>
      <c r="IA59" s="174"/>
      <c r="IB59" s="174"/>
      <c r="IC59" s="174"/>
      <c r="ID59" s="174"/>
      <c r="IE59" s="174"/>
      <c r="IF59" s="174"/>
      <c r="IG59" s="174"/>
      <c r="IH59" s="174"/>
      <c r="II59" s="174"/>
      <c r="IJ59" s="174"/>
      <c r="IK59" s="174"/>
      <c r="IL59" s="174"/>
      <c r="IM59" s="174"/>
      <c r="IN59" s="174"/>
      <c r="IO59" s="174"/>
      <c r="IP59" s="174"/>
      <c r="IQ59" s="174"/>
      <c r="IR59" s="174"/>
      <c r="IS59" s="174"/>
      <c r="IT59" s="174"/>
      <c r="IU59" s="75"/>
      <c r="IV59" s="75"/>
      <c r="IW59" s="75"/>
      <c r="IX59" s="75"/>
      <c r="IY59" s="75"/>
      <c r="IZ59" s="75"/>
      <c r="JA59" s="75"/>
      <c r="JB59" s="75"/>
      <c r="JC59" s="75"/>
      <c r="JD59" s="75"/>
      <c r="JF59" s="710" t="s">
        <v>642</v>
      </c>
      <c r="JG59" s="710"/>
      <c r="JH59" s="178">
        <f t="shared" si="1"/>
        <v>234.67500000000004</v>
      </c>
      <c r="JI59" s="174">
        <f t="shared" si="2"/>
        <v>0</v>
      </c>
    </row>
    <row r="60" spans="2:269" ht="15" customHeight="1" x14ac:dyDescent="0.25">
      <c r="B60" s="113">
        <v>57</v>
      </c>
      <c r="C60" s="353" t="str">
        <f t="shared" si="5"/>
        <v>FMS-10</v>
      </c>
      <c r="D60" s="353" t="str">
        <f t="shared" si="6"/>
        <v>bloco de testes</v>
      </c>
      <c r="E60" s="174">
        <v>4</v>
      </c>
      <c r="F60" s="174">
        <v>10</v>
      </c>
      <c r="G60" s="174">
        <v>4</v>
      </c>
      <c r="H60" s="174">
        <v>10</v>
      </c>
      <c r="I60" s="174">
        <v>1</v>
      </c>
      <c r="J60" s="174">
        <v>15</v>
      </c>
      <c r="K60" s="174">
        <v>8</v>
      </c>
      <c r="L60" s="174">
        <v>12</v>
      </c>
      <c r="M60" s="174">
        <v>16</v>
      </c>
      <c r="N60" s="174">
        <v>7</v>
      </c>
      <c r="O60" s="174">
        <v>4</v>
      </c>
      <c r="P60" s="174">
        <v>8</v>
      </c>
      <c r="Q60" s="174"/>
      <c r="R60" s="174">
        <v>10</v>
      </c>
      <c r="S60" s="174">
        <v>4</v>
      </c>
      <c r="T60" s="174">
        <v>8</v>
      </c>
      <c r="U60" s="174">
        <v>10</v>
      </c>
      <c r="V60" s="174">
        <v>12</v>
      </c>
      <c r="W60" s="174">
        <v>16</v>
      </c>
      <c r="X60" s="174">
        <v>20</v>
      </c>
      <c r="Y60" s="174">
        <v>4</v>
      </c>
      <c r="Z60" s="174"/>
      <c r="AA60" s="174">
        <v>10</v>
      </c>
      <c r="AB60" s="174">
        <v>4</v>
      </c>
      <c r="AC60" s="174">
        <v>5</v>
      </c>
      <c r="AD60" s="174">
        <v>6</v>
      </c>
      <c r="AE60" s="174">
        <v>8</v>
      </c>
      <c r="AF60" s="174">
        <v>10</v>
      </c>
      <c r="AG60" s="174">
        <v>1</v>
      </c>
      <c r="AH60" s="174">
        <v>3</v>
      </c>
      <c r="AI60" s="174"/>
      <c r="AJ60" s="174">
        <v>5</v>
      </c>
      <c r="AK60" s="174">
        <v>2</v>
      </c>
      <c r="AL60" s="174"/>
      <c r="AM60" s="174"/>
      <c r="AN60" s="174"/>
      <c r="AO60" s="174"/>
      <c r="AP60" s="174"/>
      <c r="AQ60" s="174">
        <v>1</v>
      </c>
      <c r="AR60" s="174">
        <v>1</v>
      </c>
      <c r="AS60" s="174"/>
      <c r="AT60" s="174"/>
      <c r="AU60" s="174"/>
      <c r="AV60" s="174"/>
      <c r="AW60" s="174"/>
      <c r="AX60" s="174"/>
      <c r="AY60" s="174"/>
      <c r="AZ60" s="174"/>
      <c r="BA60" s="174"/>
      <c r="BB60" s="174"/>
      <c r="BC60" s="174"/>
      <c r="BD60" s="174"/>
      <c r="BE60" s="174"/>
      <c r="BF60" s="174"/>
      <c r="BG60" s="174"/>
      <c r="BH60" s="174"/>
      <c r="BI60" s="174"/>
      <c r="BJ60" s="174"/>
      <c r="BK60" s="174"/>
      <c r="BL60" s="174"/>
      <c r="BM60" s="174"/>
      <c r="BN60" s="174"/>
      <c r="BO60" s="174"/>
      <c r="BP60" s="174"/>
      <c r="BQ60" s="174"/>
      <c r="BR60" s="174"/>
      <c r="BS60" s="174"/>
      <c r="BT60" s="174"/>
      <c r="BU60" s="174"/>
      <c r="BV60" s="174"/>
      <c r="BW60" s="174"/>
      <c r="BX60" s="174"/>
      <c r="BY60" s="174"/>
      <c r="BZ60" s="174"/>
      <c r="CA60" s="174"/>
      <c r="CB60" s="174"/>
      <c r="CC60" s="174"/>
      <c r="CD60" s="174"/>
      <c r="CE60" s="174"/>
      <c r="CF60" s="174"/>
      <c r="CG60" s="174"/>
      <c r="CH60" s="174"/>
      <c r="CI60" s="174"/>
      <c r="CJ60" s="174"/>
      <c r="CK60" s="174"/>
      <c r="CL60" s="174"/>
      <c r="CM60" s="174"/>
      <c r="CN60" s="174"/>
      <c r="CO60" s="174"/>
      <c r="CP60" s="174"/>
      <c r="CQ60" s="174"/>
      <c r="CR60" s="174"/>
      <c r="CS60" s="174"/>
      <c r="CT60" s="174"/>
      <c r="CU60" s="174"/>
      <c r="CV60" s="174"/>
      <c r="CW60" s="174"/>
      <c r="CX60" s="174"/>
      <c r="CY60" s="174"/>
      <c r="CZ60" s="174"/>
      <c r="DA60" s="174"/>
      <c r="DB60" s="174"/>
      <c r="DC60" s="174"/>
      <c r="DD60" s="174"/>
      <c r="DE60" s="174"/>
      <c r="DF60" s="174"/>
      <c r="DG60" s="174"/>
      <c r="DH60" s="174"/>
      <c r="DI60" s="174"/>
      <c r="DJ60" s="174"/>
      <c r="DK60" s="174"/>
      <c r="DL60" s="174"/>
      <c r="DM60" s="174"/>
      <c r="DN60" s="174"/>
      <c r="DO60" s="174"/>
      <c r="DP60" s="174"/>
      <c r="DQ60" s="174"/>
      <c r="DR60" s="174"/>
      <c r="DS60" s="174"/>
      <c r="DT60" s="174"/>
      <c r="DU60" s="174"/>
      <c r="DV60" s="174"/>
      <c r="DW60" s="174"/>
      <c r="DX60" s="174"/>
      <c r="DY60" s="174"/>
      <c r="DZ60" s="174"/>
      <c r="EA60" s="174"/>
      <c r="EB60" s="174"/>
      <c r="EC60" s="174"/>
      <c r="ED60" s="174"/>
      <c r="EE60" s="174"/>
      <c r="EF60" s="174"/>
      <c r="EG60" s="174"/>
      <c r="EH60" s="174"/>
      <c r="EI60" s="174"/>
      <c r="EJ60" s="174"/>
      <c r="EK60" s="174"/>
      <c r="EL60" s="174"/>
      <c r="EM60" s="174"/>
      <c r="EN60" s="174"/>
      <c r="EO60" s="174"/>
      <c r="EP60" s="174"/>
      <c r="EQ60" s="174"/>
      <c r="ER60" s="174"/>
      <c r="ES60" s="174"/>
      <c r="ET60" s="174"/>
      <c r="EU60" s="174"/>
      <c r="EV60" s="174"/>
      <c r="EW60" s="174"/>
      <c r="EX60" s="174"/>
      <c r="EY60" s="174"/>
      <c r="EZ60" s="174"/>
      <c r="FA60" s="174"/>
      <c r="FB60" s="174"/>
      <c r="FC60" s="174"/>
      <c r="FD60" s="174"/>
      <c r="FE60" s="174"/>
      <c r="FF60" s="174"/>
      <c r="FG60" s="174"/>
      <c r="FH60" s="174"/>
      <c r="FI60" s="174"/>
      <c r="FJ60" s="174"/>
      <c r="FK60" s="174"/>
      <c r="FL60" s="174"/>
      <c r="FM60" s="174"/>
      <c r="FN60" s="174"/>
      <c r="FO60" s="174"/>
      <c r="FP60" s="174"/>
      <c r="FQ60" s="174"/>
      <c r="FR60" s="174"/>
      <c r="FS60" s="174"/>
      <c r="FT60" s="174"/>
      <c r="FU60" s="174"/>
      <c r="FV60" s="174"/>
      <c r="FW60" s="174"/>
      <c r="FX60" s="174"/>
      <c r="FY60" s="174"/>
      <c r="FZ60" s="174"/>
      <c r="GA60" s="174"/>
      <c r="GB60" s="174"/>
      <c r="GC60" s="174"/>
      <c r="GD60" s="174"/>
      <c r="GE60" s="174"/>
      <c r="GF60" s="174"/>
      <c r="GG60" s="174"/>
      <c r="GH60" s="174"/>
      <c r="GI60" s="174"/>
      <c r="GJ60" s="174"/>
      <c r="GK60" s="174"/>
      <c r="GL60" s="174"/>
      <c r="GM60" s="174"/>
      <c r="GN60" s="174"/>
      <c r="GO60" s="174"/>
      <c r="GP60" s="174"/>
      <c r="GQ60" s="174"/>
      <c r="GR60" s="174"/>
      <c r="GS60" s="174"/>
      <c r="GT60" s="174"/>
      <c r="GU60" s="174"/>
      <c r="GV60" s="174"/>
      <c r="GW60" s="174"/>
      <c r="GX60" s="174"/>
      <c r="GY60" s="174"/>
      <c r="GZ60" s="174"/>
      <c r="HA60" s="174"/>
      <c r="HB60" s="174"/>
      <c r="HC60" s="174"/>
      <c r="HD60" s="174"/>
      <c r="HE60" s="174"/>
      <c r="HF60" s="174"/>
      <c r="HG60" s="174"/>
      <c r="HH60" s="174"/>
      <c r="HI60" s="174"/>
      <c r="HJ60" s="174"/>
      <c r="HK60" s="174"/>
      <c r="HL60" s="174"/>
      <c r="HM60" s="174"/>
      <c r="HN60" s="174"/>
      <c r="HO60" s="174"/>
      <c r="HP60" s="174"/>
      <c r="HQ60" s="174"/>
      <c r="HR60" s="174"/>
      <c r="HS60" s="174"/>
      <c r="HT60" s="174"/>
      <c r="HU60" s="174"/>
      <c r="HV60" s="174"/>
      <c r="HW60" s="174"/>
      <c r="HX60" s="174"/>
      <c r="HY60" s="174"/>
      <c r="HZ60" s="174"/>
      <c r="IA60" s="174"/>
      <c r="IB60" s="174"/>
      <c r="IC60" s="174"/>
      <c r="ID60" s="174"/>
      <c r="IE60" s="174"/>
      <c r="IF60" s="174"/>
      <c r="IG60" s="174"/>
      <c r="IH60" s="174"/>
      <c r="II60" s="174"/>
      <c r="IJ60" s="174"/>
      <c r="IK60" s="174"/>
      <c r="IL60" s="174"/>
      <c r="IM60" s="174"/>
      <c r="IN60" s="174"/>
      <c r="IO60" s="174"/>
      <c r="IP60" s="174"/>
      <c r="IQ60" s="174"/>
      <c r="IR60" s="174"/>
      <c r="IS60" s="174"/>
      <c r="IT60" s="174"/>
      <c r="IU60" s="75"/>
      <c r="IV60" s="75"/>
      <c r="IW60" s="75"/>
      <c r="IX60" s="75"/>
      <c r="IY60" s="75"/>
      <c r="IZ60" s="75"/>
      <c r="JA60" s="75"/>
      <c r="JB60" s="75"/>
      <c r="JC60" s="75"/>
      <c r="JD60" s="75"/>
      <c r="JF60" s="710" t="s">
        <v>978</v>
      </c>
      <c r="JG60" s="710" t="s">
        <v>931</v>
      </c>
      <c r="JH60" s="178">
        <f t="shared" si="1"/>
        <v>1587.0804000000001</v>
      </c>
      <c r="JI60" s="174">
        <f t="shared" si="2"/>
        <v>0</v>
      </c>
    </row>
    <row r="61" spans="2:269" ht="15" customHeight="1" x14ac:dyDescent="0.25">
      <c r="B61" s="113">
        <v>58</v>
      </c>
      <c r="C61" s="353" t="str">
        <f t="shared" si="5"/>
        <v>Finder 22.64</v>
      </c>
      <c r="D61" s="353" t="str">
        <f t="shared" si="6"/>
        <v/>
      </c>
      <c r="E61" s="174">
        <v>6</v>
      </c>
      <c r="F61" s="174">
        <v>6</v>
      </c>
      <c r="G61" s="174">
        <v>6</v>
      </c>
      <c r="H61" s="174">
        <v>6</v>
      </c>
      <c r="I61" s="174">
        <v>6</v>
      </c>
      <c r="J61" s="174">
        <v>12</v>
      </c>
      <c r="K61" s="174"/>
      <c r="L61" s="174"/>
      <c r="M61" s="174"/>
      <c r="N61" s="174">
        <v>6</v>
      </c>
      <c r="O61" s="174">
        <v>6</v>
      </c>
      <c r="P61" s="174">
        <v>6</v>
      </c>
      <c r="Q61" s="174">
        <v>6</v>
      </c>
      <c r="R61" s="174">
        <v>8</v>
      </c>
      <c r="S61" s="174">
        <v>6</v>
      </c>
      <c r="T61" s="174"/>
      <c r="U61" s="174"/>
      <c r="V61" s="174"/>
      <c r="W61" s="174"/>
      <c r="X61" s="174"/>
      <c r="Y61" s="174">
        <v>2</v>
      </c>
      <c r="Z61" s="174">
        <v>2</v>
      </c>
      <c r="AA61" s="174">
        <v>4</v>
      </c>
      <c r="AB61" s="174"/>
      <c r="AC61" s="174"/>
      <c r="AD61" s="174"/>
      <c r="AE61" s="174"/>
      <c r="AF61" s="174"/>
      <c r="AG61" s="174">
        <v>2</v>
      </c>
      <c r="AH61" s="174">
        <v>2</v>
      </c>
      <c r="AI61" s="174">
        <v>2</v>
      </c>
      <c r="AJ61" s="174">
        <v>2</v>
      </c>
      <c r="AK61" s="174"/>
      <c r="AL61" s="174"/>
      <c r="AM61" s="174"/>
      <c r="AN61" s="174"/>
      <c r="AO61" s="174"/>
      <c r="AP61" s="174"/>
      <c r="AQ61" s="174">
        <v>2</v>
      </c>
      <c r="AR61" s="174"/>
      <c r="AS61" s="174"/>
      <c r="AT61" s="174"/>
      <c r="AU61" s="174"/>
      <c r="AV61" s="174"/>
      <c r="AW61" s="174"/>
      <c r="AX61" s="174"/>
      <c r="AY61" s="174"/>
      <c r="AZ61" s="174"/>
      <c r="BA61" s="174"/>
      <c r="BB61" s="174"/>
      <c r="BC61" s="174"/>
      <c r="BD61" s="174"/>
      <c r="BE61" s="174"/>
      <c r="BF61" s="174"/>
      <c r="BG61" s="174"/>
      <c r="BH61" s="174"/>
      <c r="BI61" s="174"/>
      <c r="BJ61" s="174"/>
      <c r="BK61" s="174"/>
      <c r="BL61" s="174"/>
      <c r="BM61" s="174"/>
      <c r="BN61" s="174"/>
      <c r="BO61" s="174"/>
      <c r="BP61" s="174"/>
      <c r="BQ61" s="174"/>
      <c r="BR61" s="174"/>
      <c r="BS61" s="174"/>
      <c r="BT61" s="174"/>
      <c r="BU61" s="174"/>
      <c r="BV61" s="174"/>
      <c r="BW61" s="174"/>
      <c r="BX61" s="174"/>
      <c r="BY61" s="174"/>
      <c r="BZ61" s="174"/>
      <c r="CA61" s="174"/>
      <c r="CB61" s="174"/>
      <c r="CC61" s="174"/>
      <c r="CD61" s="174"/>
      <c r="CE61" s="174"/>
      <c r="CF61" s="174"/>
      <c r="CG61" s="174"/>
      <c r="CH61" s="174"/>
      <c r="CI61" s="174"/>
      <c r="CJ61" s="174"/>
      <c r="CK61" s="174"/>
      <c r="CL61" s="174"/>
      <c r="CM61" s="174"/>
      <c r="CN61" s="174"/>
      <c r="CO61" s="174"/>
      <c r="CP61" s="174"/>
      <c r="CQ61" s="174"/>
      <c r="CR61" s="174"/>
      <c r="CS61" s="174"/>
      <c r="CT61" s="174"/>
      <c r="CU61" s="174"/>
      <c r="CV61" s="174"/>
      <c r="CW61" s="174"/>
      <c r="CX61" s="174"/>
      <c r="CY61" s="174"/>
      <c r="CZ61" s="174"/>
      <c r="DA61" s="174"/>
      <c r="DB61" s="174"/>
      <c r="DC61" s="174"/>
      <c r="DD61" s="174"/>
      <c r="DE61" s="174"/>
      <c r="DF61" s="174"/>
      <c r="DG61" s="174"/>
      <c r="DH61" s="174"/>
      <c r="DI61" s="174"/>
      <c r="DJ61" s="174"/>
      <c r="DK61" s="174"/>
      <c r="DL61" s="174"/>
      <c r="DM61" s="174"/>
      <c r="DN61" s="174"/>
      <c r="DO61" s="174"/>
      <c r="DP61" s="174"/>
      <c r="DQ61" s="174"/>
      <c r="DR61" s="174"/>
      <c r="DS61" s="174"/>
      <c r="DT61" s="174"/>
      <c r="DU61" s="174"/>
      <c r="DV61" s="174"/>
      <c r="DW61" s="174"/>
      <c r="DX61" s="174"/>
      <c r="DY61" s="174"/>
      <c r="DZ61" s="174"/>
      <c r="EA61" s="174"/>
      <c r="EB61" s="174"/>
      <c r="EC61" s="174"/>
      <c r="ED61" s="174"/>
      <c r="EE61" s="174"/>
      <c r="EF61" s="174"/>
      <c r="EG61" s="174"/>
      <c r="EH61" s="174"/>
      <c r="EI61" s="174"/>
      <c r="EJ61" s="174"/>
      <c r="EK61" s="174"/>
      <c r="EL61" s="174"/>
      <c r="EM61" s="174"/>
      <c r="EN61" s="174"/>
      <c r="EO61" s="174"/>
      <c r="EP61" s="174"/>
      <c r="EQ61" s="174"/>
      <c r="ER61" s="174"/>
      <c r="ES61" s="174"/>
      <c r="ET61" s="174"/>
      <c r="EU61" s="174"/>
      <c r="EV61" s="174"/>
      <c r="EW61" s="174"/>
      <c r="EX61" s="174"/>
      <c r="EY61" s="174"/>
      <c r="EZ61" s="174"/>
      <c r="FA61" s="174"/>
      <c r="FB61" s="174"/>
      <c r="FC61" s="174"/>
      <c r="FD61" s="174"/>
      <c r="FE61" s="174"/>
      <c r="FF61" s="174"/>
      <c r="FG61" s="174"/>
      <c r="FH61" s="174"/>
      <c r="FI61" s="174"/>
      <c r="FJ61" s="174"/>
      <c r="FK61" s="174"/>
      <c r="FL61" s="174"/>
      <c r="FM61" s="174"/>
      <c r="FN61" s="174"/>
      <c r="FO61" s="174"/>
      <c r="FP61" s="174"/>
      <c r="FQ61" s="174"/>
      <c r="FR61" s="174"/>
      <c r="FS61" s="174"/>
      <c r="FT61" s="174"/>
      <c r="FU61" s="174"/>
      <c r="FV61" s="174"/>
      <c r="FW61" s="174"/>
      <c r="FX61" s="174"/>
      <c r="FY61" s="174"/>
      <c r="FZ61" s="174"/>
      <c r="GA61" s="174"/>
      <c r="GB61" s="174"/>
      <c r="GC61" s="174"/>
      <c r="GD61" s="174"/>
      <c r="GE61" s="174"/>
      <c r="GF61" s="174"/>
      <c r="GG61" s="174"/>
      <c r="GH61" s="174"/>
      <c r="GI61" s="174"/>
      <c r="GJ61" s="174"/>
      <c r="GK61" s="174"/>
      <c r="GL61" s="174"/>
      <c r="GM61" s="174"/>
      <c r="GN61" s="174"/>
      <c r="GO61" s="174"/>
      <c r="GP61" s="174"/>
      <c r="GQ61" s="174"/>
      <c r="GR61" s="174"/>
      <c r="GS61" s="174"/>
      <c r="GT61" s="174"/>
      <c r="GU61" s="174"/>
      <c r="GV61" s="174"/>
      <c r="GW61" s="174"/>
      <c r="GX61" s="174"/>
      <c r="GY61" s="174"/>
      <c r="GZ61" s="174"/>
      <c r="HA61" s="174"/>
      <c r="HB61" s="174"/>
      <c r="HC61" s="174"/>
      <c r="HD61" s="174"/>
      <c r="HE61" s="174"/>
      <c r="HF61" s="174"/>
      <c r="HG61" s="174"/>
      <c r="HH61" s="174"/>
      <c r="HI61" s="174"/>
      <c r="HJ61" s="174"/>
      <c r="HK61" s="174"/>
      <c r="HL61" s="174"/>
      <c r="HM61" s="174"/>
      <c r="HN61" s="174"/>
      <c r="HO61" s="174"/>
      <c r="HP61" s="174"/>
      <c r="HQ61" s="174"/>
      <c r="HR61" s="174"/>
      <c r="HS61" s="174"/>
      <c r="HT61" s="174"/>
      <c r="HU61" s="174"/>
      <c r="HV61" s="174"/>
      <c r="HW61" s="174"/>
      <c r="HX61" s="174"/>
      <c r="HY61" s="174"/>
      <c r="HZ61" s="174"/>
      <c r="IA61" s="174"/>
      <c r="IB61" s="174"/>
      <c r="IC61" s="174"/>
      <c r="ID61" s="174"/>
      <c r="IE61" s="174"/>
      <c r="IF61" s="174"/>
      <c r="IG61" s="174"/>
      <c r="IH61" s="174"/>
      <c r="II61" s="174"/>
      <c r="IJ61" s="174"/>
      <c r="IK61" s="174"/>
      <c r="IL61" s="174"/>
      <c r="IM61" s="174"/>
      <c r="IN61" s="174"/>
      <c r="IO61" s="174"/>
      <c r="IP61" s="174"/>
      <c r="IQ61" s="174"/>
      <c r="IR61" s="174"/>
      <c r="IS61" s="174"/>
      <c r="IT61" s="174"/>
      <c r="IU61" s="75"/>
      <c r="IV61" s="75"/>
      <c r="IW61" s="75"/>
      <c r="IX61" s="75"/>
      <c r="IY61" s="75"/>
      <c r="IZ61" s="75"/>
      <c r="JA61" s="75"/>
      <c r="JB61" s="75"/>
      <c r="JC61" s="75"/>
      <c r="JD61" s="75"/>
      <c r="JF61" s="710" t="s">
        <v>610</v>
      </c>
      <c r="JG61" s="710"/>
      <c r="JH61" s="178">
        <f t="shared" si="1"/>
        <v>474.97747500000008</v>
      </c>
      <c r="JI61" s="174">
        <f t="shared" si="2"/>
        <v>0</v>
      </c>
    </row>
    <row r="62" spans="2:269" ht="15" customHeight="1" x14ac:dyDescent="0.25">
      <c r="B62" s="113">
        <v>59</v>
      </c>
      <c r="C62" s="353" t="str">
        <f t="shared" si="5"/>
        <v>Finder RR.14</v>
      </c>
      <c r="D62" s="353" t="str">
        <f t="shared" si="6"/>
        <v/>
      </c>
      <c r="E62" s="174"/>
      <c r="F62" s="174">
        <v>6</v>
      </c>
      <c r="G62" s="174"/>
      <c r="H62" s="174">
        <v>6</v>
      </c>
      <c r="I62" s="174"/>
      <c r="J62" s="174">
        <v>6</v>
      </c>
      <c r="K62" s="174">
        <v>16</v>
      </c>
      <c r="L62" s="174">
        <v>24</v>
      </c>
      <c r="M62" s="174">
        <v>32</v>
      </c>
      <c r="N62" s="174">
        <v>6</v>
      </c>
      <c r="O62" s="174"/>
      <c r="P62" s="174">
        <v>6</v>
      </c>
      <c r="Q62" s="174"/>
      <c r="R62" s="174">
        <v>6</v>
      </c>
      <c r="S62" s="174">
        <v>3</v>
      </c>
      <c r="T62" s="174">
        <v>16</v>
      </c>
      <c r="U62" s="174">
        <v>20</v>
      </c>
      <c r="V62" s="174">
        <v>24</v>
      </c>
      <c r="W62" s="174">
        <v>32</v>
      </c>
      <c r="X62" s="174">
        <v>40</v>
      </c>
      <c r="Y62" s="174"/>
      <c r="Z62" s="174"/>
      <c r="AA62" s="174">
        <v>6</v>
      </c>
      <c r="AB62" s="174">
        <v>8</v>
      </c>
      <c r="AC62" s="174">
        <v>10</v>
      </c>
      <c r="AD62" s="174">
        <v>12</v>
      </c>
      <c r="AE62" s="174">
        <v>16</v>
      </c>
      <c r="AF62" s="174">
        <v>20</v>
      </c>
      <c r="AG62" s="174">
        <v>2</v>
      </c>
      <c r="AH62" s="174"/>
      <c r="AI62" s="174"/>
      <c r="AJ62" s="174">
        <v>3</v>
      </c>
      <c r="AK62" s="174">
        <v>2</v>
      </c>
      <c r="AL62" s="174">
        <v>4</v>
      </c>
      <c r="AM62" s="174">
        <v>5</v>
      </c>
      <c r="AN62" s="174">
        <v>6</v>
      </c>
      <c r="AO62" s="174">
        <v>8</v>
      </c>
      <c r="AP62" s="174">
        <v>10</v>
      </c>
      <c r="AQ62" s="174">
        <v>2</v>
      </c>
      <c r="AR62" s="174"/>
      <c r="AS62" s="174"/>
      <c r="AT62" s="174"/>
      <c r="AU62" s="174"/>
      <c r="AV62" s="174"/>
      <c r="AW62" s="174"/>
      <c r="AX62" s="174"/>
      <c r="AY62" s="174"/>
      <c r="AZ62" s="174"/>
      <c r="BA62" s="174"/>
      <c r="BB62" s="174"/>
      <c r="BC62" s="174"/>
      <c r="BD62" s="174"/>
      <c r="BE62" s="174"/>
      <c r="BF62" s="174"/>
      <c r="BG62" s="174"/>
      <c r="BH62" s="174"/>
      <c r="BI62" s="174"/>
      <c r="BJ62" s="174"/>
      <c r="BK62" s="174"/>
      <c r="BL62" s="174"/>
      <c r="BM62" s="174"/>
      <c r="BN62" s="174"/>
      <c r="BO62" s="174"/>
      <c r="BP62" s="174"/>
      <c r="BQ62" s="174"/>
      <c r="BR62" s="174"/>
      <c r="BS62" s="174"/>
      <c r="BT62" s="174"/>
      <c r="BU62" s="174"/>
      <c r="BV62" s="174"/>
      <c r="BW62" s="174"/>
      <c r="BX62" s="174"/>
      <c r="BY62" s="174"/>
      <c r="BZ62" s="174"/>
      <c r="CA62" s="174"/>
      <c r="CB62" s="174"/>
      <c r="CC62" s="174"/>
      <c r="CD62" s="174"/>
      <c r="CE62" s="174"/>
      <c r="CF62" s="174"/>
      <c r="CG62" s="174"/>
      <c r="CH62" s="174"/>
      <c r="CI62" s="174"/>
      <c r="CJ62" s="174"/>
      <c r="CK62" s="174"/>
      <c r="CL62" s="174"/>
      <c r="CM62" s="174"/>
      <c r="CN62" s="174"/>
      <c r="CO62" s="174"/>
      <c r="CP62" s="174"/>
      <c r="CQ62" s="174"/>
      <c r="CR62" s="174"/>
      <c r="CS62" s="174"/>
      <c r="CT62" s="174"/>
      <c r="CU62" s="174"/>
      <c r="CV62" s="174"/>
      <c r="CW62" s="174"/>
      <c r="CX62" s="174"/>
      <c r="CY62" s="174"/>
      <c r="CZ62" s="174"/>
      <c r="DA62" s="174"/>
      <c r="DB62" s="174"/>
      <c r="DC62" s="174"/>
      <c r="DD62" s="174"/>
      <c r="DE62" s="174"/>
      <c r="DF62" s="174"/>
      <c r="DG62" s="174"/>
      <c r="DH62" s="174"/>
      <c r="DI62" s="174"/>
      <c r="DJ62" s="174"/>
      <c r="DK62" s="174"/>
      <c r="DL62" s="174"/>
      <c r="DM62" s="174"/>
      <c r="DN62" s="174"/>
      <c r="DO62" s="174"/>
      <c r="DP62" s="174"/>
      <c r="DQ62" s="174"/>
      <c r="DR62" s="174"/>
      <c r="DS62" s="174"/>
      <c r="DT62" s="174"/>
      <c r="DU62" s="174"/>
      <c r="DV62" s="174"/>
      <c r="DW62" s="174"/>
      <c r="DX62" s="174"/>
      <c r="DY62" s="174"/>
      <c r="DZ62" s="174"/>
      <c r="EA62" s="174"/>
      <c r="EB62" s="174"/>
      <c r="EC62" s="174"/>
      <c r="ED62" s="174"/>
      <c r="EE62" s="174"/>
      <c r="EF62" s="174"/>
      <c r="EG62" s="174"/>
      <c r="EH62" s="174"/>
      <c r="EI62" s="174"/>
      <c r="EJ62" s="174"/>
      <c r="EK62" s="174"/>
      <c r="EL62" s="174"/>
      <c r="EM62" s="174"/>
      <c r="EN62" s="174"/>
      <c r="EO62" s="174"/>
      <c r="EP62" s="174"/>
      <c r="EQ62" s="174"/>
      <c r="ER62" s="174"/>
      <c r="ES62" s="174"/>
      <c r="ET62" s="174"/>
      <c r="EU62" s="174"/>
      <c r="EV62" s="174"/>
      <c r="EW62" s="174"/>
      <c r="EX62" s="174"/>
      <c r="EY62" s="174"/>
      <c r="EZ62" s="174"/>
      <c r="FA62" s="174"/>
      <c r="FB62" s="174"/>
      <c r="FC62" s="174"/>
      <c r="FD62" s="174"/>
      <c r="FE62" s="174"/>
      <c r="FF62" s="174"/>
      <c r="FG62" s="174"/>
      <c r="FH62" s="174"/>
      <c r="FI62" s="174"/>
      <c r="FJ62" s="174"/>
      <c r="FK62" s="174"/>
      <c r="FL62" s="174"/>
      <c r="FM62" s="174"/>
      <c r="FN62" s="174"/>
      <c r="FO62" s="174"/>
      <c r="FP62" s="174"/>
      <c r="FQ62" s="174"/>
      <c r="FR62" s="174"/>
      <c r="FS62" s="174"/>
      <c r="FT62" s="174"/>
      <c r="FU62" s="174"/>
      <c r="FV62" s="174"/>
      <c r="FW62" s="174"/>
      <c r="FX62" s="174"/>
      <c r="FY62" s="174"/>
      <c r="FZ62" s="174"/>
      <c r="GA62" s="174"/>
      <c r="GB62" s="174"/>
      <c r="GC62" s="174"/>
      <c r="GD62" s="174"/>
      <c r="GE62" s="174"/>
      <c r="GF62" s="174"/>
      <c r="GG62" s="174"/>
      <c r="GH62" s="174"/>
      <c r="GI62" s="174"/>
      <c r="GJ62" s="174"/>
      <c r="GK62" s="174"/>
      <c r="GL62" s="174"/>
      <c r="GM62" s="174"/>
      <c r="GN62" s="174"/>
      <c r="GO62" s="174"/>
      <c r="GP62" s="174"/>
      <c r="GQ62" s="174"/>
      <c r="GR62" s="174"/>
      <c r="GS62" s="174"/>
      <c r="GT62" s="174"/>
      <c r="GU62" s="174"/>
      <c r="GV62" s="174"/>
      <c r="GW62" s="174"/>
      <c r="GX62" s="174"/>
      <c r="GY62" s="174"/>
      <c r="GZ62" s="174"/>
      <c r="HA62" s="174"/>
      <c r="HB62" s="174"/>
      <c r="HC62" s="174"/>
      <c r="HD62" s="174"/>
      <c r="HE62" s="174"/>
      <c r="HF62" s="174"/>
      <c r="HG62" s="174"/>
      <c r="HH62" s="174"/>
      <c r="HI62" s="174"/>
      <c r="HJ62" s="174"/>
      <c r="HK62" s="174"/>
      <c r="HL62" s="174"/>
      <c r="HM62" s="174"/>
      <c r="HN62" s="174"/>
      <c r="HO62" s="174"/>
      <c r="HP62" s="174"/>
      <c r="HQ62" s="174"/>
      <c r="HR62" s="174"/>
      <c r="HS62" s="174"/>
      <c r="HT62" s="174"/>
      <c r="HU62" s="174"/>
      <c r="HV62" s="174"/>
      <c r="HW62" s="174"/>
      <c r="HX62" s="174"/>
      <c r="HY62" s="174"/>
      <c r="HZ62" s="174"/>
      <c r="IA62" s="174"/>
      <c r="IB62" s="174"/>
      <c r="IC62" s="174"/>
      <c r="ID62" s="174"/>
      <c r="IE62" s="174"/>
      <c r="IF62" s="174"/>
      <c r="IG62" s="174"/>
      <c r="IH62" s="174"/>
      <c r="II62" s="174"/>
      <c r="IJ62" s="174"/>
      <c r="IK62" s="174"/>
      <c r="IL62" s="174"/>
      <c r="IM62" s="174"/>
      <c r="IN62" s="174"/>
      <c r="IO62" s="174"/>
      <c r="IP62" s="174"/>
      <c r="IQ62" s="174"/>
      <c r="IR62" s="174"/>
      <c r="IS62" s="174"/>
      <c r="IT62" s="174"/>
      <c r="IU62" s="75"/>
      <c r="IV62" s="75"/>
      <c r="IW62" s="75"/>
      <c r="IX62" s="75"/>
      <c r="IY62" s="75"/>
      <c r="IZ62" s="75"/>
      <c r="JA62" s="75"/>
      <c r="JB62" s="75"/>
      <c r="JC62" s="75"/>
      <c r="JD62" s="75"/>
      <c r="JF62" s="710" t="s">
        <v>605</v>
      </c>
      <c r="JG62" s="710"/>
      <c r="JH62" s="178">
        <f t="shared" si="1"/>
        <v>318.84142500000007</v>
      </c>
      <c r="JI62" s="174">
        <f t="shared" si="2"/>
        <v>0</v>
      </c>
    </row>
    <row r="63" spans="2:269" ht="15" customHeight="1" x14ac:dyDescent="0.25">
      <c r="B63" s="113">
        <v>60</v>
      </c>
      <c r="C63" s="353" t="str">
        <f t="shared" si="5"/>
        <v>Finder RB.14</v>
      </c>
      <c r="D63" s="353" t="str">
        <f t="shared" si="6"/>
        <v/>
      </c>
      <c r="E63" s="174">
        <v>2</v>
      </c>
      <c r="F63" s="174">
        <v>2</v>
      </c>
      <c r="G63" s="174">
        <v>2</v>
      </c>
      <c r="H63" s="174">
        <v>2</v>
      </c>
      <c r="I63" s="174">
        <v>2</v>
      </c>
      <c r="J63" s="174">
        <v>4</v>
      </c>
      <c r="K63" s="174">
        <v>4</v>
      </c>
      <c r="L63" s="174">
        <v>6</v>
      </c>
      <c r="M63" s="174">
        <v>8</v>
      </c>
      <c r="N63" s="174">
        <v>2</v>
      </c>
      <c r="O63" s="174">
        <v>2</v>
      </c>
      <c r="P63" s="174">
        <v>2</v>
      </c>
      <c r="Q63" s="174"/>
      <c r="R63" s="174">
        <v>2</v>
      </c>
      <c r="S63" s="174">
        <v>2</v>
      </c>
      <c r="T63" s="174">
        <v>4</v>
      </c>
      <c r="U63" s="174">
        <v>6</v>
      </c>
      <c r="V63" s="174">
        <v>6</v>
      </c>
      <c r="W63" s="174">
        <v>8</v>
      </c>
      <c r="X63" s="174">
        <v>10</v>
      </c>
      <c r="Y63" s="174">
        <v>1</v>
      </c>
      <c r="Z63" s="174"/>
      <c r="AA63" s="174">
        <v>2</v>
      </c>
      <c r="AB63" s="174">
        <v>2</v>
      </c>
      <c r="AC63" s="174">
        <v>3</v>
      </c>
      <c r="AD63" s="174">
        <v>3</v>
      </c>
      <c r="AE63" s="174">
        <v>4</v>
      </c>
      <c r="AF63" s="174">
        <v>5</v>
      </c>
      <c r="AG63" s="174">
        <v>1</v>
      </c>
      <c r="AH63" s="174">
        <v>1</v>
      </c>
      <c r="AI63" s="174"/>
      <c r="AJ63" s="174">
        <v>1</v>
      </c>
      <c r="AK63" s="174">
        <v>2</v>
      </c>
      <c r="AL63" s="174">
        <v>1</v>
      </c>
      <c r="AM63" s="174">
        <v>2</v>
      </c>
      <c r="AN63" s="174">
        <v>2</v>
      </c>
      <c r="AO63" s="174">
        <v>2</v>
      </c>
      <c r="AP63" s="174">
        <v>3</v>
      </c>
      <c r="AQ63" s="174">
        <v>1</v>
      </c>
      <c r="AR63" s="174"/>
      <c r="AS63" s="174"/>
      <c r="AT63" s="174"/>
      <c r="AU63" s="174"/>
      <c r="AV63" s="174"/>
      <c r="AW63" s="174"/>
      <c r="AX63" s="174"/>
      <c r="AY63" s="174"/>
      <c r="AZ63" s="174"/>
      <c r="BA63" s="174"/>
      <c r="BB63" s="174"/>
      <c r="BC63" s="174"/>
      <c r="BD63" s="174"/>
      <c r="BE63" s="174"/>
      <c r="BF63" s="174"/>
      <c r="BG63" s="174"/>
      <c r="BH63" s="174"/>
      <c r="BI63" s="174"/>
      <c r="BJ63" s="174"/>
      <c r="BK63" s="174"/>
      <c r="BL63" s="174"/>
      <c r="BM63" s="174"/>
      <c r="BN63" s="174"/>
      <c r="BO63" s="174"/>
      <c r="BP63" s="174"/>
      <c r="BQ63" s="174"/>
      <c r="BR63" s="174"/>
      <c r="BS63" s="174"/>
      <c r="BT63" s="174"/>
      <c r="BU63" s="174"/>
      <c r="BV63" s="174"/>
      <c r="BW63" s="174"/>
      <c r="BX63" s="174"/>
      <c r="BY63" s="174"/>
      <c r="BZ63" s="174"/>
      <c r="CA63" s="174"/>
      <c r="CB63" s="174"/>
      <c r="CC63" s="174"/>
      <c r="CD63" s="174"/>
      <c r="CE63" s="174"/>
      <c r="CF63" s="174"/>
      <c r="CG63" s="174"/>
      <c r="CH63" s="174"/>
      <c r="CI63" s="174"/>
      <c r="CJ63" s="174"/>
      <c r="CK63" s="174"/>
      <c r="CL63" s="174"/>
      <c r="CM63" s="174"/>
      <c r="CN63" s="174"/>
      <c r="CO63" s="174"/>
      <c r="CP63" s="174"/>
      <c r="CQ63" s="174"/>
      <c r="CR63" s="174"/>
      <c r="CS63" s="174"/>
      <c r="CT63" s="174"/>
      <c r="CU63" s="174"/>
      <c r="CV63" s="174"/>
      <c r="CW63" s="174"/>
      <c r="CX63" s="174"/>
      <c r="CY63" s="174"/>
      <c r="CZ63" s="174"/>
      <c r="DA63" s="174"/>
      <c r="DB63" s="174"/>
      <c r="DC63" s="174"/>
      <c r="DD63" s="174"/>
      <c r="DE63" s="174"/>
      <c r="DF63" s="174"/>
      <c r="DG63" s="174"/>
      <c r="DH63" s="174"/>
      <c r="DI63" s="174"/>
      <c r="DJ63" s="174"/>
      <c r="DK63" s="174"/>
      <c r="DL63" s="174"/>
      <c r="DM63" s="174"/>
      <c r="DN63" s="174"/>
      <c r="DO63" s="174"/>
      <c r="DP63" s="174"/>
      <c r="DQ63" s="174"/>
      <c r="DR63" s="174"/>
      <c r="DS63" s="174"/>
      <c r="DT63" s="174"/>
      <c r="DU63" s="174"/>
      <c r="DV63" s="174"/>
      <c r="DW63" s="174"/>
      <c r="DX63" s="174"/>
      <c r="DY63" s="174"/>
      <c r="DZ63" s="174"/>
      <c r="EA63" s="174"/>
      <c r="EB63" s="174"/>
      <c r="EC63" s="174"/>
      <c r="ED63" s="174"/>
      <c r="EE63" s="174"/>
      <c r="EF63" s="174"/>
      <c r="EG63" s="174"/>
      <c r="EH63" s="174"/>
      <c r="EI63" s="174"/>
      <c r="EJ63" s="174"/>
      <c r="EK63" s="174"/>
      <c r="EL63" s="174"/>
      <c r="EM63" s="174"/>
      <c r="EN63" s="174"/>
      <c r="EO63" s="174"/>
      <c r="EP63" s="174"/>
      <c r="EQ63" s="174"/>
      <c r="ER63" s="174"/>
      <c r="ES63" s="174"/>
      <c r="ET63" s="174"/>
      <c r="EU63" s="174"/>
      <c r="EV63" s="174"/>
      <c r="EW63" s="174"/>
      <c r="EX63" s="174"/>
      <c r="EY63" s="174"/>
      <c r="EZ63" s="174"/>
      <c r="FA63" s="174"/>
      <c r="FB63" s="174"/>
      <c r="FC63" s="174"/>
      <c r="FD63" s="174"/>
      <c r="FE63" s="174"/>
      <c r="FF63" s="174"/>
      <c r="FG63" s="174"/>
      <c r="FH63" s="174"/>
      <c r="FI63" s="174"/>
      <c r="FJ63" s="174"/>
      <c r="FK63" s="174"/>
      <c r="FL63" s="174"/>
      <c r="FM63" s="174"/>
      <c r="FN63" s="174"/>
      <c r="FO63" s="174"/>
      <c r="FP63" s="174"/>
      <c r="FQ63" s="174"/>
      <c r="FR63" s="174"/>
      <c r="FS63" s="174"/>
      <c r="FT63" s="174"/>
      <c r="FU63" s="174"/>
      <c r="FV63" s="174"/>
      <c r="FW63" s="174"/>
      <c r="FX63" s="174"/>
      <c r="FY63" s="174"/>
      <c r="FZ63" s="174"/>
      <c r="GA63" s="174"/>
      <c r="GB63" s="174"/>
      <c r="GC63" s="174"/>
      <c r="GD63" s="174"/>
      <c r="GE63" s="174"/>
      <c r="GF63" s="174"/>
      <c r="GG63" s="174"/>
      <c r="GH63" s="174"/>
      <c r="GI63" s="174"/>
      <c r="GJ63" s="174"/>
      <c r="GK63" s="174"/>
      <c r="GL63" s="174"/>
      <c r="GM63" s="174"/>
      <c r="GN63" s="174"/>
      <c r="GO63" s="174"/>
      <c r="GP63" s="174"/>
      <c r="GQ63" s="174"/>
      <c r="GR63" s="174"/>
      <c r="GS63" s="174"/>
      <c r="GT63" s="174"/>
      <c r="GU63" s="174"/>
      <c r="GV63" s="174"/>
      <c r="GW63" s="174"/>
      <c r="GX63" s="174"/>
      <c r="GY63" s="174"/>
      <c r="GZ63" s="174"/>
      <c r="HA63" s="174"/>
      <c r="HB63" s="174"/>
      <c r="HC63" s="174"/>
      <c r="HD63" s="174"/>
      <c r="HE63" s="174"/>
      <c r="HF63" s="174"/>
      <c r="HG63" s="174"/>
      <c r="HH63" s="174"/>
      <c r="HI63" s="174"/>
      <c r="HJ63" s="174"/>
      <c r="HK63" s="174"/>
      <c r="HL63" s="174"/>
      <c r="HM63" s="174"/>
      <c r="HN63" s="174"/>
      <c r="HO63" s="174"/>
      <c r="HP63" s="174"/>
      <c r="HQ63" s="174"/>
      <c r="HR63" s="174"/>
      <c r="HS63" s="174"/>
      <c r="HT63" s="174"/>
      <c r="HU63" s="174"/>
      <c r="HV63" s="174"/>
      <c r="HW63" s="174"/>
      <c r="HX63" s="174"/>
      <c r="HY63" s="174"/>
      <c r="HZ63" s="174"/>
      <c r="IA63" s="174"/>
      <c r="IB63" s="174"/>
      <c r="IC63" s="174"/>
      <c r="ID63" s="174"/>
      <c r="IE63" s="174"/>
      <c r="IF63" s="174"/>
      <c r="IG63" s="174"/>
      <c r="IH63" s="174"/>
      <c r="II63" s="174"/>
      <c r="IJ63" s="174"/>
      <c r="IK63" s="174"/>
      <c r="IL63" s="174"/>
      <c r="IM63" s="174"/>
      <c r="IN63" s="174"/>
      <c r="IO63" s="174"/>
      <c r="IP63" s="174"/>
      <c r="IQ63" s="174"/>
      <c r="IR63" s="174"/>
      <c r="IS63" s="174"/>
      <c r="IT63" s="174"/>
      <c r="IU63" s="75"/>
      <c r="IV63" s="75"/>
      <c r="IW63" s="75"/>
      <c r="IX63" s="75"/>
      <c r="IY63" s="75"/>
      <c r="IZ63" s="75"/>
      <c r="JA63" s="75"/>
      <c r="JB63" s="75"/>
      <c r="JC63" s="75"/>
      <c r="JD63" s="75"/>
      <c r="JF63" s="710" t="s">
        <v>612</v>
      </c>
      <c r="JG63" s="710"/>
      <c r="JH63" s="178">
        <f t="shared" si="1"/>
        <v>541.34730000000013</v>
      </c>
      <c r="JI63" s="174">
        <f t="shared" si="2"/>
        <v>0</v>
      </c>
    </row>
    <row r="64" spans="2:269" ht="15" customHeight="1" x14ac:dyDescent="0.25">
      <c r="B64" s="113">
        <v>61</v>
      </c>
      <c r="C64" s="353" t="str">
        <f t="shared" si="5"/>
        <v>Arteche BJ-8</v>
      </c>
      <c r="D64" s="353" t="str">
        <f t="shared" si="6"/>
        <v/>
      </c>
      <c r="E64" s="174"/>
      <c r="F64" s="174"/>
      <c r="G64" s="174"/>
      <c r="H64" s="174"/>
      <c r="I64" s="174"/>
      <c r="J64" s="174"/>
      <c r="K64" s="174"/>
      <c r="L64" s="174"/>
      <c r="M64" s="174"/>
      <c r="N64" s="174"/>
      <c r="O64" s="174"/>
      <c r="P64" s="174"/>
      <c r="Q64" s="174"/>
      <c r="R64" s="174"/>
      <c r="S64" s="174"/>
      <c r="T64" s="174"/>
      <c r="U64" s="174"/>
      <c r="V64" s="174"/>
      <c r="W64" s="174"/>
      <c r="X64" s="174"/>
      <c r="Y64" s="174"/>
      <c r="Z64" s="174"/>
      <c r="AA64" s="174"/>
      <c r="AB64" s="174"/>
      <c r="AC64" s="174"/>
      <c r="AD64" s="174"/>
      <c r="AE64" s="174"/>
      <c r="AF64" s="174"/>
      <c r="AG64" s="174"/>
      <c r="AH64" s="174"/>
      <c r="AI64" s="174"/>
      <c r="AJ64" s="174"/>
      <c r="AK64" s="174"/>
      <c r="AL64" s="174"/>
      <c r="AM64" s="174"/>
      <c r="AN64" s="174"/>
      <c r="AO64" s="174"/>
      <c r="AP64" s="174"/>
      <c r="AQ64" s="174"/>
      <c r="AR64" s="174"/>
      <c r="AS64" s="174"/>
      <c r="AT64" s="174"/>
      <c r="AU64" s="174"/>
      <c r="AV64" s="174"/>
      <c r="AW64" s="174"/>
      <c r="AX64" s="174"/>
      <c r="AY64" s="174"/>
      <c r="AZ64" s="174"/>
      <c r="BA64" s="174"/>
      <c r="BB64" s="174"/>
      <c r="BC64" s="174"/>
      <c r="BD64" s="174"/>
      <c r="BE64" s="174"/>
      <c r="BF64" s="174"/>
      <c r="BG64" s="174"/>
      <c r="BH64" s="174"/>
      <c r="BI64" s="174"/>
      <c r="BJ64" s="174"/>
      <c r="BK64" s="174"/>
      <c r="BL64" s="174"/>
      <c r="BM64" s="174"/>
      <c r="BN64" s="174"/>
      <c r="BO64" s="174"/>
      <c r="BP64" s="174"/>
      <c r="BQ64" s="174"/>
      <c r="BR64" s="174"/>
      <c r="BS64" s="174"/>
      <c r="BT64" s="174"/>
      <c r="BU64" s="174"/>
      <c r="BV64" s="174"/>
      <c r="BW64" s="174"/>
      <c r="BX64" s="174"/>
      <c r="BY64" s="174"/>
      <c r="BZ64" s="174"/>
      <c r="CA64" s="174"/>
      <c r="CB64" s="174"/>
      <c r="CC64" s="174"/>
      <c r="CD64" s="174"/>
      <c r="CE64" s="174"/>
      <c r="CF64" s="174"/>
      <c r="CG64" s="174"/>
      <c r="CH64" s="174"/>
      <c r="CI64" s="174"/>
      <c r="CJ64" s="174"/>
      <c r="CK64" s="174"/>
      <c r="CL64" s="174"/>
      <c r="CM64" s="174"/>
      <c r="CN64" s="174"/>
      <c r="CO64" s="174"/>
      <c r="CP64" s="174"/>
      <c r="CQ64" s="174"/>
      <c r="CR64" s="174"/>
      <c r="CS64" s="174"/>
      <c r="CT64" s="174"/>
      <c r="CU64" s="174"/>
      <c r="CV64" s="174"/>
      <c r="CW64" s="174"/>
      <c r="CX64" s="174"/>
      <c r="CY64" s="174"/>
      <c r="CZ64" s="174"/>
      <c r="DA64" s="174"/>
      <c r="DB64" s="174"/>
      <c r="DC64" s="174"/>
      <c r="DD64" s="174"/>
      <c r="DE64" s="174"/>
      <c r="DF64" s="174"/>
      <c r="DG64" s="174"/>
      <c r="DH64" s="174"/>
      <c r="DI64" s="174"/>
      <c r="DJ64" s="174"/>
      <c r="DK64" s="174"/>
      <c r="DL64" s="174"/>
      <c r="DM64" s="174"/>
      <c r="DN64" s="174"/>
      <c r="DO64" s="174"/>
      <c r="DP64" s="174"/>
      <c r="DQ64" s="174"/>
      <c r="DR64" s="174"/>
      <c r="DS64" s="174"/>
      <c r="DT64" s="174"/>
      <c r="DU64" s="174"/>
      <c r="DV64" s="174"/>
      <c r="DW64" s="174"/>
      <c r="DX64" s="174"/>
      <c r="DY64" s="174"/>
      <c r="DZ64" s="174"/>
      <c r="EA64" s="174"/>
      <c r="EB64" s="174"/>
      <c r="EC64" s="174"/>
      <c r="ED64" s="174"/>
      <c r="EE64" s="174"/>
      <c r="EF64" s="174"/>
      <c r="EG64" s="174"/>
      <c r="EH64" s="174"/>
      <c r="EI64" s="174"/>
      <c r="EJ64" s="174"/>
      <c r="EK64" s="174"/>
      <c r="EL64" s="174"/>
      <c r="EM64" s="174"/>
      <c r="EN64" s="174"/>
      <c r="EO64" s="174"/>
      <c r="EP64" s="174"/>
      <c r="EQ64" s="174"/>
      <c r="ER64" s="174"/>
      <c r="ES64" s="174"/>
      <c r="ET64" s="174"/>
      <c r="EU64" s="174"/>
      <c r="EV64" s="174"/>
      <c r="EW64" s="174"/>
      <c r="EX64" s="174"/>
      <c r="EY64" s="174"/>
      <c r="EZ64" s="174"/>
      <c r="FA64" s="174"/>
      <c r="FB64" s="174"/>
      <c r="FC64" s="174"/>
      <c r="FD64" s="174"/>
      <c r="FE64" s="174"/>
      <c r="FF64" s="174"/>
      <c r="FG64" s="174"/>
      <c r="FH64" s="174"/>
      <c r="FI64" s="174"/>
      <c r="FJ64" s="174"/>
      <c r="FK64" s="174"/>
      <c r="FL64" s="174"/>
      <c r="FM64" s="174"/>
      <c r="FN64" s="174"/>
      <c r="FO64" s="174"/>
      <c r="FP64" s="174"/>
      <c r="FQ64" s="174"/>
      <c r="FR64" s="174"/>
      <c r="FS64" s="174"/>
      <c r="FT64" s="174"/>
      <c r="FU64" s="174"/>
      <c r="FV64" s="174"/>
      <c r="FW64" s="174"/>
      <c r="FX64" s="174"/>
      <c r="FY64" s="174"/>
      <c r="FZ64" s="174"/>
      <c r="GA64" s="174"/>
      <c r="GB64" s="174"/>
      <c r="GC64" s="174"/>
      <c r="GD64" s="174"/>
      <c r="GE64" s="174"/>
      <c r="GF64" s="174"/>
      <c r="GG64" s="174"/>
      <c r="GH64" s="174"/>
      <c r="GI64" s="174"/>
      <c r="GJ64" s="174"/>
      <c r="GK64" s="174"/>
      <c r="GL64" s="174"/>
      <c r="GM64" s="174"/>
      <c r="GN64" s="174"/>
      <c r="GO64" s="174"/>
      <c r="GP64" s="174"/>
      <c r="GQ64" s="174"/>
      <c r="GR64" s="174"/>
      <c r="GS64" s="174"/>
      <c r="GT64" s="174"/>
      <c r="GU64" s="174"/>
      <c r="GV64" s="174"/>
      <c r="GW64" s="174"/>
      <c r="GX64" s="174"/>
      <c r="GY64" s="174"/>
      <c r="GZ64" s="174"/>
      <c r="HA64" s="174"/>
      <c r="HB64" s="174"/>
      <c r="HC64" s="174"/>
      <c r="HD64" s="174"/>
      <c r="HE64" s="174"/>
      <c r="HF64" s="174"/>
      <c r="HG64" s="174"/>
      <c r="HH64" s="174"/>
      <c r="HI64" s="174"/>
      <c r="HJ64" s="174"/>
      <c r="HK64" s="174"/>
      <c r="HL64" s="174"/>
      <c r="HM64" s="174"/>
      <c r="HN64" s="174"/>
      <c r="HO64" s="174"/>
      <c r="HP64" s="174"/>
      <c r="HQ64" s="174"/>
      <c r="HR64" s="174"/>
      <c r="HS64" s="174"/>
      <c r="HT64" s="174"/>
      <c r="HU64" s="174"/>
      <c r="HV64" s="174"/>
      <c r="HW64" s="174"/>
      <c r="HX64" s="174"/>
      <c r="HY64" s="174"/>
      <c r="HZ64" s="174"/>
      <c r="IA64" s="174"/>
      <c r="IB64" s="174"/>
      <c r="IC64" s="174"/>
      <c r="ID64" s="174"/>
      <c r="IE64" s="174"/>
      <c r="IF64" s="174"/>
      <c r="IG64" s="174"/>
      <c r="IH64" s="174"/>
      <c r="II64" s="174"/>
      <c r="IJ64" s="174"/>
      <c r="IK64" s="174"/>
      <c r="IL64" s="174"/>
      <c r="IM64" s="174"/>
      <c r="IN64" s="174"/>
      <c r="IO64" s="174"/>
      <c r="IP64" s="174"/>
      <c r="IQ64" s="174"/>
      <c r="IR64" s="174"/>
      <c r="IS64" s="174"/>
      <c r="IT64" s="174"/>
      <c r="IU64" s="75"/>
      <c r="IV64" s="75"/>
      <c r="IW64" s="75"/>
      <c r="IX64" s="75"/>
      <c r="IY64" s="75"/>
      <c r="IZ64" s="75"/>
      <c r="JA64" s="75"/>
      <c r="JB64" s="75"/>
      <c r="JC64" s="75"/>
      <c r="JD64" s="75"/>
      <c r="JF64" s="710" t="s">
        <v>617</v>
      </c>
      <c r="JG64" s="710"/>
      <c r="JH64" s="178">
        <f t="shared" si="1"/>
        <v>1835.1181750000001</v>
      </c>
      <c r="JI64" s="174">
        <f t="shared" si="2"/>
        <v>0</v>
      </c>
    </row>
    <row r="65" spans="2:269" ht="15" customHeight="1" x14ac:dyDescent="0.25">
      <c r="B65" s="113">
        <v>62</v>
      </c>
      <c r="C65" s="353" t="str">
        <f t="shared" si="5"/>
        <v>Arteche RJ-8XR</v>
      </c>
      <c r="D65" s="353" t="str">
        <f t="shared" si="6"/>
        <v>relé de bloqueio</v>
      </c>
      <c r="E65" s="174"/>
      <c r="F65" s="174"/>
      <c r="G65" s="174"/>
      <c r="H65" s="174"/>
      <c r="I65" s="174"/>
      <c r="J65" s="174"/>
      <c r="K65" s="174"/>
      <c r="L65" s="174"/>
      <c r="M65" s="174"/>
      <c r="N65" s="174"/>
      <c r="O65" s="174"/>
      <c r="P65" s="174"/>
      <c r="Q65" s="174"/>
      <c r="R65" s="174"/>
      <c r="S65" s="174"/>
      <c r="T65" s="174"/>
      <c r="U65" s="174"/>
      <c r="V65" s="174"/>
      <c r="W65" s="174"/>
      <c r="X65" s="174"/>
      <c r="Y65" s="174"/>
      <c r="Z65" s="174"/>
      <c r="AA65" s="174"/>
      <c r="AB65" s="174"/>
      <c r="AC65" s="174"/>
      <c r="AD65" s="174"/>
      <c r="AE65" s="174"/>
      <c r="AF65" s="174"/>
      <c r="AG65" s="174"/>
      <c r="AH65" s="174"/>
      <c r="AI65" s="174"/>
      <c r="AJ65" s="174"/>
      <c r="AK65" s="174"/>
      <c r="AL65" s="174"/>
      <c r="AM65" s="174"/>
      <c r="AN65" s="174"/>
      <c r="AO65" s="174"/>
      <c r="AP65" s="174"/>
      <c r="AQ65" s="174"/>
      <c r="AR65" s="174"/>
      <c r="AS65" s="174"/>
      <c r="AT65" s="174"/>
      <c r="AU65" s="174"/>
      <c r="AV65" s="174"/>
      <c r="AW65" s="174"/>
      <c r="AX65" s="174"/>
      <c r="AY65" s="174"/>
      <c r="AZ65" s="174"/>
      <c r="BA65" s="174"/>
      <c r="BB65" s="174"/>
      <c r="BC65" s="174"/>
      <c r="BD65" s="174"/>
      <c r="BE65" s="174"/>
      <c r="BF65" s="174"/>
      <c r="BG65" s="174"/>
      <c r="BH65" s="174"/>
      <c r="BI65" s="174"/>
      <c r="BJ65" s="174"/>
      <c r="BK65" s="174"/>
      <c r="BL65" s="174"/>
      <c r="BM65" s="174"/>
      <c r="BN65" s="174"/>
      <c r="BO65" s="174"/>
      <c r="BP65" s="174"/>
      <c r="BQ65" s="174"/>
      <c r="BR65" s="174"/>
      <c r="BS65" s="174"/>
      <c r="BT65" s="174"/>
      <c r="BU65" s="174"/>
      <c r="BV65" s="174"/>
      <c r="BW65" s="174"/>
      <c r="BX65" s="174"/>
      <c r="BY65" s="174"/>
      <c r="BZ65" s="174"/>
      <c r="CA65" s="174"/>
      <c r="CB65" s="174"/>
      <c r="CC65" s="174"/>
      <c r="CD65" s="174"/>
      <c r="CE65" s="174"/>
      <c r="CF65" s="174"/>
      <c r="CG65" s="174"/>
      <c r="CH65" s="174"/>
      <c r="CI65" s="174"/>
      <c r="CJ65" s="174"/>
      <c r="CK65" s="174"/>
      <c r="CL65" s="174"/>
      <c r="CM65" s="174"/>
      <c r="CN65" s="174"/>
      <c r="CO65" s="174"/>
      <c r="CP65" s="174"/>
      <c r="CQ65" s="174"/>
      <c r="CR65" s="174"/>
      <c r="CS65" s="174"/>
      <c r="CT65" s="174"/>
      <c r="CU65" s="174"/>
      <c r="CV65" s="174"/>
      <c r="CW65" s="174"/>
      <c r="CX65" s="174"/>
      <c r="CY65" s="174"/>
      <c r="CZ65" s="174"/>
      <c r="DA65" s="174"/>
      <c r="DB65" s="174"/>
      <c r="DC65" s="174"/>
      <c r="DD65" s="174"/>
      <c r="DE65" s="174"/>
      <c r="DF65" s="174"/>
      <c r="DG65" s="174"/>
      <c r="DH65" s="174"/>
      <c r="DI65" s="174"/>
      <c r="DJ65" s="174"/>
      <c r="DK65" s="174"/>
      <c r="DL65" s="174"/>
      <c r="DM65" s="174"/>
      <c r="DN65" s="174"/>
      <c r="DO65" s="174"/>
      <c r="DP65" s="174"/>
      <c r="DQ65" s="174"/>
      <c r="DR65" s="174"/>
      <c r="DS65" s="174"/>
      <c r="DT65" s="174"/>
      <c r="DU65" s="174"/>
      <c r="DV65" s="174"/>
      <c r="DW65" s="174"/>
      <c r="DX65" s="174"/>
      <c r="DY65" s="174"/>
      <c r="DZ65" s="174"/>
      <c r="EA65" s="174"/>
      <c r="EB65" s="174"/>
      <c r="EC65" s="174"/>
      <c r="ED65" s="174"/>
      <c r="EE65" s="174"/>
      <c r="EF65" s="174"/>
      <c r="EG65" s="174"/>
      <c r="EH65" s="174"/>
      <c r="EI65" s="174"/>
      <c r="EJ65" s="174"/>
      <c r="EK65" s="174"/>
      <c r="EL65" s="174"/>
      <c r="EM65" s="174"/>
      <c r="EN65" s="174"/>
      <c r="EO65" s="174"/>
      <c r="EP65" s="174"/>
      <c r="EQ65" s="174"/>
      <c r="ER65" s="174"/>
      <c r="ES65" s="174"/>
      <c r="ET65" s="174"/>
      <c r="EU65" s="174"/>
      <c r="EV65" s="174"/>
      <c r="EW65" s="174"/>
      <c r="EX65" s="174"/>
      <c r="EY65" s="174"/>
      <c r="EZ65" s="174"/>
      <c r="FA65" s="174"/>
      <c r="FB65" s="174"/>
      <c r="FC65" s="174"/>
      <c r="FD65" s="174"/>
      <c r="FE65" s="174"/>
      <c r="FF65" s="174"/>
      <c r="FG65" s="174"/>
      <c r="FH65" s="174"/>
      <c r="FI65" s="174"/>
      <c r="FJ65" s="174"/>
      <c r="FK65" s="174"/>
      <c r="FL65" s="174"/>
      <c r="FM65" s="174"/>
      <c r="FN65" s="174"/>
      <c r="FO65" s="174"/>
      <c r="FP65" s="174"/>
      <c r="FQ65" s="174"/>
      <c r="FR65" s="174"/>
      <c r="FS65" s="174"/>
      <c r="FT65" s="174"/>
      <c r="FU65" s="174"/>
      <c r="FV65" s="174"/>
      <c r="FW65" s="174"/>
      <c r="FX65" s="174"/>
      <c r="FY65" s="174"/>
      <c r="FZ65" s="174"/>
      <c r="GA65" s="174"/>
      <c r="GB65" s="174"/>
      <c r="GC65" s="174"/>
      <c r="GD65" s="174"/>
      <c r="GE65" s="174"/>
      <c r="GF65" s="174"/>
      <c r="GG65" s="174"/>
      <c r="GH65" s="174"/>
      <c r="GI65" s="174"/>
      <c r="GJ65" s="174"/>
      <c r="GK65" s="174"/>
      <c r="GL65" s="174"/>
      <c r="GM65" s="174"/>
      <c r="GN65" s="174"/>
      <c r="GO65" s="174"/>
      <c r="GP65" s="174"/>
      <c r="GQ65" s="174"/>
      <c r="GR65" s="174"/>
      <c r="GS65" s="174"/>
      <c r="GT65" s="174"/>
      <c r="GU65" s="174"/>
      <c r="GV65" s="174"/>
      <c r="GW65" s="174"/>
      <c r="GX65" s="174"/>
      <c r="GY65" s="174"/>
      <c r="GZ65" s="174"/>
      <c r="HA65" s="174"/>
      <c r="HB65" s="174"/>
      <c r="HC65" s="174"/>
      <c r="HD65" s="174"/>
      <c r="HE65" s="174"/>
      <c r="HF65" s="174"/>
      <c r="HG65" s="174"/>
      <c r="HH65" s="174"/>
      <c r="HI65" s="174"/>
      <c r="HJ65" s="174"/>
      <c r="HK65" s="174"/>
      <c r="HL65" s="174"/>
      <c r="HM65" s="174"/>
      <c r="HN65" s="174"/>
      <c r="HO65" s="174"/>
      <c r="HP65" s="174"/>
      <c r="HQ65" s="174"/>
      <c r="HR65" s="174"/>
      <c r="HS65" s="174"/>
      <c r="HT65" s="174"/>
      <c r="HU65" s="174"/>
      <c r="HV65" s="174"/>
      <c r="HW65" s="174"/>
      <c r="HX65" s="174"/>
      <c r="HY65" s="174"/>
      <c r="HZ65" s="174"/>
      <c r="IA65" s="174"/>
      <c r="IB65" s="174"/>
      <c r="IC65" s="174"/>
      <c r="ID65" s="174"/>
      <c r="IE65" s="174"/>
      <c r="IF65" s="174"/>
      <c r="IG65" s="174"/>
      <c r="IH65" s="174"/>
      <c r="II65" s="174"/>
      <c r="IJ65" s="174"/>
      <c r="IK65" s="174"/>
      <c r="IL65" s="174"/>
      <c r="IM65" s="174"/>
      <c r="IN65" s="174"/>
      <c r="IO65" s="174"/>
      <c r="IP65" s="174"/>
      <c r="IQ65" s="174"/>
      <c r="IR65" s="174"/>
      <c r="IS65" s="174"/>
      <c r="IT65" s="174"/>
      <c r="IU65" s="75"/>
      <c r="IV65" s="75"/>
      <c r="IW65" s="75"/>
      <c r="IX65" s="75"/>
      <c r="IY65" s="75"/>
      <c r="IZ65" s="75"/>
      <c r="JA65" s="75"/>
      <c r="JB65" s="75"/>
      <c r="JC65" s="75"/>
      <c r="JD65" s="75"/>
      <c r="JF65" s="710" t="s">
        <v>946</v>
      </c>
      <c r="JG65" s="710" t="s">
        <v>1021</v>
      </c>
      <c r="JH65" s="178">
        <f t="shared" si="1"/>
        <v>1264.76295</v>
      </c>
      <c r="JI65" s="174">
        <f t="shared" si="2"/>
        <v>0</v>
      </c>
    </row>
    <row r="66" spans="2:269" ht="15" customHeight="1" x14ac:dyDescent="0.25">
      <c r="B66" s="113">
        <v>63</v>
      </c>
      <c r="C66" s="353" t="str">
        <f t="shared" si="5"/>
        <v>Arteche RF-4R</v>
      </c>
      <c r="D66" s="353" t="str">
        <f t="shared" si="6"/>
        <v/>
      </c>
      <c r="E66" s="174"/>
      <c r="F66" s="174"/>
      <c r="G66" s="174"/>
      <c r="H66" s="174"/>
      <c r="I66" s="174"/>
      <c r="J66" s="174"/>
      <c r="K66" s="174"/>
      <c r="L66" s="174"/>
      <c r="M66" s="174"/>
      <c r="N66" s="174"/>
      <c r="O66" s="174"/>
      <c r="P66" s="174"/>
      <c r="Q66" s="174"/>
      <c r="R66" s="174"/>
      <c r="S66" s="174"/>
      <c r="T66" s="174"/>
      <c r="U66" s="174"/>
      <c r="V66" s="174"/>
      <c r="W66" s="174"/>
      <c r="X66" s="174"/>
      <c r="Y66" s="174"/>
      <c r="Z66" s="174"/>
      <c r="AA66" s="174"/>
      <c r="AB66" s="174"/>
      <c r="AC66" s="174"/>
      <c r="AD66" s="174"/>
      <c r="AE66" s="174"/>
      <c r="AF66" s="174"/>
      <c r="AG66" s="174"/>
      <c r="AH66" s="174"/>
      <c r="AI66" s="174"/>
      <c r="AJ66" s="174"/>
      <c r="AK66" s="174"/>
      <c r="AL66" s="174"/>
      <c r="AM66" s="174"/>
      <c r="AN66" s="174"/>
      <c r="AO66" s="174"/>
      <c r="AP66" s="174"/>
      <c r="AQ66" s="174"/>
      <c r="AR66" s="174"/>
      <c r="AS66" s="174"/>
      <c r="AT66" s="174"/>
      <c r="AU66" s="174"/>
      <c r="AV66" s="174"/>
      <c r="AW66" s="174"/>
      <c r="AX66" s="174"/>
      <c r="AY66" s="174"/>
      <c r="AZ66" s="174"/>
      <c r="BA66" s="174"/>
      <c r="BB66" s="174"/>
      <c r="BC66" s="174"/>
      <c r="BD66" s="174"/>
      <c r="BE66" s="174"/>
      <c r="BF66" s="174"/>
      <c r="BG66" s="174"/>
      <c r="BH66" s="174"/>
      <c r="BI66" s="174"/>
      <c r="BJ66" s="174"/>
      <c r="BK66" s="174"/>
      <c r="BL66" s="174"/>
      <c r="BM66" s="174"/>
      <c r="BN66" s="174"/>
      <c r="BO66" s="174"/>
      <c r="BP66" s="174"/>
      <c r="BQ66" s="174"/>
      <c r="BR66" s="174"/>
      <c r="BS66" s="174"/>
      <c r="BT66" s="174"/>
      <c r="BU66" s="174"/>
      <c r="BV66" s="174"/>
      <c r="BW66" s="174"/>
      <c r="BX66" s="174"/>
      <c r="BY66" s="174"/>
      <c r="BZ66" s="174"/>
      <c r="CA66" s="174"/>
      <c r="CB66" s="174"/>
      <c r="CC66" s="174"/>
      <c r="CD66" s="174"/>
      <c r="CE66" s="174"/>
      <c r="CF66" s="174"/>
      <c r="CG66" s="174"/>
      <c r="CH66" s="174"/>
      <c r="CI66" s="174"/>
      <c r="CJ66" s="174"/>
      <c r="CK66" s="174"/>
      <c r="CL66" s="174"/>
      <c r="CM66" s="174"/>
      <c r="CN66" s="174"/>
      <c r="CO66" s="174"/>
      <c r="CP66" s="174"/>
      <c r="CQ66" s="174"/>
      <c r="CR66" s="174"/>
      <c r="CS66" s="174"/>
      <c r="CT66" s="174"/>
      <c r="CU66" s="174"/>
      <c r="CV66" s="174"/>
      <c r="CW66" s="174"/>
      <c r="CX66" s="174"/>
      <c r="CY66" s="174"/>
      <c r="CZ66" s="174"/>
      <c r="DA66" s="174"/>
      <c r="DB66" s="174"/>
      <c r="DC66" s="174"/>
      <c r="DD66" s="174"/>
      <c r="DE66" s="174"/>
      <c r="DF66" s="174"/>
      <c r="DG66" s="174"/>
      <c r="DH66" s="174"/>
      <c r="DI66" s="174"/>
      <c r="DJ66" s="174"/>
      <c r="DK66" s="174"/>
      <c r="DL66" s="174"/>
      <c r="DM66" s="174"/>
      <c r="DN66" s="174"/>
      <c r="DO66" s="174"/>
      <c r="DP66" s="174"/>
      <c r="DQ66" s="174"/>
      <c r="DR66" s="174"/>
      <c r="DS66" s="174"/>
      <c r="DT66" s="174"/>
      <c r="DU66" s="174"/>
      <c r="DV66" s="174"/>
      <c r="DW66" s="174"/>
      <c r="DX66" s="174"/>
      <c r="DY66" s="174"/>
      <c r="DZ66" s="174"/>
      <c r="EA66" s="174"/>
      <c r="EB66" s="174"/>
      <c r="EC66" s="174"/>
      <c r="ED66" s="174"/>
      <c r="EE66" s="174"/>
      <c r="EF66" s="174"/>
      <c r="EG66" s="174"/>
      <c r="EH66" s="174"/>
      <c r="EI66" s="174"/>
      <c r="EJ66" s="174"/>
      <c r="EK66" s="174"/>
      <c r="EL66" s="174"/>
      <c r="EM66" s="174"/>
      <c r="EN66" s="174"/>
      <c r="EO66" s="174"/>
      <c r="EP66" s="174"/>
      <c r="EQ66" s="174"/>
      <c r="ER66" s="174"/>
      <c r="ES66" s="174"/>
      <c r="ET66" s="174"/>
      <c r="EU66" s="174"/>
      <c r="EV66" s="174"/>
      <c r="EW66" s="174"/>
      <c r="EX66" s="174"/>
      <c r="EY66" s="174"/>
      <c r="EZ66" s="174"/>
      <c r="FA66" s="174"/>
      <c r="FB66" s="174"/>
      <c r="FC66" s="174"/>
      <c r="FD66" s="174"/>
      <c r="FE66" s="174"/>
      <c r="FF66" s="174"/>
      <c r="FG66" s="174"/>
      <c r="FH66" s="174"/>
      <c r="FI66" s="174"/>
      <c r="FJ66" s="174"/>
      <c r="FK66" s="174"/>
      <c r="FL66" s="174"/>
      <c r="FM66" s="174"/>
      <c r="FN66" s="174"/>
      <c r="FO66" s="174"/>
      <c r="FP66" s="174"/>
      <c r="FQ66" s="174"/>
      <c r="FR66" s="174"/>
      <c r="FS66" s="174"/>
      <c r="FT66" s="174"/>
      <c r="FU66" s="174"/>
      <c r="FV66" s="174"/>
      <c r="FW66" s="174"/>
      <c r="FX66" s="174"/>
      <c r="FY66" s="174"/>
      <c r="FZ66" s="174"/>
      <c r="GA66" s="174"/>
      <c r="GB66" s="174"/>
      <c r="GC66" s="174"/>
      <c r="GD66" s="174"/>
      <c r="GE66" s="174"/>
      <c r="GF66" s="174"/>
      <c r="GG66" s="174"/>
      <c r="GH66" s="174"/>
      <c r="GI66" s="174"/>
      <c r="GJ66" s="174"/>
      <c r="GK66" s="174"/>
      <c r="GL66" s="174"/>
      <c r="GM66" s="174"/>
      <c r="GN66" s="174"/>
      <c r="GO66" s="174"/>
      <c r="GP66" s="174"/>
      <c r="GQ66" s="174"/>
      <c r="GR66" s="174"/>
      <c r="GS66" s="174"/>
      <c r="GT66" s="174"/>
      <c r="GU66" s="174"/>
      <c r="GV66" s="174"/>
      <c r="GW66" s="174"/>
      <c r="GX66" s="174"/>
      <c r="GY66" s="174"/>
      <c r="GZ66" s="174"/>
      <c r="HA66" s="174"/>
      <c r="HB66" s="174"/>
      <c r="HC66" s="174"/>
      <c r="HD66" s="174"/>
      <c r="HE66" s="174"/>
      <c r="HF66" s="174"/>
      <c r="HG66" s="174"/>
      <c r="HH66" s="174"/>
      <c r="HI66" s="174"/>
      <c r="HJ66" s="174"/>
      <c r="HK66" s="174"/>
      <c r="HL66" s="174"/>
      <c r="HM66" s="174"/>
      <c r="HN66" s="174"/>
      <c r="HO66" s="174"/>
      <c r="HP66" s="174"/>
      <c r="HQ66" s="174"/>
      <c r="HR66" s="174"/>
      <c r="HS66" s="174"/>
      <c r="HT66" s="174"/>
      <c r="HU66" s="174"/>
      <c r="HV66" s="174"/>
      <c r="HW66" s="174"/>
      <c r="HX66" s="174"/>
      <c r="HY66" s="174"/>
      <c r="HZ66" s="174"/>
      <c r="IA66" s="174"/>
      <c r="IB66" s="174"/>
      <c r="IC66" s="174"/>
      <c r="ID66" s="174"/>
      <c r="IE66" s="174"/>
      <c r="IF66" s="174"/>
      <c r="IG66" s="174"/>
      <c r="IH66" s="174"/>
      <c r="II66" s="174"/>
      <c r="IJ66" s="174"/>
      <c r="IK66" s="174"/>
      <c r="IL66" s="174"/>
      <c r="IM66" s="174"/>
      <c r="IN66" s="174"/>
      <c r="IO66" s="174"/>
      <c r="IP66" s="174"/>
      <c r="IQ66" s="174"/>
      <c r="IR66" s="174"/>
      <c r="IS66" s="174"/>
      <c r="IT66" s="174"/>
      <c r="IU66" s="75"/>
      <c r="IV66" s="75"/>
      <c r="IW66" s="75"/>
      <c r="IX66" s="75"/>
      <c r="IY66" s="75"/>
      <c r="IZ66" s="75"/>
      <c r="JA66" s="75"/>
      <c r="JB66" s="75"/>
      <c r="JC66" s="75"/>
      <c r="JD66" s="75"/>
      <c r="JF66" s="710" t="s">
        <v>952</v>
      </c>
      <c r="JG66" s="710"/>
      <c r="JH66" s="178">
        <f t="shared" si="1"/>
        <v>640.56200000000001</v>
      </c>
      <c r="JI66" s="174">
        <f t="shared" si="2"/>
        <v>0</v>
      </c>
    </row>
    <row r="67" spans="2:269" ht="15" customHeight="1" x14ac:dyDescent="0.25">
      <c r="B67" s="113">
        <v>64</v>
      </c>
      <c r="C67" s="353" t="str">
        <f t="shared" si="5"/>
        <v/>
      </c>
      <c r="D67" s="353" t="str">
        <f t="shared" si="6"/>
        <v/>
      </c>
      <c r="E67" s="174"/>
      <c r="F67" s="174"/>
      <c r="G67" s="174"/>
      <c r="H67" s="174"/>
      <c r="I67" s="174"/>
      <c r="J67" s="174"/>
      <c r="K67" s="174"/>
      <c r="L67" s="174"/>
      <c r="M67" s="174"/>
      <c r="N67" s="174"/>
      <c r="O67" s="174"/>
      <c r="P67" s="174"/>
      <c r="Q67" s="174"/>
      <c r="R67" s="174"/>
      <c r="S67" s="174"/>
      <c r="T67" s="174"/>
      <c r="U67" s="174"/>
      <c r="V67" s="174"/>
      <c r="W67" s="174"/>
      <c r="X67" s="174"/>
      <c r="Y67" s="174"/>
      <c r="Z67" s="174"/>
      <c r="AA67" s="174"/>
      <c r="AB67" s="174"/>
      <c r="AC67" s="174"/>
      <c r="AD67" s="174"/>
      <c r="AE67" s="174"/>
      <c r="AF67" s="174"/>
      <c r="AG67" s="174"/>
      <c r="AH67" s="174"/>
      <c r="AI67" s="174"/>
      <c r="AJ67" s="174"/>
      <c r="AK67" s="174"/>
      <c r="AL67" s="174"/>
      <c r="AM67" s="174"/>
      <c r="AN67" s="174"/>
      <c r="AO67" s="174"/>
      <c r="AP67" s="174"/>
      <c r="AQ67" s="174"/>
      <c r="AR67" s="174"/>
      <c r="AS67" s="174"/>
      <c r="AT67" s="174"/>
      <c r="AU67" s="174"/>
      <c r="AV67" s="174"/>
      <c r="AW67" s="174"/>
      <c r="AX67" s="174"/>
      <c r="AY67" s="174"/>
      <c r="AZ67" s="174"/>
      <c r="BA67" s="174"/>
      <c r="BB67" s="174"/>
      <c r="BC67" s="174"/>
      <c r="BD67" s="174"/>
      <c r="BE67" s="174"/>
      <c r="BF67" s="174"/>
      <c r="BG67" s="174"/>
      <c r="BH67" s="174"/>
      <c r="BI67" s="174"/>
      <c r="BJ67" s="174"/>
      <c r="BK67" s="174"/>
      <c r="BL67" s="174"/>
      <c r="BM67" s="174"/>
      <c r="BN67" s="174"/>
      <c r="BO67" s="174"/>
      <c r="BP67" s="174"/>
      <c r="BQ67" s="174"/>
      <c r="BR67" s="174"/>
      <c r="BS67" s="174"/>
      <c r="BT67" s="174"/>
      <c r="BU67" s="174"/>
      <c r="BV67" s="174"/>
      <c r="BW67" s="174"/>
      <c r="BX67" s="174"/>
      <c r="BY67" s="174"/>
      <c r="BZ67" s="174"/>
      <c r="CA67" s="174"/>
      <c r="CB67" s="174"/>
      <c r="CC67" s="174"/>
      <c r="CD67" s="174"/>
      <c r="CE67" s="174"/>
      <c r="CF67" s="174"/>
      <c r="CG67" s="174"/>
      <c r="CH67" s="174"/>
      <c r="CI67" s="174"/>
      <c r="CJ67" s="174"/>
      <c r="CK67" s="174"/>
      <c r="CL67" s="174"/>
      <c r="CM67" s="174"/>
      <c r="CN67" s="174"/>
      <c r="CO67" s="174"/>
      <c r="CP67" s="174"/>
      <c r="CQ67" s="174"/>
      <c r="CR67" s="174"/>
      <c r="CS67" s="174"/>
      <c r="CT67" s="174"/>
      <c r="CU67" s="174"/>
      <c r="CV67" s="174"/>
      <c r="CW67" s="174"/>
      <c r="CX67" s="174"/>
      <c r="CY67" s="174"/>
      <c r="CZ67" s="174"/>
      <c r="DA67" s="174"/>
      <c r="DB67" s="174"/>
      <c r="DC67" s="174"/>
      <c r="DD67" s="174"/>
      <c r="DE67" s="174"/>
      <c r="DF67" s="174"/>
      <c r="DG67" s="174"/>
      <c r="DH67" s="174"/>
      <c r="DI67" s="174"/>
      <c r="DJ67" s="174"/>
      <c r="DK67" s="174"/>
      <c r="DL67" s="174"/>
      <c r="DM67" s="174"/>
      <c r="DN67" s="174"/>
      <c r="DO67" s="174"/>
      <c r="DP67" s="174"/>
      <c r="DQ67" s="174"/>
      <c r="DR67" s="174"/>
      <c r="DS67" s="174"/>
      <c r="DT67" s="174"/>
      <c r="DU67" s="174"/>
      <c r="DV67" s="174"/>
      <c r="DW67" s="174"/>
      <c r="DX67" s="174"/>
      <c r="DY67" s="174"/>
      <c r="DZ67" s="174"/>
      <c r="EA67" s="174"/>
      <c r="EB67" s="174"/>
      <c r="EC67" s="174"/>
      <c r="ED67" s="174"/>
      <c r="EE67" s="174"/>
      <c r="EF67" s="174"/>
      <c r="EG67" s="174"/>
      <c r="EH67" s="174"/>
      <c r="EI67" s="174"/>
      <c r="EJ67" s="174"/>
      <c r="EK67" s="174"/>
      <c r="EL67" s="174"/>
      <c r="EM67" s="174"/>
      <c r="EN67" s="174"/>
      <c r="EO67" s="174"/>
      <c r="EP67" s="174"/>
      <c r="EQ67" s="174"/>
      <c r="ER67" s="174"/>
      <c r="ES67" s="174"/>
      <c r="ET67" s="174"/>
      <c r="EU67" s="174"/>
      <c r="EV67" s="174"/>
      <c r="EW67" s="174"/>
      <c r="EX67" s="174"/>
      <c r="EY67" s="174"/>
      <c r="EZ67" s="174"/>
      <c r="FA67" s="174"/>
      <c r="FB67" s="174"/>
      <c r="FC67" s="174"/>
      <c r="FD67" s="174"/>
      <c r="FE67" s="174"/>
      <c r="FF67" s="174"/>
      <c r="FG67" s="174"/>
      <c r="FH67" s="174"/>
      <c r="FI67" s="174"/>
      <c r="FJ67" s="174"/>
      <c r="FK67" s="174"/>
      <c r="FL67" s="174"/>
      <c r="FM67" s="174"/>
      <c r="FN67" s="174"/>
      <c r="FO67" s="174"/>
      <c r="FP67" s="174"/>
      <c r="FQ67" s="174"/>
      <c r="FR67" s="174"/>
      <c r="FS67" s="174"/>
      <c r="FT67" s="174"/>
      <c r="FU67" s="174"/>
      <c r="FV67" s="174"/>
      <c r="FW67" s="174"/>
      <c r="FX67" s="174"/>
      <c r="FY67" s="174"/>
      <c r="FZ67" s="174"/>
      <c r="GA67" s="174"/>
      <c r="GB67" s="174"/>
      <c r="GC67" s="174"/>
      <c r="GD67" s="174"/>
      <c r="GE67" s="174"/>
      <c r="GF67" s="174"/>
      <c r="GG67" s="174"/>
      <c r="GH67" s="174"/>
      <c r="GI67" s="174"/>
      <c r="GJ67" s="174"/>
      <c r="GK67" s="174"/>
      <c r="GL67" s="174"/>
      <c r="GM67" s="174"/>
      <c r="GN67" s="174"/>
      <c r="GO67" s="174"/>
      <c r="GP67" s="174"/>
      <c r="GQ67" s="174"/>
      <c r="GR67" s="174"/>
      <c r="GS67" s="174"/>
      <c r="GT67" s="174"/>
      <c r="GU67" s="174"/>
      <c r="GV67" s="174"/>
      <c r="GW67" s="174"/>
      <c r="GX67" s="174"/>
      <c r="GY67" s="174"/>
      <c r="GZ67" s="174"/>
      <c r="HA67" s="174"/>
      <c r="HB67" s="174"/>
      <c r="HC67" s="174"/>
      <c r="HD67" s="174"/>
      <c r="HE67" s="174"/>
      <c r="HF67" s="174"/>
      <c r="HG67" s="174"/>
      <c r="HH67" s="174"/>
      <c r="HI67" s="174"/>
      <c r="HJ67" s="174"/>
      <c r="HK67" s="174"/>
      <c r="HL67" s="174"/>
      <c r="HM67" s="174"/>
      <c r="HN67" s="174"/>
      <c r="HO67" s="174"/>
      <c r="HP67" s="174"/>
      <c r="HQ67" s="174"/>
      <c r="HR67" s="174"/>
      <c r="HS67" s="174"/>
      <c r="HT67" s="174"/>
      <c r="HU67" s="174"/>
      <c r="HV67" s="174"/>
      <c r="HW67" s="174"/>
      <c r="HX67" s="174"/>
      <c r="HY67" s="174"/>
      <c r="HZ67" s="174"/>
      <c r="IA67" s="174"/>
      <c r="IB67" s="174"/>
      <c r="IC67" s="174"/>
      <c r="ID67" s="174"/>
      <c r="IE67" s="174"/>
      <c r="IF67" s="174"/>
      <c r="IG67" s="174"/>
      <c r="IH67" s="174"/>
      <c r="II67" s="174"/>
      <c r="IJ67" s="174"/>
      <c r="IK67" s="174"/>
      <c r="IL67" s="174"/>
      <c r="IM67" s="174"/>
      <c r="IN67" s="174"/>
      <c r="IO67" s="174"/>
      <c r="IP67" s="174"/>
      <c r="IQ67" s="174"/>
      <c r="IR67" s="174"/>
      <c r="IS67" s="174"/>
      <c r="IT67" s="174"/>
      <c r="IU67" s="75"/>
      <c r="IV67" s="75"/>
      <c r="IW67" s="75"/>
      <c r="IX67" s="75"/>
      <c r="IY67" s="75"/>
      <c r="IZ67" s="75"/>
      <c r="JA67" s="75"/>
      <c r="JB67" s="75"/>
      <c r="JC67" s="75"/>
      <c r="JD67" s="75"/>
      <c r="JF67" s="710"/>
      <c r="JG67" s="710"/>
      <c r="JH67" s="178">
        <f t="shared" si="1"/>
        <v>0</v>
      </c>
      <c r="JI67" s="174">
        <f t="shared" si="2"/>
        <v>0</v>
      </c>
    </row>
    <row r="68" spans="2:269" ht="15" customHeight="1" x14ac:dyDescent="0.25">
      <c r="B68" s="113">
        <v>65</v>
      </c>
      <c r="C68" s="353" t="str">
        <f t="shared" si="5"/>
        <v/>
      </c>
      <c r="D68" s="353" t="str">
        <f t="shared" si="6"/>
        <v/>
      </c>
      <c r="E68" s="174"/>
      <c r="F68" s="174"/>
      <c r="G68" s="174"/>
      <c r="H68" s="174"/>
      <c r="I68" s="174"/>
      <c r="J68" s="174"/>
      <c r="K68" s="174"/>
      <c r="L68" s="174"/>
      <c r="M68" s="174"/>
      <c r="N68" s="174"/>
      <c r="O68" s="174"/>
      <c r="P68" s="174"/>
      <c r="Q68" s="174"/>
      <c r="R68" s="174"/>
      <c r="S68" s="174"/>
      <c r="T68" s="174"/>
      <c r="U68" s="174"/>
      <c r="V68" s="174"/>
      <c r="W68" s="174"/>
      <c r="X68" s="174"/>
      <c r="Y68" s="174"/>
      <c r="Z68" s="174"/>
      <c r="AA68" s="174"/>
      <c r="AB68" s="174"/>
      <c r="AC68" s="174"/>
      <c r="AD68" s="174"/>
      <c r="AE68" s="174"/>
      <c r="AF68" s="174"/>
      <c r="AG68" s="174"/>
      <c r="AH68" s="174"/>
      <c r="AI68" s="174"/>
      <c r="AJ68" s="174"/>
      <c r="AK68" s="174"/>
      <c r="AL68" s="174"/>
      <c r="AM68" s="174"/>
      <c r="AN68" s="174"/>
      <c r="AO68" s="174"/>
      <c r="AP68" s="174"/>
      <c r="AQ68" s="174"/>
      <c r="AR68" s="174"/>
      <c r="AS68" s="174"/>
      <c r="AT68" s="174"/>
      <c r="AU68" s="174"/>
      <c r="AV68" s="174"/>
      <c r="AW68" s="174"/>
      <c r="AX68" s="174"/>
      <c r="AY68" s="174"/>
      <c r="AZ68" s="174"/>
      <c r="BA68" s="174"/>
      <c r="BB68" s="174"/>
      <c r="BC68" s="174"/>
      <c r="BD68" s="174"/>
      <c r="BE68" s="174"/>
      <c r="BF68" s="174"/>
      <c r="BG68" s="174"/>
      <c r="BH68" s="174"/>
      <c r="BI68" s="174"/>
      <c r="BJ68" s="174"/>
      <c r="BK68" s="174"/>
      <c r="BL68" s="174"/>
      <c r="BM68" s="174"/>
      <c r="BN68" s="174"/>
      <c r="BO68" s="174"/>
      <c r="BP68" s="174"/>
      <c r="BQ68" s="174"/>
      <c r="BR68" s="174"/>
      <c r="BS68" s="174"/>
      <c r="BT68" s="174"/>
      <c r="BU68" s="174"/>
      <c r="BV68" s="174"/>
      <c r="BW68" s="174"/>
      <c r="BX68" s="174"/>
      <c r="BY68" s="174"/>
      <c r="BZ68" s="174"/>
      <c r="CA68" s="174"/>
      <c r="CB68" s="174"/>
      <c r="CC68" s="174"/>
      <c r="CD68" s="174"/>
      <c r="CE68" s="174"/>
      <c r="CF68" s="174"/>
      <c r="CG68" s="174"/>
      <c r="CH68" s="174"/>
      <c r="CI68" s="174"/>
      <c r="CJ68" s="174"/>
      <c r="CK68" s="174"/>
      <c r="CL68" s="174"/>
      <c r="CM68" s="174"/>
      <c r="CN68" s="174"/>
      <c r="CO68" s="174"/>
      <c r="CP68" s="174"/>
      <c r="CQ68" s="174"/>
      <c r="CR68" s="174"/>
      <c r="CS68" s="174"/>
      <c r="CT68" s="174"/>
      <c r="CU68" s="174"/>
      <c r="CV68" s="174"/>
      <c r="CW68" s="174"/>
      <c r="CX68" s="174"/>
      <c r="CY68" s="174"/>
      <c r="CZ68" s="174"/>
      <c r="DA68" s="174"/>
      <c r="DB68" s="174"/>
      <c r="DC68" s="174"/>
      <c r="DD68" s="174"/>
      <c r="DE68" s="174"/>
      <c r="DF68" s="174"/>
      <c r="DG68" s="174"/>
      <c r="DH68" s="174"/>
      <c r="DI68" s="174"/>
      <c r="DJ68" s="174"/>
      <c r="DK68" s="174"/>
      <c r="DL68" s="174"/>
      <c r="DM68" s="174"/>
      <c r="DN68" s="174"/>
      <c r="DO68" s="174"/>
      <c r="DP68" s="174"/>
      <c r="DQ68" s="174"/>
      <c r="DR68" s="174"/>
      <c r="DS68" s="174"/>
      <c r="DT68" s="174"/>
      <c r="DU68" s="174"/>
      <c r="DV68" s="174"/>
      <c r="DW68" s="174"/>
      <c r="DX68" s="174"/>
      <c r="DY68" s="174"/>
      <c r="DZ68" s="174"/>
      <c r="EA68" s="174"/>
      <c r="EB68" s="174"/>
      <c r="EC68" s="174"/>
      <c r="ED68" s="174"/>
      <c r="EE68" s="174"/>
      <c r="EF68" s="174"/>
      <c r="EG68" s="174"/>
      <c r="EH68" s="174"/>
      <c r="EI68" s="174"/>
      <c r="EJ68" s="174"/>
      <c r="EK68" s="174"/>
      <c r="EL68" s="174"/>
      <c r="EM68" s="174"/>
      <c r="EN68" s="174"/>
      <c r="EO68" s="174"/>
      <c r="EP68" s="174"/>
      <c r="EQ68" s="174"/>
      <c r="ER68" s="174"/>
      <c r="ES68" s="174"/>
      <c r="ET68" s="174"/>
      <c r="EU68" s="174"/>
      <c r="EV68" s="174"/>
      <c r="EW68" s="174"/>
      <c r="EX68" s="174"/>
      <c r="EY68" s="174"/>
      <c r="EZ68" s="174"/>
      <c r="FA68" s="174"/>
      <c r="FB68" s="174"/>
      <c r="FC68" s="174"/>
      <c r="FD68" s="174"/>
      <c r="FE68" s="174"/>
      <c r="FF68" s="174"/>
      <c r="FG68" s="174"/>
      <c r="FH68" s="174"/>
      <c r="FI68" s="174"/>
      <c r="FJ68" s="174"/>
      <c r="FK68" s="174"/>
      <c r="FL68" s="174"/>
      <c r="FM68" s="174"/>
      <c r="FN68" s="174"/>
      <c r="FO68" s="174"/>
      <c r="FP68" s="174"/>
      <c r="FQ68" s="174"/>
      <c r="FR68" s="174"/>
      <c r="FS68" s="174"/>
      <c r="FT68" s="174"/>
      <c r="FU68" s="174"/>
      <c r="FV68" s="174"/>
      <c r="FW68" s="174"/>
      <c r="FX68" s="174"/>
      <c r="FY68" s="174"/>
      <c r="FZ68" s="174"/>
      <c r="GA68" s="174"/>
      <c r="GB68" s="174"/>
      <c r="GC68" s="174"/>
      <c r="GD68" s="174"/>
      <c r="GE68" s="174"/>
      <c r="GF68" s="174"/>
      <c r="GG68" s="174"/>
      <c r="GH68" s="174"/>
      <c r="GI68" s="174"/>
      <c r="GJ68" s="174"/>
      <c r="GK68" s="174"/>
      <c r="GL68" s="174"/>
      <c r="GM68" s="174"/>
      <c r="GN68" s="174"/>
      <c r="GO68" s="174"/>
      <c r="GP68" s="174"/>
      <c r="GQ68" s="174"/>
      <c r="GR68" s="174"/>
      <c r="GS68" s="174"/>
      <c r="GT68" s="174"/>
      <c r="GU68" s="174"/>
      <c r="GV68" s="174"/>
      <c r="GW68" s="174"/>
      <c r="GX68" s="174"/>
      <c r="GY68" s="174"/>
      <c r="GZ68" s="174"/>
      <c r="HA68" s="174"/>
      <c r="HB68" s="174"/>
      <c r="HC68" s="174"/>
      <c r="HD68" s="174"/>
      <c r="HE68" s="174"/>
      <c r="HF68" s="174"/>
      <c r="HG68" s="174"/>
      <c r="HH68" s="174"/>
      <c r="HI68" s="174"/>
      <c r="HJ68" s="174"/>
      <c r="HK68" s="174"/>
      <c r="HL68" s="174"/>
      <c r="HM68" s="174"/>
      <c r="HN68" s="174"/>
      <c r="HO68" s="174"/>
      <c r="HP68" s="174"/>
      <c r="HQ68" s="174"/>
      <c r="HR68" s="174"/>
      <c r="HS68" s="174"/>
      <c r="HT68" s="174"/>
      <c r="HU68" s="174"/>
      <c r="HV68" s="174"/>
      <c r="HW68" s="174"/>
      <c r="HX68" s="174"/>
      <c r="HY68" s="174"/>
      <c r="HZ68" s="174"/>
      <c r="IA68" s="174"/>
      <c r="IB68" s="174"/>
      <c r="IC68" s="174"/>
      <c r="ID68" s="174"/>
      <c r="IE68" s="174"/>
      <c r="IF68" s="174"/>
      <c r="IG68" s="174"/>
      <c r="IH68" s="174"/>
      <c r="II68" s="174"/>
      <c r="IJ68" s="174"/>
      <c r="IK68" s="174"/>
      <c r="IL68" s="174"/>
      <c r="IM68" s="174"/>
      <c r="IN68" s="174"/>
      <c r="IO68" s="174"/>
      <c r="IP68" s="174"/>
      <c r="IQ68" s="174"/>
      <c r="IR68" s="174"/>
      <c r="IS68" s="174"/>
      <c r="IT68" s="174"/>
      <c r="IU68" s="75"/>
      <c r="IV68" s="75"/>
      <c r="IW68" s="75"/>
      <c r="IX68" s="75"/>
      <c r="IY68" s="75"/>
      <c r="IZ68" s="75"/>
      <c r="JA68" s="75"/>
      <c r="JB68" s="75"/>
      <c r="JC68" s="75"/>
      <c r="JD68" s="75"/>
      <c r="JF68" s="710"/>
      <c r="JG68" s="710"/>
      <c r="JH68" s="178">
        <f t="shared" ref="JH68:JH131" si="7">IF(JF68&lt;&gt;"",VLOOKUP(JF68,tbl_materiais,COLUMN(head_mat_CLreal)-COLUMN(head_mat_item)+1,FALSE),0)</f>
        <v>0</v>
      </c>
      <c r="JI68" s="174">
        <f t="shared" ref="JI68:JI131" si="8">IF(JF68&lt;&gt;"",SUMPRODUCT(E68:JD68,$E$215:$JD$215),0)</f>
        <v>0</v>
      </c>
    </row>
    <row r="69" spans="2:269" ht="15" customHeight="1" x14ac:dyDescent="0.25">
      <c r="B69" s="113">
        <v>66</v>
      </c>
      <c r="C69" s="353" t="str">
        <f t="shared" si="5"/>
        <v/>
      </c>
      <c r="D69" s="353" t="str">
        <f t="shared" si="6"/>
        <v/>
      </c>
      <c r="E69" s="174"/>
      <c r="F69" s="174"/>
      <c r="G69" s="174"/>
      <c r="H69" s="174"/>
      <c r="I69" s="174"/>
      <c r="J69" s="174"/>
      <c r="K69" s="174"/>
      <c r="L69" s="174"/>
      <c r="M69" s="174"/>
      <c r="N69" s="174"/>
      <c r="O69" s="174"/>
      <c r="P69" s="174"/>
      <c r="Q69" s="174"/>
      <c r="R69" s="174"/>
      <c r="S69" s="174"/>
      <c r="T69" s="174"/>
      <c r="U69" s="174"/>
      <c r="V69" s="174"/>
      <c r="W69" s="174"/>
      <c r="X69" s="174"/>
      <c r="Y69" s="174"/>
      <c r="Z69" s="174"/>
      <c r="AA69" s="174"/>
      <c r="AB69" s="174"/>
      <c r="AC69" s="174"/>
      <c r="AD69" s="174"/>
      <c r="AE69" s="174"/>
      <c r="AF69" s="174"/>
      <c r="AG69" s="174"/>
      <c r="AH69" s="174"/>
      <c r="AI69" s="174"/>
      <c r="AJ69" s="174"/>
      <c r="AK69" s="174"/>
      <c r="AL69" s="174"/>
      <c r="AM69" s="174"/>
      <c r="AN69" s="174"/>
      <c r="AO69" s="174"/>
      <c r="AP69" s="174"/>
      <c r="AQ69" s="174"/>
      <c r="AR69" s="174"/>
      <c r="AS69" s="174"/>
      <c r="AT69" s="174"/>
      <c r="AU69" s="174"/>
      <c r="AV69" s="174">
        <v>2</v>
      </c>
      <c r="AW69" s="174"/>
      <c r="AX69" s="174"/>
      <c r="AY69" s="174"/>
      <c r="AZ69" s="174"/>
      <c r="BA69" s="174"/>
      <c r="BB69" s="174"/>
      <c r="BC69" s="174"/>
      <c r="BD69" s="174"/>
      <c r="BE69" s="174"/>
      <c r="BF69" s="174"/>
      <c r="BG69" s="174"/>
      <c r="BH69" s="174"/>
      <c r="BI69" s="174"/>
      <c r="BJ69" s="174"/>
      <c r="BK69" s="174"/>
      <c r="BL69" s="174"/>
      <c r="BM69" s="174"/>
      <c r="BN69" s="174"/>
      <c r="BO69" s="174"/>
      <c r="BP69" s="174"/>
      <c r="BQ69" s="174"/>
      <c r="BR69" s="174"/>
      <c r="BS69" s="174"/>
      <c r="BT69" s="174"/>
      <c r="BU69" s="174"/>
      <c r="BV69" s="174"/>
      <c r="BW69" s="174"/>
      <c r="BX69" s="174"/>
      <c r="BY69" s="174"/>
      <c r="BZ69" s="174"/>
      <c r="CA69" s="174"/>
      <c r="CB69" s="174"/>
      <c r="CC69" s="174"/>
      <c r="CD69" s="174"/>
      <c r="CE69" s="174"/>
      <c r="CF69" s="174"/>
      <c r="CG69" s="174"/>
      <c r="CH69" s="174"/>
      <c r="CI69" s="174"/>
      <c r="CJ69" s="174"/>
      <c r="CK69" s="174"/>
      <c r="CL69" s="174"/>
      <c r="CM69" s="174"/>
      <c r="CN69" s="174"/>
      <c r="CO69" s="174"/>
      <c r="CP69" s="174"/>
      <c r="CQ69" s="174"/>
      <c r="CR69" s="174"/>
      <c r="CS69" s="174"/>
      <c r="CT69" s="174"/>
      <c r="CU69" s="174"/>
      <c r="CV69" s="174"/>
      <c r="CW69" s="174"/>
      <c r="CX69" s="174"/>
      <c r="CY69" s="174"/>
      <c r="CZ69" s="174"/>
      <c r="DA69" s="174"/>
      <c r="DB69" s="174"/>
      <c r="DC69" s="174"/>
      <c r="DD69" s="174"/>
      <c r="DE69" s="174"/>
      <c r="DF69" s="174"/>
      <c r="DG69" s="174"/>
      <c r="DH69" s="174"/>
      <c r="DI69" s="174"/>
      <c r="DJ69" s="174"/>
      <c r="DK69" s="174"/>
      <c r="DL69" s="174"/>
      <c r="DM69" s="174"/>
      <c r="DN69" s="174"/>
      <c r="DO69" s="174"/>
      <c r="DP69" s="174"/>
      <c r="DQ69" s="174"/>
      <c r="DR69" s="174"/>
      <c r="DS69" s="174"/>
      <c r="DT69" s="174"/>
      <c r="DU69" s="174"/>
      <c r="DV69" s="174"/>
      <c r="DW69" s="174"/>
      <c r="DX69" s="174"/>
      <c r="DY69" s="174"/>
      <c r="DZ69" s="174"/>
      <c r="EA69" s="174"/>
      <c r="EB69" s="174"/>
      <c r="EC69" s="174"/>
      <c r="ED69" s="174"/>
      <c r="EE69" s="174"/>
      <c r="EF69" s="174"/>
      <c r="EG69" s="174"/>
      <c r="EH69" s="174"/>
      <c r="EI69" s="174"/>
      <c r="EJ69" s="174"/>
      <c r="EK69" s="174"/>
      <c r="EL69" s="174"/>
      <c r="EM69" s="174"/>
      <c r="EN69" s="174"/>
      <c r="EO69" s="174"/>
      <c r="EP69" s="174"/>
      <c r="EQ69" s="174"/>
      <c r="ER69" s="174"/>
      <c r="ES69" s="174"/>
      <c r="ET69" s="174"/>
      <c r="EU69" s="174"/>
      <c r="EV69" s="174"/>
      <c r="EW69" s="174"/>
      <c r="EX69" s="174"/>
      <c r="EY69" s="174"/>
      <c r="EZ69" s="174"/>
      <c r="FA69" s="174"/>
      <c r="FB69" s="174"/>
      <c r="FC69" s="174"/>
      <c r="FD69" s="174"/>
      <c r="FE69" s="174"/>
      <c r="FF69" s="174"/>
      <c r="FG69" s="174"/>
      <c r="FH69" s="174"/>
      <c r="FI69" s="174"/>
      <c r="FJ69" s="174"/>
      <c r="FK69" s="174"/>
      <c r="FL69" s="174"/>
      <c r="FM69" s="174"/>
      <c r="FN69" s="174"/>
      <c r="FO69" s="174"/>
      <c r="FP69" s="174"/>
      <c r="FQ69" s="174"/>
      <c r="FR69" s="174"/>
      <c r="FS69" s="174"/>
      <c r="FT69" s="174"/>
      <c r="FU69" s="174"/>
      <c r="FV69" s="174"/>
      <c r="FW69" s="174"/>
      <c r="FX69" s="174"/>
      <c r="FY69" s="174"/>
      <c r="FZ69" s="174"/>
      <c r="GA69" s="174"/>
      <c r="GB69" s="174"/>
      <c r="GC69" s="174"/>
      <c r="GD69" s="174"/>
      <c r="GE69" s="174"/>
      <c r="GF69" s="174"/>
      <c r="GG69" s="174"/>
      <c r="GH69" s="174"/>
      <c r="GI69" s="174"/>
      <c r="GJ69" s="174"/>
      <c r="GK69" s="174"/>
      <c r="GL69" s="174"/>
      <c r="GM69" s="174"/>
      <c r="GN69" s="174"/>
      <c r="GO69" s="174"/>
      <c r="GP69" s="174"/>
      <c r="GQ69" s="174"/>
      <c r="GR69" s="174"/>
      <c r="GS69" s="174"/>
      <c r="GT69" s="174"/>
      <c r="GU69" s="174"/>
      <c r="GV69" s="174"/>
      <c r="GW69" s="174"/>
      <c r="GX69" s="174"/>
      <c r="GY69" s="174"/>
      <c r="GZ69" s="174"/>
      <c r="HA69" s="174"/>
      <c r="HB69" s="174"/>
      <c r="HC69" s="174"/>
      <c r="HD69" s="174"/>
      <c r="HE69" s="174"/>
      <c r="HF69" s="174"/>
      <c r="HG69" s="174"/>
      <c r="HH69" s="174"/>
      <c r="HI69" s="174"/>
      <c r="HJ69" s="174"/>
      <c r="HK69" s="174"/>
      <c r="HL69" s="174"/>
      <c r="HM69" s="174"/>
      <c r="HN69" s="174"/>
      <c r="HO69" s="174"/>
      <c r="HP69" s="174"/>
      <c r="HQ69" s="174"/>
      <c r="HR69" s="174"/>
      <c r="HS69" s="174"/>
      <c r="HT69" s="174"/>
      <c r="HU69" s="174"/>
      <c r="HV69" s="174"/>
      <c r="HW69" s="174"/>
      <c r="HX69" s="174"/>
      <c r="HY69" s="174"/>
      <c r="HZ69" s="174"/>
      <c r="IA69" s="174"/>
      <c r="IB69" s="174"/>
      <c r="IC69" s="174"/>
      <c r="ID69" s="174"/>
      <c r="IE69" s="174"/>
      <c r="IF69" s="174"/>
      <c r="IG69" s="174"/>
      <c r="IH69" s="174"/>
      <c r="II69" s="174"/>
      <c r="IJ69" s="174"/>
      <c r="IK69" s="174"/>
      <c r="IL69" s="174"/>
      <c r="IM69" s="174"/>
      <c r="IN69" s="174"/>
      <c r="IO69" s="174"/>
      <c r="IP69" s="174"/>
      <c r="IQ69" s="174"/>
      <c r="IR69" s="174"/>
      <c r="IS69" s="174"/>
      <c r="IT69" s="174"/>
      <c r="IU69" s="75"/>
      <c r="IV69" s="75"/>
      <c r="IW69" s="75"/>
      <c r="IX69" s="75"/>
      <c r="IY69" s="75"/>
      <c r="IZ69" s="75"/>
      <c r="JA69" s="75"/>
      <c r="JB69" s="75"/>
      <c r="JC69" s="75"/>
      <c r="JD69" s="75"/>
      <c r="JF69" s="710"/>
      <c r="JG69" s="710"/>
      <c r="JH69" s="178">
        <f t="shared" si="7"/>
        <v>0</v>
      </c>
      <c r="JI69" s="174">
        <f t="shared" si="8"/>
        <v>0</v>
      </c>
    </row>
    <row r="70" spans="2:269" ht="15" customHeight="1" x14ac:dyDescent="0.25">
      <c r="B70" s="113">
        <v>67</v>
      </c>
      <c r="C70" s="353" t="str">
        <f t="shared" si="5"/>
        <v/>
      </c>
      <c r="D70" s="353" t="str">
        <f t="shared" si="6"/>
        <v/>
      </c>
      <c r="E70" s="174"/>
      <c r="F70" s="174"/>
      <c r="G70" s="174"/>
      <c r="H70" s="174"/>
      <c r="I70" s="174"/>
      <c r="J70" s="174"/>
      <c r="K70" s="174"/>
      <c r="L70" s="174"/>
      <c r="M70" s="174"/>
      <c r="N70" s="174"/>
      <c r="O70" s="174"/>
      <c r="P70" s="174"/>
      <c r="Q70" s="174"/>
      <c r="R70" s="174"/>
      <c r="S70" s="174"/>
      <c r="T70" s="174"/>
      <c r="U70" s="174"/>
      <c r="V70" s="174"/>
      <c r="W70" s="174"/>
      <c r="X70" s="174"/>
      <c r="Y70" s="174"/>
      <c r="Z70" s="174"/>
      <c r="AA70" s="174"/>
      <c r="AB70" s="174"/>
      <c r="AC70" s="174"/>
      <c r="AD70" s="174"/>
      <c r="AE70" s="174"/>
      <c r="AF70" s="174"/>
      <c r="AG70" s="174"/>
      <c r="AH70" s="174"/>
      <c r="AI70" s="174"/>
      <c r="AJ70" s="174"/>
      <c r="AK70" s="174"/>
      <c r="AL70" s="174"/>
      <c r="AM70" s="174"/>
      <c r="AN70" s="174"/>
      <c r="AO70" s="174"/>
      <c r="AP70" s="174"/>
      <c r="AQ70" s="174"/>
      <c r="AR70" s="174"/>
      <c r="AS70" s="174"/>
      <c r="AT70" s="174"/>
      <c r="AU70" s="174"/>
      <c r="AV70" s="174"/>
      <c r="AW70" s="174"/>
      <c r="AX70" s="174"/>
      <c r="AY70" s="174"/>
      <c r="AZ70" s="174"/>
      <c r="BA70" s="174"/>
      <c r="BB70" s="174"/>
      <c r="BC70" s="174"/>
      <c r="BD70" s="174"/>
      <c r="BE70" s="174"/>
      <c r="BF70" s="174"/>
      <c r="BG70" s="174"/>
      <c r="BH70" s="174"/>
      <c r="BI70" s="174"/>
      <c r="BJ70" s="174"/>
      <c r="BK70" s="174"/>
      <c r="BL70" s="174"/>
      <c r="BM70" s="174"/>
      <c r="BN70" s="174"/>
      <c r="BO70" s="174"/>
      <c r="BP70" s="174"/>
      <c r="BQ70" s="174"/>
      <c r="BR70" s="174"/>
      <c r="BS70" s="174"/>
      <c r="BT70" s="174"/>
      <c r="BU70" s="174"/>
      <c r="BV70" s="174"/>
      <c r="BW70" s="174"/>
      <c r="BX70" s="174"/>
      <c r="BY70" s="174"/>
      <c r="BZ70" s="174"/>
      <c r="CA70" s="174"/>
      <c r="CB70" s="174"/>
      <c r="CC70" s="174"/>
      <c r="CD70" s="174"/>
      <c r="CE70" s="174"/>
      <c r="CF70" s="174"/>
      <c r="CG70" s="174"/>
      <c r="CH70" s="174"/>
      <c r="CI70" s="174"/>
      <c r="CJ70" s="174"/>
      <c r="CK70" s="174"/>
      <c r="CL70" s="174"/>
      <c r="CM70" s="174"/>
      <c r="CN70" s="174"/>
      <c r="CO70" s="174"/>
      <c r="CP70" s="174"/>
      <c r="CQ70" s="174"/>
      <c r="CR70" s="174"/>
      <c r="CS70" s="174"/>
      <c r="CT70" s="174"/>
      <c r="CU70" s="174"/>
      <c r="CV70" s="174"/>
      <c r="CW70" s="174"/>
      <c r="CX70" s="174"/>
      <c r="CY70" s="174"/>
      <c r="CZ70" s="174"/>
      <c r="DA70" s="174"/>
      <c r="DB70" s="174"/>
      <c r="DC70" s="174"/>
      <c r="DD70" s="174"/>
      <c r="DE70" s="174"/>
      <c r="DF70" s="174"/>
      <c r="DG70" s="174"/>
      <c r="DH70" s="174"/>
      <c r="DI70" s="174"/>
      <c r="DJ70" s="174"/>
      <c r="DK70" s="174"/>
      <c r="DL70" s="174"/>
      <c r="DM70" s="174"/>
      <c r="DN70" s="174"/>
      <c r="DO70" s="174"/>
      <c r="DP70" s="174"/>
      <c r="DQ70" s="174"/>
      <c r="DR70" s="174"/>
      <c r="DS70" s="174"/>
      <c r="DT70" s="174"/>
      <c r="DU70" s="174"/>
      <c r="DV70" s="174"/>
      <c r="DW70" s="174"/>
      <c r="DX70" s="174"/>
      <c r="DY70" s="174"/>
      <c r="DZ70" s="174"/>
      <c r="EA70" s="174"/>
      <c r="EB70" s="174"/>
      <c r="EC70" s="174"/>
      <c r="ED70" s="174"/>
      <c r="EE70" s="174"/>
      <c r="EF70" s="174"/>
      <c r="EG70" s="174"/>
      <c r="EH70" s="174"/>
      <c r="EI70" s="174"/>
      <c r="EJ70" s="174"/>
      <c r="EK70" s="174"/>
      <c r="EL70" s="174"/>
      <c r="EM70" s="174"/>
      <c r="EN70" s="174"/>
      <c r="EO70" s="174"/>
      <c r="EP70" s="174"/>
      <c r="EQ70" s="174"/>
      <c r="ER70" s="174"/>
      <c r="ES70" s="174"/>
      <c r="ET70" s="174"/>
      <c r="EU70" s="174"/>
      <c r="EV70" s="174"/>
      <c r="EW70" s="174"/>
      <c r="EX70" s="174"/>
      <c r="EY70" s="174"/>
      <c r="EZ70" s="174"/>
      <c r="FA70" s="174"/>
      <c r="FB70" s="174"/>
      <c r="FC70" s="174"/>
      <c r="FD70" s="174"/>
      <c r="FE70" s="174"/>
      <c r="FF70" s="174"/>
      <c r="FG70" s="174"/>
      <c r="FH70" s="174"/>
      <c r="FI70" s="174"/>
      <c r="FJ70" s="174"/>
      <c r="FK70" s="174"/>
      <c r="FL70" s="174"/>
      <c r="FM70" s="174"/>
      <c r="FN70" s="174"/>
      <c r="FO70" s="174"/>
      <c r="FP70" s="174"/>
      <c r="FQ70" s="174"/>
      <c r="FR70" s="174"/>
      <c r="FS70" s="174"/>
      <c r="FT70" s="174"/>
      <c r="FU70" s="174"/>
      <c r="FV70" s="174"/>
      <c r="FW70" s="174"/>
      <c r="FX70" s="174"/>
      <c r="FY70" s="174"/>
      <c r="FZ70" s="174"/>
      <c r="GA70" s="174"/>
      <c r="GB70" s="174"/>
      <c r="GC70" s="174"/>
      <c r="GD70" s="174"/>
      <c r="GE70" s="174"/>
      <c r="GF70" s="174"/>
      <c r="GG70" s="174"/>
      <c r="GH70" s="174"/>
      <c r="GI70" s="174"/>
      <c r="GJ70" s="174"/>
      <c r="GK70" s="174"/>
      <c r="GL70" s="174"/>
      <c r="GM70" s="174"/>
      <c r="GN70" s="174"/>
      <c r="GO70" s="174"/>
      <c r="GP70" s="174"/>
      <c r="GQ70" s="174"/>
      <c r="GR70" s="174"/>
      <c r="GS70" s="174"/>
      <c r="GT70" s="174"/>
      <c r="GU70" s="174"/>
      <c r="GV70" s="174"/>
      <c r="GW70" s="174"/>
      <c r="GX70" s="174"/>
      <c r="GY70" s="174"/>
      <c r="GZ70" s="174"/>
      <c r="HA70" s="174"/>
      <c r="HB70" s="174"/>
      <c r="HC70" s="174"/>
      <c r="HD70" s="174"/>
      <c r="HE70" s="174"/>
      <c r="HF70" s="174"/>
      <c r="HG70" s="174"/>
      <c r="HH70" s="174"/>
      <c r="HI70" s="174"/>
      <c r="HJ70" s="174"/>
      <c r="HK70" s="174"/>
      <c r="HL70" s="174"/>
      <c r="HM70" s="174"/>
      <c r="HN70" s="174"/>
      <c r="HO70" s="174"/>
      <c r="HP70" s="174"/>
      <c r="HQ70" s="174"/>
      <c r="HR70" s="174"/>
      <c r="HS70" s="174"/>
      <c r="HT70" s="174"/>
      <c r="HU70" s="174"/>
      <c r="HV70" s="174"/>
      <c r="HW70" s="174"/>
      <c r="HX70" s="174"/>
      <c r="HY70" s="174"/>
      <c r="HZ70" s="174"/>
      <c r="IA70" s="174"/>
      <c r="IB70" s="174"/>
      <c r="IC70" s="174"/>
      <c r="ID70" s="174"/>
      <c r="IE70" s="174"/>
      <c r="IF70" s="174"/>
      <c r="IG70" s="174"/>
      <c r="IH70" s="174"/>
      <c r="II70" s="174"/>
      <c r="IJ70" s="174"/>
      <c r="IK70" s="174"/>
      <c r="IL70" s="174"/>
      <c r="IM70" s="174"/>
      <c r="IN70" s="174"/>
      <c r="IO70" s="174"/>
      <c r="IP70" s="174"/>
      <c r="IQ70" s="174"/>
      <c r="IR70" s="174"/>
      <c r="IS70" s="174"/>
      <c r="IT70" s="174"/>
      <c r="IU70" s="75"/>
      <c r="IV70" s="75"/>
      <c r="IW70" s="75"/>
      <c r="IX70" s="75"/>
      <c r="IY70" s="75"/>
      <c r="IZ70" s="75"/>
      <c r="JA70" s="75"/>
      <c r="JB70" s="75"/>
      <c r="JC70" s="75"/>
      <c r="JD70" s="75"/>
      <c r="JF70" s="710"/>
      <c r="JG70" s="710"/>
      <c r="JH70" s="178">
        <f t="shared" si="7"/>
        <v>0</v>
      </c>
      <c r="JI70" s="174">
        <f t="shared" si="8"/>
        <v>0</v>
      </c>
    </row>
    <row r="71" spans="2:269" ht="15" customHeight="1" x14ac:dyDescent="0.25">
      <c r="B71" s="113">
        <v>68</v>
      </c>
      <c r="C71" s="353" t="str">
        <f t="shared" si="5"/>
        <v/>
      </c>
      <c r="D71" s="353" t="str">
        <f t="shared" si="6"/>
        <v/>
      </c>
      <c r="E71" s="174"/>
      <c r="F71" s="174"/>
      <c r="G71" s="174"/>
      <c r="H71" s="174"/>
      <c r="I71" s="174"/>
      <c r="J71" s="174"/>
      <c r="K71" s="174"/>
      <c r="L71" s="174"/>
      <c r="M71" s="174"/>
      <c r="N71" s="174"/>
      <c r="O71" s="174"/>
      <c r="P71" s="174"/>
      <c r="Q71" s="174"/>
      <c r="R71" s="174"/>
      <c r="S71" s="174"/>
      <c r="T71" s="174"/>
      <c r="U71" s="174"/>
      <c r="V71" s="174"/>
      <c r="W71" s="174"/>
      <c r="X71" s="174"/>
      <c r="Y71" s="174"/>
      <c r="Z71" s="174"/>
      <c r="AA71" s="174"/>
      <c r="AB71" s="174"/>
      <c r="AC71" s="174"/>
      <c r="AD71" s="174"/>
      <c r="AE71" s="174"/>
      <c r="AF71" s="174"/>
      <c r="AG71" s="174"/>
      <c r="AH71" s="174"/>
      <c r="AI71" s="174"/>
      <c r="AJ71" s="174"/>
      <c r="AK71" s="174"/>
      <c r="AL71" s="174"/>
      <c r="AM71" s="174"/>
      <c r="AN71" s="174"/>
      <c r="AO71" s="174"/>
      <c r="AP71" s="174"/>
      <c r="AQ71" s="174"/>
      <c r="AR71" s="174"/>
      <c r="AS71" s="174"/>
      <c r="AT71" s="174"/>
      <c r="AU71" s="174"/>
      <c r="AV71" s="174"/>
      <c r="AW71" s="174"/>
      <c r="AX71" s="174"/>
      <c r="AY71" s="174"/>
      <c r="AZ71" s="174"/>
      <c r="BA71" s="174"/>
      <c r="BB71" s="174"/>
      <c r="BC71" s="174"/>
      <c r="BD71" s="174"/>
      <c r="BE71" s="174"/>
      <c r="BF71" s="174"/>
      <c r="BG71" s="174"/>
      <c r="BH71" s="174"/>
      <c r="BI71" s="174"/>
      <c r="BJ71" s="174"/>
      <c r="BK71" s="174"/>
      <c r="BL71" s="174"/>
      <c r="BM71" s="174"/>
      <c r="BN71" s="174"/>
      <c r="BO71" s="174"/>
      <c r="BP71" s="174"/>
      <c r="BQ71" s="174"/>
      <c r="BR71" s="174"/>
      <c r="BS71" s="174"/>
      <c r="BT71" s="174"/>
      <c r="BU71" s="174"/>
      <c r="BV71" s="174"/>
      <c r="BW71" s="174"/>
      <c r="BX71" s="174"/>
      <c r="BY71" s="174"/>
      <c r="BZ71" s="174"/>
      <c r="CA71" s="174"/>
      <c r="CB71" s="174"/>
      <c r="CC71" s="174"/>
      <c r="CD71" s="174"/>
      <c r="CE71" s="174"/>
      <c r="CF71" s="174"/>
      <c r="CG71" s="174"/>
      <c r="CH71" s="174"/>
      <c r="CI71" s="174"/>
      <c r="CJ71" s="174"/>
      <c r="CK71" s="174"/>
      <c r="CL71" s="174"/>
      <c r="CM71" s="174"/>
      <c r="CN71" s="174"/>
      <c r="CO71" s="174"/>
      <c r="CP71" s="174"/>
      <c r="CQ71" s="174"/>
      <c r="CR71" s="174"/>
      <c r="CS71" s="174"/>
      <c r="CT71" s="174"/>
      <c r="CU71" s="174"/>
      <c r="CV71" s="174"/>
      <c r="CW71" s="174"/>
      <c r="CX71" s="174"/>
      <c r="CY71" s="174"/>
      <c r="CZ71" s="174"/>
      <c r="DA71" s="174"/>
      <c r="DB71" s="174"/>
      <c r="DC71" s="174"/>
      <c r="DD71" s="174"/>
      <c r="DE71" s="174"/>
      <c r="DF71" s="174"/>
      <c r="DG71" s="174"/>
      <c r="DH71" s="174"/>
      <c r="DI71" s="174"/>
      <c r="DJ71" s="174"/>
      <c r="DK71" s="174"/>
      <c r="DL71" s="174"/>
      <c r="DM71" s="174"/>
      <c r="DN71" s="174"/>
      <c r="DO71" s="174"/>
      <c r="DP71" s="174"/>
      <c r="DQ71" s="174"/>
      <c r="DR71" s="174"/>
      <c r="DS71" s="174"/>
      <c r="DT71" s="174"/>
      <c r="DU71" s="174"/>
      <c r="DV71" s="174"/>
      <c r="DW71" s="174"/>
      <c r="DX71" s="174"/>
      <c r="DY71" s="174"/>
      <c r="DZ71" s="174"/>
      <c r="EA71" s="174"/>
      <c r="EB71" s="174"/>
      <c r="EC71" s="174"/>
      <c r="ED71" s="174"/>
      <c r="EE71" s="174"/>
      <c r="EF71" s="174"/>
      <c r="EG71" s="174"/>
      <c r="EH71" s="174"/>
      <c r="EI71" s="174"/>
      <c r="EJ71" s="174"/>
      <c r="EK71" s="174"/>
      <c r="EL71" s="174"/>
      <c r="EM71" s="174"/>
      <c r="EN71" s="174"/>
      <c r="EO71" s="174"/>
      <c r="EP71" s="174"/>
      <c r="EQ71" s="174"/>
      <c r="ER71" s="174"/>
      <c r="ES71" s="174"/>
      <c r="ET71" s="174"/>
      <c r="EU71" s="174"/>
      <c r="EV71" s="174"/>
      <c r="EW71" s="174"/>
      <c r="EX71" s="174"/>
      <c r="EY71" s="174"/>
      <c r="EZ71" s="174"/>
      <c r="FA71" s="174"/>
      <c r="FB71" s="174"/>
      <c r="FC71" s="174"/>
      <c r="FD71" s="174"/>
      <c r="FE71" s="174"/>
      <c r="FF71" s="174"/>
      <c r="FG71" s="174"/>
      <c r="FH71" s="174"/>
      <c r="FI71" s="174"/>
      <c r="FJ71" s="174"/>
      <c r="FK71" s="174"/>
      <c r="FL71" s="174"/>
      <c r="FM71" s="174"/>
      <c r="FN71" s="174"/>
      <c r="FO71" s="174"/>
      <c r="FP71" s="174"/>
      <c r="FQ71" s="174"/>
      <c r="FR71" s="174"/>
      <c r="FS71" s="174"/>
      <c r="FT71" s="174"/>
      <c r="FU71" s="174"/>
      <c r="FV71" s="174"/>
      <c r="FW71" s="174"/>
      <c r="FX71" s="174"/>
      <c r="FY71" s="174"/>
      <c r="FZ71" s="174"/>
      <c r="GA71" s="174"/>
      <c r="GB71" s="174"/>
      <c r="GC71" s="174"/>
      <c r="GD71" s="174"/>
      <c r="GE71" s="174"/>
      <c r="GF71" s="174"/>
      <c r="GG71" s="174"/>
      <c r="GH71" s="174"/>
      <c r="GI71" s="174"/>
      <c r="GJ71" s="174"/>
      <c r="GK71" s="174"/>
      <c r="GL71" s="174"/>
      <c r="GM71" s="174"/>
      <c r="GN71" s="174"/>
      <c r="GO71" s="174"/>
      <c r="GP71" s="174"/>
      <c r="GQ71" s="174"/>
      <c r="GR71" s="174"/>
      <c r="GS71" s="174"/>
      <c r="GT71" s="174"/>
      <c r="GU71" s="174"/>
      <c r="GV71" s="174"/>
      <c r="GW71" s="174"/>
      <c r="GX71" s="174"/>
      <c r="GY71" s="174"/>
      <c r="GZ71" s="174"/>
      <c r="HA71" s="174"/>
      <c r="HB71" s="174"/>
      <c r="HC71" s="174"/>
      <c r="HD71" s="174"/>
      <c r="HE71" s="174"/>
      <c r="HF71" s="174"/>
      <c r="HG71" s="174"/>
      <c r="HH71" s="174"/>
      <c r="HI71" s="174"/>
      <c r="HJ71" s="174"/>
      <c r="HK71" s="174"/>
      <c r="HL71" s="174"/>
      <c r="HM71" s="174"/>
      <c r="HN71" s="174"/>
      <c r="HO71" s="174"/>
      <c r="HP71" s="174"/>
      <c r="HQ71" s="174"/>
      <c r="HR71" s="174"/>
      <c r="HS71" s="174"/>
      <c r="HT71" s="174"/>
      <c r="HU71" s="174"/>
      <c r="HV71" s="174"/>
      <c r="HW71" s="174"/>
      <c r="HX71" s="174"/>
      <c r="HY71" s="174"/>
      <c r="HZ71" s="174"/>
      <c r="IA71" s="174"/>
      <c r="IB71" s="174"/>
      <c r="IC71" s="174"/>
      <c r="ID71" s="174"/>
      <c r="IE71" s="174"/>
      <c r="IF71" s="174"/>
      <c r="IG71" s="174"/>
      <c r="IH71" s="174"/>
      <c r="II71" s="174"/>
      <c r="IJ71" s="174"/>
      <c r="IK71" s="174"/>
      <c r="IL71" s="174"/>
      <c r="IM71" s="174"/>
      <c r="IN71" s="174"/>
      <c r="IO71" s="174"/>
      <c r="IP71" s="174"/>
      <c r="IQ71" s="174"/>
      <c r="IR71" s="174"/>
      <c r="IS71" s="174"/>
      <c r="IT71" s="174"/>
      <c r="IU71" s="75"/>
      <c r="IV71" s="75"/>
      <c r="IW71" s="75"/>
      <c r="IX71" s="75"/>
      <c r="IY71" s="75"/>
      <c r="IZ71" s="75"/>
      <c r="JA71" s="75"/>
      <c r="JB71" s="75"/>
      <c r="JC71" s="75"/>
      <c r="JD71" s="75"/>
      <c r="JF71" s="710"/>
      <c r="JG71" s="710"/>
      <c r="JH71" s="178">
        <f t="shared" si="7"/>
        <v>0</v>
      </c>
      <c r="JI71" s="174">
        <f t="shared" si="8"/>
        <v>0</v>
      </c>
    </row>
    <row r="72" spans="2:269" ht="15" customHeight="1" x14ac:dyDescent="0.25">
      <c r="B72" s="113">
        <v>69</v>
      </c>
      <c r="C72" s="353" t="str">
        <f t="shared" si="5"/>
        <v/>
      </c>
      <c r="D72" s="353" t="str">
        <f t="shared" si="6"/>
        <v/>
      </c>
      <c r="E72" s="174"/>
      <c r="F72" s="174"/>
      <c r="G72" s="174"/>
      <c r="H72" s="174"/>
      <c r="I72" s="174"/>
      <c r="J72" s="174"/>
      <c r="K72" s="174"/>
      <c r="L72" s="174"/>
      <c r="M72" s="174"/>
      <c r="N72" s="174"/>
      <c r="O72" s="174"/>
      <c r="P72" s="174"/>
      <c r="Q72" s="174"/>
      <c r="R72" s="174"/>
      <c r="S72" s="174"/>
      <c r="T72" s="174"/>
      <c r="U72" s="174"/>
      <c r="V72" s="174"/>
      <c r="W72" s="174"/>
      <c r="X72" s="174"/>
      <c r="Y72" s="174"/>
      <c r="Z72" s="174"/>
      <c r="AA72" s="174"/>
      <c r="AB72" s="174"/>
      <c r="AC72" s="174"/>
      <c r="AD72" s="174"/>
      <c r="AE72" s="174"/>
      <c r="AF72" s="174"/>
      <c r="AG72" s="174"/>
      <c r="AH72" s="174"/>
      <c r="AI72" s="174"/>
      <c r="AJ72" s="174"/>
      <c r="AK72" s="174"/>
      <c r="AL72" s="174"/>
      <c r="AM72" s="174"/>
      <c r="AN72" s="174"/>
      <c r="AO72" s="174"/>
      <c r="AP72" s="174"/>
      <c r="AQ72" s="174"/>
      <c r="AR72" s="174"/>
      <c r="AS72" s="174"/>
      <c r="AT72" s="174"/>
      <c r="AU72" s="174"/>
      <c r="AV72" s="174"/>
      <c r="AW72" s="174"/>
      <c r="AX72" s="174"/>
      <c r="AY72" s="174"/>
      <c r="AZ72" s="174"/>
      <c r="BA72" s="174"/>
      <c r="BB72" s="174"/>
      <c r="BC72" s="174"/>
      <c r="BD72" s="174"/>
      <c r="BE72" s="174"/>
      <c r="BF72" s="174"/>
      <c r="BG72" s="174"/>
      <c r="BH72" s="174"/>
      <c r="BI72" s="174"/>
      <c r="BJ72" s="174"/>
      <c r="BK72" s="174"/>
      <c r="BL72" s="174"/>
      <c r="BM72" s="174"/>
      <c r="BN72" s="174"/>
      <c r="BO72" s="174"/>
      <c r="BP72" s="174"/>
      <c r="BQ72" s="174"/>
      <c r="BR72" s="174"/>
      <c r="BS72" s="174"/>
      <c r="BT72" s="174"/>
      <c r="BU72" s="174"/>
      <c r="BV72" s="174"/>
      <c r="BW72" s="174"/>
      <c r="BX72" s="174"/>
      <c r="BY72" s="174"/>
      <c r="BZ72" s="174"/>
      <c r="CA72" s="174"/>
      <c r="CB72" s="174"/>
      <c r="CC72" s="174"/>
      <c r="CD72" s="174"/>
      <c r="CE72" s="174"/>
      <c r="CF72" s="174"/>
      <c r="CG72" s="174"/>
      <c r="CH72" s="174"/>
      <c r="CI72" s="174"/>
      <c r="CJ72" s="174"/>
      <c r="CK72" s="174"/>
      <c r="CL72" s="174"/>
      <c r="CM72" s="174"/>
      <c r="CN72" s="174"/>
      <c r="CO72" s="174"/>
      <c r="CP72" s="174"/>
      <c r="CQ72" s="174"/>
      <c r="CR72" s="174"/>
      <c r="CS72" s="174"/>
      <c r="CT72" s="174"/>
      <c r="CU72" s="174"/>
      <c r="CV72" s="174"/>
      <c r="CW72" s="174"/>
      <c r="CX72" s="174"/>
      <c r="CY72" s="174"/>
      <c r="CZ72" s="174"/>
      <c r="DA72" s="174"/>
      <c r="DB72" s="174"/>
      <c r="DC72" s="174"/>
      <c r="DD72" s="174"/>
      <c r="DE72" s="174"/>
      <c r="DF72" s="174"/>
      <c r="DG72" s="174"/>
      <c r="DH72" s="174"/>
      <c r="DI72" s="174"/>
      <c r="DJ72" s="174"/>
      <c r="DK72" s="174"/>
      <c r="DL72" s="174"/>
      <c r="DM72" s="174"/>
      <c r="DN72" s="174"/>
      <c r="DO72" s="174"/>
      <c r="DP72" s="174"/>
      <c r="DQ72" s="174"/>
      <c r="DR72" s="174"/>
      <c r="DS72" s="174"/>
      <c r="DT72" s="174"/>
      <c r="DU72" s="174"/>
      <c r="DV72" s="174"/>
      <c r="DW72" s="174"/>
      <c r="DX72" s="174"/>
      <c r="DY72" s="174"/>
      <c r="DZ72" s="174"/>
      <c r="EA72" s="174"/>
      <c r="EB72" s="174"/>
      <c r="EC72" s="174"/>
      <c r="ED72" s="174"/>
      <c r="EE72" s="174"/>
      <c r="EF72" s="174"/>
      <c r="EG72" s="174"/>
      <c r="EH72" s="174"/>
      <c r="EI72" s="174"/>
      <c r="EJ72" s="174"/>
      <c r="EK72" s="174"/>
      <c r="EL72" s="174"/>
      <c r="EM72" s="174"/>
      <c r="EN72" s="174"/>
      <c r="EO72" s="174"/>
      <c r="EP72" s="174"/>
      <c r="EQ72" s="174"/>
      <c r="ER72" s="174"/>
      <c r="ES72" s="174"/>
      <c r="ET72" s="174"/>
      <c r="EU72" s="174"/>
      <c r="EV72" s="174"/>
      <c r="EW72" s="174"/>
      <c r="EX72" s="174"/>
      <c r="EY72" s="174"/>
      <c r="EZ72" s="174"/>
      <c r="FA72" s="174"/>
      <c r="FB72" s="174"/>
      <c r="FC72" s="174"/>
      <c r="FD72" s="174"/>
      <c r="FE72" s="174"/>
      <c r="FF72" s="174"/>
      <c r="FG72" s="174"/>
      <c r="FH72" s="174"/>
      <c r="FI72" s="174"/>
      <c r="FJ72" s="174"/>
      <c r="FK72" s="174"/>
      <c r="FL72" s="174"/>
      <c r="FM72" s="174"/>
      <c r="FN72" s="174"/>
      <c r="FO72" s="174"/>
      <c r="FP72" s="174"/>
      <c r="FQ72" s="174"/>
      <c r="FR72" s="174"/>
      <c r="FS72" s="174"/>
      <c r="FT72" s="174"/>
      <c r="FU72" s="174"/>
      <c r="FV72" s="174"/>
      <c r="FW72" s="174"/>
      <c r="FX72" s="174"/>
      <c r="FY72" s="174"/>
      <c r="FZ72" s="174"/>
      <c r="GA72" s="174"/>
      <c r="GB72" s="174"/>
      <c r="GC72" s="174"/>
      <c r="GD72" s="174"/>
      <c r="GE72" s="174"/>
      <c r="GF72" s="174"/>
      <c r="GG72" s="174"/>
      <c r="GH72" s="174"/>
      <c r="GI72" s="174"/>
      <c r="GJ72" s="174"/>
      <c r="GK72" s="174"/>
      <c r="GL72" s="174"/>
      <c r="GM72" s="174"/>
      <c r="GN72" s="174"/>
      <c r="GO72" s="174"/>
      <c r="GP72" s="174"/>
      <c r="GQ72" s="174"/>
      <c r="GR72" s="174"/>
      <c r="GS72" s="174"/>
      <c r="GT72" s="174"/>
      <c r="GU72" s="174"/>
      <c r="GV72" s="174"/>
      <c r="GW72" s="174"/>
      <c r="GX72" s="174"/>
      <c r="GY72" s="174"/>
      <c r="GZ72" s="174"/>
      <c r="HA72" s="174"/>
      <c r="HB72" s="174"/>
      <c r="HC72" s="174"/>
      <c r="HD72" s="174"/>
      <c r="HE72" s="174"/>
      <c r="HF72" s="174"/>
      <c r="HG72" s="174"/>
      <c r="HH72" s="174"/>
      <c r="HI72" s="174"/>
      <c r="HJ72" s="174"/>
      <c r="HK72" s="174"/>
      <c r="HL72" s="174"/>
      <c r="HM72" s="174"/>
      <c r="HN72" s="174"/>
      <c r="HO72" s="174"/>
      <c r="HP72" s="174"/>
      <c r="HQ72" s="174"/>
      <c r="HR72" s="174"/>
      <c r="HS72" s="174"/>
      <c r="HT72" s="174"/>
      <c r="HU72" s="174"/>
      <c r="HV72" s="174"/>
      <c r="HW72" s="174"/>
      <c r="HX72" s="174"/>
      <c r="HY72" s="174"/>
      <c r="HZ72" s="174"/>
      <c r="IA72" s="174"/>
      <c r="IB72" s="174"/>
      <c r="IC72" s="174"/>
      <c r="ID72" s="174"/>
      <c r="IE72" s="174"/>
      <c r="IF72" s="174"/>
      <c r="IG72" s="174"/>
      <c r="IH72" s="174"/>
      <c r="II72" s="174"/>
      <c r="IJ72" s="174"/>
      <c r="IK72" s="174"/>
      <c r="IL72" s="174"/>
      <c r="IM72" s="174"/>
      <c r="IN72" s="174"/>
      <c r="IO72" s="174"/>
      <c r="IP72" s="174"/>
      <c r="IQ72" s="174"/>
      <c r="IR72" s="174"/>
      <c r="IS72" s="174"/>
      <c r="IT72" s="174"/>
      <c r="IU72" s="75"/>
      <c r="IV72" s="75"/>
      <c r="IW72" s="75"/>
      <c r="IX72" s="75"/>
      <c r="IY72" s="75"/>
      <c r="IZ72" s="75"/>
      <c r="JA72" s="75"/>
      <c r="JB72" s="75"/>
      <c r="JC72" s="75"/>
      <c r="JD72" s="75"/>
      <c r="JF72" s="710"/>
      <c r="JG72" s="710"/>
      <c r="JH72" s="178">
        <f t="shared" si="7"/>
        <v>0</v>
      </c>
      <c r="JI72" s="174">
        <f t="shared" si="8"/>
        <v>0</v>
      </c>
    </row>
    <row r="73" spans="2:269" ht="15" customHeight="1" x14ac:dyDescent="0.25">
      <c r="B73" s="113">
        <v>70</v>
      </c>
      <c r="C73" s="353" t="str">
        <f t="shared" si="5"/>
        <v/>
      </c>
      <c r="D73" s="353" t="str">
        <f t="shared" si="6"/>
        <v/>
      </c>
      <c r="E73" s="174"/>
      <c r="F73" s="174"/>
      <c r="G73" s="174"/>
      <c r="H73" s="174"/>
      <c r="I73" s="174"/>
      <c r="J73" s="174"/>
      <c r="K73" s="174"/>
      <c r="L73" s="174"/>
      <c r="M73" s="174"/>
      <c r="N73" s="174"/>
      <c r="O73" s="174"/>
      <c r="P73" s="174"/>
      <c r="Q73" s="174"/>
      <c r="R73" s="174"/>
      <c r="S73" s="174"/>
      <c r="T73" s="174"/>
      <c r="U73" s="174"/>
      <c r="V73" s="174"/>
      <c r="W73" s="174"/>
      <c r="X73" s="174"/>
      <c r="Y73" s="174"/>
      <c r="Z73" s="174"/>
      <c r="AA73" s="174"/>
      <c r="AB73" s="174"/>
      <c r="AC73" s="174"/>
      <c r="AD73" s="174"/>
      <c r="AE73" s="174"/>
      <c r="AF73" s="174"/>
      <c r="AG73" s="174"/>
      <c r="AH73" s="174"/>
      <c r="AI73" s="174"/>
      <c r="AJ73" s="174"/>
      <c r="AK73" s="174"/>
      <c r="AL73" s="174"/>
      <c r="AM73" s="174"/>
      <c r="AN73" s="174"/>
      <c r="AO73" s="174"/>
      <c r="AP73" s="174"/>
      <c r="AQ73" s="174"/>
      <c r="AR73" s="174"/>
      <c r="AS73" s="174"/>
      <c r="AT73" s="174"/>
      <c r="AU73" s="174"/>
      <c r="AV73" s="174"/>
      <c r="AW73" s="174"/>
      <c r="AX73" s="174"/>
      <c r="AY73" s="174"/>
      <c r="AZ73" s="174"/>
      <c r="BA73" s="174"/>
      <c r="BB73" s="174"/>
      <c r="BC73" s="174"/>
      <c r="BD73" s="174"/>
      <c r="BE73" s="174"/>
      <c r="BF73" s="174"/>
      <c r="BG73" s="174"/>
      <c r="BH73" s="174"/>
      <c r="BI73" s="174"/>
      <c r="BJ73" s="174"/>
      <c r="BK73" s="174"/>
      <c r="BL73" s="174"/>
      <c r="BM73" s="174"/>
      <c r="BN73" s="174"/>
      <c r="BO73" s="174"/>
      <c r="BP73" s="174"/>
      <c r="BQ73" s="174"/>
      <c r="BR73" s="174"/>
      <c r="BS73" s="174"/>
      <c r="BT73" s="174"/>
      <c r="BU73" s="174"/>
      <c r="BV73" s="174"/>
      <c r="BW73" s="174"/>
      <c r="BX73" s="174"/>
      <c r="BY73" s="174"/>
      <c r="BZ73" s="174"/>
      <c r="CA73" s="174"/>
      <c r="CB73" s="174"/>
      <c r="CC73" s="174"/>
      <c r="CD73" s="174"/>
      <c r="CE73" s="174"/>
      <c r="CF73" s="174"/>
      <c r="CG73" s="174"/>
      <c r="CH73" s="174"/>
      <c r="CI73" s="174"/>
      <c r="CJ73" s="174"/>
      <c r="CK73" s="174"/>
      <c r="CL73" s="174"/>
      <c r="CM73" s="174"/>
      <c r="CN73" s="174"/>
      <c r="CO73" s="174"/>
      <c r="CP73" s="174"/>
      <c r="CQ73" s="174"/>
      <c r="CR73" s="174"/>
      <c r="CS73" s="174"/>
      <c r="CT73" s="174"/>
      <c r="CU73" s="174"/>
      <c r="CV73" s="174"/>
      <c r="CW73" s="174"/>
      <c r="CX73" s="174"/>
      <c r="CY73" s="174"/>
      <c r="CZ73" s="174"/>
      <c r="DA73" s="174"/>
      <c r="DB73" s="174"/>
      <c r="DC73" s="174"/>
      <c r="DD73" s="174"/>
      <c r="DE73" s="174"/>
      <c r="DF73" s="174"/>
      <c r="DG73" s="174"/>
      <c r="DH73" s="174"/>
      <c r="DI73" s="174"/>
      <c r="DJ73" s="174"/>
      <c r="DK73" s="174"/>
      <c r="DL73" s="174"/>
      <c r="DM73" s="174"/>
      <c r="DN73" s="174"/>
      <c r="DO73" s="174"/>
      <c r="DP73" s="174"/>
      <c r="DQ73" s="174"/>
      <c r="DR73" s="174"/>
      <c r="DS73" s="174"/>
      <c r="DT73" s="174"/>
      <c r="DU73" s="174"/>
      <c r="DV73" s="174"/>
      <c r="DW73" s="174"/>
      <c r="DX73" s="174"/>
      <c r="DY73" s="174"/>
      <c r="DZ73" s="174"/>
      <c r="EA73" s="174"/>
      <c r="EB73" s="174"/>
      <c r="EC73" s="174"/>
      <c r="ED73" s="174"/>
      <c r="EE73" s="174"/>
      <c r="EF73" s="174"/>
      <c r="EG73" s="174"/>
      <c r="EH73" s="174"/>
      <c r="EI73" s="174"/>
      <c r="EJ73" s="174"/>
      <c r="EK73" s="174"/>
      <c r="EL73" s="174"/>
      <c r="EM73" s="174"/>
      <c r="EN73" s="174"/>
      <c r="EO73" s="174"/>
      <c r="EP73" s="174"/>
      <c r="EQ73" s="174"/>
      <c r="ER73" s="174"/>
      <c r="ES73" s="174"/>
      <c r="ET73" s="174"/>
      <c r="EU73" s="174"/>
      <c r="EV73" s="174"/>
      <c r="EW73" s="174"/>
      <c r="EX73" s="174"/>
      <c r="EY73" s="174"/>
      <c r="EZ73" s="174"/>
      <c r="FA73" s="174"/>
      <c r="FB73" s="174"/>
      <c r="FC73" s="174"/>
      <c r="FD73" s="174"/>
      <c r="FE73" s="174"/>
      <c r="FF73" s="174"/>
      <c r="FG73" s="174"/>
      <c r="FH73" s="174"/>
      <c r="FI73" s="174"/>
      <c r="FJ73" s="174"/>
      <c r="FK73" s="174"/>
      <c r="FL73" s="174"/>
      <c r="FM73" s="174"/>
      <c r="FN73" s="174"/>
      <c r="FO73" s="174"/>
      <c r="FP73" s="174"/>
      <c r="FQ73" s="174"/>
      <c r="FR73" s="174"/>
      <c r="FS73" s="174"/>
      <c r="FT73" s="174"/>
      <c r="FU73" s="174"/>
      <c r="FV73" s="174"/>
      <c r="FW73" s="174"/>
      <c r="FX73" s="174"/>
      <c r="FY73" s="174"/>
      <c r="FZ73" s="174"/>
      <c r="GA73" s="174"/>
      <c r="GB73" s="174"/>
      <c r="GC73" s="174"/>
      <c r="GD73" s="174"/>
      <c r="GE73" s="174"/>
      <c r="GF73" s="174"/>
      <c r="GG73" s="174"/>
      <c r="GH73" s="174"/>
      <c r="GI73" s="174"/>
      <c r="GJ73" s="174"/>
      <c r="GK73" s="174"/>
      <c r="GL73" s="174"/>
      <c r="GM73" s="174"/>
      <c r="GN73" s="174"/>
      <c r="GO73" s="174"/>
      <c r="GP73" s="174"/>
      <c r="GQ73" s="174"/>
      <c r="GR73" s="174"/>
      <c r="GS73" s="174"/>
      <c r="GT73" s="174"/>
      <c r="GU73" s="174"/>
      <c r="GV73" s="174"/>
      <c r="GW73" s="174"/>
      <c r="GX73" s="174"/>
      <c r="GY73" s="174"/>
      <c r="GZ73" s="174"/>
      <c r="HA73" s="174"/>
      <c r="HB73" s="174"/>
      <c r="HC73" s="174"/>
      <c r="HD73" s="174"/>
      <c r="HE73" s="174"/>
      <c r="HF73" s="174"/>
      <c r="HG73" s="174"/>
      <c r="HH73" s="174"/>
      <c r="HI73" s="174"/>
      <c r="HJ73" s="174"/>
      <c r="HK73" s="174"/>
      <c r="HL73" s="174"/>
      <c r="HM73" s="174"/>
      <c r="HN73" s="174"/>
      <c r="HO73" s="174"/>
      <c r="HP73" s="174"/>
      <c r="HQ73" s="174"/>
      <c r="HR73" s="174"/>
      <c r="HS73" s="174"/>
      <c r="HT73" s="174"/>
      <c r="HU73" s="174"/>
      <c r="HV73" s="174"/>
      <c r="HW73" s="174"/>
      <c r="HX73" s="174"/>
      <c r="HY73" s="174"/>
      <c r="HZ73" s="174"/>
      <c r="IA73" s="174"/>
      <c r="IB73" s="174"/>
      <c r="IC73" s="174"/>
      <c r="ID73" s="174"/>
      <c r="IE73" s="174"/>
      <c r="IF73" s="174"/>
      <c r="IG73" s="174"/>
      <c r="IH73" s="174"/>
      <c r="II73" s="174"/>
      <c r="IJ73" s="174"/>
      <c r="IK73" s="174"/>
      <c r="IL73" s="174"/>
      <c r="IM73" s="174"/>
      <c r="IN73" s="174"/>
      <c r="IO73" s="174"/>
      <c r="IP73" s="174"/>
      <c r="IQ73" s="174"/>
      <c r="IR73" s="174"/>
      <c r="IS73" s="174"/>
      <c r="IT73" s="174"/>
      <c r="IU73" s="75"/>
      <c r="IV73" s="75"/>
      <c r="IW73" s="75"/>
      <c r="IX73" s="75"/>
      <c r="IY73" s="75"/>
      <c r="IZ73" s="75"/>
      <c r="JA73" s="75"/>
      <c r="JB73" s="75"/>
      <c r="JC73" s="75"/>
      <c r="JD73" s="75"/>
      <c r="JF73" s="710"/>
      <c r="JG73" s="710"/>
      <c r="JH73" s="178">
        <f t="shared" si="7"/>
        <v>0</v>
      </c>
      <c r="JI73" s="174">
        <f t="shared" si="8"/>
        <v>0</v>
      </c>
    </row>
    <row r="74" spans="2:269" ht="15" customHeight="1" x14ac:dyDescent="0.25">
      <c r="B74" s="113">
        <v>71</v>
      </c>
      <c r="C74" s="353" t="str">
        <f t="shared" si="5"/>
        <v/>
      </c>
      <c r="D74" s="353" t="str">
        <f t="shared" si="6"/>
        <v/>
      </c>
      <c r="E74" s="174"/>
      <c r="F74" s="174"/>
      <c r="G74" s="174"/>
      <c r="H74" s="174"/>
      <c r="I74" s="174"/>
      <c r="J74" s="174"/>
      <c r="K74" s="174"/>
      <c r="L74" s="174"/>
      <c r="M74" s="174"/>
      <c r="N74" s="174"/>
      <c r="O74" s="174"/>
      <c r="P74" s="174"/>
      <c r="Q74" s="174"/>
      <c r="R74" s="174"/>
      <c r="S74" s="174"/>
      <c r="T74" s="174"/>
      <c r="U74" s="174"/>
      <c r="V74" s="174"/>
      <c r="W74" s="174"/>
      <c r="X74" s="174"/>
      <c r="Y74" s="174"/>
      <c r="Z74" s="174"/>
      <c r="AA74" s="174"/>
      <c r="AB74" s="174"/>
      <c r="AC74" s="174"/>
      <c r="AD74" s="174"/>
      <c r="AE74" s="174"/>
      <c r="AF74" s="174"/>
      <c r="AG74" s="174"/>
      <c r="AH74" s="174"/>
      <c r="AI74" s="174"/>
      <c r="AJ74" s="174"/>
      <c r="AK74" s="174"/>
      <c r="AL74" s="174"/>
      <c r="AM74" s="174"/>
      <c r="AN74" s="174"/>
      <c r="AO74" s="174"/>
      <c r="AP74" s="174"/>
      <c r="AQ74" s="174"/>
      <c r="AR74" s="174"/>
      <c r="AS74" s="174"/>
      <c r="AT74" s="174"/>
      <c r="AU74" s="174"/>
      <c r="AV74" s="174"/>
      <c r="AW74" s="174"/>
      <c r="AX74" s="174"/>
      <c r="AY74" s="174"/>
      <c r="AZ74" s="174"/>
      <c r="BA74" s="174"/>
      <c r="BB74" s="174"/>
      <c r="BC74" s="174"/>
      <c r="BD74" s="174"/>
      <c r="BE74" s="174"/>
      <c r="BF74" s="174"/>
      <c r="BG74" s="174"/>
      <c r="BH74" s="174"/>
      <c r="BI74" s="174"/>
      <c r="BJ74" s="174"/>
      <c r="BK74" s="174"/>
      <c r="BL74" s="174"/>
      <c r="BM74" s="174"/>
      <c r="BN74" s="174"/>
      <c r="BO74" s="174"/>
      <c r="BP74" s="174"/>
      <c r="BQ74" s="174"/>
      <c r="BR74" s="174"/>
      <c r="BS74" s="174"/>
      <c r="BT74" s="174"/>
      <c r="BU74" s="174"/>
      <c r="BV74" s="174"/>
      <c r="BW74" s="174"/>
      <c r="BX74" s="174"/>
      <c r="BY74" s="174"/>
      <c r="BZ74" s="174"/>
      <c r="CA74" s="174"/>
      <c r="CB74" s="174"/>
      <c r="CC74" s="174"/>
      <c r="CD74" s="174"/>
      <c r="CE74" s="174"/>
      <c r="CF74" s="174"/>
      <c r="CG74" s="174"/>
      <c r="CH74" s="174"/>
      <c r="CI74" s="174"/>
      <c r="CJ74" s="174"/>
      <c r="CK74" s="174"/>
      <c r="CL74" s="174"/>
      <c r="CM74" s="174"/>
      <c r="CN74" s="174"/>
      <c r="CO74" s="174"/>
      <c r="CP74" s="174"/>
      <c r="CQ74" s="174"/>
      <c r="CR74" s="174"/>
      <c r="CS74" s="174"/>
      <c r="CT74" s="174"/>
      <c r="CU74" s="174"/>
      <c r="CV74" s="174"/>
      <c r="CW74" s="174"/>
      <c r="CX74" s="174"/>
      <c r="CY74" s="174"/>
      <c r="CZ74" s="174"/>
      <c r="DA74" s="174"/>
      <c r="DB74" s="174"/>
      <c r="DC74" s="174"/>
      <c r="DD74" s="174"/>
      <c r="DE74" s="174"/>
      <c r="DF74" s="174"/>
      <c r="DG74" s="174"/>
      <c r="DH74" s="174"/>
      <c r="DI74" s="174"/>
      <c r="DJ74" s="174"/>
      <c r="DK74" s="174"/>
      <c r="DL74" s="174"/>
      <c r="DM74" s="174"/>
      <c r="DN74" s="174"/>
      <c r="DO74" s="174"/>
      <c r="DP74" s="174"/>
      <c r="DQ74" s="174"/>
      <c r="DR74" s="174"/>
      <c r="DS74" s="174"/>
      <c r="DT74" s="174"/>
      <c r="DU74" s="174"/>
      <c r="DV74" s="174"/>
      <c r="DW74" s="174"/>
      <c r="DX74" s="174"/>
      <c r="DY74" s="174"/>
      <c r="DZ74" s="174"/>
      <c r="EA74" s="174"/>
      <c r="EB74" s="174"/>
      <c r="EC74" s="174"/>
      <c r="ED74" s="174"/>
      <c r="EE74" s="174"/>
      <c r="EF74" s="174"/>
      <c r="EG74" s="174"/>
      <c r="EH74" s="174"/>
      <c r="EI74" s="174"/>
      <c r="EJ74" s="174"/>
      <c r="EK74" s="174"/>
      <c r="EL74" s="174"/>
      <c r="EM74" s="174"/>
      <c r="EN74" s="174"/>
      <c r="EO74" s="174"/>
      <c r="EP74" s="174"/>
      <c r="EQ74" s="174"/>
      <c r="ER74" s="174"/>
      <c r="ES74" s="174"/>
      <c r="ET74" s="174"/>
      <c r="EU74" s="174"/>
      <c r="EV74" s="174"/>
      <c r="EW74" s="174"/>
      <c r="EX74" s="174"/>
      <c r="EY74" s="174"/>
      <c r="EZ74" s="174"/>
      <c r="FA74" s="174"/>
      <c r="FB74" s="174"/>
      <c r="FC74" s="174"/>
      <c r="FD74" s="174"/>
      <c r="FE74" s="174"/>
      <c r="FF74" s="174"/>
      <c r="FG74" s="174"/>
      <c r="FH74" s="174"/>
      <c r="FI74" s="174"/>
      <c r="FJ74" s="174"/>
      <c r="FK74" s="174"/>
      <c r="FL74" s="174"/>
      <c r="FM74" s="174"/>
      <c r="FN74" s="174"/>
      <c r="FO74" s="174"/>
      <c r="FP74" s="174"/>
      <c r="FQ74" s="174"/>
      <c r="FR74" s="174"/>
      <c r="FS74" s="174"/>
      <c r="FT74" s="174"/>
      <c r="FU74" s="174"/>
      <c r="FV74" s="174"/>
      <c r="FW74" s="174"/>
      <c r="FX74" s="174"/>
      <c r="FY74" s="174"/>
      <c r="FZ74" s="174"/>
      <c r="GA74" s="174"/>
      <c r="GB74" s="174"/>
      <c r="GC74" s="174"/>
      <c r="GD74" s="174"/>
      <c r="GE74" s="174"/>
      <c r="GF74" s="174"/>
      <c r="GG74" s="174"/>
      <c r="GH74" s="174"/>
      <c r="GI74" s="174"/>
      <c r="GJ74" s="174"/>
      <c r="GK74" s="174"/>
      <c r="GL74" s="174"/>
      <c r="GM74" s="174"/>
      <c r="GN74" s="174"/>
      <c r="GO74" s="174"/>
      <c r="GP74" s="174"/>
      <c r="GQ74" s="174"/>
      <c r="GR74" s="174"/>
      <c r="GS74" s="174"/>
      <c r="GT74" s="174"/>
      <c r="GU74" s="174"/>
      <c r="GV74" s="174"/>
      <c r="GW74" s="174"/>
      <c r="GX74" s="174"/>
      <c r="GY74" s="174"/>
      <c r="GZ74" s="174"/>
      <c r="HA74" s="174"/>
      <c r="HB74" s="174"/>
      <c r="HC74" s="174"/>
      <c r="HD74" s="174"/>
      <c r="HE74" s="174"/>
      <c r="HF74" s="174"/>
      <c r="HG74" s="174"/>
      <c r="HH74" s="174"/>
      <c r="HI74" s="174"/>
      <c r="HJ74" s="174"/>
      <c r="HK74" s="174"/>
      <c r="HL74" s="174"/>
      <c r="HM74" s="174"/>
      <c r="HN74" s="174"/>
      <c r="HO74" s="174"/>
      <c r="HP74" s="174"/>
      <c r="HQ74" s="174"/>
      <c r="HR74" s="174"/>
      <c r="HS74" s="174"/>
      <c r="HT74" s="174"/>
      <c r="HU74" s="174"/>
      <c r="HV74" s="174"/>
      <c r="HW74" s="174"/>
      <c r="HX74" s="174"/>
      <c r="HY74" s="174"/>
      <c r="HZ74" s="174"/>
      <c r="IA74" s="174"/>
      <c r="IB74" s="174"/>
      <c r="IC74" s="174"/>
      <c r="ID74" s="174"/>
      <c r="IE74" s="174"/>
      <c r="IF74" s="174"/>
      <c r="IG74" s="174"/>
      <c r="IH74" s="174"/>
      <c r="II74" s="174"/>
      <c r="IJ74" s="174"/>
      <c r="IK74" s="174"/>
      <c r="IL74" s="174"/>
      <c r="IM74" s="174"/>
      <c r="IN74" s="174"/>
      <c r="IO74" s="174"/>
      <c r="IP74" s="174"/>
      <c r="IQ74" s="174"/>
      <c r="IR74" s="174"/>
      <c r="IS74" s="174"/>
      <c r="IT74" s="174"/>
      <c r="IU74" s="75"/>
      <c r="IV74" s="75"/>
      <c r="IW74" s="75"/>
      <c r="IX74" s="75"/>
      <c r="IY74" s="75"/>
      <c r="IZ74" s="75"/>
      <c r="JA74" s="75"/>
      <c r="JB74" s="75"/>
      <c r="JC74" s="75"/>
      <c r="JD74" s="75"/>
      <c r="JF74" s="710"/>
      <c r="JG74" s="710"/>
      <c r="JH74" s="178">
        <f t="shared" si="7"/>
        <v>0</v>
      </c>
      <c r="JI74" s="174">
        <f t="shared" si="8"/>
        <v>0</v>
      </c>
    </row>
    <row r="75" spans="2:269" ht="15" customHeight="1" x14ac:dyDescent="0.25">
      <c r="B75" s="113">
        <v>72</v>
      </c>
      <c r="C75" s="353" t="str">
        <f t="shared" si="5"/>
        <v/>
      </c>
      <c r="D75" s="353" t="str">
        <f t="shared" si="6"/>
        <v/>
      </c>
      <c r="E75" s="174"/>
      <c r="F75" s="174"/>
      <c r="G75" s="174"/>
      <c r="H75" s="174"/>
      <c r="I75" s="174"/>
      <c r="J75" s="174"/>
      <c r="K75" s="174"/>
      <c r="L75" s="174"/>
      <c r="M75" s="174"/>
      <c r="N75" s="174"/>
      <c r="O75" s="174"/>
      <c r="P75" s="174"/>
      <c r="Q75" s="174"/>
      <c r="R75" s="174"/>
      <c r="S75" s="174"/>
      <c r="T75" s="174"/>
      <c r="U75" s="174"/>
      <c r="V75" s="174"/>
      <c r="W75" s="174"/>
      <c r="X75" s="174"/>
      <c r="Y75" s="174"/>
      <c r="Z75" s="174"/>
      <c r="AA75" s="174"/>
      <c r="AB75" s="174"/>
      <c r="AC75" s="174"/>
      <c r="AD75" s="174"/>
      <c r="AE75" s="174"/>
      <c r="AF75" s="174"/>
      <c r="AG75" s="174"/>
      <c r="AH75" s="174"/>
      <c r="AI75" s="174"/>
      <c r="AJ75" s="174"/>
      <c r="AK75" s="174"/>
      <c r="AL75" s="174"/>
      <c r="AM75" s="174"/>
      <c r="AN75" s="174"/>
      <c r="AO75" s="174"/>
      <c r="AP75" s="174"/>
      <c r="AQ75" s="174"/>
      <c r="AR75" s="174"/>
      <c r="AS75" s="174"/>
      <c r="AT75" s="174"/>
      <c r="AU75" s="174"/>
      <c r="AV75" s="174"/>
      <c r="AW75" s="174"/>
      <c r="AX75" s="174"/>
      <c r="AY75" s="174"/>
      <c r="AZ75" s="174"/>
      <c r="BA75" s="174"/>
      <c r="BB75" s="174"/>
      <c r="BC75" s="174"/>
      <c r="BD75" s="174"/>
      <c r="BE75" s="174"/>
      <c r="BF75" s="174"/>
      <c r="BG75" s="174"/>
      <c r="BH75" s="174"/>
      <c r="BI75" s="174"/>
      <c r="BJ75" s="174"/>
      <c r="BK75" s="174"/>
      <c r="BL75" s="174"/>
      <c r="BM75" s="174"/>
      <c r="BN75" s="174"/>
      <c r="BO75" s="174"/>
      <c r="BP75" s="174"/>
      <c r="BQ75" s="174"/>
      <c r="BR75" s="174"/>
      <c r="BS75" s="174"/>
      <c r="BT75" s="174"/>
      <c r="BU75" s="174"/>
      <c r="BV75" s="174"/>
      <c r="BW75" s="174"/>
      <c r="BX75" s="174"/>
      <c r="BY75" s="174"/>
      <c r="BZ75" s="174"/>
      <c r="CA75" s="174"/>
      <c r="CB75" s="174"/>
      <c r="CC75" s="174"/>
      <c r="CD75" s="174"/>
      <c r="CE75" s="174"/>
      <c r="CF75" s="174"/>
      <c r="CG75" s="174"/>
      <c r="CH75" s="174"/>
      <c r="CI75" s="174"/>
      <c r="CJ75" s="174"/>
      <c r="CK75" s="174"/>
      <c r="CL75" s="174"/>
      <c r="CM75" s="174"/>
      <c r="CN75" s="174"/>
      <c r="CO75" s="174"/>
      <c r="CP75" s="174"/>
      <c r="CQ75" s="174"/>
      <c r="CR75" s="174"/>
      <c r="CS75" s="174"/>
      <c r="CT75" s="174"/>
      <c r="CU75" s="174"/>
      <c r="CV75" s="174"/>
      <c r="CW75" s="174"/>
      <c r="CX75" s="174"/>
      <c r="CY75" s="174"/>
      <c r="CZ75" s="174"/>
      <c r="DA75" s="174"/>
      <c r="DB75" s="174"/>
      <c r="DC75" s="174"/>
      <c r="DD75" s="174"/>
      <c r="DE75" s="174"/>
      <c r="DF75" s="174"/>
      <c r="DG75" s="174"/>
      <c r="DH75" s="174"/>
      <c r="DI75" s="174"/>
      <c r="DJ75" s="174"/>
      <c r="DK75" s="174"/>
      <c r="DL75" s="174"/>
      <c r="DM75" s="174"/>
      <c r="DN75" s="174"/>
      <c r="DO75" s="174"/>
      <c r="DP75" s="174"/>
      <c r="DQ75" s="174"/>
      <c r="DR75" s="174"/>
      <c r="DS75" s="174"/>
      <c r="DT75" s="174"/>
      <c r="DU75" s="174"/>
      <c r="DV75" s="174"/>
      <c r="DW75" s="174"/>
      <c r="DX75" s="174"/>
      <c r="DY75" s="174"/>
      <c r="DZ75" s="174"/>
      <c r="EA75" s="174"/>
      <c r="EB75" s="174"/>
      <c r="EC75" s="174"/>
      <c r="ED75" s="174"/>
      <c r="EE75" s="174"/>
      <c r="EF75" s="174"/>
      <c r="EG75" s="174"/>
      <c r="EH75" s="174"/>
      <c r="EI75" s="174"/>
      <c r="EJ75" s="174"/>
      <c r="EK75" s="174"/>
      <c r="EL75" s="174"/>
      <c r="EM75" s="174"/>
      <c r="EN75" s="174"/>
      <c r="EO75" s="174"/>
      <c r="EP75" s="174"/>
      <c r="EQ75" s="174"/>
      <c r="ER75" s="174"/>
      <c r="ES75" s="174"/>
      <c r="ET75" s="174"/>
      <c r="EU75" s="174"/>
      <c r="EV75" s="174"/>
      <c r="EW75" s="174"/>
      <c r="EX75" s="174"/>
      <c r="EY75" s="174"/>
      <c r="EZ75" s="174"/>
      <c r="FA75" s="174"/>
      <c r="FB75" s="174"/>
      <c r="FC75" s="174"/>
      <c r="FD75" s="174"/>
      <c r="FE75" s="174"/>
      <c r="FF75" s="174"/>
      <c r="FG75" s="174"/>
      <c r="FH75" s="174"/>
      <c r="FI75" s="174"/>
      <c r="FJ75" s="174"/>
      <c r="FK75" s="174"/>
      <c r="FL75" s="174"/>
      <c r="FM75" s="174"/>
      <c r="FN75" s="174"/>
      <c r="FO75" s="174"/>
      <c r="FP75" s="174"/>
      <c r="FQ75" s="174"/>
      <c r="FR75" s="174"/>
      <c r="FS75" s="174"/>
      <c r="FT75" s="174"/>
      <c r="FU75" s="174"/>
      <c r="FV75" s="174"/>
      <c r="FW75" s="174"/>
      <c r="FX75" s="174"/>
      <c r="FY75" s="174"/>
      <c r="FZ75" s="174"/>
      <c r="GA75" s="174"/>
      <c r="GB75" s="174"/>
      <c r="GC75" s="174"/>
      <c r="GD75" s="174"/>
      <c r="GE75" s="174"/>
      <c r="GF75" s="174"/>
      <c r="GG75" s="174"/>
      <c r="GH75" s="174"/>
      <c r="GI75" s="174"/>
      <c r="GJ75" s="174"/>
      <c r="GK75" s="174"/>
      <c r="GL75" s="174"/>
      <c r="GM75" s="174"/>
      <c r="GN75" s="174"/>
      <c r="GO75" s="174"/>
      <c r="GP75" s="174"/>
      <c r="GQ75" s="174"/>
      <c r="GR75" s="174"/>
      <c r="GS75" s="174"/>
      <c r="GT75" s="174"/>
      <c r="GU75" s="174"/>
      <c r="GV75" s="174"/>
      <c r="GW75" s="174"/>
      <c r="GX75" s="174"/>
      <c r="GY75" s="174"/>
      <c r="GZ75" s="174"/>
      <c r="HA75" s="174"/>
      <c r="HB75" s="174"/>
      <c r="HC75" s="174"/>
      <c r="HD75" s="174"/>
      <c r="HE75" s="174"/>
      <c r="HF75" s="174"/>
      <c r="HG75" s="174"/>
      <c r="HH75" s="174"/>
      <c r="HI75" s="174"/>
      <c r="HJ75" s="174"/>
      <c r="HK75" s="174"/>
      <c r="HL75" s="174"/>
      <c r="HM75" s="174"/>
      <c r="HN75" s="174"/>
      <c r="HO75" s="174"/>
      <c r="HP75" s="174"/>
      <c r="HQ75" s="174"/>
      <c r="HR75" s="174"/>
      <c r="HS75" s="174"/>
      <c r="HT75" s="174"/>
      <c r="HU75" s="174"/>
      <c r="HV75" s="174"/>
      <c r="HW75" s="174"/>
      <c r="HX75" s="174"/>
      <c r="HY75" s="174"/>
      <c r="HZ75" s="174"/>
      <c r="IA75" s="174"/>
      <c r="IB75" s="174"/>
      <c r="IC75" s="174"/>
      <c r="ID75" s="174"/>
      <c r="IE75" s="174"/>
      <c r="IF75" s="174"/>
      <c r="IG75" s="174"/>
      <c r="IH75" s="174"/>
      <c r="II75" s="174"/>
      <c r="IJ75" s="174"/>
      <c r="IK75" s="174"/>
      <c r="IL75" s="174"/>
      <c r="IM75" s="174"/>
      <c r="IN75" s="174"/>
      <c r="IO75" s="174"/>
      <c r="IP75" s="174"/>
      <c r="IQ75" s="174"/>
      <c r="IR75" s="174"/>
      <c r="IS75" s="174"/>
      <c r="IT75" s="174"/>
      <c r="IU75" s="75"/>
      <c r="IV75" s="75"/>
      <c r="IW75" s="75"/>
      <c r="IX75" s="75"/>
      <c r="IY75" s="75"/>
      <c r="IZ75" s="75"/>
      <c r="JA75" s="75"/>
      <c r="JB75" s="75"/>
      <c r="JC75" s="75"/>
      <c r="JD75" s="75"/>
      <c r="JF75" s="710"/>
      <c r="JG75" s="710"/>
      <c r="JH75" s="178">
        <f t="shared" si="7"/>
        <v>0</v>
      </c>
      <c r="JI75" s="174">
        <f t="shared" si="8"/>
        <v>0</v>
      </c>
    </row>
    <row r="76" spans="2:269" ht="15" customHeight="1" x14ac:dyDescent="0.25">
      <c r="B76" s="113">
        <v>73</v>
      </c>
      <c r="C76" s="353" t="str">
        <f t="shared" si="5"/>
        <v/>
      </c>
      <c r="D76" s="353" t="str">
        <f t="shared" si="6"/>
        <v/>
      </c>
      <c r="E76" s="174"/>
      <c r="F76" s="174"/>
      <c r="G76" s="174"/>
      <c r="H76" s="174"/>
      <c r="I76" s="174"/>
      <c r="J76" s="174"/>
      <c r="K76" s="174"/>
      <c r="L76" s="174"/>
      <c r="M76" s="174"/>
      <c r="N76" s="174"/>
      <c r="O76" s="174"/>
      <c r="P76" s="174"/>
      <c r="Q76" s="174"/>
      <c r="R76" s="174"/>
      <c r="S76" s="174"/>
      <c r="T76" s="174"/>
      <c r="U76" s="174"/>
      <c r="V76" s="174"/>
      <c r="W76" s="174"/>
      <c r="X76" s="174"/>
      <c r="Y76" s="174"/>
      <c r="Z76" s="174"/>
      <c r="AA76" s="174"/>
      <c r="AB76" s="174"/>
      <c r="AC76" s="174"/>
      <c r="AD76" s="174"/>
      <c r="AE76" s="174"/>
      <c r="AF76" s="174"/>
      <c r="AG76" s="174"/>
      <c r="AH76" s="174"/>
      <c r="AI76" s="174"/>
      <c r="AJ76" s="174"/>
      <c r="AK76" s="174"/>
      <c r="AL76" s="174"/>
      <c r="AM76" s="174"/>
      <c r="AN76" s="174"/>
      <c r="AO76" s="174"/>
      <c r="AP76" s="174"/>
      <c r="AQ76" s="174"/>
      <c r="AR76" s="174"/>
      <c r="AS76" s="174"/>
      <c r="AT76" s="174"/>
      <c r="AU76" s="174"/>
      <c r="AV76" s="174"/>
      <c r="AW76" s="174"/>
      <c r="AX76" s="174"/>
      <c r="AY76" s="174"/>
      <c r="AZ76" s="174"/>
      <c r="BA76" s="174"/>
      <c r="BB76" s="174"/>
      <c r="BC76" s="174"/>
      <c r="BD76" s="174"/>
      <c r="BE76" s="174"/>
      <c r="BF76" s="174"/>
      <c r="BG76" s="174"/>
      <c r="BH76" s="174"/>
      <c r="BI76" s="174"/>
      <c r="BJ76" s="174"/>
      <c r="BK76" s="174"/>
      <c r="BL76" s="174"/>
      <c r="BM76" s="174"/>
      <c r="BN76" s="174"/>
      <c r="BO76" s="174"/>
      <c r="BP76" s="174"/>
      <c r="BQ76" s="174"/>
      <c r="BR76" s="174"/>
      <c r="BS76" s="174"/>
      <c r="BT76" s="174"/>
      <c r="BU76" s="174"/>
      <c r="BV76" s="174"/>
      <c r="BW76" s="174"/>
      <c r="BX76" s="174"/>
      <c r="BY76" s="174"/>
      <c r="BZ76" s="174"/>
      <c r="CA76" s="174"/>
      <c r="CB76" s="174"/>
      <c r="CC76" s="174"/>
      <c r="CD76" s="174"/>
      <c r="CE76" s="174"/>
      <c r="CF76" s="174"/>
      <c r="CG76" s="174"/>
      <c r="CH76" s="174"/>
      <c r="CI76" s="174"/>
      <c r="CJ76" s="174"/>
      <c r="CK76" s="174"/>
      <c r="CL76" s="174"/>
      <c r="CM76" s="174"/>
      <c r="CN76" s="174"/>
      <c r="CO76" s="174"/>
      <c r="CP76" s="174"/>
      <c r="CQ76" s="174"/>
      <c r="CR76" s="174"/>
      <c r="CS76" s="174"/>
      <c r="CT76" s="174"/>
      <c r="CU76" s="174"/>
      <c r="CV76" s="174"/>
      <c r="CW76" s="174"/>
      <c r="CX76" s="174"/>
      <c r="CY76" s="174"/>
      <c r="CZ76" s="174"/>
      <c r="DA76" s="174"/>
      <c r="DB76" s="174"/>
      <c r="DC76" s="174"/>
      <c r="DD76" s="174"/>
      <c r="DE76" s="174"/>
      <c r="DF76" s="174"/>
      <c r="DG76" s="174"/>
      <c r="DH76" s="174"/>
      <c r="DI76" s="174"/>
      <c r="DJ76" s="174"/>
      <c r="DK76" s="174"/>
      <c r="DL76" s="174"/>
      <c r="DM76" s="174"/>
      <c r="DN76" s="174"/>
      <c r="DO76" s="174"/>
      <c r="DP76" s="174"/>
      <c r="DQ76" s="174"/>
      <c r="DR76" s="174"/>
      <c r="DS76" s="174"/>
      <c r="DT76" s="174"/>
      <c r="DU76" s="174"/>
      <c r="DV76" s="174"/>
      <c r="DW76" s="174"/>
      <c r="DX76" s="174"/>
      <c r="DY76" s="174"/>
      <c r="DZ76" s="174"/>
      <c r="EA76" s="174"/>
      <c r="EB76" s="174"/>
      <c r="EC76" s="174"/>
      <c r="ED76" s="174"/>
      <c r="EE76" s="174"/>
      <c r="EF76" s="174"/>
      <c r="EG76" s="174"/>
      <c r="EH76" s="174"/>
      <c r="EI76" s="174"/>
      <c r="EJ76" s="174"/>
      <c r="EK76" s="174"/>
      <c r="EL76" s="174"/>
      <c r="EM76" s="174"/>
      <c r="EN76" s="174"/>
      <c r="EO76" s="174"/>
      <c r="EP76" s="174"/>
      <c r="EQ76" s="174"/>
      <c r="ER76" s="174"/>
      <c r="ES76" s="174"/>
      <c r="ET76" s="174"/>
      <c r="EU76" s="174"/>
      <c r="EV76" s="174"/>
      <c r="EW76" s="174"/>
      <c r="EX76" s="174"/>
      <c r="EY76" s="174"/>
      <c r="EZ76" s="174"/>
      <c r="FA76" s="174"/>
      <c r="FB76" s="174"/>
      <c r="FC76" s="174"/>
      <c r="FD76" s="174"/>
      <c r="FE76" s="174"/>
      <c r="FF76" s="174"/>
      <c r="FG76" s="174"/>
      <c r="FH76" s="174"/>
      <c r="FI76" s="174"/>
      <c r="FJ76" s="174"/>
      <c r="FK76" s="174"/>
      <c r="FL76" s="174"/>
      <c r="FM76" s="174"/>
      <c r="FN76" s="174"/>
      <c r="FO76" s="174"/>
      <c r="FP76" s="174"/>
      <c r="FQ76" s="174"/>
      <c r="FR76" s="174"/>
      <c r="FS76" s="174"/>
      <c r="FT76" s="174"/>
      <c r="FU76" s="174"/>
      <c r="FV76" s="174"/>
      <c r="FW76" s="174"/>
      <c r="FX76" s="174"/>
      <c r="FY76" s="174"/>
      <c r="FZ76" s="174"/>
      <c r="GA76" s="174"/>
      <c r="GB76" s="174"/>
      <c r="GC76" s="174"/>
      <c r="GD76" s="174"/>
      <c r="GE76" s="174"/>
      <c r="GF76" s="174"/>
      <c r="GG76" s="174"/>
      <c r="GH76" s="174"/>
      <c r="GI76" s="174"/>
      <c r="GJ76" s="174"/>
      <c r="GK76" s="174"/>
      <c r="GL76" s="174"/>
      <c r="GM76" s="174"/>
      <c r="GN76" s="174"/>
      <c r="GO76" s="174"/>
      <c r="GP76" s="174"/>
      <c r="GQ76" s="174"/>
      <c r="GR76" s="174"/>
      <c r="GS76" s="174"/>
      <c r="GT76" s="174"/>
      <c r="GU76" s="174"/>
      <c r="GV76" s="174"/>
      <c r="GW76" s="174"/>
      <c r="GX76" s="174"/>
      <c r="GY76" s="174"/>
      <c r="GZ76" s="174"/>
      <c r="HA76" s="174"/>
      <c r="HB76" s="174"/>
      <c r="HC76" s="174"/>
      <c r="HD76" s="174"/>
      <c r="HE76" s="174"/>
      <c r="HF76" s="174"/>
      <c r="HG76" s="174"/>
      <c r="HH76" s="174"/>
      <c r="HI76" s="174"/>
      <c r="HJ76" s="174"/>
      <c r="HK76" s="174"/>
      <c r="HL76" s="174"/>
      <c r="HM76" s="174"/>
      <c r="HN76" s="174"/>
      <c r="HO76" s="174"/>
      <c r="HP76" s="174"/>
      <c r="HQ76" s="174"/>
      <c r="HR76" s="174"/>
      <c r="HS76" s="174"/>
      <c r="HT76" s="174"/>
      <c r="HU76" s="174"/>
      <c r="HV76" s="174"/>
      <c r="HW76" s="174"/>
      <c r="HX76" s="174"/>
      <c r="HY76" s="174"/>
      <c r="HZ76" s="174"/>
      <c r="IA76" s="174"/>
      <c r="IB76" s="174"/>
      <c r="IC76" s="174"/>
      <c r="ID76" s="174"/>
      <c r="IE76" s="174"/>
      <c r="IF76" s="174"/>
      <c r="IG76" s="174"/>
      <c r="IH76" s="174"/>
      <c r="II76" s="174"/>
      <c r="IJ76" s="174"/>
      <c r="IK76" s="174"/>
      <c r="IL76" s="174"/>
      <c r="IM76" s="174"/>
      <c r="IN76" s="174"/>
      <c r="IO76" s="174"/>
      <c r="IP76" s="174"/>
      <c r="IQ76" s="174"/>
      <c r="IR76" s="174"/>
      <c r="IS76" s="174"/>
      <c r="IT76" s="174"/>
      <c r="IU76" s="75"/>
      <c r="IV76" s="75"/>
      <c r="IW76" s="75"/>
      <c r="IX76" s="75"/>
      <c r="IY76" s="75"/>
      <c r="IZ76" s="75"/>
      <c r="JA76" s="75"/>
      <c r="JB76" s="75"/>
      <c r="JC76" s="75"/>
      <c r="JD76" s="75"/>
      <c r="JF76" s="710"/>
      <c r="JG76" s="710"/>
      <c r="JH76" s="178">
        <f t="shared" si="7"/>
        <v>0</v>
      </c>
      <c r="JI76" s="174">
        <f t="shared" si="8"/>
        <v>0</v>
      </c>
    </row>
    <row r="77" spans="2:269" ht="15" customHeight="1" x14ac:dyDescent="0.25">
      <c r="B77" s="113">
        <v>74</v>
      </c>
      <c r="C77" s="353" t="str">
        <f t="shared" si="5"/>
        <v/>
      </c>
      <c r="D77" s="353" t="str">
        <f t="shared" si="6"/>
        <v/>
      </c>
      <c r="E77" s="174"/>
      <c r="F77" s="174"/>
      <c r="G77" s="174"/>
      <c r="H77" s="174"/>
      <c r="I77" s="174"/>
      <c r="J77" s="174"/>
      <c r="K77" s="174"/>
      <c r="L77" s="174"/>
      <c r="M77" s="174"/>
      <c r="N77" s="174"/>
      <c r="O77" s="174"/>
      <c r="P77" s="174"/>
      <c r="Q77" s="174"/>
      <c r="R77" s="174"/>
      <c r="S77" s="174"/>
      <c r="T77" s="174"/>
      <c r="U77" s="174"/>
      <c r="V77" s="174"/>
      <c r="W77" s="174"/>
      <c r="X77" s="174"/>
      <c r="Y77" s="174"/>
      <c r="Z77" s="174"/>
      <c r="AA77" s="174"/>
      <c r="AB77" s="174"/>
      <c r="AC77" s="174"/>
      <c r="AD77" s="174"/>
      <c r="AE77" s="174"/>
      <c r="AF77" s="174"/>
      <c r="AG77" s="174"/>
      <c r="AH77" s="174"/>
      <c r="AI77" s="174"/>
      <c r="AJ77" s="174"/>
      <c r="AK77" s="174"/>
      <c r="AL77" s="174"/>
      <c r="AM77" s="174"/>
      <c r="AN77" s="174"/>
      <c r="AO77" s="174"/>
      <c r="AP77" s="174"/>
      <c r="AQ77" s="174"/>
      <c r="AR77" s="174"/>
      <c r="AS77" s="174"/>
      <c r="AT77" s="174"/>
      <c r="AU77" s="174"/>
      <c r="AV77" s="174"/>
      <c r="AW77" s="174"/>
      <c r="AX77" s="174"/>
      <c r="AY77" s="174"/>
      <c r="AZ77" s="174"/>
      <c r="BA77" s="174"/>
      <c r="BB77" s="174"/>
      <c r="BC77" s="174"/>
      <c r="BD77" s="174"/>
      <c r="BE77" s="174"/>
      <c r="BF77" s="174"/>
      <c r="BG77" s="174"/>
      <c r="BH77" s="174"/>
      <c r="BI77" s="174"/>
      <c r="BJ77" s="174"/>
      <c r="BK77" s="174"/>
      <c r="BL77" s="174"/>
      <c r="BM77" s="174"/>
      <c r="BN77" s="174"/>
      <c r="BO77" s="174"/>
      <c r="BP77" s="174"/>
      <c r="BQ77" s="174"/>
      <c r="BR77" s="174"/>
      <c r="BS77" s="174"/>
      <c r="BT77" s="174"/>
      <c r="BU77" s="174"/>
      <c r="BV77" s="174"/>
      <c r="BW77" s="174"/>
      <c r="BX77" s="174"/>
      <c r="BY77" s="174"/>
      <c r="BZ77" s="174"/>
      <c r="CA77" s="174"/>
      <c r="CB77" s="174"/>
      <c r="CC77" s="174"/>
      <c r="CD77" s="174"/>
      <c r="CE77" s="174"/>
      <c r="CF77" s="174"/>
      <c r="CG77" s="174"/>
      <c r="CH77" s="174"/>
      <c r="CI77" s="174"/>
      <c r="CJ77" s="174"/>
      <c r="CK77" s="174"/>
      <c r="CL77" s="174"/>
      <c r="CM77" s="174"/>
      <c r="CN77" s="174"/>
      <c r="CO77" s="174"/>
      <c r="CP77" s="174"/>
      <c r="CQ77" s="174"/>
      <c r="CR77" s="174"/>
      <c r="CS77" s="174"/>
      <c r="CT77" s="174"/>
      <c r="CU77" s="174"/>
      <c r="CV77" s="174"/>
      <c r="CW77" s="174"/>
      <c r="CX77" s="174"/>
      <c r="CY77" s="174"/>
      <c r="CZ77" s="174"/>
      <c r="DA77" s="174"/>
      <c r="DB77" s="174"/>
      <c r="DC77" s="174"/>
      <c r="DD77" s="174"/>
      <c r="DE77" s="174"/>
      <c r="DF77" s="174"/>
      <c r="DG77" s="174"/>
      <c r="DH77" s="174"/>
      <c r="DI77" s="174"/>
      <c r="DJ77" s="174"/>
      <c r="DK77" s="174"/>
      <c r="DL77" s="174"/>
      <c r="DM77" s="174"/>
      <c r="DN77" s="174"/>
      <c r="DO77" s="174"/>
      <c r="DP77" s="174"/>
      <c r="DQ77" s="174"/>
      <c r="DR77" s="174"/>
      <c r="DS77" s="174"/>
      <c r="DT77" s="174"/>
      <c r="DU77" s="174"/>
      <c r="DV77" s="174"/>
      <c r="DW77" s="174"/>
      <c r="DX77" s="174"/>
      <c r="DY77" s="174"/>
      <c r="DZ77" s="174"/>
      <c r="EA77" s="174"/>
      <c r="EB77" s="174"/>
      <c r="EC77" s="174"/>
      <c r="ED77" s="174"/>
      <c r="EE77" s="174"/>
      <c r="EF77" s="174"/>
      <c r="EG77" s="174"/>
      <c r="EH77" s="174"/>
      <c r="EI77" s="174"/>
      <c r="EJ77" s="174"/>
      <c r="EK77" s="174"/>
      <c r="EL77" s="174"/>
      <c r="EM77" s="174"/>
      <c r="EN77" s="174"/>
      <c r="EO77" s="174"/>
      <c r="EP77" s="174"/>
      <c r="EQ77" s="174"/>
      <c r="ER77" s="174"/>
      <c r="ES77" s="174"/>
      <c r="ET77" s="174"/>
      <c r="EU77" s="174"/>
      <c r="EV77" s="174"/>
      <c r="EW77" s="174"/>
      <c r="EX77" s="174"/>
      <c r="EY77" s="174"/>
      <c r="EZ77" s="174"/>
      <c r="FA77" s="174"/>
      <c r="FB77" s="174"/>
      <c r="FC77" s="174"/>
      <c r="FD77" s="174"/>
      <c r="FE77" s="174"/>
      <c r="FF77" s="174"/>
      <c r="FG77" s="174"/>
      <c r="FH77" s="174"/>
      <c r="FI77" s="174"/>
      <c r="FJ77" s="174"/>
      <c r="FK77" s="174"/>
      <c r="FL77" s="174"/>
      <c r="FM77" s="174"/>
      <c r="FN77" s="174"/>
      <c r="FO77" s="174"/>
      <c r="FP77" s="174"/>
      <c r="FQ77" s="174"/>
      <c r="FR77" s="174"/>
      <c r="FS77" s="174"/>
      <c r="FT77" s="174"/>
      <c r="FU77" s="174"/>
      <c r="FV77" s="174"/>
      <c r="FW77" s="174"/>
      <c r="FX77" s="174"/>
      <c r="FY77" s="174"/>
      <c r="FZ77" s="174"/>
      <c r="GA77" s="174"/>
      <c r="GB77" s="174"/>
      <c r="GC77" s="174"/>
      <c r="GD77" s="174"/>
      <c r="GE77" s="174"/>
      <c r="GF77" s="174"/>
      <c r="GG77" s="174"/>
      <c r="GH77" s="174"/>
      <c r="GI77" s="174"/>
      <c r="GJ77" s="174"/>
      <c r="GK77" s="174"/>
      <c r="GL77" s="174"/>
      <c r="GM77" s="174"/>
      <c r="GN77" s="174"/>
      <c r="GO77" s="174"/>
      <c r="GP77" s="174"/>
      <c r="GQ77" s="174"/>
      <c r="GR77" s="174"/>
      <c r="GS77" s="174"/>
      <c r="GT77" s="174"/>
      <c r="GU77" s="174"/>
      <c r="GV77" s="174"/>
      <c r="GW77" s="174"/>
      <c r="GX77" s="174"/>
      <c r="GY77" s="174"/>
      <c r="GZ77" s="174"/>
      <c r="HA77" s="174"/>
      <c r="HB77" s="174"/>
      <c r="HC77" s="174"/>
      <c r="HD77" s="174"/>
      <c r="HE77" s="174"/>
      <c r="HF77" s="174"/>
      <c r="HG77" s="174"/>
      <c r="HH77" s="174"/>
      <c r="HI77" s="174"/>
      <c r="HJ77" s="174"/>
      <c r="HK77" s="174"/>
      <c r="HL77" s="174"/>
      <c r="HM77" s="174"/>
      <c r="HN77" s="174"/>
      <c r="HO77" s="174"/>
      <c r="HP77" s="174"/>
      <c r="HQ77" s="174"/>
      <c r="HR77" s="174"/>
      <c r="HS77" s="174"/>
      <c r="HT77" s="174"/>
      <c r="HU77" s="174"/>
      <c r="HV77" s="174"/>
      <c r="HW77" s="174"/>
      <c r="HX77" s="174"/>
      <c r="HY77" s="174"/>
      <c r="HZ77" s="174"/>
      <c r="IA77" s="174"/>
      <c r="IB77" s="174"/>
      <c r="IC77" s="174"/>
      <c r="ID77" s="174"/>
      <c r="IE77" s="174"/>
      <c r="IF77" s="174"/>
      <c r="IG77" s="174"/>
      <c r="IH77" s="174"/>
      <c r="II77" s="174"/>
      <c r="IJ77" s="174"/>
      <c r="IK77" s="174"/>
      <c r="IL77" s="174"/>
      <c r="IM77" s="174"/>
      <c r="IN77" s="174"/>
      <c r="IO77" s="174"/>
      <c r="IP77" s="174"/>
      <c r="IQ77" s="174"/>
      <c r="IR77" s="174"/>
      <c r="IS77" s="174"/>
      <c r="IT77" s="174"/>
      <c r="IU77" s="75"/>
      <c r="IV77" s="75"/>
      <c r="IW77" s="75"/>
      <c r="IX77" s="75"/>
      <c r="IY77" s="75"/>
      <c r="IZ77" s="75"/>
      <c r="JA77" s="75"/>
      <c r="JB77" s="75"/>
      <c r="JC77" s="75"/>
      <c r="JD77" s="75"/>
      <c r="JF77" s="710"/>
      <c r="JG77" s="710"/>
      <c r="JH77" s="178">
        <f t="shared" si="7"/>
        <v>0</v>
      </c>
      <c r="JI77" s="174">
        <f t="shared" si="8"/>
        <v>0</v>
      </c>
    </row>
    <row r="78" spans="2:269" ht="15" customHeight="1" x14ac:dyDescent="0.25">
      <c r="B78" s="113">
        <v>75</v>
      </c>
      <c r="C78" s="353" t="str">
        <f t="shared" si="5"/>
        <v/>
      </c>
      <c r="D78" s="353" t="str">
        <f t="shared" si="6"/>
        <v/>
      </c>
      <c r="E78" s="174"/>
      <c r="F78" s="174"/>
      <c r="G78" s="174"/>
      <c r="H78" s="174"/>
      <c r="I78" s="174"/>
      <c r="J78" s="174"/>
      <c r="K78" s="174"/>
      <c r="L78" s="174"/>
      <c r="M78" s="174"/>
      <c r="N78" s="174"/>
      <c r="O78" s="174"/>
      <c r="P78" s="174"/>
      <c r="Q78" s="174"/>
      <c r="R78" s="174"/>
      <c r="S78" s="174"/>
      <c r="T78" s="174"/>
      <c r="U78" s="174"/>
      <c r="V78" s="174"/>
      <c r="W78" s="174"/>
      <c r="X78" s="174"/>
      <c r="Y78" s="174"/>
      <c r="Z78" s="174"/>
      <c r="AA78" s="174"/>
      <c r="AB78" s="174"/>
      <c r="AC78" s="174"/>
      <c r="AD78" s="174"/>
      <c r="AE78" s="174"/>
      <c r="AF78" s="174"/>
      <c r="AG78" s="174"/>
      <c r="AH78" s="174"/>
      <c r="AI78" s="174"/>
      <c r="AJ78" s="174"/>
      <c r="AK78" s="174"/>
      <c r="AL78" s="174"/>
      <c r="AM78" s="174"/>
      <c r="AN78" s="174"/>
      <c r="AO78" s="174"/>
      <c r="AP78" s="174"/>
      <c r="AQ78" s="174"/>
      <c r="AR78" s="174"/>
      <c r="AS78" s="174"/>
      <c r="AT78" s="174"/>
      <c r="AU78" s="174"/>
      <c r="AV78" s="174"/>
      <c r="AW78" s="174"/>
      <c r="AX78" s="174"/>
      <c r="AY78" s="174"/>
      <c r="AZ78" s="174"/>
      <c r="BA78" s="174"/>
      <c r="BB78" s="174"/>
      <c r="BC78" s="174"/>
      <c r="BD78" s="174"/>
      <c r="BE78" s="174"/>
      <c r="BF78" s="174"/>
      <c r="BG78" s="174"/>
      <c r="BH78" s="174"/>
      <c r="BI78" s="174"/>
      <c r="BJ78" s="174"/>
      <c r="BK78" s="174"/>
      <c r="BL78" s="174"/>
      <c r="BM78" s="174"/>
      <c r="BN78" s="174"/>
      <c r="BO78" s="174"/>
      <c r="BP78" s="174"/>
      <c r="BQ78" s="174"/>
      <c r="BR78" s="174"/>
      <c r="BS78" s="174"/>
      <c r="BT78" s="174"/>
      <c r="BU78" s="174"/>
      <c r="BV78" s="174"/>
      <c r="BW78" s="174"/>
      <c r="BX78" s="174"/>
      <c r="BY78" s="174"/>
      <c r="BZ78" s="174"/>
      <c r="CA78" s="174"/>
      <c r="CB78" s="174"/>
      <c r="CC78" s="174"/>
      <c r="CD78" s="174"/>
      <c r="CE78" s="174"/>
      <c r="CF78" s="174"/>
      <c r="CG78" s="174"/>
      <c r="CH78" s="174"/>
      <c r="CI78" s="174"/>
      <c r="CJ78" s="174"/>
      <c r="CK78" s="174"/>
      <c r="CL78" s="174"/>
      <c r="CM78" s="174"/>
      <c r="CN78" s="174"/>
      <c r="CO78" s="174"/>
      <c r="CP78" s="174"/>
      <c r="CQ78" s="174"/>
      <c r="CR78" s="174"/>
      <c r="CS78" s="174"/>
      <c r="CT78" s="174"/>
      <c r="CU78" s="174"/>
      <c r="CV78" s="174"/>
      <c r="CW78" s="174"/>
      <c r="CX78" s="174"/>
      <c r="CY78" s="174"/>
      <c r="CZ78" s="174"/>
      <c r="DA78" s="174"/>
      <c r="DB78" s="174"/>
      <c r="DC78" s="174"/>
      <c r="DD78" s="174"/>
      <c r="DE78" s="174"/>
      <c r="DF78" s="174"/>
      <c r="DG78" s="174"/>
      <c r="DH78" s="174"/>
      <c r="DI78" s="174"/>
      <c r="DJ78" s="174"/>
      <c r="DK78" s="174"/>
      <c r="DL78" s="174"/>
      <c r="DM78" s="174"/>
      <c r="DN78" s="174"/>
      <c r="DO78" s="174"/>
      <c r="DP78" s="174"/>
      <c r="DQ78" s="174"/>
      <c r="DR78" s="174"/>
      <c r="DS78" s="174"/>
      <c r="DT78" s="174"/>
      <c r="DU78" s="174"/>
      <c r="DV78" s="174"/>
      <c r="DW78" s="174"/>
      <c r="DX78" s="174"/>
      <c r="DY78" s="174"/>
      <c r="DZ78" s="174"/>
      <c r="EA78" s="174"/>
      <c r="EB78" s="174"/>
      <c r="EC78" s="174"/>
      <c r="ED78" s="174"/>
      <c r="EE78" s="174"/>
      <c r="EF78" s="174"/>
      <c r="EG78" s="174"/>
      <c r="EH78" s="174"/>
      <c r="EI78" s="174"/>
      <c r="EJ78" s="174"/>
      <c r="EK78" s="174"/>
      <c r="EL78" s="174"/>
      <c r="EM78" s="174"/>
      <c r="EN78" s="174"/>
      <c r="EO78" s="174"/>
      <c r="EP78" s="174"/>
      <c r="EQ78" s="174"/>
      <c r="ER78" s="174"/>
      <c r="ES78" s="174"/>
      <c r="ET78" s="174"/>
      <c r="EU78" s="174"/>
      <c r="EV78" s="174"/>
      <c r="EW78" s="174"/>
      <c r="EX78" s="174"/>
      <c r="EY78" s="174"/>
      <c r="EZ78" s="174"/>
      <c r="FA78" s="174"/>
      <c r="FB78" s="174"/>
      <c r="FC78" s="174"/>
      <c r="FD78" s="174"/>
      <c r="FE78" s="174"/>
      <c r="FF78" s="174"/>
      <c r="FG78" s="174"/>
      <c r="FH78" s="174"/>
      <c r="FI78" s="174"/>
      <c r="FJ78" s="174"/>
      <c r="FK78" s="174"/>
      <c r="FL78" s="174"/>
      <c r="FM78" s="174"/>
      <c r="FN78" s="174"/>
      <c r="FO78" s="174"/>
      <c r="FP78" s="174"/>
      <c r="FQ78" s="174"/>
      <c r="FR78" s="174"/>
      <c r="FS78" s="174"/>
      <c r="FT78" s="174"/>
      <c r="FU78" s="174"/>
      <c r="FV78" s="174"/>
      <c r="FW78" s="174"/>
      <c r="FX78" s="174"/>
      <c r="FY78" s="174"/>
      <c r="FZ78" s="174"/>
      <c r="GA78" s="174"/>
      <c r="GB78" s="174"/>
      <c r="GC78" s="174"/>
      <c r="GD78" s="174"/>
      <c r="GE78" s="174"/>
      <c r="GF78" s="174"/>
      <c r="GG78" s="174"/>
      <c r="GH78" s="174"/>
      <c r="GI78" s="174"/>
      <c r="GJ78" s="174"/>
      <c r="GK78" s="174"/>
      <c r="GL78" s="174"/>
      <c r="GM78" s="174"/>
      <c r="GN78" s="174"/>
      <c r="GO78" s="174"/>
      <c r="GP78" s="174"/>
      <c r="GQ78" s="174"/>
      <c r="GR78" s="174"/>
      <c r="GS78" s="174"/>
      <c r="GT78" s="174"/>
      <c r="GU78" s="174"/>
      <c r="GV78" s="174"/>
      <c r="GW78" s="174"/>
      <c r="GX78" s="174"/>
      <c r="GY78" s="174"/>
      <c r="GZ78" s="174"/>
      <c r="HA78" s="174"/>
      <c r="HB78" s="174"/>
      <c r="HC78" s="174"/>
      <c r="HD78" s="174"/>
      <c r="HE78" s="174"/>
      <c r="HF78" s="174"/>
      <c r="HG78" s="174"/>
      <c r="HH78" s="174"/>
      <c r="HI78" s="174"/>
      <c r="HJ78" s="174"/>
      <c r="HK78" s="174"/>
      <c r="HL78" s="174"/>
      <c r="HM78" s="174"/>
      <c r="HN78" s="174"/>
      <c r="HO78" s="174"/>
      <c r="HP78" s="174"/>
      <c r="HQ78" s="174"/>
      <c r="HR78" s="174"/>
      <c r="HS78" s="174"/>
      <c r="HT78" s="174"/>
      <c r="HU78" s="174"/>
      <c r="HV78" s="174"/>
      <c r="HW78" s="174"/>
      <c r="HX78" s="174"/>
      <c r="HY78" s="174"/>
      <c r="HZ78" s="174"/>
      <c r="IA78" s="174"/>
      <c r="IB78" s="174"/>
      <c r="IC78" s="174"/>
      <c r="ID78" s="174"/>
      <c r="IE78" s="174"/>
      <c r="IF78" s="174"/>
      <c r="IG78" s="174"/>
      <c r="IH78" s="174"/>
      <c r="II78" s="174"/>
      <c r="IJ78" s="174"/>
      <c r="IK78" s="174"/>
      <c r="IL78" s="174"/>
      <c r="IM78" s="174"/>
      <c r="IN78" s="174"/>
      <c r="IO78" s="174"/>
      <c r="IP78" s="174"/>
      <c r="IQ78" s="174"/>
      <c r="IR78" s="174"/>
      <c r="IS78" s="174"/>
      <c r="IT78" s="174"/>
      <c r="IU78" s="75"/>
      <c r="IV78" s="75"/>
      <c r="IW78" s="75"/>
      <c r="IX78" s="75"/>
      <c r="IY78" s="75"/>
      <c r="IZ78" s="75"/>
      <c r="JA78" s="75"/>
      <c r="JB78" s="75"/>
      <c r="JC78" s="75"/>
      <c r="JD78" s="75"/>
      <c r="JF78" s="710"/>
      <c r="JG78" s="710"/>
      <c r="JH78" s="178">
        <f t="shared" si="7"/>
        <v>0</v>
      </c>
      <c r="JI78" s="174">
        <f t="shared" si="8"/>
        <v>0</v>
      </c>
    </row>
    <row r="79" spans="2:269" ht="15" customHeight="1" x14ac:dyDescent="0.25">
      <c r="B79" s="113">
        <v>76</v>
      </c>
      <c r="C79" s="353" t="str">
        <f t="shared" si="5"/>
        <v/>
      </c>
      <c r="D79" s="353" t="str">
        <f t="shared" si="6"/>
        <v/>
      </c>
      <c r="E79" s="174"/>
      <c r="F79" s="174"/>
      <c r="G79" s="174"/>
      <c r="H79" s="174"/>
      <c r="I79" s="174"/>
      <c r="J79" s="174"/>
      <c r="K79" s="174"/>
      <c r="L79" s="174"/>
      <c r="M79" s="174"/>
      <c r="N79" s="174"/>
      <c r="O79" s="174"/>
      <c r="P79" s="174"/>
      <c r="Q79" s="174"/>
      <c r="R79" s="174"/>
      <c r="S79" s="174"/>
      <c r="T79" s="174"/>
      <c r="U79" s="174"/>
      <c r="V79" s="174"/>
      <c r="W79" s="174"/>
      <c r="X79" s="174"/>
      <c r="Y79" s="174"/>
      <c r="Z79" s="174"/>
      <c r="AA79" s="174"/>
      <c r="AB79" s="174"/>
      <c r="AC79" s="174"/>
      <c r="AD79" s="174"/>
      <c r="AE79" s="174"/>
      <c r="AF79" s="174"/>
      <c r="AG79" s="174"/>
      <c r="AH79" s="174"/>
      <c r="AI79" s="174"/>
      <c r="AJ79" s="174"/>
      <c r="AK79" s="174"/>
      <c r="AL79" s="174"/>
      <c r="AM79" s="174"/>
      <c r="AN79" s="174"/>
      <c r="AO79" s="174"/>
      <c r="AP79" s="174"/>
      <c r="AQ79" s="174"/>
      <c r="AR79" s="174"/>
      <c r="AS79" s="174"/>
      <c r="AT79" s="174"/>
      <c r="AU79" s="174"/>
      <c r="AV79" s="174"/>
      <c r="AW79" s="174"/>
      <c r="AX79" s="174"/>
      <c r="AY79" s="174"/>
      <c r="AZ79" s="174"/>
      <c r="BA79" s="174"/>
      <c r="BB79" s="174"/>
      <c r="BC79" s="174"/>
      <c r="BD79" s="174"/>
      <c r="BE79" s="174"/>
      <c r="BF79" s="174"/>
      <c r="BG79" s="174"/>
      <c r="BH79" s="174"/>
      <c r="BI79" s="174"/>
      <c r="BJ79" s="174"/>
      <c r="BK79" s="174"/>
      <c r="BL79" s="174"/>
      <c r="BM79" s="174"/>
      <c r="BN79" s="174"/>
      <c r="BO79" s="174"/>
      <c r="BP79" s="174"/>
      <c r="BQ79" s="174"/>
      <c r="BR79" s="174"/>
      <c r="BS79" s="174"/>
      <c r="BT79" s="174"/>
      <c r="BU79" s="174"/>
      <c r="BV79" s="174"/>
      <c r="BW79" s="174"/>
      <c r="BX79" s="174"/>
      <c r="BY79" s="174"/>
      <c r="BZ79" s="174"/>
      <c r="CA79" s="174"/>
      <c r="CB79" s="174"/>
      <c r="CC79" s="174"/>
      <c r="CD79" s="174"/>
      <c r="CE79" s="174"/>
      <c r="CF79" s="174"/>
      <c r="CG79" s="174"/>
      <c r="CH79" s="174"/>
      <c r="CI79" s="174"/>
      <c r="CJ79" s="174"/>
      <c r="CK79" s="174"/>
      <c r="CL79" s="174"/>
      <c r="CM79" s="174"/>
      <c r="CN79" s="174"/>
      <c r="CO79" s="174"/>
      <c r="CP79" s="174"/>
      <c r="CQ79" s="174"/>
      <c r="CR79" s="174"/>
      <c r="CS79" s="174"/>
      <c r="CT79" s="174"/>
      <c r="CU79" s="174"/>
      <c r="CV79" s="174"/>
      <c r="CW79" s="174"/>
      <c r="CX79" s="174"/>
      <c r="CY79" s="174"/>
      <c r="CZ79" s="174"/>
      <c r="DA79" s="174"/>
      <c r="DB79" s="174"/>
      <c r="DC79" s="174"/>
      <c r="DD79" s="174"/>
      <c r="DE79" s="174"/>
      <c r="DF79" s="174"/>
      <c r="DG79" s="174"/>
      <c r="DH79" s="174"/>
      <c r="DI79" s="174"/>
      <c r="DJ79" s="174"/>
      <c r="DK79" s="174"/>
      <c r="DL79" s="174"/>
      <c r="DM79" s="174"/>
      <c r="DN79" s="174"/>
      <c r="DO79" s="174"/>
      <c r="DP79" s="174"/>
      <c r="DQ79" s="174"/>
      <c r="DR79" s="174"/>
      <c r="DS79" s="174"/>
      <c r="DT79" s="174"/>
      <c r="DU79" s="174"/>
      <c r="DV79" s="174"/>
      <c r="DW79" s="174"/>
      <c r="DX79" s="174"/>
      <c r="DY79" s="174"/>
      <c r="DZ79" s="174"/>
      <c r="EA79" s="174"/>
      <c r="EB79" s="174"/>
      <c r="EC79" s="174"/>
      <c r="ED79" s="174"/>
      <c r="EE79" s="174"/>
      <c r="EF79" s="174"/>
      <c r="EG79" s="174"/>
      <c r="EH79" s="174"/>
      <c r="EI79" s="174"/>
      <c r="EJ79" s="174"/>
      <c r="EK79" s="174"/>
      <c r="EL79" s="174"/>
      <c r="EM79" s="174"/>
      <c r="EN79" s="174"/>
      <c r="EO79" s="174"/>
      <c r="EP79" s="174"/>
      <c r="EQ79" s="174"/>
      <c r="ER79" s="174"/>
      <c r="ES79" s="174"/>
      <c r="ET79" s="174"/>
      <c r="EU79" s="174"/>
      <c r="EV79" s="174"/>
      <c r="EW79" s="174"/>
      <c r="EX79" s="174"/>
      <c r="EY79" s="174"/>
      <c r="EZ79" s="174"/>
      <c r="FA79" s="174"/>
      <c r="FB79" s="174"/>
      <c r="FC79" s="174"/>
      <c r="FD79" s="174"/>
      <c r="FE79" s="174"/>
      <c r="FF79" s="174"/>
      <c r="FG79" s="174"/>
      <c r="FH79" s="174"/>
      <c r="FI79" s="174"/>
      <c r="FJ79" s="174"/>
      <c r="FK79" s="174"/>
      <c r="FL79" s="174"/>
      <c r="FM79" s="174"/>
      <c r="FN79" s="174"/>
      <c r="FO79" s="174"/>
      <c r="FP79" s="174"/>
      <c r="FQ79" s="174"/>
      <c r="FR79" s="174"/>
      <c r="FS79" s="174"/>
      <c r="FT79" s="174"/>
      <c r="FU79" s="174"/>
      <c r="FV79" s="174"/>
      <c r="FW79" s="174"/>
      <c r="FX79" s="174"/>
      <c r="FY79" s="174"/>
      <c r="FZ79" s="174"/>
      <c r="GA79" s="174"/>
      <c r="GB79" s="174"/>
      <c r="GC79" s="174"/>
      <c r="GD79" s="174"/>
      <c r="GE79" s="174"/>
      <c r="GF79" s="174"/>
      <c r="GG79" s="174"/>
      <c r="GH79" s="174"/>
      <c r="GI79" s="174"/>
      <c r="GJ79" s="174"/>
      <c r="GK79" s="174"/>
      <c r="GL79" s="174"/>
      <c r="GM79" s="174"/>
      <c r="GN79" s="174"/>
      <c r="GO79" s="174"/>
      <c r="GP79" s="174"/>
      <c r="GQ79" s="174"/>
      <c r="GR79" s="174"/>
      <c r="GS79" s="174"/>
      <c r="GT79" s="174"/>
      <c r="GU79" s="174"/>
      <c r="GV79" s="174"/>
      <c r="GW79" s="174"/>
      <c r="GX79" s="174"/>
      <c r="GY79" s="174"/>
      <c r="GZ79" s="174"/>
      <c r="HA79" s="174"/>
      <c r="HB79" s="174"/>
      <c r="HC79" s="174"/>
      <c r="HD79" s="174"/>
      <c r="HE79" s="174"/>
      <c r="HF79" s="174"/>
      <c r="HG79" s="174"/>
      <c r="HH79" s="174"/>
      <c r="HI79" s="174"/>
      <c r="HJ79" s="174"/>
      <c r="HK79" s="174"/>
      <c r="HL79" s="174"/>
      <c r="HM79" s="174"/>
      <c r="HN79" s="174"/>
      <c r="HO79" s="174"/>
      <c r="HP79" s="174"/>
      <c r="HQ79" s="174"/>
      <c r="HR79" s="174"/>
      <c r="HS79" s="174"/>
      <c r="HT79" s="174"/>
      <c r="HU79" s="174"/>
      <c r="HV79" s="174"/>
      <c r="HW79" s="174"/>
      <c r="HX79" s="174"/>
      <c r="HY79" s="174"/>
      <c r="HZ79" s="174"/>
      <c r="IA79" s="174"/>
      <c r="IB79" s="174"/>
      <c r="IC79" s="174"/>
      <c r="ID79" s="174"/>
      <c r="IE79" s="174"/>
      <c r="IF79" s="174"/>
      <c r="IG79" s="174"/>
      <c r="IH79" s="174"/>
      <c r="II79" s="174"/>
      <c r="IJ79" s="174"/>
      <c r="IK79" s="174"/>
      <c r="IL79" s="174"/>
      <c r="IM79" s="174"/>
      <c r="IN79" s="174"/>
      <c r="IO79" s="174"/>
      <c r="IP79" s="174"/>
      <c r="IQ79" s="174"/>
      <c r="IR79" s="174"/>
      <c r="IS79" s="174"/>
      <c r="IT79" s="174"/>
      <c r="IU79" s="75"/>
      <c r="IV79" s="75"/>
      <c r="IW79" s="75"/>
      <c r="IX79" s="75"/>
      <c r="IY79" s="75"/>
      <c r="IZ79" s="75"/>
      <c r="JA79" s="75"/>
      <c r="JB79" s="75"/>
      <c r="JC79" s="75"/>
      <c r="JD79" s="75"/>
      <c r="JF79" s="710"/>
      <c r="JG79" s="710"/>
      <c r="JH79" s="178">
        <f t="shared" si="7"/>
        <v>0</v>
      </c>
      <c r="JI79" s="174">
        <f t="shared" si="8"/>
        <v>0</v>
      </c>
    </row>
    <row r="80" spans="2:269" ht="15" customHeight="1" x14ac:dyDescent="0.25">
      <c r="B80" s="113">
        <v>77</v>
      </c>
      <c r="C80" s="353" t="str">
        <f t="shared" si="5"/>
        <v/>
      </c>
      <c r="D80" s="353" t="str">
        <f t="shared" si="6"/>
        <v/>
      </c>
      <c r="E80" s="174"/>
      <c r="F80" s="174"/>
      <c r="G80" s="174"/>
      <c r="H80" s="174"/>
      <c r="I80" s="174"/>
      <c r="J80" s="174"/>
      <c r="K80" s="174"/>
      <c r="L80" s="174"/>
      <c r="M80" s="174"/>
      <c r="N80" s="174"/>
      <c r="O80" s="174"/>
      <c r="P80" s="174"/>
      <c r="Q80" s="174"/>
      <c r="R80" s="174"/>
      <c r="S80" s="174"/>
      <c r="T80" s="174"/>
      <c r="U80" s="174"/>
      <c r="V80" s="174"/>
      <c r="W80" s="174"/>
      <c r="X80" s="174"/>
      <c r="Y80" s="174"/>
      <c r="Z80" s="174"/>
      <c r="AA80" s="174"/>
      <c r="AB80" s="174"/>
      <c r="AC80" s="174"/>
      <c r="AD80" s="174"/>
      <c r="AE80" s="174"/>
      <c r="AF80" s="174"/>
      <c r="AG80" s="174"/>
      <c r="AH80" s="174"/>
      <c r="AI80" s="174"/>
      <c r="AJ80" s="174"/>
      <c r="AK80" s="174"/>
      <c r="AL80" s="174"/>
      <c r="AM80" s="174"/>
      <c r="AN80" s="174"/>
      <c r="AO80" s="174"/>
      <c r="AP80" s="174"/>
      <c r="AQ80" s="174"/>
      <c r="AR80" s="174"/>
      <c r="AS80" s="174"/>
      <c r="AT80" s="174"/>
      <c r="AU80" s="174"/>
      <c r="AV80" s="174"/>
      <c r="AW80" s="174"/>
      <c r="AX80" s="174"/>
      <c r="AY80" s="174"/>
      <c r="AZ80" s="174"/>
      <c r="BA80" s="174"/>
      <c r="BB80" s="174"/>
      <c r="BC80" s="174"/>
      <c r="BD80" s="174"/>
      <c r="BE80" s="174"/>
      <c r="BF80" s="174"/>
      <c r="BG80" s="174"/>
      <c r="BH80" s="174"/>
      <c r="BI80" s="174"/>
      <c r="BJ80" s="174"/>
      <c r="BK80" s="174"/>
      <c r="BL80" s="174"/>
      <c r="BM80" s="174"/>
      <c r="BN80" s="174"/>
      <c r="BO80" s="174"/>
      <c r="BP80" s="174"/>
      <c r="BQ80" s="174"/>
      <c r="BR80" s="174"/>
      <c r="BS80" s="174"/>
      <c r="BT80" s="174"/>
      <c r="BU80" s="174"/>
      <c r="BV80" s="174"/>
      <c r="BW80" s="174"/>
      <c r="BX80" s="174"/>
      <c r="BY80" s="174"/>
      <c r="BZ80" s="174"/>
      <c r="CA80" s="174"/>
      <c r="CB80" s="174"/>
      <c r="CC80" s="174"/>
      <c r="CD80" s="174"/>
      <c r="CE80" s="174"/>
      <c r="CF80" s="174"/>
      <c r="CG80" s="174"/>
      <c r="CH80" s="174"/>
      <c r="CI80" s="174"/>
      <c r="CJ80" s="174"/>
      <c r="CK80" s="174"/>
      <c r="CL80" s="174"/>
      <c r="CM80" s="174"/>
      <c r="CN80" s="174"/>
      <c r="CO80" s="174"/>
      <c r="CP80" s="174"/>
      <c r="CQ80" s="174"/>
      <c r="CR80" s="174"/>
      <c r="CS80" s="174"/>
      <c r="CT80" s="174"/>
      <c r="CU80" s="174"/>
      <c r="CV80" s="174"/>
      <c r="CW80" s="174"/>
      <c r="CX80" s="174"/>
      <c r="CY80" s="174"/>
      <c r="CZ80" s="174"/>
      <c r="DA80" s="174"/>
      <c r="DB80" s="174"/>
      <c r="DC80" s="174"/>
      <c r="DD80" s="174"/>
      <c r="DE80" s="174"/>
      <c r="DF80" s="174"/>
      <c r="DG80" s="174"/>
      <c r="DH80" s="174"/>
      <c r="DI80" s="174"/>
      <c r="DJ80" s="174"/>
      <c r="DK80" s="174"/>
      <c r="DL80" s="174"/>
      <c r="DM80" s="174"/>
      <c r="DN80" s="174"/>
      <c r="DO80" s="174"/>
      <c r="DP80" s="174"/>
      <c r="DQ80" s="174"/>
      <c r="DR80" s="174"/>
      <c r="DS80" s="174"/>
      <c r="DT80" s="174"/>
      <c r="DU80" s="174"/>
      <c r="DV80" s="174"/>
      <c r="DW80" s="174"/>
      <c r="DX80" s="174"/>
      <c r="DY80" s="174"/>
      <c r="DZ80" s="174"/>
      <c r="EA80" s="174"/>
      <c r="EB80" s="174"/>
      <c r="EC80" s="174"/>
      <c r="ED80" s="174"/>
      <c r="EE80" s="174"/>
      <c r="EF80" s="174"/>
      <c r="EG80" s="174"/>
      <c r="EH80" s="174"/>
      <c r="EI80" s="174"/>
      <c r="EJ80" s="174"/>
      <c r="EK80" s="174"/>
      <c r="EL80" s="174"/>
      <c r="EM80" s="174"/>
      <c r="EN80" s="174"/>
      <c r="EO80" s="174"/>
      <c r="EP80" s="174"/>
      <c r="EQ80" s="174"/>
      <c r="ER80" s="174"/>
      <c r="ES80" s="174"/>
      <c r="ET80" s="174"/>
      <c r="EU80" s="174"/>
      <c r="EV80" s="174"/>
      <c r="EW80" s="174"/>
      <c r="EX80" s="174"/>
      <c r="EY80" s="174"/>
      <c r="EZ80" s="174"/>
      <c r="FA80" s="174"/>
      <c r="FB80" s="174"/>
      <c r="FC80" s="174"/>
      <c r="FD80" s="174"/>
      <c r="FE80" s="174"/>
      <c r="FF80" s="174"/>
      <c r="FG80" s="174"/>
      <c r="FH80" s="174"/>
      <c r="FI80" s="174"/>
      <c r="FJ80" s="174"/>
      <c r="FK80" s="174"/>
      <c r="FL80" s="174"/>
      <c r="FM80" s="174"/>
      <c r="FN80" s="174"/>
      <c r="FO80" s="174"/>
      <c r="FP80" s="174"/>
      <c r="FQ80" s="174"/>
      <c r="FR80" s="174"/>
      <c r="FS80" s="174"/>
      <c r="FT80" s="174"/>
      <c r="FU80" s="174"/>
      <c r="FV80" s="174"/>
      <c r="FW80" s="174"/>
      <c r="FX80" s="174"/>
      <c r="FY80" s="174"/>
      <c r="FZ80" s="174"/>
      <c r="GA80" s="174"/>
      <c r="GB80" s="174"/>
      <c r="GC80" s="174"/>
      <c r="GD80" s="174"/>
      <c r="GE80" s="174"/>
      <c r="GF80" s="174"/>
      <c r="GG80" s="174"/>
      <c r="GH80" s="174"/>
      <c r="GI80" s="174"/>
      <c r="GJ80" s="174"/>
      <c r="GK80" s="174"/>
      <c r="GL80" s="174"/>
      <c r="GM80" s="174"/>
      <c r="GN80" s="174"/>
      <c r="GO80" s="174"/>
      <c r="GP80" s="174"/>
      <c r="GQ80" s="174"/>
      <c r="GR80" s="174"/>
      <c r="GS80" s="174"/>
      <c r="GT80" s="174"/>
      <c r="GU80" s="174"/>
      <c r="GV80" s="174"/>
      <c r="GW80" s="174"/>
      <c r="GX80" s="174"/>
      <c r="GY80" s="174"/>
      <c r="GZ80" s="174"/>
      <c r="HA80" s="174"/>
      <c r="HB80" s="174"/>
      <c r="HC80" s="174"/>
      <c r="HD80" s="174"/>
      <c r="HE80" s="174"/>
      <c r="HF80" s="174"/>
      <c r="HG80" s="174"/>
      <c r="HH80" s="174"/>
      <c r="HI80" s="174"/>
      <c r="HJ80" s="174"/>
      <c r="HK80" s="174"/>
      <c r="HL80" s="174"/>
      <c r="HM80" s="174"/>
      <c r="HN80" s="174"/>
      <c r="HO80" s="174"/>
      <c r="HP80" s="174"/>
      <c r="HQ80" s="174"/>
      <c r="HR80" s="174"/>
      <c r="HS80" s="174"/>
      <c r="HT80" s="174"/>
      <c r="HU80" s="174"/>
      <c r="HV80" s="174"/>
      <c r="HW80" s="174"/>
      <c r="HX80" s="174"/>
      <c r="HY80" s="174"/>
      <c r="HZ80" s="174"/>
      <c r="IA80" s="174"/>
      <c r="IB80" s="174"/>
      <c r="IC80" s="174"/>
      <c r="ID80" s="174"/>
      <c r="IE80" s="174"/>
      <c r="IF80" s="174"/>
      <c r="IG80" s="174"/>
      <c r="IH80" s="174"/>
      <c r="II80" s="174"/>
      <c r="IJ80" s="174"/>
      <c r="IK80" s="174"/>
      <c r="IL80" s="174"/>
      <c r="IM80" s="174"/>
      <c r="IN80" s="174"/>
      <c r="IO80" s="174"/>
      <c r="IP80" s="174"/>
      <c r="IQ80" s="174"/>
      <c r="IR80" s="174"/>
      <c r="IS80" s="174"/>
      <c r="IT80" s="174"/>
      <c r="IU80" s="75"/>
      <c r="IV80" s="75"/>
      <c r="IW80" s="75"/>
      <c r="IX80" s="75"/>
      <c r="IY80" s="75"/>
      <c r="IZ80" s="75"/>
      <c r="JA80" s="75"/>
      <c r="JB80" s="75"/>
      <c r="JC80" s="75"/>
      <c r="JD80" s="75"/>
      <c r="JF80" s="710"/>
      <c r="JG80" s="710"/>
      <c r="JH80" s="178">
        <f t="shared" si="7"/>
        <v>0</v>
      </c>
      <c r="JI80" s="174">
        <f t="shared" si="8"/>
        <v>0</v>
      </c>
    </row>
    <row r="81" spans="2:269" ht="15" customHeight="1" x14ac:dyDescent="0.25">
      <c r="B81" s="113">
        <v>78</v>
      </c>
      <c r="C81" s="353" t="str">
        <f t="shared" si="5"/>
        <v/>
      </c>
      <c r="D81" s="353" t="str">
        <f t="shared" si="6"/>
        <v/>
      </c>
      <c r="E81" s="174"/>
      <c r="F81" s="174"/>
      <c r="G81" s="174"/>
      <c r="H81" s="174"/>
      <c r="I81" s="174"/>
      <c r="J81" s="174"/>
      <c r="K81" s="174"/>
      <c r="L81" s="174"/>
      <c r="M81" s="174"/>
      <c r="N81" s="174"/>
      <c r="O81" s="174"/>
      <c r="P81" s="174"/>
      <c r="Q81" s="174"/>
      <c r="R81" s="174"/>
      <c r="S81" s="174"/>
      <c r="T81" s="174"/>
      <c r="U81" s="174"/>
      <c r="V81" s="174"/>
      <c r="W81" s="174"/>
      <c r="X81" s="174"/>
      <c r="Y81" s="174"/>
      <c r="Z81" s="174"/>
      <c r="AA81" s="174"/>
      <c r="AB81" s="174"/>
      <c r="AC81" s="174"/>
      <c r="AD81" s="174"/>
      <c r="AE81" s="174"/>
      <c r="AF81" s="174"/>
      <c r="AG81" s="174"/>
      <c r="AH81" s="174"/>
      <c r="AI81" s="174"/>
      <c r="AJ81" s="174"/>
      <c r="AK81" s="174"/>
      <c r="AL81" s="174"/>
      <c r="AM81" s="174"/>
      <c r="AN81" s="174"/>
      <c r="AO81" s="174"/>
      <c r="AP81" s="174"/>
      <c r="AQ81" s="174"/>
      <c r="AR81" s="174"/>
      <c r="AS81" s="174"/>
      <c r="AT81" s="174"/>
      <c r="AU81" s="174"/>
      <c r="AV81" s="174"/>
      <c r="AW81" s="174"/>
      <c r="AX81" s="174"/>
      <c r="AY81" s="174"/>
      <c r="AZ81" s="174"/>
      <c r="BA81" s="174"/>
      <c r="BB81" s="174"/>
      <c r="BC81" s="174"/>
      <c r="BD81" s="174"/>
      <c r="BE81" s="174"/>
      <c r="BF81" s="174"/>
      <c r="BG81" s="174"/>
      <c r="BH81" s="174"/>
      <c r="BI81" s="174"/>
      <c r="BJ81" s="174"/>
      <c r="BK81" s="174"/>
      <c r="BL81" s="174"/>
      <c r="BM81" s="174"/>
      <c r="BN81" s="174"/>
      <c r="BO81" s="174"/>
      <c r="BP81" s="174"/>
      <c r="BQ81" s="174"/>
      <c r="BR81" s="174"/>
      <c r="BS81" s="174"/>
      <c r="BT81" s="174"/>
      <c r="BU81" s="174"/>
      <c r="BV81" s="174"/>
      <c r="BW81" s="174"/>
      <c r="BX81" s="174"/>
      <c r="BY81" s="174"/>
      <c r="BZ81" s="174"/>
      <c r="CA81" s="174"/>
      <c r="CB81" s="174"/>
      <c r="CC81" s="174"/>
      <c r="CD81" s="174"/>
      <c r="CE81" s="174"/>
      <c r="CF81" s="174"/>
      <c r="CG81" s="174"/>
      <c r="CH81" s="174"/>
      <c r="CI81" s="174"/>
      <c r="CJ81" s="174"/>
      <c r="CK81" s="174"/>
      <c r="CL81" s="174"/>
      <c r="CM81" s="174"/>
      <c r="CN81" s="174"/>
      <c r="CO81" s="174"/>
      <c r="CP81" s="174"/>
      <c r="CQ81" s="174"/>
      <c r="CR81" s="174"/>
      <c r="CS81" s="174"/>
      <c r="CT81" s="174"/>
      <c r="CU81" s="174"/>
      <c r="CV81" s="174"/>
      <c r="CW81" s="174"/>
      <c r="CX81" s="174"/>
      <c r="CY81" s="174"/>
      <c r="CZ81" s="174"/>
      <c r="DA81" s="174"/>
      <c r="DB81" s="174"/>
      <c r="DC81" s="174"/>
      <c r="DD81" s="174"/>
      <c r="DE81" s="174"/>
      <c r="DF81" s="174"/>
      <c r="DG81" s="174"/>
      <c r="DH81" s="174"/>
      <c r="DI81" s="174"/>
      <c r="DJ81" s="174"/>
      <c r="DK81" s="174"/>
      <c r="DL81" s="174"/>
      <c r="DM81" s="174"/>
      <c r="DN81" s="174"/>
      <c r="DO81" s="174"/>
      <c r="DP81" s="174"/>
      <c r="DQ81" s="174"/>
      <c r="DR81" s="174"/>
      <c r="DS81" s="174"/>
      <c r="DT81" s="174"/>
      <c r="DU81" s="174"/>
      <c r="DV81" s="174"/>
      <c r="DW81" s="174"/>
      <c r="DX81" s="174"/>
      <c r="DY81" s="174"/>
      <c r="DZ81" s="174"/>
      <c r="EA81" s="174"/>
      <c r="EB81" s="174"/>
      <c r="EC81" s="174"/>
      <c r="ED81" s="174"/>
      <c r="EE81" s="174"/>
      <c r="EF81" s="174"/>
      <c r="EG81" s="174"/>
      <c r="EH81" s="174"/>
      <c r="EI81" s="174"/>
      <c r="EJ81" s="174"/>
      <c r="EK81" s="174"/>
      <c r="EL81" s="174"/>
      <c r="EM81" s="174"/>
      <c r="EN81" s="174"/>
      <c r="EO81" s="174"/>
      <c r="EP81" s="174"/>
      <c r="EQ81" s="174"/>
      <c r="ER81" s="174"/>
      <c r="ES81" s="174"/>
      <c r="ET81" s="174"/>
      <c r="EU81" s="174"/>
      <c r="EV81" s="174"/>
      <c r="EW81" s="174"/>
      <c r="EX81" s="174"/>
      <c r="EY81" s="174"/>
      <c r="EZ81" s="174"/>
      <c r="FA81" s="174"/>
      <c r="FB81" s="174"/>
      <c r="FC81" s="174"/>
      <c r="FD81" s="174"/>
      <c r="FE81" s="174"/>
      <c r="FF81" s="174"/>
      <c r="FG81" s="174"/>
      <c r="FH81" s="174"/>
      <c r="FI81" s="174"/>
      <c r="FJ81" s="174"/>
      <c r="FK81" s="174"/>
      <c r="FL81" s="174"/>
      <c r="FM81" s="174"/>
      <c r="FN81" s="174"/>
      <c r="FO81" s="174"/>
      <c r="FP81" s="174"/>
      <c r="FQ81" s="174"/>
      <c r="FR81" s="174"/>
      <c r="FS81" s="174"/>
      <c r="FT81" s="174"/>
      <c r="FU81" s="174"/>
      <c r="FV81" s="174"/>
      <c r="FW81" s="174"/>
      <c r="FX81" s="174"/>
      <c r="FY81" s="174"/>
      <c r="FZ81" s="174"/>
      <c r="GA81" s="174"/>
      <c r="GB81" s="174"/>
      <c r="GC81" s="174"/>
      <c r="GD81" s="174"/>
      <c r="GE81" s="174"/>
      <c r="GF81" s="174"/>
      <c r="GG81" s="174"/>
      <c r="GH81" s="174"/>
      <c r="GI81" s="174"/>
      <c r="GJ81" s="174"/>
      <c r="GK81" s="174"/>
      <c r="GL81" s="174"/>
      <c r="GM81" s="174"/>
      <c r="GN81" s="174"/>
      <c r="GO81" s="174"/>
      <c r="GP81" s="174"/>
      <c r="GQ81" s="174"/>
      <c r="GR81" s="174"/>
      <c r="GS81" s="174"/>
      <c r="GT81" s="174"/>
      <c r="GU81" s="174"/>
      <c r="GV81" s="174"/>
      <c r="GW81" s="174"/>
      <c r="GX81" s="174"/>
      <c r="GY81" s="174"/>
      <c r="GZ81" s="174"/>
      <c r="HA81" s="174"/>
      <c r="HB81" s="174"/>
      <c r="HC81" s="174"/>
      <c r="HD81" s="174"/>
      <c r="HE81" s="174"/>
      <c r="HF81" s="174"/>
      <c r="HG81" s="174"/>
      <c r="HH81" s="174"/>
      <c r="HI81" s="174"/>
      <c r="HJ81" s="174"/>
      <c r="HK81" s="174"/>
      <c r="HL81" s="174"/>
      <c r="HM81" s="174"/>
      <c r="HN81" s="174"/>
      <c r="HO81" s="174"/>
      <c r="HP81" s="174"/>
      <c r="HQ81" s="174"/>
      <c r="HR81" s="174"/>
      <c r="HS81" s="174"/>
      <c r="HT81" s="174"/>
      <c r="HU81" s="174"/>
      <c r="HV81" s="174"/>
      <c r="HW81" s="174"/>
      <c r="HX81" s="174"/>
      <c r="HY81" s="174"/>
      <c r="HZ81" s="174"/>
      <c r="IA81" s="174"/>
      <c r="IB81" s="174"/>
      <c r="IC81" s="174"/>
      <c r="ID81" s="174"/>
      <c r="IE81" s="174"/>
      <c r="IF81" s="174"/>
      <c r="IG81" s="174"/>
      <c r="IH81" s="174"/>
      <c r="II81" s="174"/>
      <c r="IJ81" s="174"/>
      <c r="IK81" s="174"/>
      <c r="IL81" s="174"/>
      <c r="IM81" s="174"/>
      <c r="IN81" s="174"/>
      <c r="IO81" s="174"/>
      <c r="IP81" s="174"/>
      <c r="IQ81" s="174"/>
      <c r="IR81" s="174"/>
      <c r="IS81" s="174"/>
      <c r="IT81" s="174"/>
      <c r="IU81" s="75"/>
      <c r="IV81" s="75"/>
      <c r="IW81" s="75"/>
      <c r="IX81" s="75"/>
      <c r="IY81" s="75"/>
      <c r="IZ81" s="75"/>
      <c r="JA81" s="75"/>
      <c r="JB81" s="75"/>
      <c r="JC81" s="75"/>
      <c r="JD81" s="75"/>
      <c r="JF81" s="710"/>
      <c r="JG81" s="710"/>
      <c r="JH81" s="178">
        <f t="shared" si="7"/>
        <v>0</v>
      </c>
      <c r="JI81" s="174">
        <f t="shared" si="8"/>
        <v>0</v>
      </c>
    </row>
    <row r="82" spans="2:269" ht="15" customHeight="1" x14ac:dyDescent="0.25">
      <c r="B82" s="113">
        <v>79</v>
      </c>
      <c r="C82" s="353" t="str">
        <f t="shared" si="5"/>
        <v/>
      </c>
      <c r="D82" s="353" t="str">
        <f t="shared" si="6"/>
        <v/>
      </c>
      <c r="E82" s="174"/>
      <c r="F82" s="174"/>
      <c r="G82" s="174"/>
      <c r="H82" s="174"/>
      <c r="I82" s="174"/>
      <c r="J82" s="174"/>
      <c r="K82" s="174"/>
      <c r="L82" s="174"/>
      <c r="M82" s="174"/>
      <c r="N82" s="174"/>
      <c r="O82" s="174"/>
      <c r="P82" s="174"/>
      <c r="Q82" s="174"/>
      <c r="R82" s="174"/>
      <c r="S82" s="174"/>
      <c r="T82" s="174"/>
      <c r="U82" s="174"/>
      <c r="V82" s="174"/>
      <c r="W82" s="174"/>
      <c r="X82" s="174"/>
      <c r="Y82" s="174"/>
      <c r="Z82" s="174"/>
      <c r="AA82" s="174"/>
      <c r="AB82" s="174"/>
      <c r="AC82" s="174"/>
      <c r="AD82" s="174"/>
      <c r="AE82" s="174"/>
      <c r="AF82" s="174"/>
      <c r="AG82" s="174"/>
      <c r="AH82" s="174"/>
      <c r="AI82" s="174"/>
      <c r="AJ82" s="174"/>
      <c r="AK82" s="174"/>
      <c r="AL82" s="174"/>
      <c r="AM82" s="174"/>
      <c r="AN82" s="174"/>
      <c r="AO82" s="174"/>
      <c r="AP82" s="174"/>
      <c r="AQ82" s="174"/>
      <c r="AR82" s="174"/>
      <c r="AS82" s="174"/>
      <c r="AT82" s="174"/>
      <c r="AU82" s="174"/>
      <c r="AV82" s="174"/>
      <c r="AW82" s="174"/>
      <c r="AX82" s="174"/>
      <c r="AY82" s="174"/>
      <c r="AZ82" s="174"/>
      <c r="BA82" s="174"/>
      <c r="BB82" s="174"/>
      <c r="BC82" s="174"/>
      <c r="BD82" s="174"/>
      <c r="BE82" s="174"/>
      <c r="BF82" s="174"/>
      <c r="BG82" s="174"/>
      <c r="BH82" s="174"/>
      <c r="BI82" s="174"/>
      <c r="BJ82" s="174"/>
      <c r="BK82" s="174"/>
      <c r="BL82" s="174"/>
      <c r="BM82" s="174"/>
      <c r="BN82" s="174"/>
      <c r="BO82" s="174"/>
      <c r="BP82" s="174"/>
      <c r="BQ82" s="174"/>
      <c r="BR82" s="174"/>
      <c r="BS82" s="174"/>
      <c r="BT82" s="174"/>
      <c r="BU82" s="174"/>
      <c r="BV82" s="174"/>
      <c r="BW82" s="174"/>
      <c r="BX82" s="174"/>
      <c r="BY82" s="174"/>
      <c r="BZ82" s="174"/>
      <c r="CA82" s="174"/>
      <c r="CB82" s="174"/>
      <c r="CC82" s="174"/>
      <c r="CD82" s="174"/>
      <c r="CE82" s="174"/>
      <c r="CF82" s="174"/>
      <c r="CG82" s="174"/>
      <c r="CH82" s="174"/>
      <c r="CI82" s="174"/>
      <c r="CJ82" s="174"/>
      <c r="CK82" s="174"/>
      <c r="CL82" s="174"/>
      <c r="CM82" s="174"/>
      <c r="CN82" s="174"/>
      <c r="CO82" s="174"/>
      <c r="CP82" s="174"/>
      <c r="CQ82" s="174"/>
      <c r="CR82" s="174"/>
      <c r="CS82" s="174"/>
      <c r="CT82" s="174"/>
      <c r="CU82" s="174"/>
      <c r="CV82" s="174"/>
      <c r="CW82" s="174"/>
      <c r="CX82" s="174"/>
      <c r="CY82" s="174"/>
      <c r="CZ82" s="174"/>
      <c r="DA82" s="174"/>
      <c r="DB82" s="174"/>
      <c r="DC82" s="174"/>
      <c r="DD82" s="174"/>
      <c r="DE82" s="174"/>
      <c r="DF82" s="174"/>
      <c r="DG82" s="174"/>
      <c r="DH82" s="174"/>
      <c r="DI82" s="174"/>
      <c r="DJ82" s="174"/>
      <c r="DK82" s="174"/>
      <c r="DL82" s="174"/>
      <c r="DM82" s="174"/>
      <c r="DN82" s="174"/>
      <c r="DO82" s="174"/>
      <c r="DP82" s="174"/>
      <c r="DQ82" s="174"/>
      <c r="DR82" s="174"/>
      <c r="DS82" s="174"/>
      <c r="DT82" s="174"/>
      <c r="DU82" s="174"/>
      <c r="DV82" s="174"/>
      <c r="DW82" s="174"/>
      <c r="DX82" s="174"/>
      <c r="DY82" s="174"/>
      <c r="DZ82" s="174"/>
      <c r="EA82" s="174"/>
      <c r="EB82" s="174"/>
      <c r="EC82" s="174"/>
      <c r="ED82" s="174"/>
      <c r="EE82" s="174"/>
      <c r="EF82" s="174"/>
      <c r="EG82" s="174"/>
      <c r="EH82" s="174"/>
      <c r="EI82" s="174"/>
      <c r="EJ82" s="174"/>
      <c r="EK82" s="174"/>
      <c r="EL82" s="174"/>
      <c r="EM82" s="174"/>
      <c r="EN82" s="174"/>
      <c r="EO82" s="174"/>
      <c r="EP82" s="174"/>
      <c r="EQ82" s="174"/>
      <c r="ER82" s="174"/>
      <c r="ES82" s="174"/>
      <c r="ET82" s="174"/>
      <c r="EU82" s="174"/>
      <c r="EV82" s="174"/>
      <c r="EW82" s="174"/>
      <c r="EX82" s="174"/>
      <c r="EY82" s="174"/>
      <c r="EZ82" s="174"/>
      <c r="FA82" s="174"/>
      <c r="FB82" s="174"/>
      <c r="FC82" s="174"/>
      <c r="FD82" s="174"/>
      <c r="FE82" s="174"/>
      <c r="FF82" s="174"/>
      <c r="FG82" s="174"/>
      <c r="FH82" s="174"/>
      <c r="FI82" s="174"/>
      <c r="FJ82" s="174"/>
      <c r="FK82" s="174"/>
      <c r="FL82" s="174"/>
      <c r="FM82" s="174"/>
      <c r="FN82" s="174"/>
      <c r="FO82" s="174"/>
      <c r="FP82" s="174"/>
      <c r="FQ82" s="174"/>
      <c r="FR82" s="174"/>
      <c r="FS82" s="174"/>
      <c r="FT82" s="174"/>
      <c r="FU82" s="174"/>
      <c r="FV82" s="174"/>
      <c r="FW82" s="174"/>
      <c r="FX82" s="174"/>
      <c r="FY82" s="174"/>
      <c r="FZ82" s="174"/>
      <c r="GA82" s="174"/>
      <c r="GB82" s="174"/>
      <c r="GC82" s="174"/>
      <c r="GD82" s="174"/>
      <c r="GE82" s="174"/>
      <c r="GF82" s="174"/>
      <c r="GG82" s="174"/>
      <c r="GH82" s="174"/>
      <c r="GI82" s="174"/>
      <c r="GJ82" s="174"/>
      <c r="GK82" s="174"/>
      <c r="GL82" s="174"/>
      <c r="GM82" s="174"/>
      <c r="GN82" s="174"/>
      <c r="GO82" s="174"/>
      <c r="GP82" s="174"/>
      <c r="GQ82" s="174"/>
      <c r="GR82" s="174"/>
      <c r="GS82" s="174"/>
      <c r="GT82" s="174"/>
      <c r="GU82" s="174"/>
      <c r="GV82" s="174"/>
      <c r="GW82" s="174"/>
      <c r="GX82" s="174"/>
      <c r="GY82" s="174"/>
      <c r="GZ82" s="174"/>
      <c r="HA82" s="174"/>
      <c r="HB82" s="174"/>
      <c r="HC82" s="174"/>
      <c r="HD82" s="174"/>
      <c r="HE82" s="174"/>
      <c r="HF82" s="174"/>
      <c r="HG82" s="174"/>
      <c r="HH82" s="174"/>
      <c r="HI82" s="174"/>
      <c r="HJ82" s="174"/>
      <c r="HK82" s="174"/>
      <c r="HL82" s="174"/>
      <c r="HM82" s="174"/>
      <c r="HN82" s="174"/>
      <c r="HO82" s="174"/>
      <c r="HP82" s="174"/>
      <c r="HQ82" s="174"/>
      <c r="HR82" s="174"/>
      <c r="HS82" s="174"/>
      <c r="HT82" s="174"/>
      <c r="HU82" s="174"/>
      <c r="HV82" s="174"/>
      <c r="HW82" s="174"/>
      <c r="HX82" s="174"/>
      <c r="HY82" s="174"/>
      <c r="HZ82" s="174"/>
      <c r="IA82" s="174"/>
      <c r="IB82" s="174"/>
      <c r="IC82" s="174"/>
      <c r="ID82" s="174"/>
      <c r="IE82" s="174"/>
      <c r="IF82" s="174"/>
      <c r="IG82" s="174"/>
      <c r="IH82" s="174"/>
      <c r="II82" s="174"/>
      <c r="IJ82" s="174"/>
      <c r="IK82" s="174"/>
      <c r="IL82" s="174"/>
      <c r="IM82" s="174"/>
      <c r="IN82" s="174"/>
      <c r="IO82" s="174"/>
      <c r="IP82" s="174"/>
      <c r="IQ82" s="174"/>
      <c r="IR82" s="174"/>
      <c r="IS82" s="174"/>
      <c r="IT82" s="174"/>
      <c r="IU82" s="75"/>
      <c r="IV82" s="75"/>
      <c r="IW82" s="75"/>
      <c r="IX82" s="75"/>
      <c r="IY82" s="75"/>
      <c r="IZ82" s="75"/>
      <c r="JA82" s="75"/>
      <c r="JB82" s="75"/>
      <c r="JC82" s="75"/>
      <c r="JD82" s="75"/>
      <c r="JF82" s="710"/>
      <c r="JG82" s="710"/>
      <c r="JH82" s="178">
        <f t="shared" si="7"/>
        <v>0</v>
      </c>
      <c r="JI82" s="174">
        <f t="shared" si="8"/>
        <v>0</v>
      </c>
    </row>
    <row r="83" spans="2:269" ht="15" customHeight="1" x14ac:dyDescent="0.25">
      <c r="B83" s="113">
        <v>80</v>
      </c>
      <c r="C83" s="353" t="str">
        <f t="shared" si="5"/>
        <v/>
      </c>
      <c r="D83" s="353" t="str">
        <f t="shared" si="6"/>
        <v/>
      </c>
      <c r="E83" s="174"/>
      <c r="F83" s="174"/>
      <c r="G83" s="174"/>
      <c r="H83" s="174"/>
      <c r="I83" s="174"/>
      <c r="J83" s="174"/>
      <c r="K83" s="174"/>
      <c r="L83" s="174"/>
      <c r="M83" s="174"/>
      <c r="N83" s="174"/>
      <c r="O83" s="174"/>
      <c r="P83" s="174"/>
      <c r="Q83" s="174"/>
      <c r="R83" s="174"/>
      <c r="S83" s="174"/>
      <c r="T83" s="174"/>
      <c r="U83" s="174"/>
      <c r="V83" s="174"/>
      <c r="W83" s="174"/>
      <c r="X83" s="174"/>
      <c r="Y83" s="174"/>
      <c r="Z83" s="174"/>
      <c r="AA83" s="174"/>
      <c r="AB83" s="174"/>
      <c r="AC83" s="174"/>
      <c r="AD83" s="174"/>
      <c r="AE83" s="174"/>
      <c r="AF83" s="174"/>
      <c r="AG83" s="174"/>
      <c r="AH83" s="174"/>
      <c r="AI83" s="174"/>
      <c r="AJ83" s="174"/>
      <c r="AK83" s="174"/>
      <c r="AL83" s="174"/>
      <c r="AM83" s="174"/>
      <c r="AN83" s="174"/>
      <c r="AO83" s="174"/>
      <c r="AP83" s="174"/>
      <c r="AQ83" s="174"/>
      <c r="AR83" s="174"/>
      <c r="AS83" s="174"/>
      <c r="AT83" s="174"/>
      <c r="AU83" s="174"/>
      <c r="AV83" s="174"/>
      <c r="AW83" s="174"/>
      <c r="AX83" s="174"/>
      <c r="AY83" s="174"/>
      <c r="AZ83" s="174"/>
      <c r="BA83" s="174"/>
      <c r="BB83" s="174"/>
      <c r="BC83" s="174"/>
      <c r="BD83" s="174"/>
      <c r="BE83" s="174"/>
      <c r="BF83" s="174"/>
      <c r="BG83" s="174"/>
      <c r="BH83" s="174"/>
      <c r="BI83" s="174"/>
      <c r="BJ83" s="174"/>
      <c r="BK83" s="174"/>
      <c r="BL83" s="174"/>
      <c r="BM83" s="174"/>
      <c r="BN83" s="174"/>
      <c r="BO83" s="174"/>
      <c r="BP83" s="174"/>
      <c r="BQ83" s="174"/>
      <c r="BR83" s="174"/>
      <c r="BS83" s="174"/>
      <c r="BT83" s="174"/>
      <c r="BU83" s="174"/>
      <c r="BV83" s="174"/>
      <c r="BW83" s="174"/>
      <c r="BX83" s="174"/>
      <c r="BY83" s="174"/>
      <c r="BZ83" s="174"/>
      <c r="CA83" s="174"/>
      <c r="CB83" s="174"/>
      <c r="CC83" s="174"/>
      <c r="CD83" s="174"/>
      <c r="CE83" s="174"/>
      <c r="CF83" s="174"/>
      <c r="CG83" s="174"/>
      <c r="CH83" s="174"/>
      <c r="CI83" s="174"/>
      <c r="CJ83" s="174"/>
      <c r="CK83" s="174"/>
      <c r="CL83" s="174"/>
      <c r="CM83" s="174"/>
      <c r="CN83" s="174"/>
      <c r="CO83" s="174"/>
      <c r="CP83" s="174"/>
      <c r="CQ83" s="174"/>
      <c r="CR83" s="174"/>
      <c r="CS83" s="174"/>
      <c r="CT83" s="174"/>
      <c r="CU83" s="174"/>
      <c r="CV83" s="174"/>
      <c r="CW83" s="174"/>
      <c r="CX83" s="174"/>
      <c r="CY83" s="174"/>
      <c r="CZ83" s="174"/>
      <c r="DA83" s="174"/>
      <c r="DB83" s="174"/>
      <c r="DC83" s="174"/>
      <c r="DD83" s="174"/>
      <c r="DE83" s="174"/>
      <c r="DF83" s="174"/>
      <c r="DG83" s="174"/>
      <c r="DH83" s="174"/>
      <c r="DI83" s="174"/>
      <c r="DJ83" s="174"/>
      <c r="DK83" s="174"/>
      <c r="DL83" s="174"/>
      <c r="DM83" s="174"/>
      <c r="DN83" s="174"/>
      <c r="DO83" s="174"/>
      <c r="DP83" s="174"/>
      <c r="DQ83" s="174"/>
      <c r="DR83" s="174"/>
      <c r="DS83" s="174"/>
      <c r="DT83" s="174"/>
      <c r="DU83" s="174"/>
      <c r="DV83" s="174"/>
      <c r="DW83" s="174"/>
      <c r="DX83" s="174"/>
      <c r="DY83" s="174"/>
      <c r="DZ83" s="174"/>
      <c r="EA83" s="174"/>
      <c r="EB83" s="174"/>
      <c r="EC83" s="174"/>
      <c r="ED83" s="174"/>
      <c r="EE83" s="174"/>
      <c r="EF83" s="174"/>
      <c r="EG83" s="174"/>
      <c r="EH83" s="174"/>
      <c r="EI83" s="174"/>
      <c r="EJ83" s="174"/>
      <c r="EK83" s="174"/>
      <c r="EL83" s="174"/>
      <c r="EM83" s="174"/>
      <c r="EN83" s="174"/>
      <c r="EO83" s="174"/>
      <c r="EP83" s="174"/>
      <c r="EQ83" s="174"/>
      <c r="ER83" s="174"/>
      <c r="ES83" s="174"/>
      <c r="ET83" s="174"/>
      <c r="EU83" s="174"/>
      <c r="EV83" s="174"/>
      <c r="EW83" s="174"/>
      <c r="EX83" s="174"/>
      <c r="EY83" s="174"/>
      <c r="EZ83" s="174"/>
      <c r="FA83" s="174"/>
      <c r="FB83" s="174"/>
      <c r="FC83" s="174"/>
      <c r="FD83" s="174"/>
      <c r="FE83" s="174"/>
      <c r="FF83" s="174"/>
      <c r="FG83" s="174"/>
      <c r="FH83" s="174"/>
      <c r="FI83" s="174"/>
      <c r="FJ83" s="174"/>
      <c r="FK83" s="174"/>
      <c r="FL83" s="174"/>
      <c r="FM83" s="174"/>
      <c r="FN83" s="174"/>
      <c r="FO83" s="174"/>
      <c r="FP83" s="174"/>
      <c r="FQ83" s="174"/>
      <c r="FR83" s="174"/>
      <c r="FS83" s="174"/>
      <c r="FT83" s="174"/>
      <c r="FU83" s="174"/>
      <c r="FV83" s="174"/>
      <c r="FW83" s="174"/>
      <c r="FX83" s="174"/>
      <c r="FY83" s="174"/>
      <c r="FZ83" s="174"/>
      <c r="GA83" s="174"/>
      <c r="GB83" s="174"/>
      <c r="GC83" s="174"/>
      <c r="GD83" s="174"/>
      <c r="GE83" s="174"/>
      <c r="GF83" s="174"/>
      <c r="GG83" s="174"/>
      <c r="GH83" s="174"/>
      <c r="GI83" s="174"/>
      <c r="GJ83" s="174"/>
      <c r="GK83" s="174"/>
      <c r="GL83" s="174"/>
      <c r="GM83" s="174"/>
      <c r="GN83" s="174"/>
      <c r="GO83" s="174"/>
      <c r="GP83" s="174"/>
      <c r="GQ83" s="174"/>
      <c r="GR83" s="174"/>
      <c r="GS83" s="174"/>
      <c r="GT83" s="174"/>
      <c r="GU83" s="174"/>
      <c r="GV83" s="174"/>
      <c r="GW83" s="174"/>
      <c r="GX83" s="174"/>
      <c r="GY83" s="174"/>
      <c r="GZ83" s="174"/>
      <c r="HA83" s="174"/>
      <c r="HB83" s="174"/>
      <c r="HC83" s="174"/>
      <c r="HD83" s="174"/>
      <c r="HE83" s="174"/>
      <c r="HF83" s="174"/>
      <c r="HG83" s="174"/>
      <c r="HH83" s="174"/>
      <c r="HI83" s="174"/>
      <c r="HJ83" s="174"/>
      <c r="HK83" s="174"/>
      <c r="HL83" s="174"/>
      <c r="HM83" s="174"/>
      <c r="HN83" s="174"/>
      <c r="HO83" s="174"/>
      <c r="HP83" s="174"/>
      <c r="HQ83" s="174"/>
      <c r="HR83" s="174"/>
      <c r="HS83" s="174"/>
      <c r="HT83" s="174"/>
      <c r="HU83" s="174"/>
      <c r="HV83" s="174"/>
      <c r="HW83" s="174"/>
      <c r="HX83" s="174"/>
      <c r="HY83" s="174"/>
      <c r="HZ83" s="174"/>
      <c r="IA83" s="174"/>
      <c r="IB83" s="174"/>
      <c r="IC83" s="174"/>
      <c r="ID83" s="174"/>
      <c r="IE83" s="174"/>
      <c r="IF83" s="174"/>
      <c r="IG83" s="174"/>
      <c r="IH83" s="174"/>
      <c r="II83" s="174"/>
      <c r="IJ83" s="174"/>
      <c r="IK83" s="174"/>
      <c r="IL83" s="174"/>
      <c r="IM83" s="174"/>
      <c r="IN83" s="174"/>
      <c r="IO83" s="174"/>
      <c r="IP83" s="174"/>
      <c r="IQ83" s="174"/>
      <c r="IR83" s="174"/>
      <c r="IS83" s="174"/>
      <c r="IT83" s="174"/>
      <c r="IU83" s="75"/>
      <c r="IV83" s="75"/>
      <c r="IW83" s="75"/>
      <c r="IX83" s="75"/>
      <c r="IY83" s="75"/>
      <c r="IZ83" s="75"/>
      <c r="JA83" s="75"/>
      <c r="JB83" s="75"/>
      <c r="JC83" s="75"/>
      <c r="JD83" s="75"/>
      <c r="JF83" s="710"/>
      <c r="JG83" s="710"/>
      <c r="JH83" s="178">
        <f t="shared" si="7"/>
        <v>0</v>
      </c>
      <c r="JI83" s="174">
        <f t="shared" si="8"/>
        <v>0</v>
      </c>
    </row>
    <row r="84" spans="2:269" ht="15" customHeight="1" x14ac:dyDescent="0.25">
      <c r="B84" s="113">
        <v>81</v>
      </c>
      <c r="C84" s="353" t="str">
        <f t="shared" si="5"/>
        <v/>
      </c>
      <c r="D84" s="353" t="str">
        <f t="shared" si="6"/>
        <v/>
      </c>
      <c r="E84" s="174"/>
      <c r="F84" s="174"/>
      <c r="G84" s="174"/>
      <c r="H84" s="174"/>
      <c r="I84" s="174"/>
      <c r="J84" s="174"/>
      <c r="K84" s="174"/>
      <c r="L84" s="174"/>
      <c r="M84" s="174"/>
      <c r="N84" s="174"/>
      <c r="O84" s="174"/>
      <c r="P84" s="174"/>
      <c r="Q84" s="174"/>
      <c r="R84" s="174"/>
      <c r="S84" s="174"/>
      <c r="T84" s="174"/>
      <c r="U84" s="174"/>
      <c r="V84" s="174"/>
      <c r="W84" s="174"/>
      <c r="X84" s="174"/>
      <c r="Y84" s="174"/>
      <c r="Z84" s="174"/>
      <c r="AA84" s="174"/>
      <c r="AB84" s="174"/>
      <c r="AC84" s="174"/>
      <c r="AD84" s="174"/>
      <c r="AE84" s="174"/>
      <c r="AF84" s="174"/>
      <c r="AG84" s="174"/>
      <c r="AH84" s="174"/>
      <c r="AI84" s="174"/>
      <c r="AJ84" s="174"/>
      <c r="AK84" s="174"/>
      <c r="AL84" s="174"/>
      <c r="AM84" s="174"/>
      <c r="AN84" s="174"/>
      <c r="AO84" s="174"/>
      <c r="AP84" s="174"/>
      <c r="AQ84" s="174"/>
      <c r="AR84" s="174"/>
      <c r="AS84" s="174"/>
      <c r="AT84" s="174"/>
      <c r="AU84" s="174"/>
      <c r="AV84" s="174"/>
      <c r="AW84" s="174"/>
      <c r="AX84" s="174"/>
      <c r="AY84" s="174"/>
      <c r="AZ84" s="174"/>
      <c r="BA84" s="174"/>
      <c r="BB84" s="174"/>
      <c r="BC84" s="174"/>
      <c r="BD84" s="174"/>
      <c r="BE84" s="174"/>
      <c r="BF84" s="174"/>
      <c r="BG84" s="174"/>
      <c r="BH84" s="174"/>
      <c r="BI84" s="174"/>
      <c r="BJ84" s="174"/>
      <c r="BK84" s="174"/>
      <c r="BL84" s="174"/>
      <c r="BM84" s="174"/>
      <c r="BN84" s="174"/>
      <c r="BO84" s="174"/>
      <c r="BP84" s="174"/>
      <c r="BQ84" s="174"/>
      <c r="BR84" s="174"/>
      <c r="BS84" s="174"/>
      <c r="BT84" s="174"/>
      <c r="BU84" s="174"/>
      <c r="BV84" s="174"/>
      <c r="BW84" s="174"/>
      <c r="BX84" s="174"/>
      <c r="BY84" s="174"/>
      <c r="BZ84" s="174"/>
      <c r="CA84" s="174"/>
      <c r="CB84" s="174"/>
      <c r="CC84" s="174"/>
      <c r="CD84" s="174"/>
      <c r="CE84" s="174"/>
      <c r="CF84" s="174"/>
      <c r="CG84" s="174"/>
      <c r="CH84" s="174"/>
      <c r="CI84" s="174"/>
      <c r="CJ84" s="174"/>
      <c r="CK84" s="174"/>
      <c r="CL84" s="174"/>
      <c r="CM84" s="174"/>
      <c r="CN84" s="174"/>
      <c r="CO84" s="174"/>
      <c r="CP84" s="174"/>
      <c r="CQ84" s="174"/>
      <c r="CR84" s="174"/>
      <c r="CS84" s="174"/>
      <c r="CT84" s="174"/>
      <c r="CU84" s="174"/>
      <c r="CV84" s="174"/>
      <c r="CW84" s="174"/>
      <c r="CX84" s="174"/>
      <c r="CY84" s="174"/>
      <c r="CZ84" s="174"/>
      <c r="DA84" s="174"/>
      <c r="DB84" s="174"/>
      <c r="DC84" s="174"/>
      <c r="DD84" s="174"/>
      <c r="DE84" s="174"/>
      <c r="DF84" s="174"/>
      <c r="DG84" s="174"/>
      <c r="DH84" s="174"/>
      <c r="DI84" s="174"/>
      <c r="DJ84" s="174"/>
      <c r="DK84" s="174"/>
      <c r="DL84" s="174"/>
      <c r="DM84" s="174"/>
      <c r="DN84" s="174"/>
      <c r="DO84" s="174"/>
      <c r="DP84" s="174"/>
      <c r="DQ84" s="174"/>
      <c r="DR84" s="174"/>
      <c r="DS84" s="174"/>
      <c r="DT84" s="174"/>
      <c r="DU84" s="174"/>
      <c r="DV84" s="174"/>
      <c r="DW84" s="174"/>
      <c r="DX84" s="174"/>
      <c r="DY84" s="174"/>
      <c r="DZ84" s="174"/>
      <c r="EA84" s="174"/>
      <c r="EB84" s="174"/>
      <c r="EC84" s="174"/>
      <c r="ED84" s="174"/>
      <c r="EE84" s="174"/>
      <c r="EF84" s="174"/>
      <c r="EG84" s="174"/>
      <c r="EH84" s="174"/>
      <c r="EI84" s="174"/>
      <c r="EJ84" s="174"/>
      <c r="EK84" s="174"/>
      <c r="EL84" s="174"/>
      <c r="EM84" s="174"/>
      <c r="EN84" s="174"/>
      <c r="EO84" s="174"/>
      <c r="EP84" s="174"/>
      <c r="EQ84" s="174"/>
      <c r="ER84" s="174"/>
      <c r="ES84" s="174"/>
      <c r="ET84" s="174"/>
      <c r="EU84" s="174"/>
      <c r="EV84" s="174"/>
      <c r="EW84" s="174"/>
      <c r="EX84" s="174"/>
      <c r="EY84" s="174"/>
      <c r="EZ84" s="174"/>
      <c r="FA84" s="174"/>
      <c r="FB84" s="174"/>
      <c r="FC84" s="174"/>
      <c r="FD84" s="174"/>
      <c r="FE84" s="174"/>
      <c r="FF84" s="174"/>
      <c r="FG84" s="174"/>
      <c r="FH84" s="174"/>
      <c r="FI84" s="174"/>
      <c r="FJ84" s="174"/>
      <c r="FK84" s="174"/>
      <c r="FL84" s="174"/>
      <c r="FM84" s="174"/>
      <c r="FN84" s="174"/>
      <c r="FO84" s="174"/>
      <c r="FP84" s="174"/>
      <c r="FQ84" s="174"/>
      <c r="FR84" s="174"/>
      <c r="FS84" s="174"/>
      <c r="FT84" s="174"/>
      <c r="FU84" s="174"/>
      <c r="FV84" s="174"/>
      <c r="FW84" s="174"/>
      <c r="FX84" s="174"/>
      <c r="FY84" s="174"/>
      <c r="FZ84" s="174"/>
      <c r="GA84" s="174"/>
      <c r="GB84" s="174"/>
      <c r="GC84" s="174"/>
      <c r="GD84" s="174"/>
      <c r="GE84" s="174"/>
      <c r="GF84" s="174"/>
      <c r="GG84" s="174"/>
      <c r="GH84" s="174"/>
      <c r="GI84" s="174"/>
      <c r="GJ84" s="174"/>
      <c r="GK84" s="174"/>
      <c r="GL84" s="174"/>
      <c r="GM84" s="174"/>
      <c r="GN84" s="174"/>
      <c r="GO84" s="174"/>
      <c r="GP84" s="174"/>
      <c r="GQ84" s="174"/>
      <c r="GR84" s="174"/>
      <c r="GS84" s="174"/>
      <c r="GT84" s="174"/>
      <c r="GU84" s="174"/>
      <c r="GV84" s="174"/>
      <c r="GW84" s="174"/>
      <c r="GX84" s="174"/>
      <c r="GY84" s="174"/>
      <c r="GZ84" s="174"/>
      <c r="HA84" s="174"/>
      <c r="HB84" s="174"/>
      <c r="HC84" s="174"/>
      <c r="HD84" s="174"/>
      <c r="HE84" s="174"/>
      <c r="HF84" s="174"/>
      <c r="HG84" s="174"/>
      <c r="HH84" s="174"/>
      <c r="HI84" s="174"/>
      <c r="HJ84" s="174"/>
      <c r="HK84" s="174"/>
      <c r="HL84" s="174"/>
      <c r="HM84" s="174"/>
      <c r="HN84" s="174"/>
      <c r="HO84" s="174"/>
      <c r="HP84" s="174"/>
      <c r="HQ84" s="174"/>
      <c r="HR84" s="174"/>
      <c r="HS84" s="174"/>
      <c r="HT84" s="174"/>
      <c r="HU84" s="174"/>
      <c r="HV84" s="174"/>
      <c r="HW84" s="174"/>
      <c r="HX84" s="174"/>
      <c r="HY84" s="174"/>
      <c r="HZ84" s="174"/>
      <c r="IA84" s="174"/>
      <c r="IB84" s="174"/>
      <c r="IC84" s="174"/>
      <c r="ID84" s="174"/>
      <c r="IE84" s="174"/>
      <c r="IF84" s="174"/>
      <c r="IG84" s="174"/>
      <c r="IH84" s="174"/>
      <c r="II84" s="174"/>
      <c r="IJ84" s="174"/>
      <c r="IK84" s="174"/>
      <c r="IL84" s="174"/>
      <c r="IM84" s="174"/>
      <c r="IN84" s="174"/>
      <c r="IO84" s="174"/>
      <c r="IP84" s="174"/>
      <c r="IQ84" s="174"/>
      <c r="IR84" s="174"/>
      <c r="IS84" s="174"/>
      <c r="IT84" s="174"/>
      <c r="IU84" s="75"/>
      <c r="IV84" s="75"/>
      <c r="IW84" s="75"/>
      <c r="IX84" s="75"/>
      <c r="IY84" s="75"/>
      <c r="IZ84" s="75"/>
      <c r="JA84" s="75"/>
      <c r="JB84" s="75"/>
      <c r="JC84" s="75"/>
      <c r="JD84" s="75"/>
      <c r="JF84" s="710"/>
      <c r="JG84" s="710"/>
      <c r="JH84" s="178">
        <f t="shared" si="7"/>
        <v>0</v>
      </c>
      <c r="JI84" s="174">
        <f t="shared" si="8"/>
        <v>0</v>
      </c>
    </row>
    <row r="85" spans="2:269" ht="15" customHeight="1" x14ac:dyDescent="0.25">
      <c r="B85" s="113">
        <v>82</v>
      </c>
      <c r="C85" s="353" t="str">
        <f t="shared" si="5"/>
        <v/>
      </c>
      <c r="D85" s="353" t="str">
        <f t="shared" si="6"/>
        <v/>
      </c>
      <c r="E85" s="174"/>
      <c r="F85" s="174"/>
      <c r="G85" s="174"/>
      <c r="H85" s="174"/>
      <c r="I85" s="174"/>
      <c r="J85" s="174"/>
      <c r="K85" s="174"/>
      <c r="L85" s="174"/>
      <c r="M85" s="174"/>
      <c r="N85" s="174"/>
      <c r="O85" s="174"/>
      <c r="P85" s="174"/>
      <c r="Q85" s="174"/>
      <c r="R85" s="174"/>
      <c r="S85" s="174"/>
      <c r="T85" s="174"/>
      <c r="U85" s="174"/>
      <c r="V85" s="174"/>
      <c r="W85" s="174"/>
      <c r="X85" s="174"/>
      <c r="Y85" s="174"/>
      <c r="Z85" s="174"/>
      <c r="AA85" s="174"/>
      <c r="AB85" s="174"/>
      <c r="AC85" s="174"/>
      <c r="AD85" s="174"/>
      <c r="AE85" s="174"/>
      <c r="AF85" s="174"/>
      <c r="AG85" s="174"/>
      <c r="AH85" s="174"/>
      <c r="AI85" s="174"/>
      <c r="AJ85" s="174"/>
      <c r="AK85" s="174"/>
      <c r="AL85" s="174"/>
      <c r="AM85" s="174"/>
      <c r="AN85" s="174"/>
      <c r="AO85" s="174"/>
      <c r="AP85" s="174"/>
      <c r="AQ85" s="174"/>
      <c r="AR85" s="174"/>
      <c r="AS85" s="174"/>
      <c r="AT85" s="174"/>
      <c r="AU85" s="174"/>
      <c r="AV85" s="174"/>
      <c r="AW85" s="174"/>
      <c r="AX85" s="174"/>
      <c r="AY85" s="174"/>
      <c r="AZ85" s="174"/>
      <c r="BA85" s="174"/>
      <c r="BB85" s="174"/>
      <c r="BC85" s="174"/>
      <c r="BD85" s="174"/>
      <c r="BE85" s="174"/>
      <c r="BF85" s="174"/>
      <c r="BG85" s="174"/>
      <c r="BH85" s="174"/>
      <c r="BI85" s="174"/>
      <c r="BJ85" s="174"/>
      <c r="BK85" s="174"/>
      <c r="BL85" s="174"/>
      <c r="BM85" s="174"/>
      <c r="BN85" s="174"/>
      <c r="BO85" s="174"/>
      <c r="BP85" s="174"/>
      <c r="BQ85" s="174"/>
      <c r="BR85" s="174"/>
      <c r="BS85" s="174"/>
      <c r="BT85" s="174"/>
      <c r="BU85" s="174"/>
      <c r="BV85" s="174"/>
      <c r="BW85" s="174"/>
      <c r="BX85" s="174"/>
      <c r="BY85" s="174"/>
      <c r="BZ85" s="174"/>
      <c r="CA85" s="174"/>
      <c r="CB85" s="174"/>
      <c r="CC85" s="174"/>
      <c r="CD85" s="174"/>
      <c r="CE85" s="174"/>
      <c r="CF85" s="174"/>
      <c r="CG85" s="174"/>
      <c r="CH85" s="174"/>
      <c r="CI85" s="174"/>
      <c r="CJ85" s="174"/>
      <c r="CK85" s="174"/>
      <c r="CL85" s="174"/>
      <c r="CM85" s="174"/>
      <c r="CN85" s="174"/>
      <c r="CO85" s="174"/>
      <c r="CP85" s="174"/>
      <c r="CQ85" s="174"/>
      <c r="CR85" s="174"/>
      <c r="CS85" s="174"/>
      <c r="CT85" s="174"/>
      <c r="CU85" s="174"/>
      <c r="CV85" s="174"/>
      <c r="CW85" s="174"/>
      <c r="CX85" s="174"/>
      <c r="CY85" s="174"/>
      <c r="CZ85" s="174"/>
      <c r="DA85" s="174"/>
      <c r="DB85" s="174"/>
      <c r="DC85" s="174"/>
      <c r="DD85" s="174"/>
      <c r="DE85" s="174"/>
      <c r="DF85" s="174"/>
      <c r="DG85" s="174"/>
      <c r="DH85" s="174"/>
      <c r="DI85" s="174"/>
      <c r="DJ85" s="174"/>
      <c r="DK85" s="174"/>
      <c r="DL85" s="174"/>
      <c r="DM85" s="174"/>
      <c r="DN85" s="174"/>
      <c r="DO85" s="174"/>
      <c r="DP85" s="174"/>
      <c r="DQ85" s="174"/>
      <c r="DR85" s="174"/>
      <c r="DS85" s="174"/>
      <c r="DT85" s="174"/>
      <c r="DU85" s="174"/>
      <c r="DV85" s="174"/>
      <c r="DW85" s="174"/>
      <c r="DX85" s="174"/>
      <c r="DY85" s="174"/>
      <c r="DZ85" s="174"/>
      <c r="EA85" s="174"/>
      <c r="EB85" s="174"/>
      <c r="EC85" s="174"/>
      <c r="ED85" s="174"/>
      <c r="EE85" s="174"/>
      <c r="EF85" s="174"/>
      <c r="EG85" s="174"/>
      <c r="EH85" s="174"/>
      <c r="EI85" s="174"/>
      <c r="EJ85" s="174"/>
      <c r="EK85" s="174"/>
      <c r="EL85" s="174"/>
      <c r="EM85" s="174"/>
      <c r="EN85" s="174"/>
      <c r="EO85" s="174"/>
      <c r="EP85" s="174"/>
      <c r="EQ85" s="174"/>
      <c r="ER85" s="174"/>
      <c r="ES85" s="174"/>
      <c r="ET85" s="174"/>
      <c r="EU85" s="174"/>
      <c r="EV85" s="174"/>
      <c r="EW85" s="174"/>
      <c r="EX85" s="174"/>
      <c r="EY85" s="174"/>
      <c r="EZ85" s="174"/>
      <c r="FA85" s="174"/>
      <c r="FB85" s="174"/>
      <c r="FC85" s="174"/>
      <c r="FD85" s="174"/>
      <c r="FE85" s="174"/>
      <c r="FF85" s="174"/>
      <c r="FG85" s="174"/>
      <c r="FH85" s="174"/>
      <c r="FI85" s="174"/>
      <c r="FJ85" s="174"/>
      <c r="FK85" s="174"/>
      <c r="FL85" s="174"/>
      <c r="FM85" s="174"/>
      <c r="FN85" s="174"/>
      <c r="FO85" s="174"/>
      <c r="FP85" s="174"/>
      <c r="FQ85" s="174"/>
      <c r="FR85" s="174"/>
      <c r="FS85" s="174"/>
      <c r="FT85" s="174"/>
      <c r="FU85" s="174"/>
      <c r="FV85" s="174"/>
      <c r="FW85" s="174"/>
      <c r="FX85" s="174"/>
      <c r="FY85" s="174"/>
      <c r="FZ85" s="174"/>
      <c r="GA85" s="174"/>
      <c r="GB85" s="174"/>
      <c r="GC85" s="174"/>
      <c r="GD85" s="174"/>
      <c r="GE85" s="174"/>
      <c r="GF85" s="174"/>
      <c r="GG85" s="174"/>
      <c r="GH85" s="174"/>
      <c r="GI85" s="174"/>
      <c r="GJ85" s="174"/>
      <c r="GK85" s="174"/>
      <c r="GL85" s="174"/>
      <c r="GM85" s="174"/>
      <c r="GN85" s="174"/>
      <c r="GO85" s="174"/>
      <c r="GP85" s="174"/>
      <c r="GQ85" s="174"/>
      <c r="GR85" s="174"/>
      <c r="GS85" s="174"/>
      <c r="GT85" s="174"/>
      <c r="GU85" s="174"/>
      <c r="GV85" s="174"/>
      <c r="GW85" s="174"/>
      <c r="GX85" s="174"/>
      <c r="GY85" s="174"/>
      <c r="GZ85" s="174"/>
      <c r="HA85" s="174"/>
      <c r="HB85" s="174"/>
      <c r="HC85" s="174"/>
      <c r="HD85" s="174"/>
      <c r="HE85" s="174"/>
      <c r="HF85" s="174"/>
      <c r="HG85" s="174"/>
      <c r="HH85" s="174"/>
      <c r="HI85" s="174"/>
      <c r="HJ85" s="174"/>
      <c r="HK85" s="174"/>
      <c r="HL85" s="174"/>
      <c r="HM85" s="174"/>
      <c r="HN85" s="174"/>
      <c r="HO85" s="174"/>
      <c r="HP85" s="174"/>
      <c r="HQ85" s="174"/>
      <c r="HR85" s="174"/>
      <c r="HS85" s="174"/>
      <c r="HT85" s="174"/>
      <c r="HU85" s="174"/>
      <c r="HV85" s="174"/>
      <c r="HW85" s="174"/>
      <c r="HX85" s="174"/>
      <c r="HY85" s="174"/>
      <c r="HZ85" s="174"/>
      <c r="IA85" s="174"/>
      <c r="IB85" s="174"/>
      <c r="IC85" s="174"/>
      <c r="ID85" s="174"/>
      <c r="IE85" s="174"/>
      <c r="IF85" s="174"/>
      <c r="IG85" s="174"/>
      <c r="IH85" s="174"/>
      <c r="II85" s="174"/>
      <c r="IJ85" s="174"/>
      <c r="IK85" s="174"/>
      <c r="IL85" s="174"/>
      <c r="IM85" s="174"/>
      <c r="IN85" s="174"/>
      <c r="IO85" s="174"/>
      <c r="IP85" s="174"/>
      <c r="IQ85" s="174"/>
      <c r="IR85" s="174"/>
      <c r="IS85" s="174"/>
      <c r="IT85" s="174"/>
      <c r="IU85" s="75"/>
      <c r="IV85" s="75"/>
      <c r="IW85" s="75"/>
      <c r="IX85" s="75"/>
      <c r="IY85" s="75"/>
      <c r="IZ85" s="75"/>
      <c r="JA85" s="75"/>
      <c r="JB85" s="75"/>
      <c r="JC85" s="75"/>
      <c r="JD85" s="75"/>
      <c r="JF85" s="710"/>
      <c r="JG85" s="710"/>
      <c r="JH85" s="178">
        <f t="shared" si="7"/>
        <v>0</v>
      </c>
      <c r="JI85" s="174">
        <f t="shared" si="8"/>
        <v>0</v>
      </c>
    </row>
    <row r="86" spans="2:269" ht="15" customHeight="1" x14ac:dyDescent="0.25">
      <c r="B86" s="113">
        <v>83</v>
      </c>
      <c r="C86" s="353" t="str">
        <f t="shared" si="5"/>
        <v/>
      </c>
      <c r="D86" s="353" t="str">
        <f t="shared" si="6"/>
        <v/>
      </c>
      <c r="E86" s="174"/>
      <c r="F86" s="174"/>
      <c r="G86" s="174"/>
      <c r="H86" s="174"/>
      <c r="I86" s="174"/>
      <c r="J86" s="174"/>
      <c r="K86" s="174"/>
      <c r="L86" s="174"/>
      <c r="M86" s="174"/>
      <c r="N86" s="174"/>
      <c r="O86" s="174"/>
      <c r="P86" s="174"/>
      <c r="Q86" s="174"/>
      <c r="R86" s="174"/>
      <c r="S86" s="174"/>
      <c r="T86" s="174"/>
      <c r="U86" s="174"/>
      <c r="V86" s="174"/>
      <c r="W86" s="174"/>
      <c r="X86" s="174"/>
      <c r="Y86" s="174"/>
      <c r="Z86" s="174"/>
      <c r="AA86" s="174"/>
      <c r="AB86" s="174"/>
      <c r="AC86" s="174"/>
      <c r="AD86" s="174"/>
      <c r="AE86" s="174"/>
      <c r="AF86" s="174"/>
      <c r="AG86" s="174"/>
      <c r="AH86" s="174"/>
      <c r="AI86" s="174"/>
      <c r="AJ86" s="174"/>
      <c r="AK86" s="174"/>
      <c r="AL86" s="174"/>
      <c r="AM86" s="174"/>
      <c r="AN86" s="174"/>
      <c r="AO86" s="174"/>
      <c r="AP86" s="174"/>
      <c r="AQ86" s="174"/>
      <c r="AR86" s="174"/>
      <c r="AS86" s="174"/>
      <c r="AT86" s="174"/>
      <c r="AU86" s="174"/>
      <c r="AV86" s="174"/>
      <c r="AW86" s="174"/>
      <c r="AX86" s="174"/>
      <c r="AY86" s="174"/>
      <c r="AZ86" s="174"/>
      <c r="BA86" s="174"/>
      <c r="BB86" s="174"/>
      <c r="BC86" s="174"/>
      <c r="BD86" s="174"/>
      <c r="BE86" s="174"/>
      <c r="BF86" s="174"/>
      <c r="BG86" s="174"/>
      <c r="BH86" s="174"/>
      <c r="BI86" s="174"/>
      <c r="BJ86" s="174"/>
      <c r="BK86" s="174"/>
      <c r="BL86" s="174"/>
      <c r="BM86" s="174"/>
      <c r="BN86" s="174"/>
      <c r="BO86" s="174"/>
      <c r="BP86" s="174"/>
      <c r="BQ86" s="174"/>
      <c r="BR86" s="174"/>
      <c r="BS86" s="174"/>
      <c r="BT86" s="174"/>
      <c r="BU86" s="174"/>
      <c r="BV86" s="174"/>
      <c r="BW86" s="174"/>
      <c r="BX86" s="174"/>
      <c r="BY86" s="174"/>
      <c r="BZ86" s="174"/>
      <c r="CA86" s="174"/>
      <c r="CB86" s="174"/>
      <c r="CC86" s="174"/>
      <c r="CD86" s="174"/>
      <c r="CE86" s="174"/>
      <c r="CF86" s="174"/>
      <c r="CG86" s="174"/>
      <c r="CH86" s="174"/>
      <c r="CI86" s="174"/>
      <c r="CJ86" s="174"/>
      <c r="CK86" s="174"/>
      <c r="CL86" s="174"/>
      <c r="CM86" s="174"/>
      <c r="CN86" s="174"/>
      <c r="CO86" s="174"/>
      <c r="CP86" s="174"/>
      <c r="CQ86" s="174"/>
      <c r="CR86" s="174"/>
      <c r="CS86" s="174"/>
      <c r="CT86" s="174"/>
      <c r="CU86" s="174"/>
      <c r="CV86" s="174"/>
      <c r="CW86" s="174"/>
      <c r="CX86" s="174"/>
      <c r="CY86" s="174"/>
      <c r="CZ86" s="174"/>
      <c r="DA86" s="174"/>
      <c r="DB86" s="174"/>
      <c r="DC86" s="174"/>
      <c r="DD86" s="174"/>
      <c r="DE86" s="174"/>
      <c r="DF86" s="174"/>
      <c r="DG86" s="174"/>
      <c r="DH86" s="174"/>
      <c r="DI86" s="174"/>
      <c r="DJ86" s="174"/>
      <c r="DK86" s="174"/>
      <c r="DL86" s="174"/>
      <c r="DM86" s="174"/>
      <c r="DN86" s="174"/>
      <c r="DO86" s="174"/>
      <c r="DP86" s="174"/>
      <c r="DQ86" s="174"/>
      <c r="DR86" s="174"/>
      <c r="DS86" s="174"/>
      <c r="DT86" s="174"/>
      <c r="DU86" s="174"/>
      <c r="DV86" s="174"/>
      <c r="DW86" s="174"/>
      <c r="DX86" s="174"/>
      <c r="DY86" s="174"/>
      <c r="DZ86" s="174"/>
      <c r="EA86" s="174"/>
      <c r="EB86" s="174"/>
      <c r="EC86" s="174"/>
      <c r="ED86" s="174"/>
      <c r="EE86" s="174"/>
      <c r="EF86" s="174"/>
      <c r="EG86" s="174"/>
      <c r="EH86" s="174"/>
      <c r="EI86" s="174"/>
      <c r="EJ86" s="174"/>
      <c r="EK86" s="174"/>
      <c r="EL86" s="174"/>
      <c r="EM86" s="174"/>
      <c r="EN86" s="174"/>
      <c r="EO86" s="174"/>
      <c r="EP86" s="174"/>
      <c r="EQ86" s="174"/>
      <c r="ER86" s="174"/>
      <c r="ES86" s="174"/>
      <c r="ET86" s="174"/>
      <c r="EU86" s="174"/>
      <c r="EV86" s="174"/>
      <c r="EW86" s="174"/>
      <c r="EX86" s="174"/>
      <c r="EY86" s="174"/>
      <c r="EZ86" s="174"/>
      <c r="FA86" s="174"/>
      <c r="FB86" s="174"/>
      <c r="FC86" s="174"/>
      <c r="FD86" s="174"/>
      <c r="FE86" s="174"/>
      <c r="FF86" s="174"/>
      <c r="FG86" s="174"/>
      <c r="FH86" s="174"/>
      <c r="FI86" s="174"/>
      <c r="FJ86" s="174"/>
      <c r="FK86" s="174"/>
      <c r="FL86" s="174"/>
      <c r="FM86" s="174"/>
      <c r="FN86" s="174"/>
      <c r="FO86" s="174"/>
      <c r="FP86" s="174"/>
      <c r="FQ86" s="174"/>
      <c r="FR86" s="174"/>
      <c r="FS86" s="174"/>
      <c r="FT86" s="174"/>
      <c r="FU86" s="174"/>
      <c r="FV86" s="174"/>
      <c r="FW86" s="174"/>
      <c r="FX86" s="174"/>
      <c r="FY86" s="174"/>
      <c r="FZ86" s="174"/>
      <c r="GA86" s="174"/>
      <c r="GB86" s="174"/>
      <c r="GC86" s="174"/>
      <c r="GD86" s="174"/>
      <c r="GE86" s="174"/>
      <c r="GF86" s="174"/>
      <c r="GG86" s="174"/>
      <c r="GH86" s="174"/>
      <c r="GI86" s="174"/>
      <c r="GJ86" s="174"/>
      <c r="GK86" s="174"/>
      <c r="GL86" s="174"/>
      <c r="GM86" s="174"/>
      <c r="GN86" s="174"/>
      <c r="GO86" s="174"/>
      <c r="GP86" s="174"/>
      <c r="GQ86" s="174"/>
      <c r="GR86" s="174"/>
      <c r="GS86" s="174"/>
      <c r="GT86" s="174"/>
      <c r="GU86" s="174"/>
      <c r="GV86" s="174"/>
      <c r="GW86" s="174"/>
      <c r="GX86" s="174"/>
      <c r="GY86" s="174"/>
      <c r="GZ86" s="174"/>
      <c r="HA86" s="174"/>
      <c r="HB86" s="174"/>
      <c r="HC86" s="174"/>
      <c r="HD86" s="174"/>
      <c r="HE86" s="174"/>
      <c r="HF86" s="174"/>
      <c r="HG86" s="174"/>
      <c r="HH86" s="174"/>
      <c r="HI86" s="174"/>
      <c r="HJ86" s="174"/>
      <c r="HK86" s="174"/>
      <c r="HL86" s="174"/>
      <c r="HM86" s="174"/>
      <c r="HN86" s="174"/>
      <c r="HO86" s="174"/>
      <c r="HP86" s="174"/>
      <c r="HQ86" s="174"/>
      <c r="HR86" s="174"/>
      <c r="HS86" s="174"/>
      <c r="HT86" s="174"/>
      <c r="HU86" s="174"/>
      <c r="HV86" s="174"/>
      <c r="HW86" s="174"/>
      <c r="HX86" s="174"/>
      <c r="HY86" s="174"/>
      <c r="HZ86" s="174"/>
      <c r="IA86" s="174"/>
      <c r="IB86" s="174"/>
      <c r="IC86" s="174"/>
      <c r="ID86" s="174"/>
      <c r="IE86" s="174"/>
      <c r="IF86" s="174"/>
      <c r="IG86" s="174"/>
      <c r="IH86" s="174"/>
      <c r="II86" s="174"/>
      <c r="IJ86" s="174"/>
      <c r="IK86" s="174"/>
      <c r="IL86" s="174"/>
      <c r="IM86" s="174"/>
      <c r="IN86" s="174"/>
      <c r="IO86" s="174"/>
      <c r="IP86" s="174"/>
      <c r="IQ86" s="174"/>
      <c r="IR86" s="174"/>
      <c r="IS86" s="174"/>
      <c r="IT86" s="174"/>
      <c r="IU86" s="75"/>
      <c r="IV86" s="75"/>
      <c r="IW86" s="75"/>
      <c r="IX86" s="75"/>
      <c r="IY86" s="75"/>
      <c r="IZ86" s="75"/>
      <c r="JA86" s="75"/>
      <c r="JB86" s="75"/>
      <c r="JC86" s="75"/>
      <c r="JD86" s="75"/>
      <c r="JF86" s="710"/>
      <c r="JG86" s="710"/>
      <c r="JH86" s="178">
        <f t="shared" si="7"/>
        <v>0</v>
      </c>
      <c r="JI86" s="174">
        <f t="shared" si="8"/>
        <v>0</v>
      </c>
    </row>
    <row r="87" spans="2:269" ht="15" customHeight="1" x14ac:dyDescent="0.25">
      <c r="B87" s="113">
        <v>84</v>
      </c>
      <c r="C87" s="353" t="str">
        <f t="shared" ref="C87:C150" si="9">IF(JF87&lt;&gt;"",JF87,"")</f>
        <v/>
      </c>
      <c r="D87" s="353" t="str">
        <f t="shared" ref="D87:D150" si="10">IF(JG87&lt;&gt;"",JG87,"")</f>
        <v/>
      </c>
      <c r="E87" s="174"/>
      <c r="F87" s="174"/>
      <c r="G87" s="174"/>
      <c r="H87" s="174"/>
      <c r="I87" s="174"/>
      <c r="J87" s="174"/>
      <c r="K87" s="174"/>
      <c r="L87" s="174"/>
      <c r="M87" s="174"/>
      <c r="N87" s="174"/>
      <c r="O87" s="174"/>
      <c r="P87" s="174"/>
      <c r="Q87" s="174"/>
      <c r="R87" s="174"/>
      <c r="S87" s="174"/>
      <c r="T87" s="174"/>
      <c r="U87" s="174"/>
      <c r="V87" s="174"/>
      <c r="W87" s="174"/>
      <c r="X87" s="174"/>
      <c r="Y87" s="174"/>
      <c r="Z87" s="174"/>
      <c r="AA87" s="174"/>
      <c r="AB87" s="174"/>
      <c r="AC87" s="174"/>
      <c r="AD87" s="174"/>
      <c r="AE87" s="174"/>
      <c r="AF87" s="174"/>
      <c r="AG87" s="174"/>
      <c r="AH87" s="174"/>
      <c r="AI87" s="174"/>
      <c r="AJ87" s="174"/>
      <c r="AK87" s="174"/>
      <c r="AL87" s="174"/>
      <c r="AM87" s="174"/>
      <c r="AN87" s="174"/>
      <c r="AO87" s="174"/>
      <c r="AP87" s="174"/>
      <c r="AQ87" s="174"/>
      <c r="AR87" s="174"/>
      <c r="AS87" s="174"/>
      <c r="AT87" s="174"/>
      <c r="AU87" s="174"/>
      <c r="AV87" s="174"/>
      <c r="AW87" s="174"/>
      <c r="AX87" s="174"/>
      <c r="AY87" s="174"/>
      <c r="AZ87" s="174"/>
      <c r="BA87" s="174"/>
      <c r="BB87" s="174"/>
      <c r="BC87" s="174"/>
      <c r="BD87" s="174"/>
      <c r="BE87" s="174"/>
      <c r="BF87" s="174"/>
      <c r="BG87" s="174"/>
      <c r="BH87" s="174"/>
      <c r="BI87" s="174"/>
      <c r="BJ87" s="174"/>
      <c r="BK87" s="174"/>
      <c r="BL87" s="174"/>
      <c r="BM87" s="174"/>
      <c r="BN87" s="174"/>
      <c r="BO87" s="174"/>
      <c r="BP87" s="174"/>
      <c r="BQ87" s="174"/>
      <c r="BR87" s="174"/>
      <c r="BS87" s="174"/>
      <c r="BT87" s="174"/>
      <c r="BU87" s="174"/>
      <c r="BV87" s="174"/>
      <c r="BW87" s="174"/>
      <c r="BX87" s="174"/>
      <c r="BY87" s="174"/>
      <c r="BZ87" s="174"/>
      <c r="CA87" s="174"/>
      <c r="CB87" s="174"/>
      <c r="CC87" s="174"/>
      <c r="CD87" s="174"/>
      <c r="CE87" s="174"/>
      <c r="CF87" s="174"/>
      <c r="CG87" s="174"/>
      <c r="CH87" s="174"/>
      <c r="CI87" s="174"/>
      <c r="CJ87" s="174"/>
      <c r="CK87" s="174"/>
      <c r="CL87" s="174"/>
      <c r="CM87" s="174"/>
      <c r="CN87" s="174"/>
      <c r="CO87" s="174"/>
      <c r="CP87" s="174"/>
      <c r="CQ87" s="174"/>
      <c r="CR87" s="174"/>
      <c r="CS87" s="174"/>
      <c r="CT87" s="174"/>
      <c r="CU87" s="174"/>
      <c r="CV87" s="174"/>
      <c r="CW87" s="174"/>
      <c r="CX87" s="174"/>
      <c r="CY87" s="174"/>
      <c r="CZ87" s="174"/>
      <c r="DA87" s="174"/>
      <c r="DB87" s="174"/>
      <c r="DC87" s="174"/>
      <c r="DD87" s="174"/>
      <c r="DE87" s="174"/>
      <c r="DF87" s="174"/>
      <c r="DG87" s="174"/>
      <c r="DH87" s="174"/>
      <c r="DI87" s="174"/>
      <c r="DJ87" s="174"/>
      <c r="DK87" s="174"/>
      <c r="DL87" s="174"/>
      <c r="DM87" s="174"/>
      <c r="DN87" s="174"/>
      <c r="DO87" s="174"/>
      <c r="DP87" s="174"/>
      <c r="DQ87" s="174"/>
      <c r="DR87" s="174"/>
      <c r="DS87" s="174"/>
      <c r="DT87" s="174"/>
      <c r="DU87" s="174"/>
      <c r="DV87" s="174"/>
      <c r="DW87" s="174"/>
      <c r="DX87" s="174"/>
      <c r="DY87" s="174"/>
      <c r="DZ87" s="174"/>
      <c r="EA87" s="174"/>
      <c r="EB87" s="174"/>
      <c r="EC87" s="174"/>
      <c r="ED87" s="174"/>
      <c r="EE87" s="174"/>
      <c r="EF87" s="174"/>
      <c r="EG87" s="174"/>
      <c r="EH87" s="174"/>
      <c r="EI87" s="174"/>
      <c r="EJ87" s="174"/>
      <c r="EK87" s="174"/>
      <c r="EL87" s="174"/>
      <c r="EM87" s="174"/>
      <c r="EN87" s="174"/>
      <c r="EO87" s="174"/>
      <c r="EP87" s="174"/>
      <c r="EQ87" s="174"/>
      <c r="ER87" s="174"/>
      <c r="ES87" s="174"/>
      <c r="ET87" s="174"/>
      <c r="EU87" s="174"/>
      <c r="EV87" s="174"/>
      <c r="EW87" s="174"/>
      <c r="EX87" s="174"/>
      <c r="EY87" s="174"/>
      <c r="EZ87" s="174"/>
      <c r="FA87" s="174"/>
      <c r="FB87" s="174"/>
      <c r="FC87" s="174"/>
      <c r="FD87" s="174"/>
      <c r="FE87" s="174"/>
      <c r="FF87" s="174"/>
      <c r="FG87" s="174"/>
      <c r="FH87" s="174"/>
      <c r="FI87" s="174"/>
      <c r="FJ87" s="174"/>
      <c r="FK87" s="174"/>
      <c r="FL87" s="174"/>
      <c r="FM87" s="174"/>
      <c r="FN87" s="174"/>
      <c r="FO87" s="174"/>
      <c r="FP87" s="174"/>
      <c r="FQ87" s="174"/>
      <c r="FR87" s="174"/>
      <c r="FS87" s="174"/>
      <c r="FT87" s="174"/>
      <c r="FU87" s="174"/>
      <c r="FV87" s="174"/>
      <c r="FW87" s="174"/>
      <c r="FX87" s="174"/>
      <c r="FY87" s="174"/>
      <c r="FZ87" s="174"/>
      <c r="GA87" s="174"/>
      <c r="GB87" s="174"/>
      <c r="GC87" s="174"/>
      <c r="GD87" s="174"/>
      <c r="GE87" s="174"/>
      <c r="GF87" s="174"/>
      <c r="GG87" s="174"/>
      <c r="GH87" s="174"/>
      <c r="GI87" s="174"/>
      <c r="GJ87" s="174"/>
      <c r="GK87" s="174"/>
      <c r="GL87" s="174"/>
      <c r="GM87" s="174"/>
      <c r="GN87" s="174"/>
      <c r="GO87" s="174"/>
      <c r="GP87" s="174"/>
      <c r="GQ87" s="174"/>
      <c r="GR87" s="174"/>
      <c r="GS87" s="174"/>
      <c r="GT87" s="174"/>
      <c r="GU87" s="174"/>
      <c r="GV87" s="174"/>
      <c r="GW87" s="174"/>
      <c r="GX87" s="174"/>
      <c r="GY87" s="174"/>
      <c r="GZ87" s="174"/>
      <c r="HA87" s="174"/>
      <c r="HB87" s="174"/>
      <c r="HC87" s="174"/>
      <c r="HD87" s="174"/>
      <c r="HE87" s="174"/>
      <c r="HF87" s="174"/>
      <c r="HG87" s="174"/>
      <c r="HH87" s="174"/>
      <c r="HI87" s="174"/>
      <c r="HJ87" s="174"/>
      <c r="HK87" s="174"/>
      <c r="HL87" s="174"/>
      <c r="HM87" s="174"/>
      <c r="HN87" s="174"/>
      <c r="HO87" s="174"/>
      <c r="HP87" s="174"/>
      <c r="HQ87" s="174"/>
      <c r="HR87" s="174"/>
      <c r="HS87" s="174"/>
      <c r="HT87" s="174"/>
      <c r="HU87" s="174"/>
      <c r="HV87" s="174"/>
      <c r="HW87" s="174"/>
      <c r="HX87" s="174"/>
      <c r="HY87" s="174"/>
      <c r="HZ87" s="174"/>
      <c r="IA87" s="174"/>
      <c r="IB87" s="174"/>
      <c r="IC87" s="174"/>
      <c r="ID87" s="174"/>
      <c r="IE87" s="174"/>
      <c r="IF87" s="174"/>
      <c r="IG87" s="174"/>
      <c r="IH87" s="174"/>
      <c r="II87" s="174"/>
      <c r="IJ87" s="174"/>
      <c r="IK87" s="174"/>
      <c r="IL87" s="174"/>
      <c r="IM87" s="174"/>
      <c r="IN87" s="174"/>
      <c r="IO87" s="174"/>
      <c r="IP87" s="174"/>
      <c r="IQ87" s="174"/>
      <c r="IR87" s="174"/>
      <c r="IS87" s="174"/>
      <c r="IT87" s="174"/>
      <c r="IU87" s="75"/>
      <c r="IV87" s="75"/>
      <c r="IW87" s="75"/>
      <c r="IX87" s="75"/>
      <c r="IY87" s="75"/>
      <c r="IZ87" s="75"/>
      <c r="JA87" s="75"/>
      <c r="JB87" s="75"/>
      <c r="JC87" s="75"/>
      <c r="JD87" s="75"/>
      <c r="JF87" s="710"/>
      <c r="JG87" s="710"/>
      <c r="JH87" s="178">
        <f t="shared" si="7"/>
        <v>0</v>
      </c>
      <c r="JI87" s="174">
        <f t="shared" si="8"/>
        <v>0</v>
      </c>
    </row>
    <row r="88" spans="2:269" ht="15" customHeight="1" x14ac:dyDescent="0.25">
      <c r="B88" s="113">
        <v>85</v>
      </c>
      <c r="C88" s="353" t="str">
        <f t="shared" si="9"/>
        <v/>
      </c>
      <c r="D88" s="353" t="str">
        <f t="shared" si="10"/>
        <v/>
      </c>
      <c r="E88" s="174"/>
      <c r="F88" s="174"/>
      <c r="G88" s="174"/>
      <c r="H88" s="174"/>
      <c r="I88" s="174"/>
      <c r="J88" s="174"/>
      <c r="K88" s="174"/>
      <c r="L88" s="174"/>
      <c r="M88" s="174"/>
      <c r="N88" s="174"/>
      <c r="O88" s="174"/>
      <c r="P88" s="174"/>
      <c r="Q88" s="174"/>
      <c r="R88" s="174"/>
      <c r="S88" s="174"/>
      <c r="T88" s="174"/>
      <c r="U88" s="174"/>
      <c r="V88" s="174"/>
      <c r="W88" s="174"/>
      <c r="X88" s="174"/>
      <c r="Y88" s="174"/>
      <c r="Z88" s="174"/>
      <c r="AA88" s="174"/>
      <c r="AB88" s="174"/>
      <c r="AC88" s="174"/>
      <c r="AD88" s="174"/>
      <c r="AE88" s="174"/>
      <c r="AF88" s="174"/>
      <c r="AG88" s="174"/>
      <c r="AH88" s="174"/>
      <c r="AI88" s="174"/>
      <c r="AJ88" s="174"/>
      <c r="AK88" s="174"/>
      <c r="AL88" s="174"/>
      <c r="AM88" s="174"/>
      <c r="AN88" s="174"/>
      <c r="AO88" s="174"/>
      <c r="AP88" s="174"/>
      <c r="AQ88" s="174"/>
      <c r="AR88" s="174"/>
      <c r="AS88" s="174"/>
      <c r="AT88" s="174"/>
      <c r="AU88" s="174"/>
      <c r="AV88" s="174"/>
      <c r="AW88" s="174"/>
      <c r="AX88" s="174"/>
      <c r="AY88" s="174"/>
      <c r="AZ88" s="174"/>
      <c r="BA88" s="174"/>
      <c r="BB88" s="174"/>
      <c r="BC88" s="174"/>
      <c r="BD88" s="174"/>
      <c r="BE88" s="174"/>
      <c r="BF88" s="174"/>
      <c r="BG88" s="174"/>
      <c r="BH88" s="174"/>
      <c r="BI88" s="174"/>
      <c r="BJ88" s="174"/>
      <c r="BK88" s="174"/>
      <c r="BL88" s="174"/>
      <c r="BM88" s="174"/>
      <c r="BN88" s="174"/>
      <c r="BO88" s="174"/>
      <c r="BP88" s="174"/>
      <c r="BQ88" s="174"/>
      <c r="BR88" s="174"/>
      <c r="BS88" s="174"/>
      <c r="BT88" s="174"/>
      <c r="BU88" s="174"/>
      <c r="BV88" s="174"/>
      <c r="BW88" s="174"/>
      <c r="BX88" s="174"/>
      <c r="BY88" s="174"/>
      <c r="BZ88" s="174"/>
      <c r="CA88" s="174"/>
      <c r="CB88" s="174"/>
      <c r="CC88" s="174"/>
      <c r="CD88" s="174"/>
      <c r="CE88" s="174"/>
      <c r="CF88" s="174"/>
      <c r="CG88" s="174"/>
      <c r="CH88" s="174"/>
      <c r="CI88" s="174"/>
      <c r="CJ88" s="174"/>
      <c r="CK88" s="174"/>
      <c r="CL88" s="174"/>
      <c r="CM88" s="174"/>
      <c r="CN88" s="174"/>
      <c r="CO88" s="174"/>
      <c r="CP88" s="174"/>
      <c r="CQ88" s="174"/>
      <c r="CR88" s="174"/>
      <c r="CS88" s="174"/>
      <c r="CT88" s="174"/>
      <c r="CU88" s="174"/>
      <c r="CV88" s="174"/>
      <c r="CW88" s="174"/>
      <c r="CX88" s="174"/>
      <c r="CY88" s="174"/>
      <c r="CZ88" s="174"/>
      <c r="DA88" s="174"/>
      <c r="DB88" s="174"/>
      <c r="DC88" s="174"/>
      <c r="DD88" s="174"/>
      <c r="DE88" s="174"/>
      <c r="DF88" s="174"/>
      <c r="DG88" s="174"/>
      <c r="DH88" s="174"/>
      <c r="DI88" s="174"/>
      <c r="DJ88" s="174"/>
      <c r="DK88" s="174"/>
      <c r="DL88" s="174"/>
      <c r="DM88" s="174"/>
      <c r="DN88" s="174"/>
      <c r="DO88" s="174"/>
      <c r="DP88" s="174"/>
      <c r="DQ88" s="174"/>
      <c r="DR88" s="174"/>
      <c r="DS88" s="174"/>
      <c r="DT88" s="174"/>
      <c r="DU88" s="174"/>
      <c r="DV88" s="174"/>
      <c r="DW88" s="174"/>
      <c r="DX88" s="174"/>
      <c r="DY88" s="174"/>
      <c r="DZ88" s="174"/>
      <c r="EA88" s="174"/>
      <c r="EB88" s="174"/>
      <c r="EC88" s="174"/>
      <c r="ED88" s="174"/>
      <c r="EE88" s="174"/>
      <c r="EF88" s="174"/>
      <c r="EG88" s="174"/>
      <c r="EH88" s="174"/>
      <c r="EI88" s="174"/>
      <c r="EJ88" s="174"/>
      <c r="EK88" s="174"/>
      <c r="EL88" s="174"/>
      <c r="EM88" s="174"/>
      <c r="EN88" s="174"/>
      <c r="EO88" s="174"/>
      <c r="EP88" s="174"/>
      <c r="EQ88" s="174"/>
      <c r="ER88" s="174"/>
      <c r="ES88" s="174"/>
      <c r="ET88" s="174"/>
      <c r="EU88" s="174"/>
      <c r="EV88" s="174"/>
      <c r="EW88" s="174"/>
      <c r="EX88" s="174"/>
      <c r="EY88" s="174"/>
      <c r="EZ88" s="174"/>
      <c r="FA88" s="174"/>
      <c r="FB88" s="174"/>
      <c r="FC88" s="174"/>
      <c r="FD88" s="174"/>
      <c r="FE88" s="174"/>
      <c r="FF88" s="174"/>
      <c r="FG88" s="174"/>
      <c r="FH88" s="174"/>
      <c r="FI88" s="174"/>
      <c r="FJ88" s="174"/>
      <c r="FK88" s="174"/>
      <c r="FL88" s="174"/>
      <c r="FM88" s="174"/>
      <c r="FN88" s="174"/>
      <c r="FO88" s="174"/>
      <c r="FP88" s="174"/>
      <c r="FQ88" s="174"/>
      <c r="FR88" s="174"/>
      <c r="FS88" s="174"/>
      <c r="FT88" s="174"/>
      <c r="FU88" s="174"/>
      <c r="FV88" s="174"/>
      <c r="FW88" s="174"/>
      <c r="FX88" s="174"/>
      <c r="FY88" s="174"/>
      <c r="FZ88" s="174"/>
      <c r="GA88" s="174"/>
      <c r="GB88" s="174"/>
      <c r="GC88" s="174"/>
      <c r="GD88" s="174"/>
      <c r="GE88" s="174"/>
      <c r="GF88" s="174"/>
      <c r="GG88" s="174"/>
      <c r="GH88" s="174"/>
      <c r="GI88" s="174"/>
      <c r="GJ88" s="174"/>
      <c r="GK88" s="174"/>
      <c r="GL88" s="174"/>
      <c r="GM88" s="174"/>
      <c r="GN88" s="174"/>
      <c r="GO88" s="174"/>
      <c r="GP88" s="174"/>
      <c r="GQ88" s="174"/>
      <c r="GR88" s="174"/>
      <c r="GS88" s="174"/>
      <c r="GT88" s="174"/>
      <c r="GU88" s="174"/>
      <c r="GV88" s="174"/>
      <c r="GW88" s="174"/>
      <c r="GX88" s="174"/>
      <c r="GY88" s="174"/>
      <c r="GZ88" s="174"/>
      <c r="HA88" s="174"/>
      <c r="HB88" s="174"/>
      <c r="HC88" s="174"/>
      <c r="HD88" s="174"/>
      <c r="HE88" s="174"/>
      <c r="HF88" s="174"/>
      <c r="HG88" s="174"/>
      <c r="HH88" s="174"/>
      <c r="HI88" s="174"/>
      <c r="HJ88" s="174"/>
      <c r="HK88" s="174"/>
      <c r="HL88" s="174"/>
      <c r="HM88" s="174"/>
      <c r="HN88" s="174"/>
      <c r="HO88" s="174"/>
      <c r="HP88" s="174"/>
      <c r="HQ88" s="174"/>
      <c r="HR88" s="174"/>
      <c r="HS88" s="174"/>
      <c r="HT88" s="174"/>
      <c r="HU88" s="174"/>
      <c r="HV88" s="174"/>
      <c r="HW88" s="174"/>
      <c r="HX88" s="174"/>
      <c r="HY88" s="174"/>
      <c r="HZ88" s="174"/>
      <c r="IA88" s="174"/>
      <c r="IB88" s="174"/>
      <c r="IC88" s="174"/>
      <c r="ID88" s="174"/>
      <c r="IE88" s="174"/>
      <c r="IF88" s="174"/>
      <c r="IG88" s="174"/>
      <c r="IH88" s="174"/>
      <c r="II88" s="174"/>
      <c r="IJ88" s="174"/>
      <c r="IK88" s="174"/>
      <c r="IL88" s="174"/>
      <c r="IM88" s="174"/>
      <c r="IN88" s="174"/>
      <c r="IO88" s="174"/>
      <c r="IP88" s="174"/>
      <c r="IQ88" s="174"/>
      <c r="IR88" s="174"/>
      <c r="IS88" s="174"/>
      <c r="IT88" s="174"/>
      <c r="IU88" s="75"/>
      <c r="IV88" s="75"/>
      <c r="IW88" s="75"/>
      <c r="IX88" s="75"/>
      <c r="IY88" s="75"/>
      <c r="IZ88" s="75"/>
      <c r="JA88" s="75"/>
      <c r="JB88" s="75"/>
      <c r="JC88" s="75"/>
      <c r="JD88" s="75"/>
      <c r="JF88" s="710"/>
      <c r="JG88" s="710"/>
      <c r="JH88" s="178">
        <f t="shared" si="7"/>
        <v>0</v>
      </c>
      <c r="JI88" s="174">
        <f t="shared" si="8"/>
        <v>0</v>
      </c>
    </row>
    <row r="89" spans="2:269" ht="15" customHeight="1" x14ac:dyDescent="0.25">
      <c r="B89" s="113">
        <v>86</v>
      </c>
      <c r="C89" s="353" t="str">
        <f t="shared" si="9"/>
        <v/>
      </c>
      <c r="D89" s="353" t="str">
        <f t="shared" si="10"/>
        <v/>
      </c>
      <c r="E89" s="174"/>
      <c r="F89" s="174"/>
      <c r="G89" s="174"/>
      <c r="H89" s="174"/>
      <c r="I89" s="174"/>
      <c r="J89" s="174"/>
      <c r="K89" s="174"/>
      <c r="L89" s="174"/>
      <c r="M89" s="174"/>
      <c r="N89" s="174"/>
      <c r="O89" s="174"/>
      <c r="P89" s="174"/>
      <c r="Q89" s="174"/>
      <c r="R89" s="174"/>
      <c r="S89" s="174"/>
      <c r="T89" s="174"/>
      <c r="U89" s="174"/>
      <c r="V89" s="174"/>
      <c r="W89" s="174"/>
      <c r="X89" s="174"/>
      <c r="Y89" s="174"/>
      <c r="Z89" s="174"/>
      <c r="AA89" s="174"/>
      <c r="AB89" s="174"/>
      <c r="AC89" s="174"/>
      <c r="AD89" s="174"/>
      <c r="AE89" s="174"/>
      <c r="AF89" s="174"/>
      <c r="AG89" s="174"/>
      <c r="AH89" s="174"/>
      <c r="AI89" s="174"/>
      <c r="AJ89" s="174"/>
      <c r="AK89" s="174"/>
      <c r="AL89" s="174"/>
      <c r="AM89" s="174"/>
      <c r="AN89" s="174"/>
      <c r="AO89" s="174"/>
      <c r="AP89" s="174"/>
      <c r="AQ89" s="174"/>
      <c r="AR89" s="174"/>
      <c r="AS89" s="174"/>
      <c r="AT89" s="174"/>
      <c r="AU89" s="174"/>
      <c r="AV89" s="174"/>
      <c r="AW89" s="174"/>
      <c r="AX89" s="174"/>
      <c r="AY89" s="174"/>
      <c r="AZ89" s="174"/>
      <c r="BA89" s="174"/>
      <c r="BB89" s="174"/>
      <c r="BC89" s="174"/>
      <c r="BD89" s="174"/>
      <c r="BE89" s="174"/>
      <c r="BF89" s="174"/>
      <c r="BG89" s="174"/>
      <c r="BH89" s="174"/>
      <c r="BI89" s="174"/>
      <c r="BJ89" s="174"/>
      <c r="BK89" s="174"/>
      <c r="BL89" s="174"/>
      <c r="BM89" s="174"/>
      <c r="BN89" s="174"/>
      <c r="BO89" s="174"/>
      <c r="BP89" s="174"/>
      <c r="BQ89" s="174"/>
      <c r="BR89" s="174"/>
      <c r="BS89" s="174"/>
      <c r="BT89" s="174"/>
      <c r="BU89" s="174"/>
      <c r="BV89" s="174"/>
      <c r="BW89" s="174"/>
      <c r="BX89" s="174"/>
      <c r="BY89" s="174"/>
      <c r="BZ89" s="174"/>
      <c r="CA89" s="174"/>
      <c r="CB89" s="174"/>
      <c r="CC89" s="174"/>
      <c r="CD89" s="174"/>
      <c r="CE89" s="174"/>
      <c r="CF89" s="174"/>
      <c r="CG89" s="174"/>
      <c r="CH89" s="174"/>
      <c r="CI89" s="174"/>
      <c r="CJ89" s="174"/>
      <c r="CK89" s="174"/>
      <c r="CL89" s="174"/>
      <c r="CM89" s="174"/>
      <c r="CN89" s="174"/>
      <c r="CO89" s="174"/>
      <c r="CP89" s="174"/>
      <c r="CQ89" s="174"/>
      <c r="CR89" s="174"/>
      <c r="CS89" s="174"/>
      <c r="CT89" s="174"/>
      <c r="CU89" s="174"/>
      <c r="CV89" s="174"/>
      <c r="CW89" s="174"/>
      <c r="CX89" s="174"/>
      <c r="CY89" s="174"/>
      <c r="CZ89" s="174"/>
      <c r="DA89" s="174"/>
      <c r="DB89" s="174"/>
      <c r="DC89" s="174"/>
      <c r="DD89" s="174"/>
      <c r="DE89" s="174"/>
      <c r="DF89" s="174"/>
      <c r="DG89" s="174"/>
      <c r="DH89" s="174"/>
      <c r="DI89" s="174"/>
      <c r="DJ89" s="174"/>
      <c r="DK89" s="174"/>
      <c r="DL89" s="174"/>
      <c r="DM89" s="174"/>
      <c r="DN89" s="174"/>
      <c r="DO89" s="174"/>
      <c r="DP89" s="174"/>
      <c r="DQ89" s="174"/>
      <c r="DR89" s="174"/>
      <c r="DS89" s="174"/>
      <c r="DT89" s="174"/>
      <c r="DU89" s="174"/>
      <c r="DV89" s="174"/>
      <c r="DW89" s="174"/>
      <c r="DX89" s="174"/>
      <c r="DY89" s="174"/>
      <c r="DZ89" s="174"/>
      <c r="EA89" s="174"/>
      <c r="EB89" s="174"/>
      <c r="EC89" s="174"/>
      <c r="ED89" s="174"/>
      <c r="EE89" s="174"/>
      <c r="EF89" s="174"/>
      <c r="EG89" s="174"/>
      <c r="EH89" s="174"/>
      <c r="EI89" s="174"/>
      <c r="EJ89" s="174"/>
      <c r="EK89" s="174"/>
      <c r="EL89" s="174"/>
      <c r="EM89" s="174"/>
      <c r="EN89" s="174"/>
      <c r="EO89" s="174"/>
      <c r="EP89" s="174"/>
      <c r="EQ89" s="174"/>
      <c r="ER89" s="174"/>
      <c r="ES89" s="174"/>
      <c r="ET89" s="174"/>
      <c r="EU89" s="174"/>
      <c r="EV89" s="174"/>
      <c r="EW89" s="174"/>
      <c r="EX89" s="174"/>
      <c r="EY89" s="174"/>
      <c r="EZ89" s="174"/>
      <c r="FA89" s="174"/>
      <c r="FB89" s="174"/>
      <c r="FC89" s="174"/>
      <c r="FD89" s="174"/>
      <c r="FE89" s="174"/>
      <c r="FF89" s="174"/>
      <c r="FG89" s="174"/>
      <c r="FH89" s="174"/>
      <c r="FI89" s="174"/>
      <c r="FJ89" s="174"/>
      <c r="FK89" s="174"/>
      <c r="FL89" s="174"/>
      <c r="FM89" s="174"/>
      <c r="FN89" s="174"/>
      <c r="FO89" s="174"/>
      <c r="FP89" s="174"/>
      <c r="FQ89" s="174"/>
      <c r="FR89" s="174"/>
      <c r="FS89" s="174"/>
      <c r="FT89" s="174"/>
      <c r="FU89" s="174"/>
      <c r="FV89" s="174"/>
      <c r="FW89" s="174"/>
      <c r="FX89" s="174"/>
      <c r="FY89" s="174"/>
      <c r="FZ89" s="174"/>
      <c r="GA89" s="174"/>
      <c r="GB89" s="174"/>
      <c r="GC89" s="174"/>
      <c r="GD89" s="174"/>
      <c r="GE89" s="174"/>
      <c r="GF89" s="174"/>
      <c r="GG89" s="174"/>
      <c r="GH89" s="174"/>
      <c r="GI89" s="174"/>
      <c r="GJ89" s="174"/>
      <c r="GK89" s="174"/>
      <c r="GL89" s="174"/>
      <c r="GM89" s="174"/>
      <c r="GN89" s="174"/>
      <c r="GO89" s="174"/>
      <c r="GP89" s="174"/>
      <c r="GQ89" s="174"/>
      <c r="GR89" s="174"/>
      <c r="GS89" s="174"/>
      <c r="GT89" s="174"/>
      <c r="GU89" s="174"/>
      <c r="GV89" s="174"/>
      <c r="GW89" s="174"/>
      <c r="GX89" s="174"/>
      <c r="GY89" s="174"/>
      <c r="GZ89" s="174"/>
      <c r="HA89" s="174"/>
      <c r="HB89" s="174"/>
      <c r="HC89" s="174"/>
      <c r="HD89" s="174"/>
      <c r="HE89" s="174"/>
      <c r="HF89" s="174"/>
      <c r="HG89" s="174"/>
      <c r="HH89" s="174"/>
      <c r="HI89" s="174"/>
      <c r="HJ89" s="174"/>
      <c r="HK89" s="174"/>
      <c r="HL89" s="174"/>
      <c r="HM89" s="174"/>
      <c r="HN89" s="174"/>
      <c r="HO89" s="174"/>
      <c r="HP89" s="174"/>
      <c r="HQ89" s="174"/>
      <c r="HR89" s="174"/>
      <c r="HS89" s="174"/>
      <c r="HT89" s="174"/>
      <c r="HU89" s="174"/>
      <c r="HV89" s="174"/>
      <c r="HW89" s="174"/>
      <c r="HX89" s="174"/>
      <c r="HY89" s="174"/>
      <c r="HZ89" s="174"/>
      <c r="IA89" s="174"/>
      <c r="IB89" s="174"/>
      <c r="IC89" s="174"/>
      <c r="ID89" s="174"/>
      <c r="IE89" s="174"/>
      <c r="IF89" s="174"/>
      <c r="IG89" s="174"/>
      <c r="IH89" s="174"/>
      <c r="II89" s="174"/>
      <c r="IJ89" s="174"/>
      <c r="IK89" s="174"/>
      <c r="IL89" s="174"/>
      <c r="IM89" s="174"/>
      <c r="IN89" s="174"/>
      <c r="IO89" s="174"/>
      <c r="IP89" s="174"/>
      <c r="IQ89" s="174"/>
      <c r="IR89" s="174"/>
      <c r="IS89" s="174"/>
      <c r="IT89" s="174"/>
      <c r="IU89" s="75"/>
      <c r="IV89" s="75"/>
      <c r="IW89" s="75"/>
      <c r="IX89" s="75"/>
      <c r="IY89" s="75"/>
      <c r="IZ89" s="75"/>
      <c r="JA89" s="75"/>
      <c r="JB89" s="75"/>
      <c r="JC89" s="75"/>
      <c r="JD89" s="75"/>
      <c r="JF89" s="710"/>
      <c r="JG89" s="710"/>
      <c r="JH89" s="178">
        <f t="shared" si="7"/>
        <v>0</v>
      </c>
      <c r="JI89" s="174">
        <f t="shared" si="8"/>
        <v>0</v>
      </c>
    </row>
    <row r="90" spans="2:269" ht="15" customHeight="1" x14ac:dyDescent="0.25">
      <c r="B90" s="113">
        <v>87</v>
      </c>
      <c r="C90" s="353" t="str">
        <f t="shared" si="9"/>
        <v/>
      </c>
      <c r="D90" s="353" t="str">
        <f t="shared" si="10"/>
        <v/>
      </c>
      <c r="E90" s="174"/>
      <c r="F90" s="174"/>
      <c r="G90" s="174"/>
      <c r="H90" s="174"/>
      <c r="I90" s="174"/>
      <c r="J90" s="174"/>
      <c r="K90" s="174"/>
      <c r="L90" s="174"/>
      <c r="M90" s="174"/>
      <c r="N90" s="174"/>
      <c r="O90" s="174"/>
      <c r="P90" s="174"/>
      <c r="Q90" s="174"/>
      <c r="R90" s="174"/>
      <c r="S90" s="174"/>
      <c r="T90" s="174"/>
      <c r="U90" s="174"/>
      <c r="V90" s="174"/>
      <c r="W90" s="174"/>
      <c r="X90" s="174"/>
      <c r="Y90" s="174"/>
      <c r="Z90" s="174"/>
      <c r="AA90" s="174"/>
      <c r="AB90" s="174"/>
      <c r="AC90" s="174"/>
      <c r="AD90" s="174"/>
      <c r="AE90" s="174"/>
      <c r="AF90" s="174"/>
      <c r="AG90" s="174"/>
      <c r="AH90" s="174"/>
      <c r="AI90" s="174"/>
      <c r="AJ90" s="174"/>
      <c r="AK90" s="174"/>
      <c r="AL90" s="174"/>
      <c r="AM90" s="174"/>
      <c r="AN90" s="174"/>
      <c r="AO90" s="174"/>
      <c r="AP90" s="174"/>
      <c r="AQ90" s="174"/>
      <c r="AR90" s="174"/>
      <c r="AS90" s="174"/>
      <c r="AT90" s="174"/>
      <c r="AU90" s="174"/>
      <c r="AV90" s="174"/>
      <c r="AW90" s="174"/>
      <c r="AX90" s="174"/>
      <c r="AY90" s="174"/>
      <c r="AZ90" s="174"/>
      <c r="BA90" s="174"/>
      <c r="BB90" s="174"/>
      <c r="BC90" s="174"/>
      <c r="BD90" s="174"/>
      <c r="BE90" s="174"/>
      <c r="BF90" s="174"/>
      <c r="BG90" s="174"/>
      <c r="BH90" s="174"/>
      <c r="BI90" s="174"/>
      <c r="BJ90" s="174"/>
      <c r="BK90" s="174"/>
      <c r="BL90" s="174"/>
      <c r="BM90" s="174"/>
      <c r="BN90" s="174"/>
      <c r="BO90" s="174"/>
      <c r="BP90" s="174"/>
      <c r="BQ90" s="174"/>
      <c r="BR90" s="174"/>
      <c r="BS90" s="174"/>
      <c r="BT90" s="174"/>
      <c r="BU90" s="174"/>
      <c r="BV90" s="174"/>
      <c r="BW90" s="174"/>
      <c r="BX90" s="174"/>
      <c r="BY90" s="174"/>
      <c r="BZ90" s="174"/>
      <c r="CA90" s="174"/>
      <c r="CB90" s="174"/>
      <c r="CC90" s="174"/>
      <c r="CD90" s="174"/>
      <c r="CE90" s="174"/>
      <c r="CF90" s="174"/>
      <c r="CG90" s="174"/>
      <c r="CH90" s="174"/>
      <c r="CI90" s="174"/>
      <c r="CJ90" s="174"/>
      <c r="CK90" s="174"/>
      <c r="CL90" s="174"/>
      <c r="CM90" s="174"/>
      <c r="CN90" s="174"/>
      <c r="CO90" s="174"/>
      <c r="CP90" s="174"/>
      <c r="CQ90" s="174"/>
      <c r="CR90" s="174"/>
      <c r="CS90" s="174"/>
      <c r="CT90" s="174"/>
      <c r="CU90" s="174"/>
      <c r="CV90" s="174"/>
      <c r="CW90" s="174"/>
      <c r="CX90" s="174"/>
      <c r="CY90" s="174"/>
      <c r="CZ90" s="174"/>
      <c r="DA90" s="174"/>
      <c r="DB90" s="174"/>
      <c r="DC90" s="174"/>
      <c r="DD90" s="174"/>
      <c r="DE90" s="174"/>
      <c r="DF90" s="174"/>
      <c r="DG90" s="174"/>
      <c r="DH90" s="174"/>
      <c r="DI90" s="174"/>
      <c r="DJ90" s="174"/>
      <c r="DK90" s="174"/>
      <c r="DL90" s="174"/>
      <c r="DM90" s="174"/>
      <c r="DN90" s="174"/>
      <c r="DO90" s="174"/>
      <c r="DP90" s="174"/>
      <c r="DQ90" s="174"/>
      <c r="DR90" s="174"/>
      <c r="DS90" s="174"/>
      <c r="DT90" s="174"/>
      <c r="DU90" s="174"/>
      <c r="DV90" s="174"/>
      <c r="DW90" s="174"/>
      <c r="DX90" s="174"/>
      <c r="DY90" s="174"/>
      <c r="DZ90" s="174"/>
      <c r="EA90" s="174"/>
      <c r="EB90" s="174"/>
      <c r="EC90" s="174"/>
      <c r="ED90" s="174"/>
      <c r="EE90" s="174"/>
      <c r="EF90" s="174"/>
      <c r="EG90" s="174"/>
      <c r="EH90" s="174"/>
      <c r="EI90" s="174"/>
      <c r="EJ90" s="174"/>
      <c r="EK90" s="174"/>
      <c r="EL90" s="174"/>
      <c r="EM90" s="174"/>
      <c r="EN90" s="174"/>
      <c r="EO90" s="174"/>
      <c r="EP90" s="174"/>
      <c r="EQ90" s="174"/>
      <c r="ER90" s="174"/>
      <c r="ES90" s="174"/>
      <c r="ET90" s="174"/>
      <c r="EU90" s="174"/>
      <c r="EV90" s="174"/>
      <c r="EW90" s="174"/>
      <c r="EX90" s="174"/>
      <c r="EY90" s="174"/>
      <c r="EZ90" s="174"/>
      <c r="FA90" s="174"/>
      <c r="FB90" s="174"/>
      <c r="FC90" s="174"/>
      <c r="FD90" s="174"/>
      <c r="FE90" s="174"/>
      <c r="FF90" s="174"/>
      <c r="FG90" s="174"/>
      <c r="FH90" s="174"/>
      <c r="FI90" s="174"/>
      <c r="FJ90" s="174"/>
      <c r="FK90" s="174"/>
      <c r="FL90" s="174"/>
      <c r="FM90" s="174"/>
      <c r="FN90" s="174"/>
      <c r="FO90" s="174"/>
      <c r="FP90" s="174"/>
      <c r="FQ90" s="174"/>
      <c r="FR90" s="174"/>
      <c r="FS90" s="174"/>
      <c r="FT90" s="174"/>
      <c r="FU90" s="174"/>
      <c r="FV90" s="174"/>
      <c r="FW90" s="174"/>
      <c r="FX90" s="174"/>
      <c r="FY90" s="174"/>
      <c r="FZ90" s="174"/>
      <c r="GA90" s="174"/>
      <c r="GB90" s="174"/>
      <c r="GC90" s="174"/>
      <c r="GD90" s="174"/>
      <c r="GE90" s="174"/>
      <c r="GF90" s="174"/>
      <c r="GG90" s="174"/>
      <c r="GH90" s="174"/>
      <c r="GI90" s="174"/>
      <c r="GJ90" s="174"/>
      <c r="GK90" s="174"/>
      <c r="GL90" s="174"/>
      <c r="GM90" s="174"/>
      <c r="GN90" s="174"/>
      <c r="GO90" s="174"/>
      <c r="GP90" s="174"/>
      <c r="GQ90" s="174"/>
      <c r="GR90" s="174"/>
      <c r="GS90" s="174"/>
      <c r="GT90" s="174"/>
      <c r="GU90" s="174"/>
      <c r="GV90" s="174"/>
      <c r="GW90" s="174"/>
      <c r="GX90" s="174"/>
      <c r="GY90" s="174"/>
      <c r="GZ90" s="174"/>
      <c r="HA90" s="174"/>
      <c r="HB90" s="174"/>
      <c r="HC90" s="174"/>
      <c r="HD90" s="174"/>
      <c r="HE90" s="174"/>
      <c r="HF90" s="174"/>
      <c r="HG90" s="174"/>
      <c r="HH90" s="174"/>
      <c r="HI90" s="174"/>
      <c r="HJ90" s="174"/>
      <c r="HK90" s="174"/>
      <c r="HL90" s="174"/>
      <c r="HM90" s="174"/>
      <c r="HN90" s="174"/>
      <c r="HO90" s="174"/>
      <c r="HP90" s="174"/>
      <c r="HQ90" s="174"/>
      <c r="HR90" s="174"/>
      <c r="HS90" s="174"/>
      <c r="HT90" s="174"/>
      <c r="HU90" s="174"/>
      <c r="HV90" s="174"/>
      <c r="HW90" s="174"/>
      <c r="HX90" s="174"/>
      <c r="HY90" s="174"/>
      <c r="HZ90" s="174"/>
      <c r="IA90" s="174"/>
      <c r="IB90" s="174"/>
      <c r="IC90" s="174"/>
      <c r="ID90" s="174"/>
      <c r="IE90" s="174"/>
      <c r="IF90" s="174"/>
      <c r="IG90" s="174"/>
      <c r="IH90" s="174"/>
      <c r="II90" s="174"/>
      <c r="IJ90" s="174"/>
      <c r="IK90" s="174"/>
      <c r="IL90" s="174"/>
      <c r="IM90" s="174"/>
      <c r="IN90" s="174"/>
      <c r="IO90" s="174"/>
      <c r="IP90" s="174"/>
      <c r="IQ90" s="174"/>
      <c r="IR90" s="174"/>
      <c r="IS90" s="174"/>
      <c r="IT90" s="174"/>
      <c r="IU90" s="75"/>
      <c r="IV90" s="75"/>
      <c r="IW90" s="75"/>
      <c r="IX90" s="75"/>
      <c r="IY90" s="75"/>
      <c r="IZ90" s="75"/>
      <c r="JA90" s="75"/>
      <c r="JB90" s="75"/>
      <c r="JC90" s="75"/>
      <c r="JD90" s="75"/>
      <c r="JF90" s="710"/>
      <c r="JG90" s="710"/>
      <c r="JH90" s="178">
        <f t="shared" si="7"/>
        <v>0</v>
      </c>
      <c r="JI90" s="174">
        <f t="shared" si="8"/>
        <v>0</v>
      </c>
    </row>
    <row r="91" spans="2:269" ht="15" customHeight="1" x14ac:dyDescent="0.25">
      <c r="B91" s="113">
        <v>88</v>
      </c>
      <c r="C91" s="353" t="str">
        <f t="shared" si="9"/>
        <v/>
      </c>
      <c r="D91" s="353" t="str">
        <f t="shared" si="10"/>
        <v/>
      </c>
      <c r="E91" s="174"/>
      <c r="F91" s="174"/>
      <c r="G91" s="174"/>
      <c r="H91" s="174"/>
      <c r="I91" s="174"/>
      <c r="J91" s="174"/>
      <c r="K91" s="174"/>
      <c r="L91" s="174"/>
      <c r="M91" s="174"/>
      <c r="N91" s="174"/>
      <c r="O91" s="174"/>
      <c r="P91" s="174"/>
      <c r="Q91" s="174"/>
      <c r="R91" s="174"/>
      <c r="S91" s="174"/>
      <c r="T91" s="174"/>
      <c r="U91" s="174"/>
      <c r="V91" s="174"/>
      <c r="W91" s="174"/>
      <c r="X91" s="174"/>
      <c r="Y91" s="174"/>
      <c r="Z91" s="174"/>
      <c r="AA91" s="174"/>
      <c r="AB91" s="174"/>
      <c r="AC91" s="174"/>
      <c r="AD91" s="174"/>
      <c r="AE91" s="174"/>
      <c r="AF91" s="174"/>
      <c r="AG91" s="174"/>
      <c r="AH91" s="174"/>
      <c r="AI91" s="174"/>
      <c r="AJ91" s="174"/>
      <c r="AK91" s="174"/>
      <c r="AL91" s="174"/>
      <c r="AM91" s="174"/>
      <c r="AN91" s="174"/>
      <c r="AO91" s="174"/>
      <c r="AP91" s="174"/>
      <c r="AQ91" s="174"/>
      <c r="AR91" s="174"/>
      <c r="AS91" s="174"/>
      <c r="AT91" s="174"/>
      <c r="AU91" s="174"/>
      <c r="AV91" s="174"/>
      <c r="AW91" s="174"/>
      <c r="AX91" s="174"/>
      <c r="AY91" s="174"/>
      <c r="AZ91" s="174"/>
      <c r="BA91" s="174"/>
      <c r="BB91" s="174"/>
      <c r="BC91" s="174"/>
      <c r="BD91" s="174"/>
      <c r="BE91" s="174"/>
      <c r="BF91" s="174"/>
      <c r="BG91" s="174"/>
      <c r="BH91" s="174"/>
      <c r="BI91" s="174"/>
      <c r="BJ91" s="174"/>
      <c r="BK91" s="174"/>
      <c r="BL91" s="174"/>
      <c r="BM91" s="174"/>
      <c r="BN91" s="174"/>
      <c r="BO91" s="174"/>
      <c r="BP91" s="174"/>
      <c r="BQ91" s="174"/>
      <c r="BR91" s="174"/>
      <c r="BS91" s="174"/>
      <c r="BT91" s="174"/>
      <c r="BU91" s="174"/>
      <c r="BV91" s="174"/>
      <c r="BW91" s="174"/>
      <c r="BX91" s="174"/>
      <c r="BY91" s="174"/>
      <c r="BZ91" s="174"/>
      <c r="CA91" s="174"/>
      <c r="CB91" s="174"/>
      <c r="CC91" s="174"/>
      <c r="CD91" s="174"/>
      <c r="CE91" s="174"/>
      <c r="CF91" s="174"/>
      <c r="CG91" s="174"/>
      <c r="CH91" s="174"/>
      <c r="CI91" s="174"/>
      <c r="CJ91" s="174"/>
      <c r="CK91" s="174"/>
      <c r="CL91" s="174"/>
      <c r="CM91" s="174"/>
      <c r="CN91" s="174"/>
      <c r="CO91" s="174"/>
      <c r="CP91" s="174"/>
      <c r="CQ91" s="174"/>
      <c r="CR91" s="174"/>
      <c r="CS91" s="174"/>
      <c r="CT91" s="174"/>
      <c r="CU91" s="174"/>
      <c r="CV91" s="174"/>
      <c r="CW91" s="174"/>
      <c r="CX91" s="174"/>
      <c r="CY91" s="174"/>
      <c r="CZ91" s="174"/>
      <c r="DA91" s="174"/>
      <c r="DB91" s="174"/>
      <c r="DC91" s="174"/>
      <c r="DD91" s="174"/>
      <c r="DE91" s="174"/>
      <c r="DF91" s="174"/>
      <c r="DG91" s="174"/>
      <c r="DH91" s="174"/>
      <c r="DI91" s="174"/>
      <c r="DJ91" s="174"/>
      <c r="DK91" s="174"/>
      <c r="DL91" s="174"/>
      <c r="DM91" s="174"/>
      <c r="DN91" s="174"/>
      <c r="DO91" s="174"/>
      <c r="DP91" s="174"/>
      <c r="DQ91" s="174"/>
      <c r="DR91" s="174"/>
      <c r="DS91" s="174"/>
      <c r="DT91" s="174"/>
      <c r="DU91" s="174"/>
      <c r="DV91" s="174"/>
      <c r="DW91" s="174"/>
      <c r="DX91" s="174"/>
      <c r="DY91" s="174"/>
      <c r="DZ91" s="174"/>
      <c r="EA91" s="174"/>
      <c r="EB91" s="174"/>
      <c r="EC91" s="174"/>
      <c r="ED91" s="174"/>
      <c r="EE91" s="174"/>
      <c r="EF91" s="174"/>
      <c r="EG91" s="174"/>
      <c r="EH91" s="174"/>
      <c r="EI91" s="174"/>
      <c r="EJ91" s="174"/>
      <c r="EK91" s="174"/>
      <c r="EL91" s="174"/>
      <c r="EM91" s="174"/>
      <c r="EN91" s="174"/>
      <c r="EO91" s="174"/>
      <c r="EP91" s="174"/>
      <c r="EQ91" s="174"/>
      <c r="ER91" s="174"/>
      <c r="ES91" s="174"/>
      <c r="ET91" s="174"/>
      <c r="EU91" s="174"/>
      <c r="EV91" s="174"/>
      <c r="EW91" s="174"/>
      <c r="EX91" s="174"/>
      <c r="EY91" s="174"/>
      <c r="EZ91" s="174"/>
      <c r="FA91" s="174"/>
      <c r="FB91" s="174"/>
      <c r="FC91" s="174"/>
      <c r="FD91" s="174"/>
      <c r="FE91" s="174"/>
      <c r="FF91" s="174"/>
      <c r="FG91" s="174"/>
      <c r="FH91" s="174"/>
      <c r="FI91" s="174"/>
      <c r="FJ91" s="174"/>
      <c r="FK91" s="174"/>
      <c r="FL91" s="174"/>
      <c r="FM91" s="174"/>
      <c r="FN91" s="174"/>
      <c r="FO91" s="174"/>
      <c r="FP91" s="174"/>
      <c r="FQ91" s="174"/>
      <c r="FR91" s="174"/>
      <c r="FS91" s="174"/>
      <c r="FT91" s="174"/>
      <c r="FU91" s="174"/>
      <c r="FV91" s="174"/>
      <c r="FW91" s="174"/>
      <c r="FX91" s="174"/>
      <c r="FY91" s="174"/>
      <c r="FZ91" s="174"/>
      <c r="GA91" s="174"/>
      <c r="GB91" s="174"/>
      <c r="GC91" s="174"/>
      <c r="GD91" s="174"/>
      <c r="GE91" s="174"/>
      <c r="GF91" s="174"/>
      <c r="GG91" s="174"/>
      <c r="GH91" s="174"/>
      <c r="GI91" s="174"/>
      <c r="GJ91" s="174"/>
      <c r="GK91" s="174"/>
      <c r="GL91" s="174"/>
      <c r="GM91" s="174"/>
      <c r="GN91" s="174"/>
      <c r="GO91" s="174"/>
      <c r="GP91" s="174"/>
      <c r="GQ91" s="174"/>
      <c r="GR91" s="174"/>
      <c r="GS91" s="174"/>
      <c r="GT91" s="174"/>
      <c r="GU91" s="174"/>
      <c r="GV91" s="174"/>
      <c r="GW91" s="174"/>
      <c r="GX91" s="174"/>
      <c r="GY91" s="174"/>
      <c r="GZ91" s="174"/>
      <c r="HA91" s="174"/>
      <c r="HB91" s="174"/>
      <c r="HC91" s="174"/>
      <c r="HD91" s="174"/>
      <c r="HE91" s="174"/>
      <c r="HF91" s="174"/>
      <c r="HG91" s="174"/>
      <c r="HH91" s="174"/>
      <c r="HI91" s="174"/>
      <c r="HJ91" s="174"/>
      <c r="HK91" s="174"/>
      <c r="HL91" s="174"/>
      <c r="HM91" s="174"/>
      <c r="HN91" s="174"/>
      <c r="HO91" s="174"/>
      <c r="HP91" s="174"/>
      <c r="HQ91" s="174"/>
      <c r="HR91" s="174"/>
      <c r="HS91" s="174"/>
      <c r="HT91" s="174"/>
      <c r="HU91" s="174"/>
      <c r="HV91" s="174"/>
      <c r="HW91" s="174"/>
      <c r="HX91" s="174"/>
      <c r="HY91" s="174"/>
      <c r="HZ91" s="174"/>
      <c r="IA91" s="174"/>
      <c r="IB91" s="174"/>
      <c r="IC91" s="174"/>
      <c r="ID91" s="174"/>
      <c r="IE91" s="174"/>
      <c r="IF91" s="174"/>
      <c r="IG91" s="174"/>
      <c r="IH91" s="174"/>
      <c r="II91" s="174"/>
      <c r="IJ91" s="174"/>
      <c r="IK91" s="174"/>
      <c r="IL91" s="174"/>
      <c r="IM91" s="174"/>
      <c r="IN91" s="174"/>
      <c r="IO91" s="174"/>
      <c r="IP91" s="174"/>
      <c r="IQ91" s="174"/>
      <c r="IR91" s="174"/>
      <c r="IS91" s="174"/>
      <c r="IT91" s="174"/>
      <c r="IU91" s="75"/>
      <c r="IV91" s="75"/>
      <c r="IW91" s="75"/>
      <c r="IX91" s="75"/>
      <c r="IY91" s="75"/>
      <c r="IZ91" s="75"/>
      <c r="JA91" s="75"/>
      <c r="JB91" s="75"/>
      <c r="JC91" s="75"/>
      <c r="JD91" s="75"/>
      <c r="JF91" s="710"/>
      <c r="JG91" s="710"/>
      <c r="JH91" s="178">
        <f t="shared" si="7"/>
        <v>0</v>
      </c>
      <c r="JI91" s="174">
        <f t="shared" si="8"/>
        <v>0</v>
      </c>
    </row>
    <row r="92" spans="2:269" ht="15" customHeight="1" x14ac:dyDescent="0.25">
      <c r="B92" s="113">
        <v>89</v>
      </c>
      <c r="C92" s="353" t="str">
        <f t="shared" si="9"/>
        <v/>
      </c>
      <c r="D92" s="353" t="str">
        <f t="shared" si="10"/>
        <v/>
      </c>
      <c r="E92" s="174"/>
      <c r="F92" s="174"/>
      <c r="G92" s="174"/>
      <c r="H92" s="174"/>
      <c r="I92" s="174"/>
      <c r="J92" s="174"/>
      <c r="K92" s="174"/>
      <c r="L92" s="174"/>
      <c r="M92" s="174"/>
      <c r="N92" s="174"/>
      <c r="O92" s="174"/>
      <c r="P92" s="174"/>
      <c r="Q92" s="174"/>
      <c r="R92" s="174"/>
      <c r="S92" s="174"/>
      <c r="T92" s="174"/>
      <c r="U92" s="174"/>
      <c r="V92" s="174"/>
      <c r="W92" s="174"/>
      <c r="X92" s="174"/>
      <c r="Y92" s="174"/>
      <c r="Z92" s="174"/>
      <c r="AA92" s="174"/>
      <c r="AB92" s="174"/>
      <c r="AC92" s="174"/>
      <c r="AD92" s="174"/>
      <c r="AE92" s="174"/>
      <c r="AF92" s="174"/>
      <c r="AG92" s="174"/>
      <c r="AH92" s="174"/>
      <c r="AI92" s="174"/>
      <c r="AJ92" s="174"/>
      <c r="AK92" s="174"/>
      <c r="AL92" s="174"/>
      <c r="AM92" s="174"/>
      <c r="AN92" s="174"/>
      <c r="AO92" s="174"/>
      <c r="AP92" s="174"/>
      <c r="AQ92" s="174"/>
      <c r="AR92" s="174"/>
      <c r="AS92" s="174"/>
      <c r="AT92" s="174"/>
      <c r="AU92" s="174"/>
      <c r="AV92" s="174"/>
      <c r="AW92" s="174"/>
      <c r="AX92" s="174"/>
      <c r="AY92" s="174"/>
      <c r="AZ92" s="174"/>
      <c r="BA92" s="174"/>
      <c r="BB92" s="174"/>
      <c r="BC92" s="174"/>
      <c r="BD92" s="174"/>
      <c r="BE92" s="174"/>
      <c r="BF92" s="174"/>
      <c r="BG92" s="174"/>
      <c r="BH92" s="174"/>
      <c r="BI92" s="174"/>
      <c r="BJ92" s="174"/>
      <c r="BK92" s="174"/>
      <c r="BL92" s="174"/>
      <c r="BM92" s="174"/>
      <c r="BN92" s="174"/>
      <c r="BO92" s="174"/>
      <c r="BP92" s="174"/>
      <c r="BQ92" s="174"/>
      <c r="BR92" s="174"/>
      <c r="BS92" s="174"/>
      <c r="BT92" s="174"/>
      <c r="BU92" s="174"/>
      <c r="BV92" s="174"/>
      <c r="BW92" s="174"/>
      <c r="BX92" s="174"/>
      <c r="BY92" s="174"/>
      <c r="BZ92" s="174"/>
      <c r="CA92" s="174"/>
      <c r="CB92" s="174"/>
      <c r="CC92" s="174"/>
      <c r="CD92" s="174"/>
      <c r="CE92" s="174"/>
      <c r="CF92" s="174"/>
      <c r="CG92" s="174"/>
      <c r="CH92" s="174"/>
      <c r="CI92" s="174"/>
      <c r="CJ92" s="174"/>
      <c r="CK92" s="174"/>
      <c r="CL92" s="174"/>
      <c r="CM92" s="174"/>
      <c r="CN92" s="174"/>
      <c r="CO92" s="174"/>
      <c r="CP92" s="174"/>
      <c r="CQ92" s="174"/>
      <c r="CR92" s="174"/>
      <c r="CS92" s="174"/>
      <c r="CT92" s="174"/>
      <c r="CU92" s="174"/>
      <c r="CV92" s="174"/>
      <c r="CW92" s="174"/>
      <c r="CX92" s="174"/>
      <c r="CY92" s="174"/>
      <c r="CZ92" s="174"/>
      <c r="DA92" s="174"/>
      <c r="DB92" s="174"/>
      <c r="DC92" s="174"/>
      <c r="DD92" s="174"/>
      <c r="DE92" s="174"/>
      <c r="DF92" s="174"/>
      <c r="DG92" s="174"/>
      <c r="DH92" s="174"/>
      <c r="DI92" s="174"/>
      <c r="DJ92" s="174"/>
      <c r="DK92" s="174"/>
      <c r="DL92" s="174"/>
      <c r="DM92" s="174"/>
      <c r="DN92" s="174"/>
      <c r="DO92" s="174"/>
      <c r="DP92" s="174"/>
      <c r="DQ92" s="174"/>
      <c r="DR92" s="174"/>
      <c r="DS92" s="174"/>
      <c r="DT92" s="174"/>
      <c r="DU92" s="174"/>
      <c r="DV92" s="174"/>
      <c r="DW92" s="174"/>
      <c r="DX92" s="174"/>
      <c r="DY92" s="174"/>
      <c r="DZ92" s="174"/>
      <c r="EA92" s="174"/>
      <c r="EB92" s="174"/>
      <c r="EC92" s="174"/>
      <c r="ED92" s="174"/>
      <c r="EE92" s="174"/>
      <c r="EF92" s="174"/>
      <c r="EG92" s="174"/>
      <c r="EH92" s="174"/>
      <c r="EI92" s="174"/>
      <c r="EJ92" s="174"/>
      <c r="EK92" s="174"/>
      <c r="EL92" s="174"/>
      <c r="EM92" s="174"/>
      <c r="EN92" s="174"/>
      <c r="EO92" s="174"/>
      <c r="EP92" s="174"/>
      <c r="EQ92" s="174"/>
      <c r="ER92" s="174"/>
      <c r="ES92" s="174"/>
      <c r="ET92" s="174"/>
      <c r="EU92" s="174"/>
      <c r="EV92" s="174"/>
      <c r="EW92" s="174"/>
      <c r="EX92" s="174"/>
      <c r="EY92" s="174"/>
      <c r="EZ92" s="174"/>
      <c r="FA92" s="174"/>
      <c r="FB92" s="174"/>
      <c r="FC92" s="174"/>
      <c r="FD92" s="174"/>
      <c r="FE92" s="174"/>
      <c r="FF92" s="174"/>
      <c r="FG92" s="174"/>
      <c r="FH92" s="174"/>
      <c r="FI92" s="174"/>
      <c r="FJ92" s="174"/>
      <c r="FK92" s="174"/>
      <c r="FL92" s="174"/>
      <c r="FM92" s="174"/>
      <c r="FN92" s="174"/>
      <c r="FO92" s="174"/>
      <c r="FP92" s="174"/>
      <c r="FQ92" s="174"/>
      <c r="FR92" s="174"/>
      <c r="FS92" s="174"/>
      <c r="FT92" s="174"/>
      <c r="FU92" s="174"/>
      <c r="FV92" s="174"/>
      <c r="FW92" s="174"/>
      <c r="FX92" s="174"/>
      <c r="FY92" s="174"/>
      <c r="FZ92" s="174"/>
      <c r="GA92" s="174"/>
      <c r="GB92" s="174"/>
      <c r="GC92" s="174"/>
      <c r="GD92" s="174"/>
      <c r="GE92" s="174"/>
      <c r="GF92" s="174"/>
      <c r="GG92" s="174"/>
      <c r="GH92" s="174"/>
      <c r="GI92" s="174"/>
      <c r="GJ92" s="174"/>
      <c r="GK92" s="174"/>
      <c r="GL92" s="174"/>
      <c r="GM92" s="174"/>
      <c r="GN92" s="174"/>
      <c r="GO92" s="174"/>
      <c r="GP92" s="174"/>
      <c r="GQ92" s="174"/>
      <c r="GR92" s="174"/>
      <c r="GS92" s="174"/>
      <c r="GT92" s="174"/>
      <c r="GU92" s="174"/>
      <c r="GV92" s="174"/>
      <c r="GW92" s="174"/>
      <c r="GX92" s="174"/>
      <c r="GY92" s="174"/>
      <c r="GZ92" s="174"/>
      <c r="HA92" s="174"/>
      <c r="HB92" s="174"/>
      <c r="HC92" s="174"/>
      <c r="HD92" s="174"/>
      <c r="HE92" s="174"/>
      <c r="HF92" s="174"/>
      <c r="HG92" s="174"/>
      <c r="HH92" s="174"/>
      <c r="HI92" s="174"/>
      <c r="HJ92" s="174"/>
      <c r="HK92" s="174"/>
      <c r="HL92" s="174"/>
      <c r="HM92" s="174"/>
      <c r="HN92" s="174"/>
      <c r="HO92" s="174"/>
      <c r="HP92" s="174"/>
      <c r="HQ92" s="174"/>
      <c r="HR92" s="174"/>
      <c r="HS92" s="174"/>
      <c r="HT92" s="174"/>
      <c r="HU92" s="174"/>
      <c r="HV92" s="174"/>
      <c r="HW92" s="174"/>
      <c r="HX92" s="174"/>
      <c r="HY92" s="174"/>
      <c r="HZ92" s="174"/>
      <c r="IA92" s="174"/>
      <c r="IB92" s="174"/>
      <c r="IC92" s="174"/>
      <c r="ID92" s="174"/>
      <c r="IE92" s="174"/>
      <c r="IF92" s="174"/>
      <c r="IG92" s="174"/>
      <c r="IH92" s="174"/>
      <c r="II92" s="174"/>
      <c r="IJ92" s="174"/>
      <c r="IK92" s="174"/>
      <c r="IL92" s="174"/>
      <c r="IM92" s="174"/>
      <c r="IN92" s="174"/>
      <c r="IO92" s="174"/>
      <c r="IP92" s="174"/>
      <c r="IQ92" s="174"/>
      <c r="IR92" s="174"/>
      <c r="IS92" s="174"/>
      <c r="IT92" s="174"/>
      <c r="IU92" s="75"/>
      <c r="IV92" s="75"/>
      <c r="IW92" s="75"/>
      <c r="IX92" s="75"/>
      <c r="IY92" s="75"/>
      <c r="IZ92" s="75"/>
      <c r="JA92" s="75"/>
      <c r="JB92" s="75"/>
      <c r="JC92" s="75"/>
      <c r="JD92" s="75"/>
      <c r="JF92" s="710"/>
      <c r="JG92" s="710"/>
      <c r="JH92" s="178">
        <f t="shared" si="7"/>
        <v>0</v>
      </c>
      <c r="JI92" s="174">
        <f t="shared" si="8"/>
        <v>0</v>
      </c>
    </row>
    <row r="93" spans="2:269" ht="15" customHeight="1" x14ac:dyDescent="0.25">
      <c r="B93" s="113">
        <v>90</v>
      </c>
      <c r="C93" s="353" t="str">
        <f t="shared" si="9"/>
        <v/>
      </c>
      <c r="D93" s="353" t="str">
        <f t="shared" si="10"/>
        <v/>
      </c>
      <c r="E93" s="174"/>
      <c r="F93" s="174"/>
      <c r="G93" s="174"/>
      <c r="H93" s="174"/>
      <c r="I93" s="174"/>
      <c r="J93" s="174"/>
      <c r="K93" s="174"/>
      <c r="L93" s="174"/>
      <c r="M93" s="174"/>
      <c r="N93" s="174"/>
      <c r="O93" s="174"/>
      <c r="P93" s="174"/>
      <c r="Q93" s="174"/>
      <c r="R93" s="174"/>
      <c r="S93" s="174"/>
      <c r="T93" s="174"/>
      <c r="U93" s="174"/>
      <c r="V93" s="174"/>
      <c r="W93" s="174"/>
      <c r="X93" s="174"/>
      <c r="Y93" s="174"/>
      <c r="Z93" s="174"/>
      <c r="AA93" s="174"/>
      <c r="AB93" s="174"/>
      <c r="AC93" s="174"/>
      <c r="AD93" s="174"/>
      <c r="AE93" s="174"/>
      <c r="AF93" s="174"/>
      <c r="AG93" s="174"/>
      <c r="AH93" s="174"/>
      <c r="AI93" s="174"/>
      <c r="AJ93" s="174"/>
      <c r="AK93" s="174"/>
      <c r="AL93" s="174"/>
      <c r="AM93" s="174"/>
      <c r="AN93" s="174"/>
      <c r="AO93" s="174"/>
      <c r="AP93" s="174"/>
      <c r="AQ93" s="174"/>
      <c r="AR93" s="174"/>
      <c r="AS93" s="174"/>
      <c r="AT93" s="174"/>
      <c r="AU93" s="174"/>
      <c r="AV93" s="174"/>
      <c r="AW93" s="174"/>
      <c r="AX93" s="174"/>
      <c r="AY93" s="174"/>
      <c r="AZ93" s="174"/>
      <c r="BA93" s="174"/>
      <c r="BB93" s="174"/>
      <c r="BC93" s="174"/>
      <c r="BD93" s="174"/>
      <c r="BE93" s="174"/>
      <c r="BF93" s="174"/>
      <c r="BG93" s="174"/>
      <c r="BH93" s="174"/>
      <c r="BI93" s="174"/>
      <c r="BJ93" s="174"/>
      <c r="BK93" s="174"/>
      <c r="BL93" s="174"/>
      <c r="BM93" s="174"/>
      <c r="BN93" s="174"/>
      <c r="BO93" s="174"/>
      <c r="BP93" s="174"/>
      <c r="BQ93" s="174"/>
      <c r="BR93" s="174"/>
      <c r="BS93" s="174"/>
      <c r="BT93" s="174"/>
      <c r="BU93" s="174"/>
      <c r="BV93" s="174"/>
      <c r="BW93" s="174"/>
      <c r="BX93" s="174"/>
      <c r="BY93" s="174"/>
      <c r="BZ93" s="174"/>
      <c r="CA93" s="174"/>
      <c r="CB93" s="174"/>
      <c r="CC93" s="174"/>
      <c r="CD93" s="174"/>
      <c r="CE93" s="174"/>
      <c r="CF93" s="174"/>
      <c r="CG93" s="174"/>
      <c r="CH93" s="174"/>
      <c r="CI93" s="174"/>
      <c r="CJ93" s="174"/>
      <c r="CK93" s="174"/>
      <c r="CL93" s="174"/>
      <c r="CM93" s="174"/>
      <c r="CN93" s="174"/>
      <c r="CO93" s="174"/>
      <c r="CP93" s="174"/>
      <c r="CQ93" s="174"/>
      <c r="CR93" s="174"/>
      <c r="CS93" s="174"/>
      <c r="CT93" s="174"/>
      <c r="CU93" s="174"/>
      <c r="CV93" s="174"/>
      <c r="CW93" s="174"/>
      <c r="CX93" s="174"/>
      <c r="CY93" s="174"/>
      <c r="CZ93" s="174"/>
      <c r="DA93" s="174"/>
      <c r="DB93" s="174"/>
      <c r="DC93" s="174"/>
      <c r="DD93" s="174"/>
      <c r="DE93" s="174"/>
      <c r="DF93" s="174"/>
      <c r="DG93" s="174"/>
      <c r="DH93" s="174"/>
      <c r="DI93" s="174"/>
      <c r="DJ93" s="174"/>
      <c r="DK93" s="174"/>
      <c r="DL93" s="174"/>
      <c r="DM93" s="174"/>
      <c r="DN93" s="174"/>
      <c r="DO93" s="174"/>
      <c r="DP93" s="174"/>
      <c r="DQ93" s="174"/>
      <c r="DR93" s="174"/>
      <c r="DS93" s="174"/>
      <c r="DT93" s="174"/>
      <c r="DU93" s="174"/>
      <c r="DV93" s="174"/>
      <c r="DW93" s="174"/>
      <c r="DX93" s="174"/>
      <c r="DY93" s="174"/>
      <c r="DZ93" s="174"/>
      <c r="EA93" s="174"/>
      <c r="EB93" s="174"/>
      <c r="EC93" s="174"/>
      <c r="ED93" s="174"/>
      <c r="EE93" s="174"/>
      <c r="EF93" s="174"/>
      <c r="EG93" s="174"/>
      <c r="EH93" s="174"/>
      <c r="EI93" s="174"/>
      <c r="EJ93" s="174"/>
      <c r="EK93" s="174"/>
      <c r="EL93" s="174"/>
      <c r="EM93" s="174"/>
      <c r="EN93" s="174"/>
      <c r="EO93" s="174"/>
      <c r="EP93" s="174"/>
      <c r="EQ93" s="174"/>
      <c r="ER93" s="174"/>
      <c r="ES93" s="174"/>
      <c r="ET93" s="174"/>
      <c r="EU93" s="174"/>
      <c r="EV93" s="174"/>
      <c r="EW93" s="174"/>
      <c r="EX93" s="174"/>
      <c r="EY93" s="174"/>
      <c r="EZ93" s="174"/>
      <c r="FA93" s="174"/>
      <c r="FB93" s="174"/>
      <c r="FC93" s="174"/>
      <c r="FD93" s="174"/>
      <c r="FE93" s="174"/>
      <c r="FF93" s="174"/>
      <c r="FG93" s="174"/>
      <c r="FH93" s="174"/>
      <c r="FI93" s="174"/>
      <c r="FJ93" s="174"/>
      <c r="FK93" s="174"/>
      <c r="FL93" s="174"/>
      <c r="FM93" s="174"/>
      <c r="FN93" s="174"/>
      <c r="FO93" s="174"/>
      <c r="FP93" s="174"/>
      <c r="FQ93" s="174"/>
      <c r="FR93" s="174"/>
      <c r="FS93" s="174"/>
      <c r="FT93" s="174"/>
      <c r="FU93" s="174"/>
      <c r="FV93" s="174"/>
      <c r="FW93" s="174"/>
      <c r="FX93" s="174"/>
      <c r="FY93" s="174"/>
      <c r="FZ93" s="174"/>
      <c r="GA93" s="174"/>
      <c r="GB93" s="174"/>
      <c r="GC93" s="174"/>
      <c r="GD93" s="174"/>
      <c r="GE93" s="174"/>
      <c r="GF93" s="174"/>
      <c r="GG93" s="174"/>
      <c r="GH93" s="174"/>
      <c r="GI93" s="174"/>
      <c r="GJ93" s="174"/>
      <c r="GK93" s="174"/>
      <c r="GL93" s="174"/>
      <c r="GM93" s="174"/>
      <c r="GN93" s="174"/>
      <c r="GO93" s="174"/>
      <c r="GP93" s="174"/>
      <c r="GQ93" s="174"/>
      <c r="GR93" s="174"/>
      <c r="GS93" s="174"/>
      <c r="GT93" s="174"/>
      <c r="GU93" s="174"/>
      <c r="GV93" s="174"/>
      <c r="GW93" s="174"/>
      <c r="GX93" s="174"/>
      <c r="GY93" s="174"/>
      <c r="GZ93" s="174"/>
      <c r="HA93" s="174"/>
      <c r="HB93" s="174"/>
      <c r="HC93" s="174"/>
      <c r="HD93" s="174"/>
      <c r="HE93" s="174"/>
      <c r="HF93" s="174"/>
      <c r="HG93" s="174"/>
      <c r="HH93" s="174"/>
      <c r="HI93" s="174"/>
      <c r="HJ93" s="174"/>
      <c r="HK93" s="174"/>
      <c r="HL93" s="174"/>
      <c r="HM93" s="174"/>
      <c r="HN93" s="174"/>
      <c r="HO93" s="174"/>
      <c r="HP93" s="174"/>
      <c r="HQ93" s="174"/>
      <c r="HR93" s="174"/>
      <c r="HS93" s="174"/>
      <c r="HT93" s="174"/>
      <c r="HU93" s="174"/>
      <c r="HV93" s="174"/>
      <c r="HW93" s="174"/>
      <c r="HX93" s="174"/>
      <c r="HY93" s="174"/>
      <c r="HZ93" s="174"/>
      <c r="IA93" s="174"/>
      <c r="IB93" s="174"/>
      <c r="IC93" s="174"/>
      <c r="ID93" s="174"/>
      <c r="IE93" s="174"/>
      <c r="IF93" s="174"/>
      <c r="IG93" s="174"/>
      <c r="IH93" s="174"/>
      <c r="II93" s="174"/>
      <c r="IJ93" s="174"/>
      <c r="IK93" s="174"/>
      <c r="IL93" s="174"/>
      <c r="IM93" s="174"/>
      <c r="IN93" s="174"/>
      <c r="IO93" s="174"/>
      <c r="IP93" s="174"/>
      <c r="IQ93" s="174"/>
      <c r="IR93" s="174"/>
      <c r="IS93" s="174"/>
      <c r="IT93" s="174"/>
      <c r="IU93" s="75"/>
      <c r="IV93" s="75"/>
      <c r="IW93" s="75"/>
      <c r="IX93" s="75"/>
      <c r="IY93" s="75"/>
      <c r="IZ93" s="75"/>
      <c r="JA93" s="75"/>
      <c r="JB93" s="75"/>
      <c r="JC93" s="75"/>
      <c r="JD93" s="75"/>
      <c r="JF93" s="710"/>
      <c r="JG93" s="710"/>
      <c r="JH93" s="178">
        <f t="shared" si="7"/>
        <v>0</v>
      </c>
      <c r="JI93" s="174">
        <f t="shared" si="8"/>
        <v>0</v>
      </c>
    </row>
    <row r="94" spans="2:269" ht="15" customHeight="1" x14ac:dyDescent="0.25">
      <c r="B94" s="113">
        <v>91</v>
      </c>
      <c r="C94" s="353" t="str">
        <f t="shared" si="9"/>
        <v/>
      </c>
      <c r="D94" s="353" t="str">
        <f t="shared" si="10"/>
        <v/>
      </c>
      <c r="E94" s="174"/>
      <c r="F94" s="174"/>
      <c r="G94" s="174"/>
      <c r="H94" s="174"/>
      <c r="I94" s="174"/>
      <c r="J94" s="174"/>
      <c r="K94" s="174"/>
      <c r="L94" s="174"/>
      <c r="M94" s="174"/>
      <c r="N94" s="174"/>
      <c r="O94" s="174"/>
      <c r="P94" s="174"/>
      <c r="Q94" s="174"/>
      <c r="R94" s="174"/>
      <c r="S94" s="174"/>
      <c r="T94" s="174"/>
      <c r="U94" s="174"/>
      <c r="V94" s="174"/>
      <c r="W94" s="174"/>
      <c r="X94" s="174"/>
      <c r="Y94" s="174"/>
      <c r="Z94" s="174"/>
      <c r="AA94" s="174"/>
      <c r="AB94" s="174"/>
      <c r="AC94" s="174"/>
      <c r="AD94" s="174"/>
      <c r="AE94" s="174"/>
      <c r="AF94" s="174"/>
      <c r="AG94" s="174"/>
      <c r="AH94" s="174"/>
      <c r="AI94" s="174"/>
      <c r="AJ94" s="174"/>
      <c r="AK94" s="174"/>
      <c r="AL94" s="174"/>
      <c r="AM94" s="174"/>
      <c r="AN94" s="174"/>
      <c r="AO94" s="174"/>
      <c r="AP94" s="174"/>
      <c r="AQ94" s="174"/>
      <c r="AR94" s="174"/>
      <c r="AS94" s="174"/>
      <c r="AT94" s="174"/>
      <c r="AU94" s="174"/>
      <c r="AV94" s="174"/>
      <c r="AW94" s="174"/>
      <c r="AX94" s="174"/>
      <c r="AY94" s="174"/>
      <c r="AZ94" s="174"/>
      <c r="BA94" s="174"/>
      <c r="BB94" s="174"/>
      <c r="BC94" s="174"/>
      <c r="BD94" s="174"/>
      <c r="BE94" s="174"/>
      <c r="BF94" s="174"/>
      <c r="BG94" s="174"/>
      <c r="BH94" s="174"/>
      <c r="BI94" s="174"/>
      <c r="BJ94" s="174"/>
      <c r="BK94" s="174"/>
      <c r="BL94" s="174"/>
      <c r="BM94" s="174"/>
      <c r="BN94" s="174"/>
      <c r="BO94" s="174"/>
      <c r="BP94" s="174"/>
      <c r="BQ94" s="174"/>
      <c r="BR94" s="174"/>
      <c r="BS94" s="174"/>
      <c r="BT94" s="174"/>
      <c r="BU94" s="174"/>
      <c r="BV94" s="174"/>
      <c r="BW94" s="174"/>
      <c r="BX94" s="174"/>
      <c r="BY94" s="174"/>
      <c r="BZ94" s="174"/>
      <c r="CA94" s="174"/>
      <c r="CB94" s="174"/>
      <c r="CC94" s="174"/>
      <c r="CD94" s="174"/>
      <c r="CE94" s="174"/>
      <c r="CF94" s="174"/>
      <c r="CG94" s="174"/>
      <c r="CH94" s="174"/>
      <c r="CI94" s="174"/>
      <c r="CJ94" s="174"/>
      <c r="CK94" s="174"/>
      <c r="CL94" s="174"/>
      <c r="CM94" s="174"/>
      <c r="CN94" s="174"/>
      <c r="CO94" s="174"/>
      <c r="CP94" s="174"/>
      <c r="CQ94" s="174"/>
      <c r="CR94" s="174"/>
      <c r="CS94" s="174"/>
      <c r="CT94" s="174"/>
      <c r="CU94" s="174"/>
      <c r="CV94" s="174"/>
      <c r="CW94" s="174"/>
      <c r="CX94" s="174"/>
      <c r="CY94" s="174"/>
      <c r="CZ94" s="174"/>
      <c r="DA94" s="174"/>
      <c r="DB94" s="174"/>
      <c r="DC94" s="174"/>
      <c r="DD94" s="174"/>
      <c r="DE94" s="174"/>
      <c r="DF94" s="174"/>
      <c r="DG94" s="174"/>
      <c r="DH94" s="174"/>
      <c r="DI94" s="174"/>
      <c r="DJ94" s="174"/>
      <c r="DK94" s="174"/>
      <c r="DL94" s="174"/>
      <c r="DM94" s="174"/>
      <c r="DN94" s="174"/>
      <c r="DO94" s="174"/>
      <c r="DP94" s="174"/>
      <c r="DQ94" s="174"/>
      <c r="DR94" s="174"/>
      <c r="DS94" s="174"/>
      <c r="DT94" s="174"/>
      <c r="DU94" s="174"/>
      <c r="DV94" s="174"/>
      <c r="DW94" s="174"/>
      <c r="DX94" s="174"/>
      <c r="DY94" s="174"/>
      <c r="DZ94" s="174"/>
      <c r="EA94" s="174"/>
      <c r="EB94" s="174"/>
      <c r="EC94" s="174"/>
      <c r="ED94" s="174"/>
      <c r="EE94" s="174"/>
      <c r="EF94" s="174"/>
      <c r="EG94" s="174"/>
      <c r="EH94" s="174"/>
      <c r="EI94" s="174"/>
      <c r="EJ94" s="174"/>
      <c r="EK94" s="174"/>
      <c r="EL94" s="174"/>
      <c r="EM94" s="174"/>
      <c r="EN94" s="174"/>
      <c r="EO94" s="174"/>
      <c r="EP94" s="174"/>
      <c r="EQ94" s="174"/>
      <c r="ER94" s="174"/>
      <c r="ES94" s="174"/>
      <c r="ET94" s="174"/>
      <c r="EU94" s="174"/>
      <c r="EV94" s="174"/>
      <c r="EW94" s="174"/>
      <c r="EX94" s="174"/>
      <c r="EY94" s="174"/>
      <c r="EZ94" s="174"/>
      <c r="FA94" s="174"/>
      <c r="FB94" s="174"/>
      <c r="FC94" s="174"/>
      <c r="FD94" s="174"/>
      <c r="FE94" s="174"/>
      <c r="FF94" s="174"/>
      <c r="FG94" s="174"/>
      <c r="FH94" s="174"/>
      <c r="FI94" s="174"/>
      <c r="FJ94" s="174"/>
      <c r="FK94" s="174"/>
      <c r="FL94" s="174"/>
      <c r="FM94" s="174"/>
      <c r="FN94" s="174"/>
      <c r="FO94" s="174"/>
      <c r="FP94" s="174"/>
      <c r="FQ94" s="174"/>
      <c r="FR94" s="174"/>
      <c r="FS94" s="174"/>
      <c r="FT94" s="174"/>
      <c r="FU94" s="174"/>
      <c r="FV94" s="174"/>
      <c r="FW94" s="174"/>
      <c r="FX94" s="174"/>
      <c r="FY94" s="174"/>
      <c r="FZ94" s="174"/>
      <c r="GA94" s="174"/>
      <c r="GB94" s="174"/>
      <c r="GC94" s="174"/>
      <c r="GD94" s="174"/>
      <c r="GE94" s="174"/>
      <c r="GF94" s="174"/>
      <c r="GG94" s="174"/>
      <c r="GH94" s="174"/>
      <c r="GI94" s="174"/>
      <c r="GJ94" s="174"/>
      <c r="GK94" s="174"/>
      <c r="GL94" s="174"/>
      <c r="GM94" s="174"/>
      <c r="GN94" s="174"/>
      <c r="GO94" s="174"/>
      <c r="GP94" s="174"/>
      <c r="GQ94" s="174"/>
      <c r="GR94" s="174"/>
      <c r="GS94" s="174"/>
      <c r="GT94" s="174"/>
      <c r="GU94" s="174"/>
      <c r="GV94" s="174"/>
      <c r="GW94" s="174"/>
      <c r="GX94" s="174"/>
      <c r="GY94" s="174"/>
      <c r="GZ94" s="174"/>
      <c r="HA94" s="174"/>
      <c r="HB94" s="174"/>
      <c r="HC94" s="174"/>
      <c r="HD94" s="174"/>
      <c r="HE94" s="174"/>
      <c r="HF94" s="174"/>
      <c r="HG94" s="174"/>
      <c r="HH94" s="174"/>
      <c r="HI94" s="174"/>
      <c r="HJ94" s="174"/>
      <c r="HK94" s="174"/>
      <c r="HL94" s="174"/>
      <c r="HM94" s="174"/>
      <c r="HN94" s="174"/>
      <c r="HO94" s="174"/>
      <c r="HP94" s="174"/>
      <c r="HQ94" s="174"/>
      <c r="HR94" s="174"/>
      <c r="HS94" s="174"/>
      <c r="HT94" s="174"/>
      <c r="HU94" s="174"/>
      <c r="HV94" s="174"/>
      <c r="HW94" s="174"/>
      <c r="HX94" s="174"/>
      <c r="HY94" s="174"/>
      <c r="HZ94" s="174"/>
      <c r="IA94" s="174"/>
      <c r="IB94" s="174"/>
      <c r="IC94" s="174"/>
      <c r="ID94" s="174"/>
      <c r="IE94" s="174"/>
      <c r="IF94" s="174"/>
      <c r="IG94" s="174"/>
      <c r="IH94" s="174"/>
      <c r="II94" s="174"/>
      <c r="IJ94" s="174"/>
      <c r="IK94" s="174"/>
      <c r="IL94" s="174"/>
      <c r="IM94" s="174"/>
      <c r="IN94" s="174"/>
      <c r="IO94" s="174"/>
      <c r="IP94" s="174"/>
      <c r="IQ94" s="174"/>
      <c r="IR94" s="174"/>
      <c r="IS94" s="174"/>
      <c r="IT94" s="174"/>
      <c r="IU94" s="75"/>
      <c r="IV94" s="75"/>
      <c r="IW94" s="75"/>
      <c r="IX94" s="75"/>
      <c r="IY94" s="75"/>
      <c r="IZ94" s="75"/>
      <c r="JA94" s="75"/>
      <c r="JB94" s="75"/>
      <c r="JC94" s="75"/>
      <c r="JD94" s="75"/>
      <c r="JF94" s="710"/>
      <c r="JG94" s="710"/>
      <c r="JH94" s="178">
        <f t="shared" si="7"/>
        <v>0</v>
      </c>
      <c r="JI94" s="174">
        <f t="shared" si="8"/>
        <v>0</v>
      </c>
    </row>
    <row r="95" spans="2:269" ht="15" customHeight="1" x14ac:dyDescent="0.25">
      <c r="B95" s="113">
        <v>92</v>
      </c>
      <c r="C95" s="353" t="str">
        <f t="shared" si="9"/>
        <v/>
      </c>
      <c r="D95" s="353" t="str">
        <f t="shared" si="10"/>
        <v/>
      </c>
      <c r="E95" s="174"/>
      <c r="F95" s="174"/>
      <c r="G95" s="174"/>
      <c r="H95" s="174"/>
      <c r="I95" s="174"/>
      <c r="J95" s="174"/>
      <c r="K95" s="174"/>
      <c r="L95" s="174"/>
      <c r="M95" s="174"/>
      <c r="N95" s="174"/>
      <c r="O95" s="174"/>
      <c r="P95" s="174"/>
      <c r="Q95" s="174"/>
      <c r="R95" s="174"/>
      <c r="S95" s="174"/>
      <c r="T95" s="174"/>
      <c r="U95" s="174"/>
      <c r="V95" s="174"/>
      <c r="W95" s="174"/>
      <c r="X95" s="174"/>
      <c r="Y95" s="174"/>
      <c r="Z95" s="174"/>
      <c r="AA95" s="174"/>
      <c r="AB95" s="174"/>
      <c r="AC95" s="174"/>
      <c r="AD95" s="174"/>
      <c r="AE95" s="174"/>
      <c r="AF95" s="174"/>
      <c r="AG95" s="174"/>
      <c r="AH95" s="174"/>
      <c r="AI95" s="174"/>
      <c r="AJ95" s="174"/>
      <c r="AK95" s="174"/>
      <c r="AL95" s="174"/>
      <c r="AM95" s="174"/>
      <c r="AN95" s="174"/>
      <c r="AO95" s="174"/>
      <c r="AP95" s="174"/>
      <c r="AQ95" s="174"/>
      <c r="AR95" s="174"/>
      <c r="AS95" s="174"/>
      <c r="AT95" s="174"/>
      <c r="AU95" s="174"/>
      <c r="AV95" s="174"/>
      <c r="AW95" s="174"/>
      <c r="AX95" s="174"/>
      <c r="AY95" s="174"/>
      <c r="AZ95" s="174"/>
      <c r="BA95" s="174"/>
      <c r="BB95" s="174"/>
      <c r="BC95" s="174"/>
      <c r="BD95" s="174"/>
      <c r="BE95" s="174"/>
      <c r="BF95" s="174"/>
      <c r="BG95" s="174"/>
      <c r="BH95" s="174"/>
      <c r="BI95" s="174"/>
      <c r="BJ95" s="174"/>
      <c r="BK95" s="174"/>
      <c r="BL95" s="174"/>
      <c r="BM95" s="174"/>
      <c r="BN95" s="174"/>
      <c r="BO95" s="174"/>
      <c r="BP95" s="174"/>
      <c r="BQ95" s="174"/>
      <c r="BR95" s="174"/>
      <c r="BS95" s="174"/>
      <c r="BT95" s="174"/>
      <c r="BU95" s="174"/>
      <c r="BV95" s="174"/>
      <c r="BW95" s="174"/>
      <c r="BX95" s="174"/>
      <c r="BY95" s="174"/>
      <c r="BZ95" s="174"/>
      <c r="CA95" s="174"/>
      <c r="CB95" s="174"/>
      <c r="CC95" s="174"/>
      <c r="CD95" s="174"/>
      <c r="CE95" s="174"/>
      <c r="CF95" s="174"/>
      <c r="CG95" s="174"/>
      <c r="CH95" s="174"/>
      <c r="CI95" s="174"/>
      <c r="CJ95" s="174"/>
      <c r="CK95" s="174"/>
      <c r="CL95" s="174"/>
      <c r="CM95" s="174"/>
      <c r="CN95" s="174"/>
      <c r="CO95" s="174"/>
      <c r="CP95" s="174"/>
      <c r="CQ95" s="174"/>
      <c r="CR95" s="174"/>
      <c r="CS95" s="174"/>
      <c r="CT95" s="174"/>
      <c r="CU95" s="174"/>
      <c r="CV95" s="174"/>
      <c r="CW95" s="174"/>
      <c r="CX95" s="174"/>
      <c r="CY95" s="174"/>
      <c r="CZ95" s="174"/>
      <c r="DA95" s="174"/>
      <c r="DB95" s="174"/>
      <c r="DC95" s="174"/>
      <c r="DD95" s="174"/>
      <c r="DE95" s="174"/>
      <c r="DF95" s="174"/>
      <c r="DG95" s="174"/>
      <c r="DH95" s="174"/>
      <c r="DI95" s="174"/>
      <c r="DJ95" s="174"/>
      <c r="DK95" s="174"/>
      <c r="DL95" s="174"/>
      <c r="DM95" s="174"/>
      <c r="DN95" s="174"/>
      <c r="DO95" s="174"/>
      <c r="DP95" s="174"/>
      <c r="DQ95" s="174"/>
      <c r="DR95" s="174"/>
      <c r="DS95" s="174"/>
      <c r="DT95" s="174"/>
      <c r="DU95" s="174"/>
      <c r="DV95" s="174"/>
      <c r="DW95" s="174"/>
      <c r="DX95" s="174"/>
      <c r="DY95" s="174"/>
      <c r="DZ95" s="174"/>
      <c r="EA95" s="174"/>
      <c r="EB95" s="174"/>
      <c r="EC95" s="174"/>
      <c r="ED95" s="174"/>
      <c r="EE95" s="174"/>
      <c r="EF95" s="174"/>
      <c r="EG95" s="174"/>
      <c r="EH95" s="174"/>
      <c r="EI95" s="174"/>
      <c r="EJ95" s="174"/>
      <c r="EK95" s="174"/>
      <c r="EL95" s="174"/>
      <c r="EM95" s="174"/>
      <c r="EN95" s="174"/>
      <c r="EO95" s="174"/>
      <c r="EP95" s="174"/>
      <c r="EQ95" s="174"/>
      <c r="ER95" s="174"/>
      <c r="ES95" s="174"/>
      <c r="ET95" s="174"/>
      <c r="EU95" s="174"/>
      <c r="EV95" s="174"/>
      <c r="EW95" s="174"/>
      <c r="EX95" s="174"/>
      <c r="EY95" s="174"/>
      <c r="EZ95" s="174"/>
      <c r="FA95" s="174"/>
      <c r="FB95" s="174"/>
      <c r="FC95" s="174"/>
      <c r="FD95" s="174"/>
      <c r="FE95" s="174"/>
      <c r="FF95" s="174"/>
      <c r="FG95" s="174"/>
      <c r="FH95" s="174"/>
      <c r="FI95" s="174"/>
      <c r="FJ95" s="174"/>
      <c r="FK95" s="174"/>
      <c r="FL95" s="174"/>
      <c r="FM95" s="174"/>
      <c r="FN95" s="174"/>
      <c r="FO95" s="174"/>
      <c r="FP95" s="174"/>
      <c r="FQ95" s="174"/>
      <c r="FR95" s="174"/>
      <c r="FS95" s="174"/>
      <c r="FT95" s="174"/>
      <c r="FU95" s="174"/>
      <c r="FV95" s="174"/>
      <c r="FW95" s="174"/>
      <c r="FX95" s="174"/>
      <c r="FY95" s="174"/>
      <c r="FZ95" s="174"/>
      <c r="GA95" s="174"/>
      <c r="GB95" s="174"/>
      <c r="GC95" s="174"/>
      <c r="GD95" s="174"/>
      <c r="GE95" s="174"/>
      <c r="GF95" s="174"/>
      <c r="GG95" s="174"/>
      <c r="GH95" s="174"/>
      <c r="GI95" s="174"/>
      <c r="GJ95" s="174"/>
      <c r="GK95" s="174"/>
      <c r="GL95" s="174"/>
      <c r="GM95" s="174"/>
      <c r="GN95" s="174"/>
      <c r="GO95" s="174"/>
      <c r="GP95" s="174"/>
      <c r="GQ95" s="174"/>
      <c r="GR95" s="174"/>
      <c r="GS95" s="174"/>
      <c r="GT95" s="174"/>
      <c r="GU95" s="174"/>
      <c r="GV95" s="174"/>
      <c r="GW95" s="174"/>
      <c r="GX95" s="174"/>
      <c r="GY95" s="174"/>
      <c r="GZ95" s="174"/>
      <c r="HA95" s="174"/>
      <c r="HB95" s="174"/>
      <c r="HC95" s="174"/>
      <c r="HD95" s="174"/>
      <c r="HE95" s="174"/>
      <c r="HF95" s="174"/>
      <c r="HG95" s="174"/>
      <c r="HH95" s="174"/>
      <c r="HI95" s="174"/>
      <c r="HJ95" s="174"/>
      <c r="HK95" s="174"/>
      <c r="HL95" s="174"/>
      <c r="HM95" s="174"/>
      <c r="HN95" s="174"/>
      <c r="HO95" s="174"/>
      <c r="HP95" s="174"/>
      <c r="HQ95" s="174"/>
      <c r="HR95" s="174"/>
      <c r="HS95" s="174"/>
      <c r="HT95" s="174"/>
      <c r="HU95" s="174"/>
      <c r="HV95" s="174"/>
      <c r="HW95" s="174"/>
      <c r="HX95" s="174"/>
      <c r="HY95" s="174"/>
      <c r="HZ95" s="174"/>
      <c r="IA95" s="174"/>
      <c r="IB95" s="174"/>
      <c r="IC95" s="174"/>
      <c r="ID95" s="174"/>
      <c r="IE95" s="174"/>
      <c r="IF95" s="174"/>
      <c r="IG95" s="174"/>
      <c r="IH95" s="174"/>
      <c r="II95" s="174"/>
      <c r="IJ95" s="174"/>
      <c r="IK95" s="174"/>
      <c r="IL95" s="174"/>
      <c r="IM95" s="174"/>
      <c r="IN95" s="174"/>
      <c r="IO95" s="174"/>
      <c r="IP95" s="174"/>
      <c r="IQ95" s="174"/>
      <c r="IR95" s="174"/>
      <c r="IS95" s="174"/>
      <c r="IT95" s="174"/>
      <c r="IU95" s="75"/>
      <c r="IV95" s="75"/>
      <c r="IW95" s="75"/>
      <c r="IX95" s="75"/>
      <c r="IY95" s="75"/>
      <c r="IZ95" s="75"/>
      <c r="JA95" s="75"/>
      <c r="JB95" s="75"/>
      <c r="JC95" s="75"/>
      <c r="JD95" s="75"/>
      <c r="JF95" s="710"/>
      <c r="JG95" s="710"/>
      <c r="JH95" s="178">
        <f t="shared" si="7"/>
        <v>0</v>
      </c>
      <c r="JI95" s="174">
        <f t="shared" si="8"/>
        <v>0</v>
      </c>
    </row>
    <row r="96" spans="2:269" ht="15" customHeight="1" x14ac:dyDescent="0.25">
      <c r="B96" s="113">
        <v>93</v>
      </c>
      <c r="C96" s="353" t="str">
        <f t="shared" si="9"/>
        <v/>
      </c>
      <c r="D96" s="353" t="str">
        <f t="shared" si="10"/>
        <v/>
      </c>
      <c r="E96" s="174"/>
      <c r="F96" s="174"/>
      <c r="G96" s="174"/>
      <c r="H96" s="174"/>
      <c r="I96" s="174"/>
      <c r="J96" s="174"/>
      <c r="K96" s="174"/>
      <c r="L96" s="174"/>
      <c r="M96" s="174"/>
      <c r="N96" s="174"/>
      <c r="O96" s="174"/>
      <c r="P96" s="174"/>
      <c r="Q96" s="174"/>
      <c r="R96" s="174"/>
      <c r="S96" s="174"/>
      <c r="T96" s="174"/>
      <c r="U96" s="174"/>
      <c r="V96" s="174"/>
      <c r="W96" s="174"/>
      <c r="X96" s="174"/>
      <c r="Y96" s="174"/>
      <c r="Z96" s="174"/>
      <c r="AA96" s="174"/>
      <c r="AB96" s="174"/>
      <c r="AC96" s="174"/>
      <c r="AD96" s="174"/>
      <c r="AE96" s="174"/>
      <c r="AF96" s="174"/>
      <c r="AG96" s="174"/>
      <c r="AH96" s="174"/>
      <c r="AI96" s="174"/>
      <c r="AJ96" s="174"/>
      <c r="AK96" s="174"/>
      <c r="AL96" s="174"/>
      <c r="AM96" s="174"/>
      <c r="AN96" s="174"/>
      <c r="AO96" s="174"/>
      <c r="AP96" s="174"/>
      <c r="AQ96" s="174"/>
      <c r="AR96" s="174"/>
      <c r="AS96" s="174"/>
      <c r="AT96" s="174"/>
      <c r="AU96" s="174"/>
      <c r="AV96" s="174"/>
      <c r="AW96" s="174"/>
      <c r="AX96" s="174"/>
      <c r="AY96" s="174"/>
      <c r="AZ96" s="174"/>
      <c r="BA96" s="174"/>
      <c r="BB96" s="174"/>
      <c r="BC96" s="174"/>
      <c r="BD96" s="174"/>
      <c r="BE96" s="174"/>
      <c r="BF96" s="174"/>
      <c r="BG96" s="174"/>
      <c r="BH96" s="174"/>
      <c r="BI96" s="174"/>
      <c r="BJ96" s="174"/>
      <c r="BK96" s="174"/>
      <c r="BL96" s="174"/>
      <c r="BM96" s="174"/>
      <c r="BN96" s="174"/>
      <c r="BO96" s="174"/>
      <c r="BP96" s="174"/>
      <c r="BQ96" s="174"/>
      <c r="BR96" s="174"/>
      <c r="BS96" s="174"/>
      <c r="BT96" s="174"/>
      <c r="BU96" s="174"/>
      <c r="BV96" s="174"/>
      <c r="BW96" s="174"/>
      <c r="BX96" s="174"/>
      <c r="BY96" s="174"/>
      <c r="BZ96" s="174"/>
      <c r="CA96" s="174"/>
      <c r="CB96" s="174"/>
      <c r="CC96" s="174"/>
      <c r="CD96" s="174"/>
      <c r="CE96" s="174"/>
      <c r="CF96" s="174"/>
      <c r="CG96" s="174"/>
      <c r="CH96" s="174"/>
      <c r="CI96" s="174"/>
      <c r="CJ96" s="174"/>
      <c r="CK96" s="174"/>
      <c r="CL96" s="174"/>
      <c r="CM96" s="174"/>
      <c r="CN96" s="174"/>
      <c r="CO96" s="174"/>
      <c r="CP96" s="174"/>
      <c r="CQ96" s="174"/>
      <c r="CR96" s="174"/>
      <c r="CS96" s="174"/>
      <c r="CT96" s="174"/>
      <c r="CU96" s="174"/>
      <c r="CV96" s="174"/>
      <c r="CW96" s="174"/>
      <c r="CX96" s="174"/>
      <c r="CY96" s="174"/>
      <c r="CZ96" s="174"/>
      <c r="DA96" s="174"/>
      <c r="DB96" s="174"/>
      <c r="DC96" s="174"/>
      <c r="DD96" s="174"/>
      <c r="DE96" s="174"/>
      <c r="DF96" s="174"/>
      <c r="DG96" s="174"/>
      <c r="DH96" s="174"/>
      <c r="DI96" s="174"/>
      <c r="DJ96" s="174"/>
      <c r="DK96" s="174"/>
      <c r="DL96" s="174"/>
      <c r="DM96" s="174"/>
      <c r="DN96" s="174"/>
      <c r="DO96" s="174"/>
      <c r="DP96" s="174"/>
      <c r="DQ96" s="174"/>
      <c r="DR96" s="174"/>
      <c r="DS96" s="174"/>
      <c r="DT96" s="174"/>
      <c r="DU96" s="174"/>
      <c r="DV96" s="174"/>
      <c r="DW96" s="174"/>
      <c r="DX96" s="174"/>
      <c r="DY96" s="174"/>
      <c r="DZ96" s="174"/>
      <c r="EA96" s="174"/>
      <c r="EB96" s="174"/>
      <c r="EC96" s="174"/>
      <c r="ED96" s="174"/>
      <c r="EE96" s="174"/>
      <c r="EF96" s="174"/>
      <c r="EG96" s="174"/>
      <c r="EH96" s="174"/>
      <c r="EI96" s="174"/>
      <c r="EJ96" s="174"/>
      <c r="EK96" s="174"/>
      <c r="EL96" s="174"/>
      <c r="EM96" s="174"/>
      <c r="EN96" s="174"/>
      <c r="EO96" s="174"/>
      <c r="EP96" s="174"/>
      <c r="EQ96" s="174"/>
      <c r="ER96" s="174"/>
      <c r="ES96" s="174"/>
      <c r="ET96" s="174"/>
      <c r="EU96" s="174"/>
      <c r="EV96" s="174"/>
      <c r="EW96" s="174"/>
      <c r="EX96" s="174"/>
      <c r="EY96" s="174"/>
      <c r="EZ96" s="174"/>
      <c r="FA96" s="174"/>
      <c r="FB96" s="174"/>
      <c r="FC96" s="174"/>
      <c r="FD96" s="174"/>
      <c r="FE96" s="174"/>
      <c r="FF96" s="174"/>
      <c r="FG96" s="174"/>
      <c r="FH96" s="174"/>
      <c r="FI96" s="174"/>
      <c r="FJ96" s="174"/>
      <c r="FK96" s="174"/>
      <c r="FL96" s="174"/>
      <c r="FM96" s="174"/>
      <c r="FN96" s="174"/>
      <c r="FO96" s="174"/>
      <c r="FP96" s="174"/>
      <c r="FQ96" s="174"/>
      <c r="FR96" s="174"/>
      <c r="FS96" s="174"/>
      <c r="FT96" s="174"/>
      <c r="FU96" s="174"/>
      <c r="FV96" s="174"/>
      <c r="FW96" s="174"/>
      <c r="FX96" s="174"/>
      <c r="FY96" s="174"/>
      <c r="FZ96" s="174"/>
      <c r="GA96" s="174"/>
      <c r="GB96" s="174"/>
      <c r="GC96" s="174"/>
      <c r="GD96" s="174"/>
      <c r="GE96" s="174"/>
      <c r="GF96" s="174"/>
      <c r="GG96" s="174"/>
      <c r="GH96" s="174"/>
      <c r="GI96" s="174"/>
      <c r="GJ96" s="174"/>
      <c r="GK96" s="174"/>
      <c r="GL96" s="174"/>
      <c r="GM96" s="174"/>
      <c r="GN96" s="174"/>
      <c r="GO96" s="174"/>
      <c r="GP96" s="174"/>
      <c r="GQ96" s="174"/>
      <c r="GR96" s="174"/>
      <c r="GS96" s="174"/>
      <c r="GT96" s="174"/>
      <c r="GU96" s="174"/>
      <c r="GV96" s="174"/>
      <c r="GW96" s="174"/>
      <c r="GX96" s="174"/>
      <c r="GY96" s="174"/>
      <c r="GZ96" s="174"/>
      <c r="HA96" s="174"/>
      <c r="HB96" s="174"/>
      <c r="HC96" s="174"/>
      <c r="HD96" s="174"/>
      <c r="HE96" s="174"/>
      <c r="HF96" s="174"/>
      <c r="HG96" s="174"/>
      <c r="HH96" s="174"/>
      <c r="HI96" s="174"/>
      <c r="HJ96" s="174"/>
      <c r="HK96" s="174"/>
      <c r="HL96" s="174"/>
      <c r="HM96" s="174"/>
      <c r="HN96" s="174"/>
      <c r="HO96" s="174"/>
      <c r="HP96" s="174"/>
      <c r="HQ96" s="174"/>
      <c r="HR96" s="174"/>
      <c r="HS96" s="174"/>
      <c r="HT96" s="174"/>
      <c r="HU96" s="174"/>
      <c r="HV96" s="174"/>
      <c r="HW96" s="174"/>
      <c r="HX96" s="174"/>
      <c r="HY96" s="174"/>
      <c r="HZ96" s="174"/>
      <c r="IA96" s="174"/>
      <c r="IB96" s="174"/>
      <c r="IC96" s="174"/>
      <c r="ID96" s="174"/>
      <c r="IE96" s="174"/>
      <c r="IF96" s="174"/>
      <c r="IG96" s="174"/>
      <c r="IH96" s="174"/>
      <c r="II96" s="174"/>
      <c r="IJ96" s="174"/>
      <c r="IK96" s="174"/>
      <c r="IL96" s="174"/>
      <c r="IM96" s="174"/>
      <c r="IN96" s="174"/>
      <c r="IO96" s="174"/>
      <c r="IP96" s="174"/>
      <c r="IQ96" s="174"/>
      <c r="IR96" s="174"/>
      <c r="IS96" s="174"/>
      <c r="IT96" s="174"/>
      <c r="IU96" s="75"/>
      <c r="IV96" s="75"/>
      <c r="IW96" s="75"/>
      <c r="IX96" s="75"/>
      <c r="IY96" s="75"/>
      <c r="IZ96" s="75"/>
      <c r="JA96" s="75"/>
      <c r="JB96" s="75"/>
      <c r="JC96" s="75"/>
      <c r="JD96" s="75"/>
      <c r="JF96" s="710"/>
      <c r="JG96" s="710"/>
      <c r="JH96" s="178">
        <f t="shared" si="7"/>
        <v>0</v>
      </c>
      <c r="JI96" s="174">
        <f t="shared" si="8"/>
        <v>0</v>
      </c>
    </row>
    <row r="97" spans="2:269" ht="15" customHeight="1" x14ac:dyDescent="0.25">
      <c r="B97" s="113">
        <v>94</v>
      </c>
      <c r="C97" s="353" t="str">
        <f t="shared" si="9"/>
        <v/>
      </c>
      <c r="D97" s="353" t="str">
        <f t="shared" si="10"/>
        <v/>
      </c>
      <c r="E97" s="174"/>
      <c r="F97" s="174"/>
      <c r="G97" s="174"/>
      <c r="H97" s="174"/>
      <c r="I97" s="174"/>
      <c r="J97" s="174"/>
      <c r="K97" s="174"/>
      <c r="L97" s="174"/>
      <c r="M97" s="174"/>
      <c r="N97" s="174"/>
      <c r="O97" s="174"/>
      <c r="P97" s="174"/>
      <c r="Q97" s="174"/>
      <c r="R97" s="174"/>
      <c r="S97" s="174"/>
      <c r="T97" s="174"/>
      <c r="U97" s="174"/>
      <c r="V97" s="174"/>
      <c r="W97" s="174"/>
      <c r="X97" s="174"/>
      <c r="Y97" s="174"/>
      <c r="Z97" s="174"/>
      <c r="AA97" s="174"/>
      <c r="AB97" s="174"/>
      <c r="AC97" s="174"/>
      <c r="AD97" s="174"/>
      <c r="AE97" s="174"/>
      <c r="AF97" s="174"/>
      <c r="AG97" s="174"/>
      <c r="AH97" s="174"/>
      <c r="AI97" s="174"/>
      <c r="AJ97" s="174"/>
      <c r="AK97" s="174"/>
      <c r="AL97" s="174"/>
      <c r="AM97" s="174"/>
      <c r="AN97" s="174"/>
      <c r="AO97" s="174"/>
      <c r="AP97" s="174"/>
      <c r="AQ97" s="174"/>
      <c r="AR97" s="174"/>
      <c r="AS97" s="174"/>
      <c r="AT97" s="174"/>
      <c r="AU97" s="174"/>
      <c r="AV97" s="174"/>
      <c r="AW97" s="174"/>
      <c r="AX97" s="174"/>
      <c r="AY97" s="174"/>
      <c r="AZ97" s="174"/>
      <c r="BA97" s="174"/>
      <c r="BB97" s="174"/>
      <c r="BC97" s="174"/>
      <c r="BD97" s="174"/>
      <c r="BE97" s="174"/>
      <c r="BF97" s="174"/>
      <c r="BG97" s="174"/>
      <c r="BH97" s="174"/>
      <c r="BI97" s="174"/>
      <c r="BJ97" s="174"/>
      <c r="BK97" s="174"/>
      <c r="BL97" s="174"/>
      <c r="BM97" s="174"/>
      <c r="BN97" s="174"/>
      <c r="BO97" s="174"/>
      <c r="BP97" s="174"/>
      <c r="BQ97" s="174"/>
      <c r="BR97" s="174"/>
      <c r="BS97" s="174"/>
      <c r="BT97" s="174"/>
      <c r="BU97" s="174"/>
      <c r="BV97" s="174"/>
      <c r="BW97" s="174"/>
      <c r="BX97" s="174"/>
      <c r="BY97" s="174"/>
      <c r="BZ97" s="174"/>
      <c r="CA97" s="174"/>
      <c r="CB97" s="174"/>
      <c r="CC97" s="174"/>
      <c r="CD97" s="174"/>
      <c r="CE97" s="174"/>
      <c r="CF97" s="174"/>
      <c r="CG97" s="174"/>
      <c r="CH97" s="174"/>
      <c r="CI97" s="174"/>
      <c r="CJ97" s="174"/>
      <c r="CK97" s="174"/>
      <c r="CL97" s="174"/>
      <c r="CM97" s="174"/>
      <c r="CN97" s="174"/>
      <c r="CO97" s="174"/>
      <c r="CP97" s="174"/>
      <c r="CQ97" s="174"/>
      <c r="CR97" s="174"/>
      <c r="CS97" s="174"/>
      <c r="CT97" s="174"/>
      <c r="CU97" s="174"/>
      <c r="CV97" s="174"/>
      <c r="CW97" s="174"/>
      <c r="CX97" s="174"/>
      <c r="CY97" s="174"/>
      <c r="CZ97" s="174"/>
      <c r="DA97" s="174"/>
      <c r="DB97" s="174"/>
      <c r="DC97" s="174"/>
      <c r="DD97" s="174"/>
      <c r="DE97" s="174"/>
      <c r="DF97" s="174"/>
      <c r="DG97" s="174"/>
      <c r="DH97" s="174"/>
      <c r="DI97" s="174"/>
      <c r="DJ97" s="174"/>
      <c r="DK97" s="174"/>
      <c r="DL97" s="174"/>
      <c r="DM97" s="174"/>
      <c r="DN97" s="174"/>
      <c r="DO97" s="174"/>
      <c r="DP97" s="174"/>
      <c r="DQ97" s="174"/>
      <c r="DR97" s="174"/>
      <c r="DS97" s="174"/>
      <c r="DT97" s="174"/>
      <c r="DU97" s="174"/>
      <c r="DV97" s="174"/>
      <c r="DW97" s="174"/>
      <c r="DX97" s="174"/>
      <c r="DY97" s="174"/>
      <c r="DZ97" s="174"/>
      <c r="EA97" s="174"/>
      <c r="EB97" s="174"/>
      <c r="EC97" s="174"/>
      <c r="ED97" s="174"/>
      <c r="EE97" s="174"/>
      <c r="EF97" s="174"/>
      <c r="EG97" s="174"/>
      <c r="EH97" s="174"/>
      <c r="EI97" s="174"/>
      <c r="EJ97" s="174"/>
      <c r="EK97" s="174"/>
      <c r="EL97" s="174"/>
      <c r="EM97" s="174"/>
      <c r="EN97" s="174"/>
      <c r="EO97" s="174"/>
      <c r="EP97" s="174"/>
      <c r="EQ97" s="174"/>
      <c r="ER97" s="174"/>
      <c r="ES97" s="174"/>
      <c r="ET97" s="174"/>
      <c r="EU97" s="174"/>
      <c r="EV97" s="174"/>
      <c r="EW97" s="174"/>
      <c r="EX97" s="174"/>
      <c r="EY97" s="174"/>
      <c r="EZ97" s="174"/>
      <c r="FA97" s="174"/>
      <c r="FB97" s="174"/>
      <c r="FC97" s="174"/>
      <c r="FD97" s="174"/>
      <c r="FE97" s="174"/>
      <c r="FF97" s="174"/>
      <c r="FG97" s="174"/>
      <c r="FH97" s="174"/>
      <c r="FI97" s="174"/>
      <c r="FJ97" s="174"/>
      <c r="FK97" s="174"/>
      <c r="FL97" s="174"/>
      <c r="FM97" s="174"/>
      <c r="FN97" s="174"/>
      <c r="FO97" s="174"/>
      <c r="FP97" s="174"/>
      <c r="FQ97" s="174"/>
      <c r="FR97" s="174"/>
      <c r="FS97" s="174"/>
      <c r="FT97" s="174"/>
      <c r="FU97" s="174"/>
      <c r="FV97" s="174"/>
      <c r="FW97" s="174"/>
      <c r="FX97" s="174"/>
      <c r="FY97" s="174"/>
      <c r="FZ97" s="174"/>
      <c r="GA97" s="174"/>
      <c r="GB97" s="174"/>
      <c r="GC97" s="174"/>
      <c r="GD97" s="174"/>
      <c r="GE97" s="174"/>
      <c r="GF97" s="174"/>
      <c r="GG97" s="174"/>
      <c r="GH97" s="174"/>
      <c r="GI97" s="174"/>
      <c r="GJ97" s="174"/>
      <c r="GK97" s="174"/>
      <c r="GL97" s="174"/>
      <c r="GM97" s="174"/>
      <c r="GN97" s="174"/>
      <c r="GO97" s="174"/>
      <c r="GP97" s="174"/>
      <c r="GQ97" s="174"/>
      <c r="GR97" s="174"/>
      <c r="GS97" s="174"/>
      <c r="GT97" s="174"/>
      <c r="GU97" s="174"/>
      <c r="GV97" s="174"/>
      <c r="GW97" s="174"/>
      <c r="GX97" s="174"/>
      <c r="GY97" s="174"/>
      <c r="GZ97" s="174"/>
      <c r="HA97" s="174"/>
      <c r="HB97" s="174"/>
      <c r="HC97" s="174"/>
      <c r="HD97" s="174"/>
      <c r="HE97" s="174"/>
      <c r="HF97" s="174"/>
      <c r="HG97" s="174"/>
      <c r="HH97" s="174"/>
      <c r="HI97" s="174"/>
      <c r="HJ97" s="174"/>
      <c r="HK97" s="174"/>
      <c r="HL97" s="174"/>
      <c r="HM97" s="174"/>
      <c r="HN97" s="174"/>
      <c r="HO97" s="174"/>
      <c r="HP97" s="174"/>
      <c r="HQ97" s="174"/>
      <c r="HR97" s="174"/>
      <c r="HS97" s="174"/>
      <c r="HT97" s="174"/>
      <c r="HU97" s="174"/>
      <c r="HV97" s="174"/>
      <c r="HW97" s="174"/>
      <c r="HX97" s="174"/>
      <c r="HY97" s="174"/>
      <c r="HZ97" s="174"/>
      <c r="IA97" s="174"/>
      <c r="IB97" s="174"/>
      <c r="IC97" s="174"/>
      <c r="ID97" s="174"/>
      <c r="IE97" s="174"/>
      <c r="IF97" s="174"/>
      <c r="IG97" s="174"/>
      <c r="IH97" s="174"/>
      <c r="II97" s="174"/>
      <c r="IJ97" s="174"/>
      <c r="IK97" s="174"/>
      <c r="IL97" s="174"/>
      <c r="IM97" s="174"/>
      <c r="IN97" s="174"/>
      <c r="IO97" s="174"/>
      <c r="IP97" s="174"/>
      <c r="IQ97" s="174"/>
      <c r="IR97" s="174"/>
      <c r="IS97" s="174"/>
      <c r="IT97" s="174"/>
      <c r="IU97" s="75"/>
      <c r="IV97" s="75"/>
      <c r="IW97" s="75"/>
      <c r="IX97" s="75"/>
      <c r="IY97" s="75"/>
      <c r="IZ97" s="75"/>
      <c r="JA97" s="75"/>
      <c r="JB97" s="75"/>
      <c r="JC97" s="75"/>
      <c r="JD97" s="75"/>
      <c r="JF97" s="710"/>
      <c r="JG97" s="710"/>
      <c r="JH97" s="178">
        <f t="shared" si="7"/>
        <v>0</v>
      </c>
      <c r="JI97" s="174">
        <f t="shared" si="8"/>
        <v>0</v>
      </c>
    </row>
    <row r="98" spans="2:269" ht="15" customHeight="1" x14ac:dyDescent="0.25">
      <c r="B98" s="113">
        <v>95</v>
      </c>
      <c r="C98" s="353" t="str">
        <f t="shared" si="9"/>
        <v/>
      </c>
      <c r="D98" s="353" t="str">
        <f t="shared" si="10"/>
        <v/>
      </c>
      <c r="E98" s="174"/>
      <c r="F98" s="174"/>
      <c r="G98" s="174"/>
      <c r="H98" s="174"/>
      <c r="I98" s="174"/>
      <c r="J98" s="174"/>
      <c r="K98" s="174"/>
      <c r="L98" s="174"/>
      <c r="M98" s="174"/>
      <c r="N98" s="174"/>
      <c r="O98" s="174"/>
      <c r="P98" s="174"/>
      <c r="Q98" s="174"/>
      <c r="R98" s="174"/>
      <c r="S98" s="174"/>
      <c r="T98" s="174"/>
      <c r="U98" s="174"/>
      <c r="V98" s="174"/>
      <c r="W98" s="174"/>
      <c r="X98" s="174"/>
      <c r="Y98" s="174"/>
      <c r="Z98" s="174"/>
      <c r="AA98" s="174"/>
      <c r="AB98" s="174"/>
      <c r="AC98" s="174"/>
      <c r="AD98" s="174"/>
      <c r="AE98" s="174"/>
      <c r="AF98" s="174"/>
      <c r="AG98" s="174"/>
      <c r="AH98" s="174"/>
      <c r="AI98" s="174"/>
      <c r="AJ98" s="174"/>
      <c r="AK98" s="174"/>
      <c r="AL98" s="174"/>
      <c r="AM98" s="174"/>
      <c r="AN98" s="174"/>
      <c r="AO98" s="174"/>
      <c r="AP98" s="174"/>
      <c r="AQ98" s="174"/>
      <c r="AR98" s="174"/>
      <c r="AS98" s="174"/>
      <c r="AT98" s="174"/>
      <c r="AU98" s="174"/>
      <c r="AV98" s="174"/>
      <c r="AW98" s="174"/>
      <c r="AX98" s="174"/>
      <c r="AY98" s="174"/>
      <c r="AZ98" s="174"/>
      <c r="BA98" s="174"/>
      <c r="BB98" s="174"/>
      <c r="BC98" s="174"/>
      <c r="BD98" s="174"/>
      <c r="BE98" s="174"/>
      <c r="BF98" s="174"/>
      <c r="BG98" s="174"/>
      <c r="BH98" s="174"/>
      <c r="BI98" s="174"/>
      <c r="BJ98" s="174"/>
      <c r="BK98" s="174"/>
      <c r="BL98" s="174"/>
      <c r="BM98" s="174"/>
      <c r="BN98" s="174"/>
      <c r="BO98" s="174"/>
      <c r="BP98" s="174"/>
      <c r="BQ98" s="174"/>
      <c r="BR98" s="174"/>
      <c r="BS98" s="174"/>
      <c r="BT98" s="174"/>
      <c r="BU98" s="174"/>
      <c r="BV98" s="174"/>
      <c r="BW98" s="174"/>
      <c r="BX98" s="174"/>
      <c r="BY98" s="174"/>
      <c r="BZ98" s="174"/>
      <c r="CA98" s="174"/>
      <c r="CB98" s="174"/>
      <c r="CC98" s="174"/>
      <c r="CD98" s="174"/>
      <c r="CE98" s="174"/>
      <c r="CF98" s="174"/>
      <c r="CG98" s="174"/>
      <c r="CH98" s="174"/>
      <c r="CI98" s="174"/>
      <c r="CJ98" s="174"/>
      <c r="CK98" s="174"/>
      <c r="CL98" s="174"/>
      <c r="CM98" s="174"/>
      <c r="CN98" s="174"/>
      <c r="CO98" s="174"/>
      <c r="CP98" s="174"/>
      <c r="CQ98" s="174"/>
      <c r="CR98" s="174"/>
      <c r="CS98" s="174"/>
      <c r="CT98" s="174"/>
      <c r="CU98" s="174"/>
      <c r="CV98" s="174"/>
      <c r="CW98" s="174"/>
      <c r="CX98" s="174"/>
      <c r="CY98" s="174"/>
      <c r="CZ98" s="174"/>
      <c r="DA98" s="174"/>
      <c r="DB98" s="174"/>
      <c r="DC98" s="174"/>
      <c r="DD98" s="174"/>
      <c r="DE98" s="174"/>
      <c r="DF98" s="174"/>
      <c r="DG98" s="174"/>
      <c r="DH98" s="174"/>
      <c r="DI98" s="174"/>
      <c r="DJ98" s="174"/>
      <c r="DK98" s="174"/>
      <c r="DL98" s="174"/>
      <c r="DM98" s="174"/>
      <c r="DN98" s="174"/>
      <c r="DO98" s="174"/>
      <c r="DP98" s="174"/>
      <c r="DQ98" s="174"/>
      <c r="DR98" s="174"/>
      <c r="DS98" s="174"/>
      <c r="DT98" s="174"/>
      <c r="DU98" s="174"/>
      <c r="DV98" s="174"/>
      <c r="DW98" s="174"/>
      <c r="DX98" s="174"/>
      <c r="DY98" s="174"/>
      <c r="DZ98" s="174"/>
      <c r="EA98" s="174"/>
      <c r="EB98" s="174"/>
      <c r="EC98" s="174"/>
      <c r="ED98" s="174"/>
      <c r="EE98" s="174"/>
      <c r="EF98" s="174"/>
      <c r="EG98" s="174"/>
      <c r="EH98" s="174"/>
      <c r="EI98" s="174"/>
      <c r="EJ98" s="174"/>
      <c r="EK98" s="174"/>
      <c r="EL98" s="174"/>
      <c r="EM98" s="174"/>
      <c r="EN98" s="174"/>
      <c r="EO98" s="174"/>
      <c r="EP98" s="174"/>
      <c r="EQ98" s="174"/>
      <c r="ER98" s="174"/>
      <c r="ES98" s="174"/>
      <c r="ET98" s="174"/>
      <c r="EU98" s="174"/>
      <c r="EV98" s="174"/>
      <c r="EW98" s="174"/>
      <c r="EX98" s="174"/>
      <c r="EY98" s="174"/>
      <c r="EZ98" s="174"/>
      <c r="FA98" s="174"/>
      <c r="FB98" s="174"/>
      <c r="FC98" s="174"/>
      <c r="FD98" s="174"/>
      <c r="FE98" s="174"/>
      <c r="FF98" s="174"/>
      <c r="FG98" s="174"/>
      <c r="FH98" s="174"/>
      <c r="FI98" s="174"/>
      <c r="FJ98" s="174"/>
      <c r="FK98" s="174"/>
      <c r="FL98" s="174"/>
      <c r="FM98" s="174"/>
      <c r="FN98" s="174"/>
      <c r="FO98" s="174"/>
      <c r="FP98" s="174"/>
      <c r="FQ98" s="174"/>
      <c r="FR98" s="174"/>
      <c r="FS98" s="174"/>
      <c r="FT98" s="174"/>
      <c r="FU98" s="174"/>
      <c r="FV98" s="174"/>
      <c r="FW98" s="174"/>
      <c r="FX98" s="174"/>
      <c r="FY98" s="174"/>
      <c r="FZ98" s="174"/>
      <c r="GA98" s="174"/>
      <c r="GB98" s="174"/>
      <c r="GC98" s="174"/>
      <c r="GD98" s="174"/>
      <c r="GE98" s="174"/>
      <c r="GF98" s="174"/>
      <c r="GG98" s="174"/>
      <c r="GH98" s="174"/>
      <c r="GI98" s="174"/>
      <c r="GJ98" s="174"/>
      <c r="GK98" s="174"/>
      <c r="GL98" s="174"/>
      <c r="GM98" s="174"/>
      <c r="GN98" s="174"/>
      <c r="GO98" s="174"/>
      <c r="GP98" s="174"/>
      <c r="GQ98" s="174"/>
      <c r="GR98" s="174"/>
      <c r="GS98" s="174"/>
      <c r="GT98" s="174"/>
      <c r="GU98" s="174"/>
      <c r="GV98" s="174"/>
      <c r="GW98" s="174"/>
      <c r="GX98" s="174"/>
      <c r="GY98" s="174"/>
      <c r="GZ98" s="174"/>
      <c r="HA98" s="174"/>
      <c r="HB98" s="174"/>
      <c r="HC98" s="174"/>
      <c r="HD98" s="174"/>
      <c r="HE98" s="174"/>
      <c r="HF98" s="174"/>
      <c r="HG98" s="174"/>
      <c r="HH98" s="174"/>
      <c r="HI98" s="174"/>
      <c r="HJ98" s="174"/>
      <c r="HK98" s="174"/>
      <c r="HL98" s="174"/>
      <c r="HM98" s="174"/>
      <c r="HN98" s="174"/>
      <c r="HO98" s="174"/>
      <c r="HP98" s="174"/>
      <c r="HQ98" s="174"/>
      <c r="HR98" s="174"/>
      <c r="HS98" s="174"/>
      <c r="HT98" s="174"/>
      <c r="HU98" s="174"/>
      <c r="HV98" s="174"/>
      <c r="HW98" s="174"/>
      <c r="HX98" s="174"/>
      <c r="HY98" s="174"/>
      <c r="HZ98" s="174"/>
      <c r="IA98" s="174"/>
      <c r="IB98" s="174"/>
      <c r="IC98" s="174"/>
      <c r="ID98" s="174"/>
      <c r="IE98" s="174"/>
      <c r="IF98" s="174"/>
      <c r="IG98" s="174"/>
      <c r="IH98" s="174"/>
      <c r="II98" s="174"/>
      <c r="IJ98" s="174"/>
      <c r="IK98" s="174"/>
      <c r="IL98" s="174"/>
      <c r="IM98" s="174"/>
      <c r="IN98" s="174"/>
      <c r="IO98" s="174"/>
      <c r="IP98" s="174"/>
      <c r="IQ98" s="174"/>
      <c r="IR98" s="174"/>
      <c r="IS98" s="174"/>
      <c r="IT98" s="174"/>
      <c r="IU98" s="75"/>
      <c r="IV98" s="75"/>
      <c r="IW98" s="75"/>
      <c r="IX98" s="75"/>
      <c r="IY98" s="75"/>
      <c r="IZ98" s="75"/>
      <c r="JA98" s="75"/>
      <c r="JB98" s="75"/>
      <c r="JC98" s="75"/>
      <c r="JD98" s="75"/>
      <c r="JF98" s="710"/>
      <c r="JG98" s="710"/>
      <c r="JH98" s="178">
        <f t="shared" si="7"/>
        <v>0</v>
      </c>
      <c r="JI98" s="174">
        <f t="shared" si="8"/>
        <v>0</v>
      </c>
    </row>
    <row r="99" spans="2:269" ht="15" customHeight="1" x14ac:dyDescent="0.25">
      <c r="B99" s="113">
        <v>96</v>
      </c>
      <c r="C99" s="353" t="str">
        <f t="shared" si="9"/>
        <v/>
      </c>
      <c r="D99" s="353" t="str">
        <f t="shared" si="10"/>
        <v/>
      </c>
      <c r="E99" s="174"/>
      <c r="F99" s="174"/>
      <c r="G99" s="174"/>
      <c r="H99" s="174"/>
      <c r="I99" s="174"/>
      <c r="J99" s="174"/>
      <c r="K99" s="174"/>
      <c r="L99" s="174"/>
      <c r="M99" s="174"/>
      <c r="N99" s="174"/>
      <c r="O99" s="174"/>
      <c r="P99" s="174"/>
      <c r="Q99" s="174"/>
      <c r="R99" s="174"/>
      <c r="S99" s="174"/>
      <c r="T99" s="174"/>
      <c r="U99" s="174"/>
      <c r="V99" s="174"/>
      <c r="W99" s="174"/>
      <c r="X99" s="174"/>
      <c r="Y99" s="174"/>
      <c r="Z99" s="174"/>
      <c r="AA99" s="174"/>
      <c r="AB99" s="174"/>
      <c r="AC99" s="174"/>
      <c r="AD99" s="174"/>
      <c r="AE99" s="174"/>
      <c r="AF99" s="174"/>
      <c r="AG99" s="174"/>
      <c r="AH99" s="174"/>
      <c r="AI99" s="174"/>
      <c r="AJ99" s="174"/>
      <c r="AK99" s="174"/>
      <c r="AL99" s="174"/>
      <c r="AM99" s="174"/>
      <c r="AN99" s="174"/>
      <c r="AO99" s="174"/>
      <c r="AP99" s="174"/>
      <c r="AQ99" s="174"/>
      <c r="AR99" s="174"/>
      <c r="AS99" s="174"/>
      <c r="AT99" s="174"/>
      <c r="AU99" s="174"/>
      <c r="AV99" s="174"/>
      <c r="AW99" s="174"/>
      <c r="AX99" s="174"/>
      <c r="AY99" s="174"/>
      <c r="AZ99" s="174"/>
      <c r="BA99" s="174"/>
      <c r="BB99" s="174"/>
      <c r="BC99" s="174"/>
      <c r="BD99" s="174"/>
      <c r="BE99" s="174"/>
      <c r="BF99" s="174"/>
      <c r="BG99" s="174"/>
      <c r="BH99" s="174"/>
      <c r="BI99" s="174"/>
      <c r="BJ99" s="174"/>
      <c r="BK99" s="174"/>
      <c r="BL99" s="174"/>
      <c r="BM99" s="174"/>
      <c r="BN99" s="174"/>
      <c r="BO99" s="174"/>
      <c r="BP99" s="174"/>
      <c r="BQ99" s="174"/>
      <c r="BR99" s="174"/>
      <c r="BS99" s="174"/>
      <c r="BT99" s="174"/>
      <c r="BU99" s="174"/>
      <c r="BV99" s="174"/>
      <c r="BW99" s="174"/>
      <c r="BX99" s="174"/>
      <c r="BY99" s="174"/>
      <c r="BZ99" s="174"/>
      <c r="CA99" s="174"/>
      <c r="CB99" s="174"/>
      <c r="CC99" s="174"/>
      <c r="CD99" s="174"/>
      <c r="CE99" s="174"/>
      <c r="CF99" s="174"/>
      <c r="CG99" s="174"/>
      <c r="CH99" s="174"/>
      <c r="CI99" s="174"/>
      <c r="CJ99" s="174"/>
      <c r="CK99" s="174"/>
      <c r="CL99" s="174"/>
      <c r="CM99" s="174"/>
      <c r="CN99" s="174"/>
      <c r="CO99" s="174"/>
      <c r="CP99" s="174"/>
      <c r="CQ99" s="174"/>
      <c r="CR99" s="174"/>
      <c r="CS99" s="174"/>
      <c r="CT99" s="174"/>
      <c r="CU99" s="174"/>
      <c r="CV99" s="174"/>
      <c r="CW99" s="174"/>
      <c r="CX99" s="174"/>
      <c r="CY99" s="174"/>
      <c r="CZ99" s="174"/>
      <c r="DA99" s="174"/>
      <c r="DB99" s="174"/>
      <c r="DC99" s="174"/>
      <c r="DD99" s="174"/>
      <c r="DE99" s="174"/>
      <c r="DF99" s="174"/>
      <c r="DG99" s="174"/>
      <c r="DH99" s="174"/>
      <c r="DI99" s="174"/>
      <c r="DJ99" s="174"/>
      <c r="DK99" s="174"/>
      <c r="DL99" s="174"/>
      <c r="DM99" s="174"/>
      <c r="DN99" s="174"/>
      <c r="DO99" s="174"/>
      <c r="DP99" s="174"/>
      <c r="DQ99" s="174"/>
      <c r="DR99" s="174"/>
      <c r="DS99" s="174"/>
      <c r="DT99" s="174"/>
      <c r="DU99" s="174"/>
      <c r="DV99" s="174"/>
      <c r="DW99" s="174"/>
      <c r="DX99" s="174"/>
      <c r="DY99" s="174"/>
      <c r="DZ99" s="174"/>
      <c r="EA99" s="174"/>
      <c r="EB99" s="174"/>
      <c r="EC99" s="174"/>
      <c r="ED99" s="174"/>
      <c r="EE99" s="174"/>
      <c r="EF99" s="174"/>
      <c r="EG99" s="174"/>
      <c r="EH99" s="174"/>
      <c r="EI99" s="174"/>
      <c r="EJ99" s="174"/>
      <c r="EK99" s="174"/>
      <c r="EL99" s="174"/>
      <c r="EM99" s="174"/>
      <c r="EN99" s="174"/>
      <c r="EO99" s="174"/>
      <c r="EP99" s="174"/>
      <c r="EQ99" s="174"/>
      <c r="ER99" s="174"/>
      <c r="ES99" s="174"/>
      <c r="ET99" s="174"/>
      <c r="EU99" s="174"/>
      <c r="EV99" s="174"/>
      <c r="EW99" s="174"/>
      <c r="EX99" s="174"/>
      <c r="EY99" s="174"/>
      <c r="EZ99" s="174"/>
      <c r="FA99" s="174"/>
      <c r="FB99" s="174"/>
      <c r="FC99" s="174"/>
      <c r="FD99" s="174"/>
      <c r="FE99" s="174"/>
      <c r="FF99" s="174"/>
      <c r="FG99" s="174"/>
      <c r="FH99" s="174"/>
      <c r="FI99" s="174"/>
      <c r="FJ99" s="174"/>
      <c r="FK99" s="174"/>
      <c r="FL99" s="174"/>
      <c r="FM99" s="174"/>
      <c r="FN99" s="174"/>
      <c r="FO99" s="174"/>
      <c r="FP99" s="174"/>
      <c r="FQ99" s="174"/>
      <c r="FR99" s="174"/>
      <c r="FS99" s="174"/>
      <c r="FT99" s="174"/>
      <c r="FU99" s="174"/>
      <c r="FV99" s="174"/>
      <c r="FW99" s="174"/>
      <c r="FX99" s="174"/>
      <c r="FY99" s="174"/>
      <c r="FZ99" s="174"/>
      <c r="GA99" s="174"/>
      <c r="GB99" s="174"/>
      <c r="GC99" s="174"/>
      <c r="GD99" s="174"/>
      <c r="GE99" s="174"/>
      <c r="GF99" s="174"/>
      <c r="GG99" s="174"/>
      <c r="GH99" s="174"/>
      <c r="GI99" s="174"/>
      <c r="GJ99" s="174"/>
      <c r="GK99" s="174"/>
      <c r="GL99" s="174"/>
      <c r="GM99" s="174"/>
      <c r="GN99" s="174"/>
      <c r="GO99" s="174"/>
      <c r="GP99" s="174"/>
      <c r="GQ99" s="174"/>
      <c r="GR99" s="174"/>
      <c r="GS99" s="174"/>
      <c r="GT99" s="174"/>
      <c r="GU99" s="174"/>
      <c r="GV99" s="174"/>
      <c r="GW99" s="174"/>
      <c r="GX99" s="174"/>
      <c r="GY99" s="174"/>
      <c r="GZ99" s="174"/>
      <c r="HA99" s="174"/>
      <c r="HB99" s="174"/>
      <c r="HC99" s="174"/>
      <c r="HD99" s="174"/>
      <c r="HE99" s="174"/>
      <c r="HF99" s="174"/>
      <c r="HG99" s="174"/>
      <c r="HH99" s="174"/>
      <c r="HI99" s="174"/>
      <c r="HJ99" s="174"/>
      <c r="HK99" s="174"/>
      <c r="HL99" s="174"/>
      <c r="HM99" s="174"/>
      <c r="HN99" s="174"/>
      <c r="HO99" s="174"/>
      <c r="HP99" s="174"/>
      <c r="HQ99" s="174"/>
      <c r="HR99" s="174"/>
      <c r="HS99" s="174"/>
      <c r="HT99" s="174"/>
      <c r="HU99" s="174"/>
      <c r="HV99" s="174"/>
      <c r="HW99" s="174"/>
      <c r="HX99" s="174"/>
      <c r="HY99" s="174"/>
      <c r="HZ99" s="174"/>
      <c r="IA99" s="174"/>
      <c r="IB99" s="174"/>
      <c r="IC99" s="174"/>
      <c r="ID99" s="174"/>
      <c r="IE99" s="174"/>
      <c r="IF99" s="174"/>
      <c r="IG99" s="174"/>
      <c r="IH99" s="174"/>
      <c r="II99" s="174"/>
      <c r="IJ99" s="174"/>
      <c r="IK99" s="174"/>
      <c r="IL99" s="174"/>
      <c r="IM99" s="174"/>
      <c r="IN99" s="174"/>
      <c r="IO99" s="174"/>
      <c r="IP99" s="174"/>
      <c r="IQ99" s="174"/>
      <c r="IR99" s="174"/>
      <c r="IS99" s="174"/>
      <c r="IT99" s="174"/>
      <c r="IU99" s="75"/>
      <c r="IV99" s="75"/>
      <c r="IW99" s="75"/>
      <c r="IX99" s="75"/>
      <c r="IY99" s="75"/>
      <c r="IZ99" s="75"/>
      <c r="JA99" s="75"/>
      <c r="JB99" s="75"/>
      <c r="JC99" s="75"/>
      <c r="JD99" s="75"/>
      <c r="JF99" s="710"/>
      <c r="JG99" s="710"/>
      <c r="JH99" s="178">
        <f t="shared" si="7"/>
        <v>0</v>
      </c>
      <c r="JI99" s="174">
        <f t="shared" si="8"/>
        <v>0</v>
      </c>
    </row>
    <row r="100" spans="2:269" ht="15" customHeight="1" x14ac:dyDescent="0.25">
      <c r="B100" s="113">
        <v>97</v>
      </c>
      <c r="C100" s="353" t="str">
        <f t="shared" si="9"/>
        <v/>
      </c>
      <c r="D100" s="353" t="str">
        <f t="shared" si="10"/>
        <v/>
      </c>
      <c r="E100" s="174"/>
      <c r="F100" s="174"/>
      <c r="G100" s="174"/>
      <c r="H100" s="174"/>
      <c r="I100" s="174"/>
      <c r="J100" s="174"/>
      <c r="K100" s="174"/>
      <c r="L100" s="174"/>
      <c r="M100" s="174"/>
      <c r="N100" s="174"/>
      <c r="O100" s="174"/>
      <c r="P100" s="174"/>
      <c r="Q100" s="174"/>
      <c r="R100" s="174"/>
      <c r="S100" s="174"/>
      <c r="T100" s="174"/>
      <c r="U100" s="174"/>
      <c r="V100" s="174"/>
      <c r="W100" s="174"/>
      <c r="X100" s="174"/>
      <c r="Y100" s="174"/>
      <c r="Z100" s="174"/>
      <c r="AA100" s="174"/>
      <c r="AB100" s="174"/>
      <c r="AC100" s="174"/>
      <c r="AD100" s="174"/>
      <c r="AE100" s="174"/>
      <c r="AF100" s="174"/>
      <c r="AG100" s="174"/>
      <c r="AH100" s="174"/>
      <c r="AI100" s="174"/>
      <c r="AJ100" s="174"/>
      <c r="AK100" s="174"/>
      <c r="AL100" s="174"/>
      <c r="AM100" s="174"/>
      <c r="AN100" s="174"/>
      <c r="AO100" s="174"/>
      <c r="AP100" s="174"/>
      <c r="AQ100" s="174"/>
      <c r="AR100" s="174"/>
      <c r="AS100" s="174"/>
      <c r="AT100" s="174"/>
      <c r="AU100" s="174"/>
      <c r="AV100" s="174"/>
      <c r="AW100" s="174"/>
      <c r="AX100" s="174"/>
      <c r="AY100" s="174"/>
      <c r="AZ100" s="174"/>
      <c r="BA100" s="174"/>
      <c r="BB100" s="174"/>
      <c r="BC100" s="174"/>
      <c r="BD100" s="174"/>
      <c r="BE100" s="174"/>
      <c r="BF100" s="174"/>
      <c r="BG100" s="174"/>
      <c r="BH100" s="174"/>
      <c r="BI100" s="174"/>
      <c r="BJ100" s="174"/>
      <c r="BK100" s="174"/>
      <c r="BL100" s="174"/>
      <c r="BM100" s="174"/>
      <c r="BN100" s="174"/>
      <c r="BO100" s="174"/>
      <c r="BP100" s="174"/>
      <c r="BQ100" s="174"/>
      <c r="BR100" s="174"/>
      <c r="BS100" s="174"/>
      <c r="BT100" s="174"/>
      <c r="BU100" s="174"/>
      <c r="BV100" s="174"/>
      <c r="BW100" s="174"/>
      <c r="BX100" s="174"/>
      <c r="BY100" s="174"/>
      <c r="BZ100" s="174"/>
      <c r="CA100" s="174"/>
      <c r="CB100" s="174"/>
      <c r="CC100" s="174"/>
      <c r="CD100" s="174"/>
      <c r="CE100" s="174"/>
      <c r="CF100" s="174"/>
      <c r="CG100" s="174"/>
      <c r="CH100" s="174"/>
      <c r="CI100" s="174"/>
      <c r="CJ100" s="174"/>
      <c r="CK100" s="174"/>
      <c r="CL100" s="174"/>
      <c r="CM100" s="174"/>
      <c r="CN100" s="174"/>
      <c r="CO100" s="174"/>
      <c r="CP100" s="174"/>
      <c r="CQ100" s="174"/>
      <c r="CR100" s="174"/>
      <c r="CS100" s="174"/>
      <c r="CT100" s="174"/>
      <c r="CU100" s="174"/>
      <c r="CV100" s="174"/>
      <c r="CW100" s="174"/>
      <c r="CX100" s="174"/>
      <c r="CY100" s="174"/>
      <c r="CZ100" s="174"/>
      <c r="DA100" s="174"/>
      <c r="DB100" s="174"/>
      <c r="DC100" s="174"/>
      <c r="DD100" s="174"/>
      <c r="DE100" s="174"/>
      <c r="DF100" s="174"/>
      <c r="DG100" s="174"/>
      <c r="DH100" s="174"/>
      <c r="DI100" s="174"/>
      <c r="DJ100" s="174"/>
      <c r="DK100" s="174"/>
      <c r="DL100" s="174"/>
      <c r="DM100" s="174"/>
      <c r="DN100" s="174"/>
      <c r="DO100" s="174"/>
      <c r="DP100" s="174"/>
      <c r="DQ100" s="174"/>
      <c r="DR100" s="174"/>
      <c r="DS100" s="174"/>
      <c r="DT100" s="174"/>
      <c r="DU100" s="174"/>
      <c r="DV100" s="174"/>
      <c r="DW100" s="174"/>
      <c r="DX100" s="174"/>
      <c r="DY100" s="174"/>
      <c r="DZ100" s="174"/>
      <c r="EA100" s="174"/>
      <c r="EB100" s="174"/>
      <c r="EC100" s="174"/>
      <c r="ED100" s="174"/>
      <c r="EE100" s="174"/>
      <c r="EF100" s="174"/>
      <c r="EG100" s="174"/>
      <c r="EH100" s="174"/>
      <c r="EI100" s="174"/>
      <c r="EJ100" s="174"/>
      <c r="EK100" s="174"/>
      <c r="EL100" s="174"/>
      <c r="EM100" s="174"/>
      <c r="EN100" s="174"/>
      <c r="EO100" s="174"/>
      <c r="EP100" s="174"/>
      <c r="EQ100" s="174"/>
      <c r="ER100" s="174"/>
      <c r="ES100" s="174"/>
      <c r="ET100" s="174"/>
      <c r="EU100" s="174"/>
      <c r="EV100" s="174"/>
      <c r="EW100" s="174"/>
      <c r="EX100" s="174"/>
      <c r="EY100" s="174"/>
      <c r="EZ100" s="174"/>
      <c r="FA100" s="174"/>
      <c r="FB100" s="174"/>
      <c r="FC100" s="174"/>
      <c r="FD100" s="174"/>
      <c r="FE100" s="174"/>
      <c r="FF100" s="174"/>
      <c r="FG100" s="174"/>
      <c r="FH100" s="174"/>
      <c r="FI100" s="174"/>
      <c r="FJ100" s="174"/>
      <c r="FK100" s="174"/>
      <c r="FL100" s="174"/>
      <c r="FM100" s="174"/>
      <c r="FN100" s="174"/>
      <c r="FO100" s="174"/>
      <c r="FP100" s="174"/>
      <c r="FQ100" s="174"/>
      <c r="FR100" s="174"/>
      <c r="FS100" s="174"/>
      <c r="FT100" s="174"/>
      <c r="FU100" s="174"/>
      <c r="FV100" s="174"/>
      <c r="FW100" s="174"/>
      <c r="FX100" s="174"/>
      <c r="FY100" s="174"/>
      <c r="FZ100" s="174"/>
      <c r="GA100" s="174"/>
      <c r="GB100" s="174"/>
      <c r="GC100" s="174"/>
      <c r="GD100" s="174"/>
      <c r="GE100" s="174"/>
      <c r="GF100" s="174"/>
      <c r="GG100" s="174"/>
      <c r="GH100" s="174"/>
      <c r="GI100" s="174"/>
      <c r="GJ100" s="174"/>
      <c r="GK100" s="174"/>
      <c r="GL100" s="174"/>
      <c r="GM100" s="174"/>
      <c r="GN100" s="174"/>
      <c r="GO100" s="174"/>
      <c r="GP100" s="174"/>
      <c r="GQ100" s="174"/>
      <c r="GR100" s="174"/>
      <c r="GS100" s="174"/>
      <c r="GT100" s="174"/>
      <c r="GU100" s="174"/>
      <c r="GV100" s="174"/>
      <c r="GW100" s="174"/>
      <c r="GX100" s="174"/>
      <c r="GY100" s="174"/>
      <c r="GZ100" s="174"/>
      <c r="HA100" s="174"/>
      <c r="HB100" s="174"/>
      <c r="HC100" s="174"/>
      <c r="HD100" s="174"/>
      <c r="HE100" s="174"/>
      <c r="HF100" s="174"/>
      <c r="HG100" s="174"/>
      <c r="HH100" s="174"/>
      <c r="HI100" s="174"/>
      <c r="HJ100" s="174"/>
      <c r="HK100" s="174"/>
      <c r="HL100" s="174"/>
      <c r="HM100" s="174"/>
      <c r="HN100" s="174"/>
      <c r="HO100" s="174"/>
      <c r="HP100" s="174"/>
      <c r="HQ100" s="174"/>
      <c r="HR100" s="174"/>
      <c r="HS100" s="174"/>
      <c r="HT100" s="174"/>
      <c r="HU100" s="174"/>
      <c r="HV100" s="174"/>
      <c r="HW100" s="174"/>
      <c r="HX100" s="174"/>
      <c r="HY100" s="174"/>
      <c r="HZ100" s="174"/>
      <c r="IA100" s="174"/>
      <c r="IB100" s="174"/>
      <c r="IC100" s="174"/>
      <c r="ID100" s="174"/>
      <c r="IE100" s="174"/>
      <c r="IF100" s="174"/>
      <c r="IG100" s="174"/>
      <c r="IH100" s="174"/>
      <c r="II100" s="174"/>
      <c r="IJ100" s="174"/>
      <c r="IK100" s="174"/>
      <c r="IL100" s="174"/>
      <c r="IM100" s="174"/>
      <c r="IN100" s="174"/>
      <c r="IO100" s="174"/>
      <c r="IP100" s="174"/>
      <c r="IQ100" s="174"/>
      <c r="IR100" s="174"/>
      <c r="IS100" s="174"/>
      <c r="IT100" s="174"/>
      <c r="IU100" s="75"/>
      <c r="IV100" s="75"/>
      <c r="IW100" s="75"/>
      <c r="IX100" s="75"/>
      <c r="IY100" s="75"/>
      <c r="IZ100" s="75"/>
      <c r="JA100" s="75"/>
      <c r="JB100" s="75"/>
      <c r="JC100" s="75"/>
      <c r="JD100" s="75"/>
      <c r="JF100" s="710"/>
      <c r="JG100" s="710"/>
      <c r="JH100" s="178">
        <f t="shared" si="7"/>
        <v>0</v>
      </c>
      <c r="JI100" s="174">
        <f t="shared" si="8"/>
        <v>0</v>
      </c>
    </row>
    <row r="101" spans="2:269" ht="15" customHeight="1" x14ac:dyDescent="0.25">
      <c r="B101" s="113">
        <v>98</v>
      </c>
      <c r="C101" s="353" t="str">
        <f t="shared" si="9"/>
        <v/>
      </c>
      <c r="D101" s="353" t="str">
        <f t="shared" si="10"/>
        <v/>
      </c>
      <c r="E101" s="174"/>
      <c r="F101" s="174"/>
      <c r="G101" s="174"/>
      <c r="H101" s="174"/>
      <c r="I101" s="174"/>
      <c r="J101" s="174"/>
      <c r="K101" s="174"/>
      <c r="L101" s="174"/>
      <c r="M101" s="174"/>
      <c r="N101" s="174"/>
      <c r="O101" s="174"/>
      <c r="P101" s="174"/>
      <c r="Q101" s="174"/>
      <c r="R101" s="174"/>
      <c r="S101" s="174"/>
      <c r="T101" s="174"/>
      <c r="U101" s="174"/>
      <c r="V101" s="174"/>
      <c r="W101" s="174"/>
      <c r="X101" s="174"/>
      <c r="Y101" s="174"/>
      <c r="Z101" s="174"/>
      <c r="AA101" s="174"/>
      <c r="AB101" s="174"/>
      <c r="AC101" s="174"/>
      <c r="AD101" s="174"/>
      <c r="AE101" s="174"/>
      <c r="AF101" s="174"/>
      <c r="AG101" s="174"/>
      <c r="AH101" s="174"/>
      <c r="AI101" s="174"/>
      <c r="AJ101" s="174"/>
      <c r="AK101" s="174"/>
      <c r="AL101" s="174"/>
      <c r="AM101" s="174"/>
      <c r="AN101" s="174"/>
      <c r="AO101" s="174"/>
      <c r="AP101" s="174"/>
      <c r="AQ101" s="174"/>
      <c r="AR101" s="174"/>
      <c r="AS101" s="174"/>
      <c r="AT101" s="174"/>
      <c r="AU101" s="174"/>
      <c r="AV101" s="174"/>
      <c r="AW101" s="174"/>
      <c r="AX101" s="174"/>
      <c r="AY101" s="174"/>
      <c r="AZ101" s="174"/>
      <c r="BA101" s="174"/>
      <c r="BB101" s="174"/>
      <c r="BC101" s="174"/>
      <c r="BD101" s="174"/>
      <c r="BE101" s="174"/>
      <c r="BF101" s="174"/>
      <c r="BG101" s="174"/>
      <c r="BH101" s="174"/>
      <c r="BI101" s="174"/>
      <c r="BJ101" s="174"/>
      <c r="BK101" s="174"/>
      <c r="BL101" s="174"/>
      <c r="BM101" s="174"/>
      <c r="BN101" s="174"/>
      <c r="BO101" s="174"/>
      <c r="BP101" s="174"/>
      <c r="BQ101" s="174"/>
      <c r="BR101" s="174"/>
      <c r="BS101" s="174"/>
      <c r="BT101" s="174"/>
      <c r="BU101" s="174"/>
      <c r="BV101" s="174"/>
      <c r="BW101" s="174"/>
      <c r="BX101" s="174"/>
      <c r="BY101" s="174"/>
      <c r="BZ101" s="174"/>
      <c r="CA101" s="174"/>
      <c r="CB101" s="174"/>
      <c r="CC101" s="174"/>
      <c r="CD101" s="174"/>
      <c r="CE101" s="174"/>
      <c r="CF101" s="174"/>
      <c r="CG101" s="174"/>
      <c r="CH101" s="174"/>
      <c r="CI101" s="174"/>
      <c r="CJ101" s="174"/>
      <c r="CK101" s="174"/>
      <c r="CL101" s="174"/>
      <c r="CM101" s="174"/>
      <c r="CN101" s="174"/>
      <c r="CO101" s="174"/>
      <c r="CP101" s="174"/>
      <c r="CQ101" s="174"/>
      <c r="CR101" s="174"/>
      <c r="CS101" s="174"/>
      <c r="CT101" s="174"/>
      <c r="CU101" s="174"/>
      <c r="CV101" s="174"/>
      <c r="CW101" s="174"/>
      <c r="CX101" s="174"/>
      <c r="CY101" s="174"/>
      <c r="CZ101" s="174"/>
      <c r="DA101" s="174"/>
      <c r="DB101" s="174"/>
      <c r="DC101" s="174"/>
      <c r="DD101" s="174"/>
      <c r="DE101" s="174"/>
      <c r="DF101" s="174"/>
      <c r="DG101" s="174"/>
      <c r="DH101" s="174"/>
      <c r="DI101" s="174"/>
      <c r="DJ101" s="174"/>
      <c r="DK101" s="174"/>
      <c r="DL101" s="174"/>
      <c r="DM101" s="174"/>
      <c r="DN101" s="174"/>
      <c r="DO101" s="174"/>
      <c r="DP101" s="174"/>
      <c r="DQ101" s="174"/>
      <c r="DR101" s="174"/>
      <c r="DS101" s="174"/>
      <c r="DT101" s="174"/>
      <c r="DU101" s="174"/>
      <c r="DV101" s="174"/>
      <c r="DW101" s="174"/>
      <c r="DX101" s="174"/>
      <c r="DY101" s="174"/>
      <c r="DZ101" s="174"/>
      <c r="EA101" s="174"/>
      <c r="EB101" s="174"/>
      <c r="EC101" s="174"/>
      <c r="ED101" s="174"/>
      <c r="EE101" s="174"/>
      <c r="EF101" s="174"/>
      <c r="EG101" s="174"/>
      <c r="EH101" s="174"/>
      <c r="EI101" s="174"/>
      <c r="EJ101" s="174"/>
      <c r="EK101" s="174"/>
      <c r="EL101" s="174"/>
      <c r="EM101" s="174"/>
      <c r="EN101" s="174"/>
      <c r="EO101" s="174"/>
      <c r="EP101" s="174"/>
      <c r="EQ101" s="174"/>
      <c r="ER101" s="174"/>
      <c r="ES101" s="174"/>
      <c r="ET101" s="174"/>
      <c r="EU101" s="174"/>
      <c r="EV101" s="174"/>
      <c r="EW101" s="174"/>
      <c r="EX101" s="174"/>
      <c r="EY101" s="174"/>
      <c r="EZ101" s="174"/>
      <c r="FA101" s="174"/>
      <c r="FB101" s="174"/>
      <c r="FC101" s="174"/>
      <c r="FD101" s="174"/>
      <c r="FE101" s="174"/>
      <c r="FF101" s="174"/>
      <c r="FG101" s="174"/>
      <c r="FH101" s="174"/>
      <c r="FI101" s="174"/>
      <c r="FJ101" s="174"/>
      <c r="FK101" s="174"/>
      <c r="FL101" s="174"/>
      <c r="FM101" s="174"/>
      <c r="FN101" s="174"/>
      <c r="FO101" s="174"/>
      <c r="FP101" s="174"/>
      <c r="FQ101" s="174"/>
      <c r="FR101" s="174"/>
      <c r="FS101" s="174"/>
      <c r="FT101" s="174"/>
      <c r="FU101" s="174"/>
      <c r="FV101" s="174"/>
      <c r="FW101" s="174"/>
      <c r="FX101" s="174"/>
      <c r="FY101" s="174"/>
      <c r="FZ101" s="174"/>
      <c r="GA101" s="174"/>
      <c r="GB101" s="174"/>
      <c r="GC101" s="174"/>
      <c r="GD101" s="174"/>
      <c r="GE101" s="174"/>
      <c r="GF101" s="174"/>
      <c r="GG101" s="174"/>
      <c r="GH101" s="174"/>
      <c r="GI101" s="174"/>
      <c r="GJ101" s="174"/>
      <c r="GK101" s="174"/>
      <c r="GL101" s="174"/>
      <c r="GM101" s="174"/>
      <c r="GN101" s="174"/>
      <c r="GO101" s="174"/>
      <c r="GP101" s="174"/>
      <c r="GQ101" s="174"/>
      <c r="GR101" s="174"/>
      <c r="GS101" s="174"/>
      <c r="GT101" s="174"/>
      <c r="GU101" s="174"/>
      <c r="GV101" s="174"/>
      <c r="GW101" s="174"/>
      <c r="GX101" s="174"/>
      <c r="GY101" s="174"/>
      <c r="GZ101" s="174"/>
      <c r="HA101" s="174"/>
      <c r="HB101" s="174"/>
      <c r="HC101" s="174"/>
      <c r="HD101" s="174"/>
      <c r="HE101" s="174"/>
      <c r="HF101" s="174"/>
      <c r="HG101" s="174"/>
      <c r="HH101" s="174"/>
      <c r="HI101" s="174"/>
      <c r="HJ101" s="174"/>
      <c r="HK101" s="174"/>
      <c r="HL101" s="174"/>
      <c r="HM101" s="174"/>
      <c r="HN101" s="174"/>
      <c r="HO101" s="174"/>
      <c r="HP101" s="174"/>
      <c r="HQ101" s="174"/>
      <c r="HR101" s="174"/>
      <c r="HS101" s="174"/>
      <c r="HT101" s="174"/>
      <c r="HU101" s="174"/>
      <c r="HV101" s="174"/>
      <c r="HW101" s="174"/>
      <c r="HX101" s="174"/>
      <c r="HY101" s="174"/>
      <c r="HZ101" s="174"/>
      <c r="IA101" s="174"/>
      <c r="IB101" s="174"/>
      <c r="IC101" s="174"/>
      <c r="ID101" s="174"/>
      <c r="IE101" s="174"/>
      <c r="IF101" s="174"/>
      <c r="IG101" s="174"/>
      <c r="IH101" s="174"/>
      <c r="II101" s="174"/>
      <c r="IJ101" s="174"/>
      <c r="IK101" s="174"/>
      <c r="IL101" s="174"/>
      <c r="IM101" s="174"/>
      <c r="IN101" s="174"/>
      <c r="IO101" s="174"/>
      <c r="IP101" s="174"/>
      <c r="IQ101" s="174"/>
      <c r="IR101" s="174"/>
      <c r="IS101" s="174"/>
      <c r="IT101" s="174"/>
      <c r="IU101" s="75"/>
      <c r="IV101" s="75"/>
      <c r="IW101" s="75"/>
      <c r="IX101" s="75"/>
      <c r="IY101" s="75"/>
      <c r="IZ101" s="75"/>
      <c r="JA101" s="75"/>
      <c r="JB101" s="75"/>
      <c r="JC101" s="75"/>
      <c r="JD101" s="75"/>
      <c r="JF101" s="710"/>
      <c r="JG101" s="710"/>
      <c r="JH101" s="178">
        <f t="shared" si="7"/>
        <v>0</v>
      </c>
      <c r="JI101" s="174">
        <f t="shared" si="8"/>
        <v>0</v>
      </c>
    </row>
    <row r="102" spans="2:269" ht="15" customHeight="1" x14ac:dyDescent="0.25">
      <c r="B102" s="113">
        <v>99</v>
      </c>
      <c r="C102" s="353" t="str">
        <f t="shared" si="9"/>
        <v/>
      </c>
      <c r="D102" s="353" t="str">
        <f t="shared" si="10"/>
        <v/>
      </c>
      <c r="E102" s="174"/>
      <c r="F102" s="174"/>
      <c r="G102" s="174"/>
      <c r="H102" s="174"/>
      <c r="I102" s="174"/>
      <c r="J102" s="174"/>
      <c r="K102" s="174"/>
      <c r="L102" s="174"/>
      <c r="M102" s="174"/>
      <c r="N102" s="174"/>
      <c r="O102" s="174"/>
      <c r="P102" s="174"/>
      <c r="Q102" s="174"/>
      <c r="R102" s="174"/>
      <c r="S102" s="174"/>
      <c r="T102" s="174"/>
      <c r="U102" s="174"/>
      <c r="V102" s="174"/>
      <c r="W102" s="174"/>
      <c r="X102" s="174"/>
      <c r="Y102" s="174"/>
      <c r="Z102" s="174"/>
      <c r="AA102" s="174"/>
      <c r="AB102" s="174"/>
      <c r="AC102" s="174"/>
      <c r="AD102" s="174"/>
      <c r="AE102" s="174"/>
      <c r="AF102" s="174"/>
      <c r="AG102" s="174"/>
      <c r="AH102" s="174"/>
      <c r="AI102" s="174"/>
      <c r="AJ102" s="174"/>
      <c r="AK102" s="174"/>
      <c r="AL102" s="174"/>
      <c r="AM102" s="174"/>
      <c r="AN102" s="174"/>
      <c r="AO102" s="174"/>
      <c r="AP102" s="174"/>
      <c r="AQ102" s="174"/>
      <c r="AR102" s="174"/>
      <c r="AS102" s="174"/>
      <c r="AT102" s="174"/>
      <c r="AU102" s="174"/>
      <c r="AV102" s="174"/>
      <c r="AW102" s="174"/>
      <c r="AX102" s="174"/>
      <c r="AY102" s="174"/>
      <c r="AZ102" s="174"/>
      <c r="BA102" s="174"/>
      <c r="BB102" s="174"/>
      <c r="BC102" s="174"/>
      <c r="BD102" s="174"/>
      <c r="BE102" s="174"/>
      <c r="BF102" s="174"/>
      <c r="BG102" s="174"/>
      <c r="BH102" s="174"/>
      <c r="BI102" s="174"/>
      <c r="BJ102" s="174"/>
      <c r="BK102" s="174"/>
      <c r="BL102" s="174"/>
      <c r="BM102" s="174"/>
      <c r="BN102" s="174"/>
      <c r="BO102" s="174"/>
      <c r="BP102" s="174"/>
      <c r="BQ102" s="174"/>
      <c r="BR102" s="174"/>
      <c r="BS102" s="174"/>
      <c r="BT102" s="174"/>
      <c r="BU102" s="174"/>
      <c r="BV102" s="174"/>
      <c r="BW102" s="174"/>
      <c r="BX102" s="174"/>
      <c r="BY102" s="174"/>
      <c r="BZ102" s="174"/>
      <c r="CA102" s="174"/>
      <c r="CB102" s="174"/>
      <c r="CC102" s="174"/>
      <c r="CD102" s="174"/>
      <c r="CE102" s="174"/>
      <c r="CF102" s="174"/>
      <c r="CG102" s="174"/>
      <c r="CH102" s="174"/>
      <c r="CI102" s="174"/>
      <c r="CJ102" s="174"/>
      <c r="CK102" s="174"/>
      <c r="CL102" s="174"/>
      <c r="CM102" s="174"/>
      <c r="CN102" s="174"/>
      <c r="CO102" s="174"/>
      <c r="CP102" s="174"/>
      <c r="CQ102" s="174"/>
      <c r="CR102" s="174"/>
      <c r="CS102" s="174"/>
      <c r="CT102" s="174"/>
      <c r="CU102" s="174"/>
      <c r="CV102" s="174"/>
      <c r="CW102" s="174"/>
      <c r="CX102" s="174"/>
      <c r="CY102" s="174"/>
      <c r="CZ102" s="174"/>
      <c r="DA102" s="174"/>
      <c r="DB102" s="174"/>
      <c r="DC102" s="174"/>
      <c r="DD102" s="174"/>
      <c r="DE102" s="174"/>
      <c r="DF102" s="174"/>
      <c r="DG102" s="174"/>
      <c r="DH102" s="174"/>
      <c r="DI102" s="174"/>
      <c r="DJ102" s="174"/>
      <c r="DK102" s="174"/>
      <c r="DL102" s="174"/>
      <c r="DM102" s="174"/>
      <c r="DN102" s="174"/>
      <c r="DO102" s="174"/>
      <c r="DP102" s="174"/>
      <c r="DQ102" s="174"/>
      <c r="DR102" s="174"/>
      <c r="DS102" s="174"/>
      <c r="DT102" s="174"/>
      <c r="DU102" s="174"/>
      <c r="DV102" s="174"/>
      <c r="DW102" s="174"/>
      <c r="DX102" s="174"/>
      <c r="DY102" s="174"/>
      <c r="DZ102" s="174"/>
      <c r="EA102" s="174"/>
      <c r="EB102" s="174"/>
      <c r="EC102" s="174"/>
      <c r="ED102" s="174"/>
      <c r="EE102" s="174"/>
      <c r="EF102" s="174"/>
      <c r="EG102" s="174"/>
      <c r="EH102" s="174"/>
      <c r="EI102" s="174"/>
      <c r="EJ102" s="174"/>
      <c r="EK102" s="174"/>
      <c r="EL102" s="174"/>
      <c r="EM102" s="174"/>
      <c r="EN102" s="174"/>
      <c r="EO102" s="174"/>
      <c r="EP102" s="174"/>
      <c r="EQ102" s="174"/>
      <c r="ER102" s="174"/>
      <c r="ES102" s="174"/>
      <c r="ET102" s="174"/>
      <c r="EU102" s="174"/>
      <c r="EV102" s="174"/>
      <c r="EW102" s="174"/>
      <c r="EX102" s="174"/>
      <c r="EY102" s="174"/>
      <c r="EZ102" s="174"/>
      <c r="FA102" s="174"/>
      <c r="FB102" s="174"/>
      <c r="FC102" s="174"/>
      <c r="FD102" s="174"/>
      <c r="FE102" s="174"/>
      <c r="FF102" s="174"/>
      <c r="FG102" s="174"/>
      <c r="FH102" s="174"/>
      <c r="FI102" s="174"/>
      <c r="FJ102" s="174"/>
      <c r="FK102" s="174"/>
      <c r="FL102" s="174"/>
      <c r="FM102" s="174"/>
      <c r="FN102" s="174"/>
      <c r="FO102" s="174"/>
      <c r="FP102" s="174"/>
      <c r="FQ102" s="174"/>
      <c r="FR102" s="174"/>
      <c r="FS102" s="174"/>
      <c r="FT102" s="174"/>
      <c r="FU102" s="174"/>
      <c r="FV102" s="174"/>
      <c r="FW102" s="174"/>
      <c r="FX102" s="174"/>
      <c r="FY102" s="174"/>
      <c r="FZ102" s="174"/>
      <c r="GA102" s="174"/>
      <c r="GB102" s="174"/>
      <c r="GC102" s="174"/>
      <c r="GD102" s="174"/>
      <c r="GE102" s="174"/>
      <c r="GF102" s="174"/>
      <c r="GG102" s="174"/>
      <c r="GH102" s="174"/>
      <c r="GI102" s="174"/>
      <c r="GJ102" s="174"/>
      <c r="GK102" s="174"/>
      <c r="GL102" s="174"/>
      <c r="GM102" s="174"/>
      <c r="GN102" s="174"/>
      <c r="GO102" s="174"/>
      <c r="GP102" s="174"/>
      <c r="GQ102" s="174"/>
      <c r="GR102" s="174"/>
      <c r="GS102" s="174"/>
      <c r="GT102" s="174"/>
      <c r="GU102" s="174"/>
      <c r="GV102" s="174"/>
      <c r="GW102" s="174"/>
      <c r="GX102" s="174"/>
      <c r="GY102" s="174"/>
      <c r="GZ102" s="174"/>
      <c r="HA102" s="174"/>
      <c r="HB102" s="174"/>
      <c r="HC102" s="174"/>
      <c r="HD102" s="174"/>
      <c r="HE102" s="174"/>
      <c r="HF102" s="174"/>
      <c r="HG102" s="174"/>
      <c r="HH102" s="174"/>
      <c r="HI102" s="174"/>
      <c r="HJ102" s="174"/>
      <c r="HK102" s="174"/>
      <c r="HL102" s="174"/>
      <c r="HM102" s="174"/>
      <c r="HN102" s="174"/>
      <c r="HO102" s="174"/>
      <c r="HP102" s="174"/>
      <c r="HQ102" s="174"/>
      <c r="HR102" s="174"/>
      <c r="HS102" s="174"/>
      <c r="HT102" s="174"/>
      <c r="HU102" s="174"/>
      <c r="HV102" s="174"/>
      <c r="HW102" s="174"/>
      <c r="HX102" s="174"/>
      <c r="HY102" s="174"/>
      <c r="HZ102" s="174"/>
      <c r="IA102" s="174"/>
      <c r="IB102" s="174"/>
      <c r="IC102" s="174"/>
      <c r="ID102" s="174"/>
      <c r="IE102" s="174"/>
      <c r="IF102" s="174"/>
      <c r="IG102" s="174"/>
      <c r="IH102" s="174"/>
      <c r="II102" s="174"/>
      <c r="IJ102" s="174"/>
      <c r="IK102" s="174"/>
      <c r="IL102" s="174"/>
      <c r="IM102" s="174"/>
      <c r="IN102" s="174"/>
      <c r="IO102" s="174"/>
      <c r="IP102" s="174"/>
      <c r="IQ102" s="174"/>
      <c r="IR102" s="174"/>
      <c r="IS102" s="174"/>
      <c r="IT102" s="174"/>
      <c r="IU102" s="75"/>
      <c r="IV102" s="75"/>
      <c r="IW102" s="75"/>
      <c r="IX102" s="75"/>
      <c r="IY102" s="75"/>
      <c r="IZ102" s="75"/>
      <c r="JA102" s="75"/>
      <c r="JB102" s="75"/>
      <c r="JC102" s="75"/>
      <c r="JD102" s="75"/>
      <c r="JF102" s="710"/>
      <c r="JG102" s="710"/>
      <c r="JH102" s="178">
        <f t="shared" si="7"/>
        <v>0</v>
      </c>
      <c r="JI102" s="174">
        <f t="shared" si="8"/>
        <v>0</v>
      </c>
    </row>
    <row r="103" spans="2:269" ht="15" customHeight="1" x14ac:dyDescent="0.25">
      <c r="B103" s="113">
        <v>100</v>
      </c>
      <c r="C103" s="353" t="str">
        <f t="shared" si="9"/>
        <v/>
      </c>
      <c r="D103" s="353" t="str">
        <f t="shared" si="10"/>
        <v/>
      </c>
      <c r="E103" s="174"/>
      <c r="F103" s="174"/>
      <c r="G103" s="174"/>
      <c r="H103" s="174"/>
      <c r="I103" s="174"/>
      <c r="J103" s="174"/>
      <c r="K103" s="174"/>
      <c r="L103" s="174"/>
      <c r="M103" s="174"/>
      <c r="N103" s="174"/>
      <c r="O103" s="174"/>
      <c r="P103" s="174"/>
      <c r="Q103" s="174"/>
      <c r="R103" s="174"/>
      <c r="S103" s="174"/>
      <c r="T103" s="174"/>
      <c r="U103" s="174"/>
      <c r="V103" s="174"/>
      <c r="W103" s="174"/>
      <c r="X103" s="174"/>
      <c r="Y103" s="174"/>
      <c r="Z103" s="174"/>
      <c r="AA103" s="174"/>
      <c r="AB103" s="174"/>
      <c r="AC103" s="174"/>
      <c r="AD103" s="174"/>
      <c r="AE103" s="174"/>
      <c r="AF103" s="174"/>
      <c r="AG103" s="174"/>
      <c r="AH103" s="174"/>
      <c r="AI103" s="174"/>
      <c r="AJ103" s="174"/>
      <c r="AK103" s="174"/>
      <c r="AL103" s="174"/>
      <c r="AM103" s="174"/>
      <c r="AN103" s="174"/>
      <c r="AO103" s="174"/>
      <c r="AP103" s="174"/>
      <c r="AQ103" s="174"/>
      <c r="AR103" s="174"/>
      <c r="AS103" s="174"/>
      <c r="AT103" s="174"/>
      <c r="AU103" s="174"/>
      <c r="AV103" s="174"/>
      <c r="AW103" s="174"/>
      <c r="AX103" s="174"/>
      <c r="AY103" s="174"/>
      <c r="AZ103" s="174"/>
      <c r="BA103" s="174"/>
      <c r="BB103" s="174"/>
      <c r="BC103" s="174"/>
      <c r="BD103" s="174"/>
      <c r="BE103" s="174"/>
      <c r="BF103" s="174"/>
      <c r="BG103" s="174"/>
      <c r="BH103" s="174"/>
      <c r="BI103" s="174"/>
      <c r="BJ103" s="174"/>
      <c r="BK103" s="174"/>
      <c r="BL103" s="174"/>
      <c r="BM103" s="174"/>
      <c r="BN103" s="174"/>
      <c r="BO103" s="174"/>
      <c r="BP103" s="174"/>
      <c r="BQ103" s="174"/>
      <c r="BR103" s="174"/>
      <c r="BS103" s="174"/>
      <c r="BT103" s="174"/>
      <c r="BU103" s="174"/>
      <c r="BV103" s="174"/>
      <c r="BW103" s="174"/>
      <c r="BX103" s="174"/>
      <c r="BY103" s="174"/>
      <c r="BZ103" s="174"/>
      <c r="CA103" s="174"/>
      <c r="CB103" s="174"/>
      <c r="CC103" s="174"/>
      <c r="CD103" s="174"/>
      <c r="CE103" s="174"/>
      <c r="CF103" s="174"/>
      <c r="CG103" s="174"/>
      <c r="CH103" s="174"/>
      <c r="CI103" s="174"/>
      <c r="CJ103" s="174"/>
      <c r="CK103" s="174"/>
      <c r="CL103" s="174"/>
      <c r="CM103" s="174"/>
      <c r="CN103" s="174"/>
      <c r="CO103" s="174"/>
      <c r="CP103" s="174"/>
      <c r="CQ103" s="174"/>
      <c r="CR103" s="174"/>
      <c r="CS103" s="174"/>
      <c r="CT103" s="174"/>
      <c r="CU103" s="174"/>
      <c r="CV103" s="174"/>
      <c r="CW103" s="174"/>
      <c r="CX103" s="174"/>
      <c r="CY103" s="174"/>
      <c r="CZ103" s="174"/>
      <c r="DA103" s="174"/>
      <c r="DB103" s="174"/>
      <c r="DC103" s="174"/>
      <c r="DD103" s="174"/>
      <c r="DE103" s="174"/>
      <c r="DF103" s="174"/>
      <c r="DG103" s="174"/>
      <c r="DH103" s="174"/>
      <c r="DI103" s="174"/>
      <c r="DJ103" s="174"/>
      <c r="DK103" s="174"/>
      <c r="DL103" s="174"/>
      <c r="DM103" s="174"/>
      <c r="DN103" s="174"/>
      <c r="DO103" s="174"/>
      <c r="DP103" s="174"/>
      <c r="DQ103" s="174"/>
      <c r="DR103" s="174"/>
      <c r="DS103" s="174"/>
      <c r="DT103" s="174"/>
      <c r="DU103" s="174"/>
      <c r="DV103" s="174"/>
      <c r="DW103" s="174"/>
      <c r="DX103" s="174"/>
      <c r="DY103" s="174"/>
      <c r="DZ103" s="174"/>
      <c r="EA103" s="174"/>
      <c r="EB103" s="174"/>
      <c r="EC103" s="174"/>
      <c r="ED103" s="174"/>
      <c r="EE103" s="174"/>
      <c r="EF103" s="174"/>
      <c r="EG103" s="174"/>
      <c r="EH103" s="174"/>
      <c r="EI103" s="174"/>
      <c r="EJ103" s="174"/>
      <c r="EK103" s="174"/>
      <c r="EL103" s="174"/>
      <c r="EM103" s="174"/>
      <c r="EN103" s="174"/>
      <c r="EO103" s="174"/>
      <c r="EP103" s="174"/>
      <c r="EQ103" s="174"/>
      <c r="ER103" s="174"/>
      <c r="ES103" s="174"/>
      <c r="ET103" s="174"/>
      <c r="EU103" s="174"/>
      <c r="EV103" s="174"/>
      <c r="EW103" s="174"/>
      <c r="EX103" s="174"/>
      <c r="EY103" s="174"/>
      <c r="EZ103" s="174"/>
      <c r="FA103" s="174"/>
      <c r="FB103" s="174"/>
      <c r="FC103" s="174"/>
      <c r="FD103" s="174"/>
      <c r="FE103" s="174"/>
      <c r="FF103" s="174"/>
      <c r="FG103" s="174"/>
      <c r="FH103" s="174"/>
      <c r="FI103" s="174"/>
      <c r="FJ103" s="174"/>
      <c r="FK103" s="174"/>
      <c r="FL103" s="174"/>
      <c r="FM103" s="174"/>
      <c r="FN103" s="174"/>
      <c r="FO103" s="174"/>
      <c r="FP103" s="174"/>
      <c r="FQ103" s="174"/>
      <c r="FR103" s="174"/>
      <c r="FS103" s="174"/>
      <c r="FT103" s="174"/>
      <c r="FU103" s="174"/>
      <c r="FV103" s="174"/>
      <c r="FW103" s="174"/>
      <c r="FX103" s="174"/>
      <c r="FY103" s="174"/>
      <c r="FZ103" s="174"/>
      <c r="GA103" s="174"/>
      <c r="GB103" s="174"/>
      <c r="GC103" s="174"/>
      <c r="GD103" s="174"/>
      <c r="GE103" s="174"/>
      <c r="GF103" s="174"/>
      <c r="GG103" s="174"/>
      <c r="GH103" s="174"/>
      <c r="GI103" s="174"/>
      <c r="GJ103" s="174"/>
      <c r="GK103" s="174"/>
      <c r="GL103" s="174"/>
      <c r="GM103" s="174"/>
      <c r="GN103" s="174"/>
      <c r="GO103" s="174"/>
      <c r="GP103" s="174"/>
      <c r="GQ103" s="174"/>
      <c r="GR103" s="174"/>
      <c r="GS103" s="174"/>
      <c r="GT103" s="174"/>
      <c r="GU103" s="174"/>
      <c r="GV103" s="174"/>
      <c r="GW103" s="174"/>
      <c r="GX103" s="174"/>
      <c r="GY103" s="174"/>
      <c r="GZ103" s="174"/>
      <c r="HA103" s="174"/>
      <c r="HB103" s="174"/>
      <c r="HC103" s="174"/>
      <c r="HD103" s="174"/>
      <c r="HE103" s="174"/>
      <c r="HF103" s="174"/>
      <c r="HG103" s="174"/>
      <c r="HH103" s="174"/>
      <c r="HI103" s="174"/>
      <c r="HJ103" s="174"/>
      <c r="HK103" s="174"/>
      <c r="HL103" s="174"/>
      <c r="HM103" s="174"/>
      <c r="HN103" s="174"/>
      <c r="HO103" s="174"/>
      <c r="HP103" s="174"/>
      <c r="HQ103" s="174"/>
      <c r="HR103" s="174"/>
      <c r="HS103" s="174"/>
      <c r="HT103" s="174"/>
      <c r="HU103" s="174"/>
      <c r="HV103" s="174"/>
      <c r="HW103" s="174"/>
      <c r="HX103" s="174"/>
      <c r="HY103" s="174"/>
      <c r="HZ103" s="174"/>
      <c r="IA103" s="174"/>
      <c r="IB103" s="174"/>
      <c r="IC103" s="174"/>
      <c r="ID103" s="174"/>
      <c r="IE103" s="174"/>
      <c r="IF103" s="174"/>
      <c r="IG103" s="174"/>
      <c r="IH103" s="174"/>
      <c r="II103" s="174"/>
      <c r="IJ103" s="174"/>
      <c r="IK103" s="174"/>
      <c r="IL103" s="174"/>
      <c r="IM103" s="174"/>
      <c r="IN103" s="174"/>
      <c r="IO103" s="174"/>
      <c r="IP103" s="174"/>
      <c r="IQ103" s="174"/>
      <c r="IR103" s="174"/>
      <c r="IS103" s="174"/>
      <c r="IT103" s="174"/>
      <c r="IU103" s="75"/>
      <c r="IV103" s="75"/>
      <c r="IW103" s="75"/>
      <c r="IX103" s="75"/>
      <c r="IY103" s="75"/>
      <c r="IZ103" s="75"/>
      <c r="JA103" s="75"/>
      <c r="JB103" s="75"/>
      <c r="JC103" s="75"/>
      <c r="JD103" s="75"/>
      <c r="JF103" s="710"/>
      <c r="JG103" s="710"/>
      <c r="JH103" s="178">
        <f t="shared" si="7"/>
        <v>0</v>
      </c>
      <c r="JI103" s="174">
        <f t="shared" si="8"/>
        <v>0</v>
      </c>
    </row>
    <row r="104" spans="2:269" ht="15" customHeight="1" x14ac:dyDescent="0.25">
      <c r="B104" s="113">
        <v>101</v>
      </c>
      <c r="C104" s="353" t="str">
        <f t="shared" si="9"/>
        <v/>
      </c>
      <c r="D104" s="353" t="str">
        <f t="shared" si="10"/>
        <v/>
      </c>
      <c r="E104" s="174"/>
      <c r="F104" s="174"/>
      <c r="G104" s="174"/>
      <c r="H104" s="174"/>
      <c r="I104" s="174"/>
      <c r="J104" s="174"/>
      <c r="K104" s="174"/>
      <c r="L104" s="174"/>
      <c r="M104" s="174"/>
      <c r="N104" s="174"/>
      <c r="O104" s="174"/>
      <c r="P104" s="174"/>
      <c r="Q104" s="174"/>
      <c r="R104" s="174"/>
      <c r="S104" s="174"/>
      <c r="T104" s="174"/>
      <c r="U104" s="174"/>
      <c r="V104" s="174"/>
      <c r="W104" s="174"/>
      <c r="X104" s="174"/>
      <c r="Y104" s="174"/>
      <c r="Z104" s="174"/>
      <c r="AA104" s="174"/>
      <c r="AB104" s="174"/>
      <c r="AC104" s="174"/>
      <c r="AD104" s="174"/>
      <c r="AE104" s="174"/>
      <c r="AF104" s="174"/>
      <c r="AG104" s="174"/>
      <c r="AH104" s="174"/>
      <c r="AI104" s="174"/>
      <c r="AJ104" s="174"/>
      <c r="AK104" s="174"/>
      <c r="AL104" s="174"/>
      <c r="AM104" s="174"/>
      <c r="AN104" s="174"/>
      <c r="AO104" s="174"/>
      <c r="AP104" s="174"/>
      <c r="AQ104" s="174"/>
      <c r="AR104" s="174"/>
      <c r="AS104" s="174"/>
      <c r="AT104" s="174"/>
      <c r="AU104" s="174"/>
      <c r="AV104" s="174"/>
      <c r="AW104" s="174"/>
      <c r="AX104" s="174"/>
      <c r="AY104" s="174"/>
      <c r="AZ104" s="174"/>
      <c r="BA104" s="174"/>
      <c r="BB104" s="174"/>
      <c r="BC104" s="174"/>
      <c r="BD104" s="174"/>
      <c r="BE104" s="174"/>
      <c r="BF104" s="174"/>
      <c r="BG104" s="174"/>
      <c r="BH104" s="174"/>
      <c r="BI104" s="174"/>
      <c r="BJ104" s="174"/>
      <c r="BK104" s="174"/>
      <c r="BL104" s="174"/>
      <c r="BM104" s="174"/>
      <c r="BN104" s="174"/>
      <c r="BO104" s="174"/>
      <c r="BP104" s="174"/>
      <c r="BQ104" s="174"/>
      <c r="BR104" s="174"/>
      <c r="BS104" s="174"/>
      <c r="BT104" s="174"/>
      <c r="BU104" s="174"/>
      <c r="BV104" s="174"/>
      <c r="BW104" s="174"/>
      <c r="BX104" s="174"/>
      <c r="BY104" s="174"/>
      <c r="BZ104" s="174"/>
      <c r="CA104" s="174"/>
      <c r="CB104" s="174"/>
      <c r="CC104" s="174"/>
      <c r="CD104" s="174"/>
      <c r="CE104" s="174"/>
      <c r="CF104" s="174"/>
      <c r="CG104" s="174"/>
      <c r="CH104" s="174"/>
      <c r="CI104" s="174"/>
      <c r="CJ104" s="174"/>
      <c r="CK104" s="174"/>
      <c r="CL104" s="174"/>
      <c r="CM104" s="174"/>
      <c r="CN104" s="174"/>
      <c r="CO104" s="174"/>
      <c r="CP104" s="174"/>
      <c r="CQ104" s="174"/>
      <c r="CR104" s="174"/>
      <c r="CS104" s="174"/>
      <c r="CT104" s="174"/>
      <c r="CU104" s="174"/>
      <c r="CV104" s="174"/>
      <c r="CW104" s="174"/>
      <c r="CX104" s="174"/>
      <c r="CY104" s="174"/>
      <c r="CZ104" s="174"/>
      <c r="DA104" s="174"/>
      <c r="DB104" s="174"/>
      <c r="DC104" s="174"/>
      <c r="DD104" s="174"/>
      <c r="DE104" s="174"/>
      <c r="DF104" s="174"/>
      <c r="DG104" s="174"/>
      <c r="DH104" s="174"/>
      <c r="DI104" s="174"/>
      <c r="DJ104" s="174"/>
      <c r="DK104" s="174"/>
      <c r="DL104" s="174"/>
      <c r="DM104" s="174"/>
      <c r="DN104" s="174"/>
      <c r="DO104" s="174"/>
      <c r="DP104" s="174"/>
      <c r="DQ104" s="174"/>
      <c r="DR104" s="174"/>
      <c r="DS104" s="174"/>
      <c r="DT104" s="174"/>
      <c r="DU104" s="174"/>
      <c r="DV104" s="174"/>
      <c r="DW104" s="174"/>
      <c r="DX104" s="174"/>
      <c r="DY104" s="174"/>
      <c r="DZ104" s="174"/>
      <c r="EA104" s="174"/>
      <c r="EB104" s="174"/>
      <c r="EC104" s="174"/>
      <c r="ED104" s="174"/>
      <c r="EE104" s="174"/>
      <c r="EF104" s="174"/>
      <c r="EG104" s="174"/>
      <c r="EH104" s="174"/>
      <c r="EI104" s="174"/>
      <c r="EJ104" s="174"/>
      <c r="EK104" s="174"/>
      <c r="EL104" s="174"/>
      <c r="EM104" s="174"/>
      <c r="EN104" s="174"/>
      <c r="EO104" s="174"/>
      <c r="EP104" s="174"/>
      <c r="EQ104" s="174"/>
      <c r="ER104" s="174"/>
      <c r="ES104" s="174"/>
      <c r="ET104" s="174"/>
      <c r="EU104" s="174"/>
      <c r="EV104" s="174"/>
      <c r="EW104" s="174"/>
      <c r="EX104" s="174"/>
      <c r="EY104" s="174"/>
      <c r="EZ104" s="174"/>
      <c r="FA104" s="174"/>
      <c r="FB104" s="174"/>
      <c r="FC104" s="174"/>
      <c r="FD104" s="174"/>
      <c r="FE104" s="174"/>
      <c r="FF104" s="174"/>
      <c r="FG104" s="174"/>
      <c r="FH104" s="174"/>
      <c r="FI104" s="174"/>
      <c r="FJ104" s="174"/>
      <c r="FK104" s="174"/>
      <c r="FL104" s="174"/>
      <c r="FM104" s="174"/>
      <c r="FN104" s="174"/>
      <c r="FO104" s="174"/>
      <c r="FP104" s="174"/>
      <c r="FQ104" s="174"/>
      <c r="FR104" s="174"/>
      <c r="FS104" s="174"/>
      <c r="FT104" s="174"/>
      <c r="FU104" s="174"/>
      <c r="FV104" s="174"/>
      <c r="FW104" s="174"/>
      <c r="FX104" s="174"/>
      <c r="FY104" s="174"/>
      <c r="FZ104" s="174"/>
      <c r="GA104" s="174"/>
      <c r="GB104" s="174"/>
      <c r="GC104" s="174"/>
      <c r="GD104" s="174"/>
      <c r="GE104" s="174"/>
      <c r="GF104" s="174"/>
      <c r="GG104" s="174"/>
      <c r="GH104" s="174"/>
      <c r="GI104" s="174"/>
      <c r="GJ104" s="174"/>
      <c r="GK104" s="174"/>
      <c r="GL104" s="174"/>
      <c r="GM104" s="174"/>
      <c r="GN104" s="174"/>
      <c r="GO104" s="174"/>
      <c r="GP104" s="174"/>
      <c r="GQ104" s="174"/>
      <c r="GR104" s="174"/>
      <c r="GS104" s="174"/>
      <c r="GT104" s="174"/>
      <c r="GU104" s="174"/>
      <c r="GV104" s="174"/>
      <c r="GW104" s="174"/>
      <c r="GX104" s="174"/>
      <c r="GY104" s="174"/>
      <c r="GZ104" s="174"/>
      <c r="HA104" s="174"/>
      <c r="HB104" s="174"/>
      <c r="HC104" s="174"/>
      <c r="HD104" s="174"/>
      <c r="HE104" s="174"/>
      <c r="HF104" s="174"/>
      <c r="HG104" s="174"/>
      <c r="HH104" s="174"/>
      <c r="HI104" s="174"/>
      <c r="HJ104" s="174"/>
      <c r="HK104" s="174"/>
      <c r="HL104" s="174"/>
      <c r="HM104" s="174"/>
      <c r="HN104" s="174"/>
      <c r="HO104" s="174"/>
      <c r="HP104" s="174"/>
      <c r="HQ104" s="174"/>
      <c r="HR104" s="174"/>
      <c r="HS104" s="174"/>
      <c r="HT104" s="174"/>
      <c r="HU104" s="174"/>
      <c r="HV104" s="174"/>
      <c r="HW104" s="174"/>
      <c r="HX104" s="174"/>
      <c r="HY104" s="174"/>
      <c r="HZ104" s="174"/>
      <c r="IA104" s="174"/>
      <c r="IB104" s="174"/>
      <c r="IC104" s="174"/>
      <c r="ID104" s="174"/>
      <c r="IE104" s="174"/>
      <c r="IF104" s="174"/>
      <c r="IG104" s="174"/>
      <c r="IH104" s="174"/>
      <c r="II104" s="174"/>
      <c r="IJ104" s="174"/>
      <c r="IK104" s="174"/>
      <c r="IL104" s="174"/>
      <c r="IM104" s="174"/>
      <c r="IN104" s="174"/>
      <c r="IO104" s="174"/>
      <c r="IP104" s="174"/>
      <c r="IQ104" s="174"/>
      <c r="IR104" s="174"/>
      <c r="IS104" s="174"/>
      <c r="IT104" s="174"/>
      <c r="IU104" s="75"/>
      <c r="IV104" s="75"/>
      <c r="IW104" s="75"/>
      <c r="IX104" s="75"/>
      <c r="IY104" s="75"/>
      <c r="IZ104" s="75"/>
      <c r="JA104" s="75"/>
      <c r="JB104" s="75"/>
      <c r="JC104" s="75"/>
      <c r="JD104" s="75"/>
      <c r="JF104" s="710"/>
      <c r="JG104" s="710"/>
      <c r="JH104" s="178">
        <f t="shared" si="7"/>
        <v>0</v>
      </c>
      <c r="JI104" s="174">
        <f t="shared" si="8"/>
        <v>0</v>
      </c>
    </row>
    <row r="105" spans="2:269" ht="15" customHeight="1" x14ac:dyDescent="0.25">
      <c r="B105" s="113">
        <v>102</v>
      </c>
      <c r="C105" s="353" t="str">
        <f t="shared" si="9"/>
        <v/>
      </c>
      <c r="D105" s="353" t="str">
        <f t="shared" si="10"/>
        <v/>
      </c>
      <c r="E105" s="174"/>
      <c r="F105" s="174"/>
      <c r="G105" s="174"/>
      <c r="H105" s="174"/>
      <c r="I105" s="174"/>
      <c r="J105" s="174"/>
      <c r="K105" s="174"/>
      <c r="L105" s="174"/>
      <c r="M105" s="174"/>
      <c r="N105" s="174"/>
      <c r="O105" s="174"/>
      <c r="P105" s="174"/>
      <c r="Q105" s="174"/>
      <c r="R105" s="174"/>
      <c r="S105" s="174"/>
      <c r="T105" s="174"/>
      <c r="U105" s="174"/>
      <c r="V105" s="174"/>
      <c r="W105" s="174"/>
      <c r="X105" s="174"/>
      <c r="Y105" s="174"/>
      <c r="Z105" s="174"/>
      <c r="AA105" s="174"/>
      <c r="AB105" s="174"/>
      <c r="AC105" s="174"/>
      <c r="AD105" s="174"/>
      <c r="AE105" s="174"/>
      <c r="AF105" s="174"/>
      <c r="AG105" s="174"/>
      <c r="AH105" s="174"/>
      <c r="AI105" s="174"/>
      <c r="AJ105" s="174"/>
      <c r="AK105" s="174"/>
      <c r="AL105" s="174"/>
      <c r="AM105" s="174"/>
      <c r="AN105" s="174"/>
      <c r="AO105" s="174"/>
      <c r="AP105" s="174"/>
      <c r="AQ105" s="174"/>
      <c r="AR105" s="174"/>
      <c r="AS105" s="174"/>
      <c r="AT105" s="174"/>
      <c r="AU105" s="174"/>
      <c r="AV105" s="174"/>
      <c r="AW105" s="174"/>
      <c r="AX105" s="174"/>
      <c r="AY105" s="174"/>
      <c r="AZ105" s="174"/>
      <c r="BA105" s="174"/>
      <c r="BB105" s="174"/>
      <c r="BC105" s="174"/>
      <c r="BD105" s="174"/>
      <c r="BE105" s="174"/>
      <c r="BF105" s="174"/>
      <c r="BG105" s="174"/>
      <c r="BH105" s="174"/>
      <c r="BI105" s="174"/>
      <c r="BJ105" s="174"/>
      <c r="BK105" s="174"/>
      <c r="BL105" s="174"/>
      <c r="BM105" s="174"/>
      <c r="BN105" s="174"/>
      <c r="BO105" s="174"/>
      <c r="BP105" s="174"/>
      <c r="BQ105" s="174"/>
      <c r="BR105" s="174"/>
      <c r="BS105" s="174"/>
      <c r="BT105" s="174"/>
      <c r="BU105" s="174"/>
      <c r="BV105" s="174"/>
      <c r="BW105" s="174"/>
      <c r="BX105" s="174"/>
      <c r="BY105" s="174"/>
      <c r="BZ105" s="174"/>
      <c r="CA105" s="174"/>
      <c r="CB105" s="174"/>
      <c r="CC105" s="174"/>
      <c r="CD105" s="174"/>
      <c r="CE105" s="174"/>
      <c r="CF105" s="174"/>
      <c r="CG105" s="174"/>
      <c r="CH105" s="174"/>
      <c r="CI105" s="174"/>
      <c r="CJ105" s="174"/>
      <c r="CK105" s="174"/>
      <c r="CL105" s="174"/>
      <c r="CM105" s="174"/>
      <c r="CN105" s="174"/>
      <c r="CO105" s="174"/>
      <c r="CP105" s="174"/>
      <c r="CQ105" s="174"/>
      <c r="CR105" s="174"/>
      <c r="CS105" s="174"/>
      <c r="CT105" s="174"/>
      <c r="CU105" s="174"/>
      <c r="CV105" s="174"/>
      <c r="CW105" s="174"/>
      <c r="CX105" s="174"/>
      <c r="CY105" s="174"/>
      <c r="CZ105" s="174"/>
      <c r="DA105" s="174"/>
      <c r="DB105" s="174"/>
      <c r="DC105" s="174"/>
      <c r="DD105" s="174"/>
      <c r="DE105" s="174"/>
      <c r="DF105" s="174"/>
      <c r="DG105" s="174"/>
      <c r="DH105" s="174"/>
      <c r="DI105" s="174"/>
      <c r="DJ105" s="174"/>
      <c r="DK105" s="174"/>
      <c r="DL105" s="174"/>
      <c r="DM105" s="174"/>
      <c r="DN105" s="174"/>
      <c r="DO105" s="174"/>
      <c r="DP105" s="174"/>
      <c r="DQ105" s="174"/>
      <c r="DR105" s="174"/>
      <c r="DS105" s="174"/>
      <c r="DT105" s="174"/>
      <c r="DU105" s="174"/>
      <c r="DV105" s="174"/>
      <c r="DW105" s="174"/>
      <c r="DX105" s="174"/>
      <c r="DY105" s="174"/>
      <c r="DZ105" s="174"/>
      <c r="EA105" s="174"/>
      <c r="EB105" s="174"/>
      <c r="EC105" s="174"/>
      <c r="ED105" s="174"/>
      <c r="EE105" s="174"/>
      <c r="EF105" s="174"/>
      <c r="EG105" s="174"/>
      <c r="EH105" s="174"/>
      <c r="EI105" s="174"/>
      <c r="EJ105" s="174"/>
      <c r="EK105" s="174"/>
      <c r="EL105" s="174"/>
      <c r="EM105" s="174"/>
      <c r="EN105" s="174"/>
      <c r="EO105" s="174"/>
      <c r="EP105" s="174"/>
      <c r="EQ105" s="174"/>
      <c r="ER105" s="174"/>
      <c r="ES105" s="174"/>
      <c r="ET105" s="174"/>
      <c r="EU105" s="174"/>
      <c r="EV105" s="174"/>
      <c r="EW105" s="174"/>
      <c r="EX105" s="174"/>
      <c r="EY105" s="174"/>
      <c r="EZ105" s="174"/>
      <c r="FA105" s="174"/>
      <c r="FB105" s="174"/>
      <c r="FC105" s="174"/>
      <c r="FD105" s="174"/>
      <c r="FE105" s="174"/>
      <c r="FF105" s="174"/>
      <c r="FG105" s="174"/>
      <c r="FH105" s="174"/>
      <c r="FI105" s="174"/>
      <c r="FJ105" s="174"/>
      <c r="FK105" s="174"/>
      <c r="FL105" s="174"/>
      <c r="FM105" s="174"/>
      <c r="FN105" s="174"/>
      <c r="FO105" s="174"/>
      <c r="FP105" s="174"/>
      <c r="FQ105" s="174"/>
      <c r="FR105" s="174"/>
      <c r="FS105" s="174"/>
      <c r="FT105" s="174"/>
      <c r="FU105" s="174"/>
      <c r="FV105" s="174"/>
      <c r="FW105" s="174"/>
      <c r="FX105" s="174"/>
      <c r="FY105" s="174"/>
      <c r="FZ105" s="174"/>
      <c r="GA105" s="174"/>
      <c r="GB105" s="174"/>
      <c r="GC105" s="174"/>
      <c r="GD105" s="174"/>
      <c r="GE105" s="174"/>
      <c r="GF105" s="174"/>
      <c r="GG105" s="174"/>
      <c r="GH105" s="174"/>
      <c r="GI105" s="174"/>
      <c r="GJ105" s="174"/>
      <c r="GK105" s="174"/>
      <c r="GL105" s="174"/>
      <c r="GM105" s="174"/>
      <c r="GN105" s="174"/>
      <c r="GO105" s="174"/>
      <c r="GP105" s="174"/>
      <c r="GQ105" s="174"/>
      <c r="GR105" s="174"/>
      <c r="GS105" s="174"/>
      <c r="GT105" s="174"/>
      <c r="GU105" s="174"/>
      <c r="GV105" s="174"/>
      <c r="GW105" s="174"/>
      <c r="GX105" s="174"/>
      <c r="GY105" s="174"/>
      <c r="GZ105" s="174"/>
      <c r="HA105" s="174"/>
      <c r="HB105" s="174"/>
      <c r="HC105" s="174"/>
      <c r="HD105" s="174"/>
      <c r="HE105" s="174"/>
      <c r="HF105" s="174"/>
      <c r="HG105" s="174"/>
      <c r="HH105" s="174"/>
      <c r="HI105" s="174"/>
      <c r="HJ105" s="174"/>
      <c r="HK105" s="174"/>
      <c r="HL105" s="174"/>
      <c r="HM105" s="174"/>
      <c r="HN105" s="174"/>
      <c r="HO105" s="174"/>
      <c r="HP105" s="174"/>
      <c r="HQ105" s="174"/>
      <c r="HR105" s="174"/>
      <c r="HS105" s="174"/>
      <c r="HT105" s="174"/>
      <c r="HU105" s="174"/>
      <c r="HV105" s="174"/>
      <c r="HW105" s="174"/>
      <c r="HX105" s="174"/>
      <c r="HY105" s="174"/>
      <c r="HZ105" s="174"/>
      <c r="IA105" s="174"/>
      <c r="IB105" s="174"/>
      <c r="IC105" s="174"/>
      <c r="ID105" s="174"/>
      <c r="IE105" s="174"/>
      <c r="IF105" s="174"/>
      <c r="IG105" s="174"/>
      <c r="IH105" s="174"/>
      <c r="II105" s="174"/>
      <c r="IJ105" s="174"/>
      <c r="IK105" s="174"/>
      <c r="IL105" s="174"/>
      <c r="IM105" s="174"/>
      <c r="IN105" s="174"/>
      <c r="IO105" s="174"/>
      <c r="IP105" s="174"/>
      <c r="IQ105" s="174"/>
      <c r="IR105" s="174"/>
      <c r="IS105" s="174"/>
      <c r="IT105" s="174"/>
      <c r="IU105" s="75"/>
      <c r="IV105" s="75"/>
      <c r="IW105" s="75"/>
      <c r="IX105" s="75"/>
      <c r="IY105" s="75"/>
      <c r="IZ105" s="75"/>
      <c r="JA105" s="75"/>
      <c r="JB105" s="75"/>
      <c r="JC105" s="75"/>
      <c r="JD105" s="75"/>
      <c r="JF105" s="710"/>
      <c r="JG105" s="710"/>
      <c r="JH105" s="178">
        <f t="shared" si="7"/>
        <v>0</v>
      </c>
      <c r="JI105" s="174">
        <f t="shared" si="8"/>
        <v>0</v>
      </c>
    </row>
    <row r="106" spans="2:269" ht="15" customHeight="1" x14ac:dyDescent="0.25">
      <c r="B106" s="113">
        <v>103</v>
      </c>
      <c r="C106" s="353" t="str">
        <f t="shared" si="9"/>
        <v/>
      </c>
      <c r="D106" s="353" t="str">
        <f t="shared" si="10"/>
        <v/>
      </c>
      <c r="E106" s="174"/>
      <c r="F106" s="174"/>
      <c r="G106" s="174"/>
      <c r="H106" s="174"/>
      <c r="I106" s="174"/>
      <c r="J106" s="174"/>
      <c r="K106" s="174"/>
      <c r="L106" s="174"/>
      <c r="M106" s="174"/>
      <c r="N106" s="174"/>
      <c r="O106" s="174"/>
      <c r="P106" s="174"/>
      <c r="Q106" s="174"/>
      <c r="R106" s="174"/>
      <c r="S106" s="174"/>
      <c r="T106" s="174"/>
      <c r="U106" s="174"/>
      <c r="V106" s="174"/>
      <c r="W106" s="174"/>
      <c r="X106" s="174"/>
      <c r="Y106" s="174"/>
      <c r="Z106" s="174"/>
      <c r="AA106" s="174"/>
      <c r="AB106" s="174"/>
      <c r="AC106" s="174"/>
      <c r="AD106" s="174"/>
      <c r="AE106" s="174"/>
      <c r="AF106" s="174"/>
      <c r="AG106" s="174"/>
      <c r="AH106" s="174"/>
      <c r="AI106" s="174"/>
      <c r="AJ106" s="174"/>
      <c r="AK106" s="174"/>
      <c r="AL106" s="174"/>
      <c r="AM106" s="174"/>
      <c r="AN106" s="174"/>
      <c r="AO106" s="174"/>
      <c r="AP106" s="174"/>
      <c r="AQ106" s="174"/>
      <c r="AR106" s="174"/>
      <c r="AS106" s="174"/>
      <c r="AT106" s="174"/>
      <c r="AU106" s="174"/>
      <c r="AV106" s="174"/>
      <c r="AW106" s="174"/>
      <c r="AX106" s="174"/>
      <c r="AY106" s="174"/>
      <c r="AZ106" s="174"/>
      <c r="BA106" s="174"/>
      <c r="BB106" s="174"/>
      <c r="BC106" s="174"/>
      <c r="BD106" s="174"/>
      <c r="BE106" s="174"/>
      <c r="BF106" s="174"/>
      <c r="BG106" s="174"/>
      <c r="BH106" s="174"/>
      <c r="BI106" s="174"/>
      <c r="BJ106" s="174"/>
      <c r="BK106" s="174"/>
      <c r="BL106" s="174"/>
      <c r="BM106" s="174"/>
      <c r="BN106" s="174"/>
      <c r="BO106" s="174"/>
      <c r="BP106" s="174"/>
      <c r="BQ106" s="174"/>
      <c r="BR106" s="174"/>
      <c r="BS106" s="174"/>
      <c r="BT106" s="174"/>
      <c r="BU106" s="174"/>
      <c r="BV106" s="174"/>
      <c r="BW106" s="174"/>
      <c r="BX106" s="174"/>
      <c r="BY106" s="174"/>
      <c r="BZ106" s="174"/>
      <c r="CA106" s="174"/>
      <c r="CB106" s="174"/>
      <c r="CC106" s="174"/>
      <c r="CD106" s="174"/>
      <c r="CE106" s="174"/>
      <c r="CF106" s="174"/>
      <c r="CG106" s="174"/>
      <c r="CH106" s="174"/>
      <c r="CI106" s="174"/>
      <c r="CJ106" s="174"/>
      <c r="CK106" s="174"/>
      <c r="CL106" s="174"/>
      <c r="CM106" s="174"/>
      <c r="CN106" s="174"/>
      <c r="CO106" s="174"/>
      <c r="CP106" s="174"/>
      <c r="CQ106" s="174"/>
      <c r="CR106" s="174"/>
      <c r="CS106" s="174"/>
      <c r="CT106" s="174"/>
      <c r="CU106" s="174"/>
      <c r="CV106" s="174"/>
      <c r="CW106" s="174"/>
      <c r="CX106" s="174"/>
      <c r="CY106" s="174"/>
      <c r="CZ106" s="174"/>
      <c r="DA106" s="174"/>
      <c r="DB106" s="174"/>
      <c r="DC106" s="174"/>
      <c r="DD106" s="174"/>
      <c r="DE106" s="174"/>
      <c r="DF106" s="174"/>
      <c r="DG106" s="174"/>
      <c r="DH106" s="174"/>
      <c r="DI106" s="174"/>
      <c r="DJ106" s="174"/>
      <c r="DK106" s="174"/>
      <c r="DL106" s="174"/>
      <c r="DM106" s="174"/>
      <c r="DN106" s="174"/>
      <c r="DO106" s="174"/>
      <c r="DP106" s="174"/>
      <c r="DQ106" s="174"/>
      <c r="DR106" s="174"/>
      <c r="DS106" s="174"/>
      <c r="DT106" s="174"/>
      <c r="DU106" s="174"/>
      <c r="DV106" s="174"/>
      <c r="DW106" s="174"/>
      <c r="DX106" s="174"/>
      <c r="DY106" s="174"/>
      <c r="DZ106" s="174"/>
      <c r="EA106" s="174"/>
      <c r="EB106" s="174"/>
      <c r="EC106" s="174"/>
      <c r="ED106" s="174"/>
      <c r="EE106" s="174"/>
      <c r="EF106" s="174"/>
      <c r="EG106" s="174"/>
      <c r="EH106" s="174"/>
      <c r="EI106" s="174"/>
      <c r="EJ106" s="174"/>
      <c r="EK106" s="174"/>
      <c r="EL106" s="174"/>
      <c r="EM106" s="174"/>
      <c r="EN106" s="174"/>
      <c r="EO106" s="174"/>
      <c r="EP106" s="174"/>
      <c r="EQ106" s="174"/>
      <c r="ER106" s="174"/>
      <c r="ES106" s="174"/>
      <c r="ET106" s="174"/>
      <c r="EU106" s="174"/>
      <c r="EV106" s="174"/>
      <c r="EW106" s="174"/>
      <c r="EX106" s="174"/>
      <c r="EY106" s="174"/>
      <c r="EZ106" s="174"/>
      <c r="FA106" s="174"/>
      <c r="FB106" s="174"/>
      <c r="FC106" s="174"/>
      <c r="FD106" s="174"/>
      <c r="FE106" s="174"/>
      <c r="FF106" s="174"/>
      <c r="FG106" s="174"/>
      <c r="FH106" s="174"/>
      <c r="FI106" s="174"/>
      <c r="FJ106" s="174"/>
      <c r="FK106" s="174"/>
      <c r="FL106" s="174"/>
      <c r="FM106" s="174"/>
      <c r="FN106" s="174"/>
      <c r="FO106" s="174"/>
      <c r="FP106" s="174"/>
      <c r="FQ106" s="174"/>
      <c r="FR106" s="174"/>
      <c r="FS106" s="174"/>
      <c r="FT106" s="174"/>
      <c r="FU106" s="174"/>
      <c r="FV106" s="174"/>
      <c r="FW106" s="174"/>
      <c r="FX106" s="174"/>
      <c r="FY106" s="174"/>
      <c r="FZ106" s="174"/>
      <c r="GA106" s="174"/>
      <c r="GB106" s="174"/>
      <c r="GC106" s="174"/>
      <c r="GD106" s="174"/>
      <c r="GE106" s="174"/>
      <c r="GF106" s="174"/>
      <c r="GG106" s="174"/>
      <c r="GH106" s="174"/>
      <c r="GI106" s="174"/>
      <c r="GJ106" s="174"/>
      <c r="GK106" s="174"/>
      <c r="GL106" s="174"/>
      <c r="GM106" s="174"/>
      <c r="GN106" s="174"/>
      <c r="GO106" s="174"/>
      <c r="GP106" s="174"/>
      <c r="GQ106" s="174"/>
      <c r="GR106" s="174"/>
      <c r="GS106" s="174"/>
      <c r="GT106" s="174"/>
      <c r="GU106" s="174"/>
      <c r="GV106" s="174"/>
      <c r="GW106" s="174"/>
      <c r="GX106" s="174"/>
      <c r="GY106" s="174"/>
      <c r="GZ106" s="174"/>
      <c r="HA106" s="174"/>
      <c r="HB106" s="174"/>
      <c r="HC106" s="174"/>
      <c r="HD106" s="174"/>
      <c r="HE106" s="174"/>
      <c r="HF106" s="174"/>
      <c r="HG106" s="174"/>
      <c r="HH106" s="174"/>
      <c r="HI106" s="174"/>
      <c r="HJ106" s="174"/>
      <c r="HK106" s="174"/>
      <c r="HL106" s="174"/>
      <c r="HM106" s="174"/>
      <c r="HN106" s="174"/>
      <c r="HO106" s="174"/>
      <c r="HP106" s="174"/>
      <c r="HQ106" s="174"/>
      <c r="HR106" s="174"/>
      <c r="HS106" s="174"/>
      <c r="HT106" s="174"/>
      <c r="HU106" s="174"/>
      <c r="HV106" s="174"/>
      <c r="HW106" s="174"/>
      <c r="HX106" s="174"/>
      <c r="HY106" s="174"/>
      <c r="HZ106" s="174"/>
      <c r="IA106" s="174"/>
      <c r="IB106" s="174"/>
      <c r="IC106" s="174"/>
      <c r="ID106" s="174"/>
      <c r="IE106" s="174"/>
      <c r="IF106" s="174"/>
      <c r="IG106" s="174"/>
      <c r="IH106" s="174"/>
      <c r="II106" s="174"/>
      <c r="IJ106" s="174"/>
      <c r="IK106" s="174"/>
      <c r="IL106" s="174"/>
      <c r="IM106" s="174"/>
      <c r="IN106" s="174"/>
      <c r="IO106" s="174"/>
      <c r="IP106" s="174"/>
      <c r="IQ106" s="174"/>
      <c r="IR106" s="174"/>
      <c r="IS106" s="174"/>
      <c r="IT106" s="174"/>
      <c r="IU106" s="75"/>
      <c r="IV106" s="75"/>
      <c r="IW106" s="75"/>
      <c r="IX106" s="75"/>
      <c r="IY106" s="75"/>
      <c r="IZ106" s="75"/>
      <c r="JA106" s="75"/>
      <c r="JB106" s="75"/>
      <c r="JC106" s="75"/>
      <c r="JD106" s="75"/>
      <c r="JF106" s="710"/>
      <c r="JG106" s="710"/>
      <c r="JH106" s="178">
        <f t="shared" si="7"/>
        <v>0</v>
      </c>
      <c r="JI106" s="174">
        <f t="shared" si="8"/>
        <v>0</v>
      </c>
    </row>
    <row r="107" spans="2:269" ht="15" customHeight="1" x14ac:dyDescent="0.25">
      <c r="B107" s="113">
        <v>104</v>
      </c>
      <c r="C107" s="353" t="str">
        <f t="shared" si="9"/>
        <v/>
      </c>
      <c r="D107" s="353" t="str">
        <f t="shared" si="10"/>
        <v/>
      </c>
      <c r="E107" s="174"/>
      <c r="F107" s="174"/>
      <c r="G107" s="174"/>
      <c r="H107" s="174"/>
      <c r="I107" s="174"/>
      <c r="J107" s="174"/>
      <c r="K107" s="174"/>
      <c r="L107" s="174"/>
      <c r="M107" s="174"/>
      <c r="N107" s="174"/>
      <c r="O107" s="174"/>
      <c r="P107" s="174"/>
      <c r="Q107" s="174"/>
      <c r="R107" s="174"/>
      <c r="S107" s="174"/>
      <c r="T107" s="174"/>
      <c r="U107" s="174"/>
      <c r="V107" s="174"/>
      <c r="W107" s="174"/>
      <c r="X107" s="174"/>
      <c r="Y107" s="174"/>
      <c r="Z107" s="174"/>
      <c r="AA107" s="174"/>
      <c r="AB107" s="174"/>
      <c r="AC107" s="174"/>
      <c r="AD107" s="174"/>
      <c r="AE107" s="174"/>
      <c r="AF107" s="174"/>
      <c r="AG107" s="174"/>
      <c r="AH107" s="174"/>
      <c r="AI107" s="174"/>
      <c r="AJ107" s="174"/>
      <c r="AK107" s="174"/>
      <c r="AL107" s="174"/>
      <c r="AM107" s="174"/>
      <c r="AN107" s="174"/>
      <c r="AO107" s="174"/>
      <c r="AP107" s="174"/>
      <c r="AQ107" s="174"/>
      <c r="AR107" s="174"/>
      <c r="AS107" s="174"/>
      <c r="AT107" s="174"/>
      <c r="AU107" s="174"/>
      <c r="AV107" s="174"/>
      <c r="AW107" s="174"/>
      <c r="AX107" s="174"/>
      <c r="AY107" s="174"/>
      <c r="AZ107" s="174"/>
      <c r="BA107" s="174"/>
      <c r="BB107" s="174"/>
      <c r="BC107" s="174"/>
      <c r="BD107" s="174"/>
      <c r="BE107" s="174"/>
      <c r="BF107" s="174"/>
      <c r="BG107" s="174"/>
      <c r="BH107" s="174"/>
      <c r="BI107" s="174"/>
      <c r="BJ107" s="174"/>
      <c r="BK107" s="174"/>
      <c r="BL107" s="174"/>
      <c r="BM107" s="174"/>
      <c r="BN107" s="174"/>
      <c r="BO107" s="174"/>
      <c r="BP107" s="174"/>
      <c r="BQ107" s="174"/>
      <c r="BR107" s="174"/>
      <c r="BS107" s="174"/>
      <c r="BT107" s="174"/>
      <c r="BU107" s="174"/>
      <c r="BV107" s="174"/>
      <c r="BW107" s="174"/>
      <c r="BX107" s="174"/>
      <c r="BY107" s="174"/>
      <c r="BZ107" s="174"/>
      <c r="CA107" s="174"/>
      <c r="CB107" s="174"/>
      <c r="CC107" s="174"/>
      <c r="CD107" s="174"/>
      <c r="CE107" s="174"/>
      <c r="CF107" s="174"/>
      <c r="CG107" s="174"/>
      <c r="CH107" s="174"/>
      <c r="CI107" s="174"/>
      <c r="CJ107" s="174"/>
      <c r="CK107" s="174"/>
      <c r="CL107" s="174"/>
      <c r="CM107" s="174"/>
      <c r="CN107" s="174"/>
      <c r="CO107" s="174"/>
      <c r="CP107" s="174"/>
      <c r="CQ107" s="174"/>
      <c r="CR107" s="174"/>
      <c r="CS107" s="174"/>
      <c r="CT107" s="174"/>
      <c r="CU107" s="174"/>
      <c r="CV107" s="174"/>
      <c r="CW107" s="174"/>
      <c r="CX107" s="174"/>
      <c r="CY107" s="174"/>
      <c r="CZ107" s="174"/>
      <c r="DA107" s="174"/>
      <c r="DB107" s="174"/>
      <c r="DC107" s="174"/>
      <c r="DD107" s="174"/>
      <c r="DE107" s="174"/>
      <c r="DF107" s="174"/>
      <c r="DG107" s="174"/>
      <c r="DH107" s="174"/>
      <c r="DI107" s="174"/>
      <c r="DJ107" s="174"/>
      <c r="DK107" s="174"/>
      <c r="DL107" s="174"/>
      <c r="DM107" s="174"/>
      <c r="DN107" s="174"/>
      <c r="DO107" s="174"/>
      <c r="DP107" s="174"/>
      <c r="DQ107" s="174"/>
      <c r="DR107" s="174"/>
      <c r="DS107" s="174"/>
      <c r="DT107" s="174"/>
      <c r="DU107" s="174"/>
      <c r="DV107" s="174"/>
      <c r="DW107" s="174"/>
      <c r="DX107" s="174"/>
      <c r="DY107" s="174"/>
      <c r="DZ107" s="174"/>
      <c r="EA107" s="174"/>
      <c r="EB107" s="174"/>
      <c r="EC107" s="174"/>
      <c r="ED107" s="174"/>
      <c r="EE107" s="174"/>
      <c r="EF107" s="174"/>
      <c r="EG107" s="174"/>
      <c r="EH107" s="174"/>
      <c r="EI107" s="174"/>
      <c r="EJ107" s="174"/>
      <c r="EK107" s="174"/>
      <c r="EL107" s="174"/>
      <c r="EM107" s="174"/>
      <c r="EN107" s="174"/>
      <c r="EO107" s="174"/>
      <c r="EP107" s="174"/>
      <c r="EQ107" s="174"/>
      <c r="ER107" s="174"/>
      <c r="ES107" s="174"/>
      <c r="ET107" s="174"/>
      <c r="EU107" s="174"/>
      <c r="EV107" s="174"/>
      <c r="EW107" s="174"/>
      <c r="EX107" s="174"/>
      <c r="EY107" s="174"/>
      <c r="EZ107" s="174"/>
      <c r="FA107" s="174"/>
      <c r="FB107" s="174"/>
      <c r="FC107" s="174"/>
      <c r="FD107" s="174"/>
      <c r="FE107" s="174"/>
      <c r="FF107" s="174"/>
      <c r="FG107" s="174"/>
      <c r="FH107" s="174"/>
      <c r="FI107" s="174"/>
      <c r="FJ107" s="174"/>
      <c r="FK107" s="174"/>
      <c r="FL107" s="174"/>
      <c r="FM107" s="174"/>
      <c r="FN107" s="174"/>
      <c r="FO107" s="174"/>
      <c r="FP107" s="174"/>
      <c r="FQ107" s="174"/>
      <c r="FR107" s="174"/>
      <c r="FS107" s="174"/>
      <c r="FT107" s="174"/>
      <c r="FU107" s="174"/>
      <c r="FV107" s="174"/>
      <c r="FW107" s="174"/>
      <c r="FX107" s="174"/>
      <c r="FY107" s="174"/>
      <c r="FZ107" s="174"/>
      <c r="GA107" s="174"/>
      <c r="GB107" s="174"/>
      <c r="GC107" s="174"/>
      <c r="GD107" s="174"/>
      <c r="GE107" s="174"/>
      <c r="GF107" s="174"/>
      <c r="GG107" s="174"/>
      <c r="GH107" s="174"/>
      <c r="GI107" s="174"/>
      <c r="GJ107" s="174"/>
      <c r="GK107" s="174"/>
      <c r="GL107" s="174"/>
      <c r="GM107" s="174"/>
      <c r="GN107" s="174"/>
      <c r="GO107" s="174"/>
      <c r="GP107" s="174"/>
      <c r="GQ107" s="174"/>
      <c r="GR107" s="174"/>
      <c r="GS107" s="174"/>
      <c r="GT107" s="174"/>
      <c r="GU107" s="174"/>
      <c r="GV107" s="174"/>
      <c r="GW107" s="174"/>
      <c r="GX107" s="174"/>
      <c r="GY107" s="174"/>
      <c r="GZ107" s="174"/>
      <c r="HA107" s="174"/>
      <c r="HB107" s="174"/>
      <c r="HC107" s="174"/>
      <c r="HD107" s="174"/>
      <c r="HE107" s="174"/>
      <c r="HF107" s="174"/>
      <c r="HG107" s="174"/>
      <c r="HH107" s="174"/>
      <c r="HI107" s="174"/>
      <c r="HJ107" s="174"/>
      <c r="HK107" s="174"/>
      <c r="HL107" s="174"/>
      <c r="HM107" s="174"/>
      <c r="HN107" s="174"/>
      <c r="HO107" s="174"/>
      <c r="HP107" s="174"/>
      <c r="HQ107" s="174"/>
      <c r="HR107" s="174"/>
      <c r="HS107" s="174"/>
      <c r="HT107" s="174"/>
      <c r="HU107" s="174"/>
      <c r="HV107" s="174"/>
      <c r="HW107" s="174"/>
      <c r="HX107" s="174"/>
      <c r="HY107" s="174"/>
      <c r="HZ107" s="174"/>
      <c r="IA107" s="174"/>
      <c r="IB107" s="174"/>
      <c r="IC107" s="174"/>
      <c r="ID107" s="174"/>
      <c r="IE107" s="174"/>
      <c r="IF107" s="174"/>
      <c r="IG107" s="174"/>
      <c r="IH107" s="174"/>
      <c r="II107" s="174"/>
      <c r="IJ107" s="174"/>
      <c r="IK107" s="174"/>
      <c r="IL107" s="174"/>
      <c r="IM107" s="174"/>
      <c r="IN107" s="174"/>
      <c r="IO107" s="174"/>
      <c r="IP107" s="174"/>
      <c r="IQ107" s="174"/>
      <c r="IR107" s="174"/>
      <c r="IS107" s="174"/>
      <c r="IT107" s="174"/>
      <c r="IU107" s="75"/>
      <c r="IV107" s="75"/>
      <c r="IW107" s="75"/>
      <c r="IX107" s="75"/>
      <c r="IY107" s="75"/>
      <c r="IZ107" s="75"/>
      <c r="JA107" s="75"/>
      <c r="JB107" s="75"/>
      <c r="JC107" s="75"/>
      <c r="JD107" s="75"/>
      <c r="JF107" s="710"/>
      <c r="JG107" s="710"/>
      <c r="JH107" s="178">
        <f t="shared" si="7"/>
        <v>0</v>
      </c>
      <c r="JI107" s="174">
        <f t="shared" si="8"/>
        <v>0</v>
      </c>
    </row>
    <row r="108" spans="2:269" ht="15" customHeight="1" x14ac:dyDescent="0.25">
      <c r="B108" s="113">
        <v>105</v>
      </c>
      <c r="C108" s="353" t="str">
        <f t="shared" si="9"/>
        <v/>
      </c>
      <c r="D108" s="353" t="str">
        <f t="shared" si="10"/>
        <v/>
      </c>
      <c r="E108" s="174"/>
      <c r="F108" s="174"/>
      <c r="G108" s="174"/>
      <c r="H108" s="174"/>
      <c r="I108" s="174"/>
      <c r="J108" s="174"/>
      <c r="K108" s="174"/>
      <c r="L108" s="174"/>
      <c r="M108" s="174"/>
      <c r="N108" s="174"/>
      <c r="O108" s="174"/>
      <c r="P108" s="174"/>
      <c r="Q108" s="174"/>
      <c r="R108" s="174"/>
      <c r="S108" s="174"/>
      <c r="T108" s="174"/>
      <c r="U108" s="174"/>
      <c r="V108" s="174"/>
      <c r="W108" s="174"/>
      <c r="X108" s="174"/>
      <c r="Y108" s="174"/>
      <c r="Z108" s="174"/>
      <c r="AA108" s="174"/>
      <c r="AB108" s="174"/>
      <c r="AC108" s="174"/>
      <c r="AD108" s="174"/>
      <c r="AE108" s="174"/>
      <c r="AF108" s="174"/>
      <c r="AG108" s="174"/>
      <c r="AH108" s="174"/>
      <c r="AI108" s="174"/>
      <c r="AJ108" s="174"/>
      <c r="AK108" s="174"/>
      <c r="AL108" s="174"/>
      <c r="AM108" s="174"/>
      <c r="AN108" s="174"/>
      <c r="AO108" s="174"/>
      <c r="AP108" s="174"/>
      <c r="AQ108" s="174"/>
      <c r="AR108" s="174"/>
      <c r="AS108" s="174"/>
      <c r="AT108" s="174"/>
      <c r="AU108" s="174"/>
      <c r="AV108" s="174"/>
      <c r="AW108" s="174"/>
      <c r="AX108" s="174"/>
      <c r="AY108" s="174"/>
      <c r="AZ108" s="174"/>
      <c r="BA108" s="174"/>
      <c r="BB108" s="174"/>
      <c r="BC108" s="174"/>
      <c r="BD108" s="174"/>
      <c r="BE108" s="174"/>
      <c r="BF108" s="174"/>
      <c r="BG108" s="174"/>
      <c r="BH108" s="174"/>
      <c r="BI108" s="174"/>
      <c r="BJ108" s="174"/>
      <c r="BK108" s="174"/>
      <c r="BL108" s="174"/>
      <c r="BM108" s="174"/>
      <c r="BN108" s="174"/>
      <c r="BO108" s="174"/>
      <c r="BP108" s="174"/>
      <c r="BQ108" s="174"/>
      <c r="BR108" s="174"/>
      <c r="BS108" s="174"/>
      <c r="BT108" s="174"/>
      <c r="BU108" s="174"/>
      <c r="BV108" s="174"/>
      <c r="BW108" s="174"/>
      <c r="BX108" s="174"/>
      <c r="BY108" s="174"/>
      <c r="BZ108" s="174"/>
      <c r="CA108" s="174"/>
      <c r="CB108" s="174"/>
      <c r="CC108" s="174"/>
      <c r="CD108" s="174"/>
      <c r="CE108" s="174"/>
      <c r="CF108" s="174"/>
      <c r="CG108" s="174"/>
      <c r="CH108" s="174"/>
      <c r="CI108" s="174"/>
      <c r="CJ108" s="174"/>
      <c r="CK108" s="174"/>
      <c r="CL108" s="174"/>
      <c r="CM108" s="174"/>
      <c r="CN108" s="174"/>
      <c r="CO108" s="174"/>
      <c r="CP108" s="174"/>
      <c r="CQ108" s="174"/>
      <c r="CR108" s="174"/>
      <c r="CS108" s="174"/>
      <c r="CT108" s="174"/>
      <c r="CU108" s="174"/>
      <c r="CV108" s="174"/>
      <c r="CW108" s="174"/>
      <c r="CX108" s="174"/>
      <c r="CY108" s="174"/>
      <c r="CZ108" s="174"/>
      <c r="DA108" s="174"/>
      <c r="DB108" s="174"/>
      <c r="DC108" s="174"/>
      <c r="DD108" s="174"/>
      <c r="DE108" s="174"/>
      <c r="DF108" s="174"/>
      <c r="DG108" s="174"/>
      <c r="DH108" s="174"/>
      <c r="DI108" s="174"/>
      <c r="DJ108" s="174"/>
      <c r="DK108" s="174"/>
      <c r="DL108" s="174"/>
      <c r="DM108" s="174"/>
      <c r="DN108" s="174"/>
      <c r="DO108" s="174"/>
      <c r="DP108" s="174"/>
      <c r="DQ108" s="174"/>
      <c r="DR108" s="174"/>
      <c r="DS108" s="174"/>
      <c r="DT108" s="174"/>
      <c r="DU108" s="174"/>
      <c r="DV108" s="174"/>
      <c r="DW108" s="174"/>
      <c r="DX108" s="174"/>
      <c r="DY108" s="174"/>
      <c r="DZ108" s="174"/>
      <c r="EA108" s="174"/>
      <c r="EB108" s="174"/>
      <c r="EC108" s="174"/>
      <c r="ED108" s="174"/>
      <c r="EE108" s="174"/>
      <c r="EF108" s="174"/>
      <c r="EG108" s="174"/>
      <c r="EH108" s="174"/>
      <c r="EI108" s="174"/>
      <c r="EJ108" s="174"/>
      <c r="EK108" s="174"/>
      <c r="EL108" s="174"/>
      <c r="EM108" s="174"/>
      <c r="EN108" s="174"/>
      <c r="EO108" s="174"/>
      <c r="EP108" s="174"/>
      <c r="EQ108" s="174"/>
      <c r="ER108" s="174"/>
      <c r="ES108" s="174"/>
      <c r="ET108" s="174"/>
      <c r="EU108" s="174"/>
      <c r="EV108" s="174"/>
      <c r="EW108" s="174"/>
      <c r="EX108" s="174"/>
      <c r="EY108" s="174"/>
      <c r="EZ108" s="174"/>
      <c r="FA108" s="174"/>
      <c r="FB108" s="174"/>
      <c r="FC108" s="174"/>
      <c r="FD108" s="174"/>
      <c r="FE108" s="174"/>
      <c r="FF108" s="174"/>
      <c r="FG108" s="174"/>
      <c r="FH108" s="174"/>
      <c r="FI108" s="174"/>
      <c r="FJ108" s="174"/>
      <c r="FK108" s="174"/>
      <c r="FL108" s="174"/>
      <c r="FM108" s="174"/>
      <c r="FN108" s="174"/>
      <c r="FO108" s="174"/>
      <c r="FP108" s="174"/>
      <c r="FQ108" s="174"/>
      <c r="FR108" s="174"/>
      <c r="FS108" s="174"/>
      <c r="FT108" s="174"/>
      <c r="FU108" s="174"/>
      <c r="FV108" s="174"/>
      <c r="FW108" s="174"/>
      <c r="FX108" s="174"/>
      <c r="FY108" s="174"/>
      <c r="FZ108" s="174"/>
      <c r="GA108" s="174"/>
      <c r="GB108" s="174"/>
      <c r="GC108" s="174"/>
      <c r="GD108" s="174"/>
      <c r="GE108" s="174"/>
      <c r="GF108" s="174"/>
      <c r="GG108" s="174"/>
      <c r="GH108" s="174"/>
      <c r="GI108" s="174"/>
      <c r="GJ108" s="174"/>
      <c r="GK108" s="174"/>
      <c r="GL108" s="174"/>
      <c r="GM108" s="174"/>
      <c r="GN108" s="174"/>
      <c r="GO108" s="174"/>
      <c r="GP108" s="174"/>
      <c r="GQ108" s="174"/>
      <c r="GR108" s="174"/>
      <c r="GS108" s="174"/>
      <c r="GT108" s="174"/>
      <c r="GU108" s="174"/>
      <c r="GV108" s="174"/>
      <c r="GW108" s="174"/>
      <c r="GX108" s="174"/>
      <c r="GY108" s="174"/>
      <c r="GZ108" s="174"/>
      <c r="HA108" s="174"/>
      <c r="HB108" s="174"/>
      <c r="HC108" s="174"/>
      <c r="HD108" s="174"/>
      <c r="HE108" s="174"/>
      <c r="HF108" s="174"/>
      <c r="HG108" s="174"/>
      <c r="HH108" s="174"/>
      <c r="HI108" s="174"/>
      <c r="HJ108" s="174"/>
      <c r="HK108" s="174"/>
      <c r="HL108" s="174"/>
      <c r="HM108" s="174"/>
      <c r="HN108" s="174"/>
      <c r="HO108" s="174"/>
      <c r="HP108" s="174"/>
      <c r="HQ108" s="174"/>
      <c r="HR108" s="174"/>
      <c r="HS108" s="174"/>
      <c r="HT108" s="174"/>
      <c r="HU108" s="174"/>
      <c r="HV108" s="174"/>
      <c r="HW108" s="174"/>
      <c r="HX108" s="174"/>
      <c r="HY108" s="174"/>
      <c r="HZ108" s="174"/>
      <c r="IA108" s="174"/>
      <c r="IB108" s="174"/>
      <c r="IC108" s="174"/>
      <c r="ID108" s="174"/>
      <c r="IE108" s="174"/>
      <c r="IF108" s="174"/>
      <c r="IG108" s="174"/>
      <c r="IH108" s="174"/>
      <c r="II108" s="174"/>
      <c r="IJ108" s="174"/>
      <c r="IK108" s="174"/>
      <c r="IL108" s="174"/>
      <c r="IM108" s="174"/>
      <c r="IN108" s="174"/>
      <c r="IO108" s="174"/>
      <c r="IP108" s="174"/>
      <c r="IQ108" s="174"/>
      <c r="IR108" s="174"/>
      <c r="IS108" s="174"/>
      <c r="IT108" s="174"/>
      <c r="IU108" s="75"/>
      <c r="IV108" s="75"/>
      <c r="IW108" s="75"/>
      <c r="IX108" s="75"/>
      <c r="IY108" s="75"/>
      <c r="IZ108" s="75"/>
      <c r="JA108" s="75"/>
      <c r="JB108" s="75"/>
      <c r="JC108" s="75"/>
      <c r="JD108" s="75"/>
      <c r="JF108" s="710"/>
      <c r="JG108" s="710"/>
      <c r="JH108" s="178">
        <f t="shared" si="7"/>
        <v>0</v>
      </c>
      <c r="JI108" s="174">
        <f t="shared" si="8"/>
        <v>0</v>
      </c>
    </row>
    <row r="109" spans="2:269" ht="15" customHeight="1" x14ac:dyDescent="0.25">
      <c r="B109" s="113">
        <v>106</v>
      </c>
      <c r="C109" s="353" t="str">
        <f t="shared" si="9"/>
        <v/>
      </c>
      <c r="D109" s="353" t="str">
        <f t="shared" si="10"/>
        <v/>
      </c>
      <c r="E109" s="174"/>
      <c r="F109" s="174"/>
      <c r="G109" s="174"/>
      <c r="H109" s="174"/>
      <c r="I109" s="174"/>
      <c r="J109" s="174"/>
      <c r="K109" s="174"/>
      <c r="L109" s="174"/>
      <c r="M109" s="174"/>
      <c r="N109" s="174"/>
      <c r="O109" s="174"/>
      <c r="P109" s="174"/>
      <c r="Q109" s="174"/>
      <c r="R109" s="174"/>
      <c r="S109" s="174"/>
      <c r="T109" s="174"/>
      <c r="U109" s="174"/>
      <c r="V109" s="174"/>
      <c r="W109" s="174"/>
      <c r="X109" s="174"/>
      <c r="Y109" s="174"/>
      <c r="Z109" s="174"/>
      <c r="AA109" s="174"/>
      <c r="AB109" s="174"/>
      <c r="AC109" s="174"/>
      <c r="AD109" s="174"/>
      <c r="AE109" s="174"/>
      <c r="AF109" s="174"/>
      <c r="AG109" s="174"/>
      <c r="AH109" s="174"/>
      <c r="AI109" s="174"/>
      <c r="AJ109" s="174"/>
      <c r="AK109" s="174"/>
      <c r="AL109" s="174"/>
      <c r="AM109" s="174"/>
      <c r="AN109" s="174"/>
      <c r="AO109" s="174"/>
      <c r="AP109" s="174"/>
      <c r="AQ109" s="174"/>
      <c r="AR109" s="174"/>
      <c r="AS109" s="174"/>
      <c r="AT109" s="174"/>
      <c r="AU109" s="174"/>
      <c r="AV109" s="174"/>
      <c r="AW109" s="174"/>
      <c r="AX109" s="174"/>
      <c r="AY109" s="174"/>
      <c r="AZ109" s="174"/>
      <c r="BA109" s="174"/>
      <c r="BB109" s="174"/>
      <c r="BC109" s="174"/>
      <c r="BD109" s="174"/>
      <c r="BE109" s="174"/>
      <c r="BF109" s="174"/>
      <c r="BG109" s="174"/>
      <c r="BH109" s="174"/>
      <c r="BI109" s="174"/>
      <c r="BJ109" s="174"/>
      <c r="BK109" s="174"/>
      <c r="BL109" s="174"/>
      <c r="BM109" s="174"/>
      <c r="BN109" s="174"/>
      <c r="BO109" s="174"/>
      <c r="BP109" s="174"/>
      <c r="BQ109" s="174"/>
      <c r="BR109" s="174"/>
      <c r="BS109" s="174"/>
      <c r="BT109" s="174"/>
      <c r="BU109" s="174"/>
      <c r="BV109" s="174"/>
      <c r="BW109" s="174"/>
      <c r="BX109" s="174"/>
      <c r="BY109" s="174"/>
      <c r="BZ109" s="174"/>
      <c r="CA109" s="174"/>
      <c r="CB109" s="174"/>
      <c r="CC109" s="174"/>
      <c r="CD109" s="174"/>
      <c r="CE109" s="174"/>
      <c r="CF109" s="174"/>
      <c r="CG109" s="174"/>
      <c r="CH109" s="174"/>
      <c r="CI109" s="174"/>
      <c r="CJ109" s="174"/>
      <c r="CK109" s="174"/>
      <c r="CL109" s="174"/>
      <c r="CM109" s="174"/>
      <c r="CN109" s="174"/>
      <c r="CO109" s="174"/>
      <c r="CP109" s="174"/>
      <c r="CQ109" s="174"/>
      <c r="CR109" s="174"/>
      <c r="CS109" s="174"/>
      <c r="CT109" s="174"/>
      <c r="CU109" s="174"/>
      <c r="CV109" s="174"/>
      <c r="CW109" s="174"/>
      <c r="CX109" s="174"/>
      <c r="CY109" s="174"/>
      <c r="CZ109" s="174"/>
      <c r="DA109" s="174"/>
      <c r="DB109" s="174"/>
      <c r="DC109" s="174"/>
      <c r="DD109" s="174"/>
      <c r="DE109" s="174"/>
      <c r="DF109" s="174"/>
      <c r="DG109" s="174"/>
      <c r="DH109" s="174"/>
      <c r="DI109" s="174"/>
      <c r="DJ109" s="174"/>
      <c r="DK109" s="174"/>
      <c r="DL109" s="174"/>
      <c r="DM109" s="174"/>
      <c r="DN109" s="174"/>
      <c r="DO109" s="174"/>
      <c r="DP109" s="174"/>
      <c r="DQ109" s="174"/>
      <c r="DR109" s="174"/>
      <c r="DS109" s="174"/>
      <c r="DT109" s="174"/>
      <c r="DU109" s="174"/>
      <c r="DV109" s="174"/>
      <c r="DW109" s="174"/>
      <c r="DX109" s="174"/>
      <c r="DY109" s="174"/>
      <c r="DZ109" s="174"/>
      <c r="EA109" s="174"/>
      <c r="EB109" s="174"/>
      <c r="EC109" s="174"/>
      <c r="ED109" s="174"/>
      <c r="EE109" s="174"/>
      <c r="EF109" s="174"/>
      <c r="EG109" s="174"/>
      <c r="EH109" s="174"/>
      <c r="EI109" s="174"/>
      <c r="EJ109" s="174"/>
      <c r="EK109" s="174"/>
      <c r="EL109" s="174"/>
      <c r="EM109" s="174"/>
      <c r="EN109" s="174"/>
      <c r="EO109" s="174"/>
      <c r="EP109" s="174"/>
      <c r="EQ109" s="174"/>
      <c r="ER109" s="174"/>
      <c r="ES109" s="174"/>
      <c r="ET109" s="174"/>
      <c r="EU109" s="174"/>
      <c r="EV109" s="174"/>
      <c r="EW109" s="174"/>
      <c r="EX109" s="174"/>
      <c r="EY109" s="174"/>
      <c r="EZ109" s="174"/>
      <c r="FA109" s="174"/>
      <c r="FB109" s="174"/>
      <c r="FC109" s="174"/>
      <c r="FD109" s="174"/>
      <c r="FE109" s="174"/>
      <c r="FF109" s="174"/>
      <c r="FG109" s="174"/>
      <c r="FH109" s="174"/>
      <c r="FI109" s="174"/>
      <c r="FJ109" s="174"/>
      <c r="FK109" s="174"/>
      <c r="FL109" s="174"/>
      <c r="FM109" s="174"/>
      <c r="FN109" s="174"/>
      <c r="FO109" s="174"/>
      <c r="FP109" s="174"/>
      <c r="FQ109" s="174"/>
      <c r="FR109" s="174"/>
      <c r="FS109" s="174"/>
      <c r="FT109" s="174"/>
      <c r="FU109" s="174"/>
      <c r="FV109" s="174"/>
      <c r="FW109" s="174"/>
      <c r="FX109" s="174"/>
      <c r="FY109" s="174"/>
      <c r="FZ109" s="174"/>
      <c r="GA109" s="174"/>
      <c r="GB109" s="174"/>
      <c r="GC109" s="174"/>
      <c r="GD109" s="174"/>
      <c r="GE109" s="174"/>
      <c r="GF109" s="174"/>
      <c r="GG109" s="174"/>
      <c r="GH109" s="174"/>
      <c r="GI109" s="174"/>
      <c r="GJ109" s="174"/>
      <c r="GK109" s="174"/>
      <c r="GL109" s="174"/>
      <c r="GM109" s="174"/>
      <c r="GN109" s="174"/>
      <c r="GO109" s="174"/>
      <c r="GP109" s="174"/>
      <c r="GQ109" s="174"/>
      <c r="GR109" s="174"/>
      <c r="GS109" s="174"/>
      <c r="GT109" s="174"/>
      <c r="GU109" s="174"/>
      <c r="GV109" s="174"/>
      <c r="GW109" s="174"/>
      <c r="GX109" s="174"/>
      <c r="GY109" s="174"/>
      <c r="GZ109" s="174"/>
      <c r="HA109" s="174"/>
      <c r="HB109" s="174"/>
      <c r="HC109" s="174"/>
      <c r="HD109" s="174"/>
      <c r="HE109" s="174"/>
      <c r="HF109" s="174"/>
      <c r="HG109" s="174"/>
      <c r="HH109" s="174"/>
      <c r="HI109" s="174"/>
      <c r="HJ109" s="174"/>
      <c r="HK109" s="174"/>
      <c r="HL109" s="174"/>
      <c r="HM109" s="174"/>
      <c r="HN109" s="174"/>
      <c r="HO109" s="174"/>
      <c r="HP109" s="174"/>
      <c r="HQ109" s="174"/>
      <c r="HR109" s="174"/>
      <c r="HS109" s="174"/>
      <c r="HT109" s="174"/>
      <c r="HU109" s="174"/>
      <c r="HV109" s="174"/>
      <c r="HW109" s="174"/>
      <c r="HX109" s="174"/>
      <c r="HY109" s="174"/>
      <c r="HZ109" s="174"/>
      <c r="IA109" s="174"/>
      <c r="IB109" s="174"/>
      <c r="IC109" s="174"/>
      <c r="ID109" s="174"/>
      <c r="IE109" s="174"/>
      <c r="IF109" s="174"/>
      <c r="IG109" s="174"/>
      <c r="IH109" s="174"/>
      <c r="II109" s="174"/>
      <c r="IJ109" s="174"/>
      <c r="IK109" s="174"/>
      <c r="IL109" s="174"/>
      <c r="IM109" s="174"/>
      <c r="IN109" s="174"/>
      <c r="IO109" s="174"/>
      <c r="IP109" s="174"/>
      <c r="IQ109" s="174"/>
      <c r="IR109" s="174"/>
      <c r="IS109" s="174"/>
      <c r="IT109" s="174"/>
      <c r="IU109" s="75"/>
      <c r="IV109" s="75"/>
      <c r="IW109" s="75"/>
      <c r="IX109" s="75"/>
      <c r="IY109" s="75"/>
      <c r="IZ109" s="75"/>
      <c r="JA109" s="75"/>
      <c r="JB109" s="75"/>
      <c r="JC109" s="75"/>
      <c r="JD109" s="75"/>
      <c r="JF109" s="710"/>
      <c r="JG109" s="710"/>
      <c r="JH109" s="178">
        <f t="shared" si="7"/>
        <v>0</v>
      </c>
      <c r="JI109" s="174">
        <f t="shared" si="8"/>
        <v>0</v>
      </c>
    </row>
    <row r="110" spans="2:269" ht="15" customHeight="1" x14ac:dyDescent="0.25">
      <c r="B110" s="113">
        <v>107</v>
      </c>
      <c r="C110" s="353" t="str">
        <f t="shared" si="9"/>
        <v/>
      </c>
      <c r="D110" s="353" t="str">
        <f t="shared" si="10"/>
        <v/>
      </c>
      <c r="E110" s="174"/>
      <c r="F110" s="174"/>
      <c r="G110" s="174"/>
      <c r="H110" s="174"/>
      <c r="I110" s="174"/>
      <c r="J110" s="174"/>
      <c r="K110" s="174"/>
      <c r="L110" s="174"/>
      <c r="M110" s="174"/>
      <c r="N110" s="174"/>
      <c r="O110" s="174"/>
      <c r="P110" s="174"/>
      <c r="Q110" s="174"/>
      <c r="R110" s="174"/>
      <c r="S110" s="174"/>
      <c r="T110" s="174"/>
      <c r="U110" s="174"/>
      <c r="V110" s="174"/>
      <c r="W110" s="174"/>
      <c r="X110" s="174"/>
      <c r="Y110" s="174"/>
      <c r="Z110" s="174"/>
      <c r="AA110" s="174"/>
      <c r="AB110" s="174"/>
      <c r="AC110" s="174"/>
      <c r="AD110" s="174"/>
      <c r="AE110" s="174"/>
      <c r="AF110" s="174"/>
      <c r="AG110" s="174"/>
      <c r="AH110" s="174"/>
      <c r="AI110" s="174"/>
      <c r="AJ110" s="174"/>
      <c r="AK110" s="174"/>
      <c r="AL110" s="174"/>
      <c r="AM110" s="174"/>
      <c r="AN110" s="174"/>
      <c r="AO110" s="174"/>
      <c r="AP110" s="174"/>
      <c r="AQ110" s="174"/>
      <c r="AR110" s="174"/>
      <c r="AS110" s="174"/>
      <c r="AT110" s="174"/>
      <c r="AU110" s="174"/>
      <c r="AV110" s="174"/>
      <c r="AW110" s="174"/>
      <c r="AX110" s="174"/>
      <c r="AY110" s="174"/>
      <c r="AZ110" s="174"/>
      <c r="BA110" s="174"/>
      <c r="BB110" s="174"/>
      <c r="BC110" s="174"/>
      <c r="BD110" s="174"/>
      <c r="BE110" s="174"/>
      <c r="BF110" s="174"/>
      <c r="BG110" s="174"/>
      <c r="BH110" s="174"/>
      <c r="BI110" s="174"/>
      <c r="BJ110" s="174"/>
      <c r="BK110" s="174"/>
      <c r="BL110" s="174"/>
      <c r="BM110" s="174"/>
      <c r="BN110" s="174"/>
      <c r="BO110" s="174"/>
      <c r="BP110" s="174"/>
      <c r="BQ110" s="174"/>
      <c r="BR110" s="174"/>
      <c r="BS110" s="174"/>
      <c r="BT110" s="174"/>
      <c r="BU110" s="174"/>
      <c r="BV110" s="174"/>
      <c r="BW110" s="174"/>
      <c r="BX110" s="174"/>
      <c r="BY110" s="174"/>
      <c r="BZ110" s="174"/>
      <c r="CA110" s="174"/>
      <c r="CB110" s="174"/>
      <c r="CC110" s="174"/>
      <c r="CD110" s="174"/>
      <c r="CE110" s="174"/>
      <c r="CF110" s="174"/>
      <c r="CG110" s="174"/>
      <c r="CH110" s="174"/>
      <c r="CI110" s="174"/>
      <c r="CJ110" s="174"/>
      <c r="CK110" s="174"/>
      <c r="CL110" s="174"/>
      <c r="CM110" s="174"/>
      <c r="CN110" s="174"/>
      <c r="CO110" s="174"/>
      <c r="CP110" s="174"/>
      <c r="CQ110" s="174"/>
      <c r="CR110" s="174"/>
      <c r="CS110" s="174"/>
      <c r="CT110" s="174"/>
      <c r="CU110" s="174"/>
      <c r="CV110" s="174"/>
      <c r="CW110" s="174"/>
      <c r="CX110" s="174"/>
      <c r="CY110" s="174"/>
      <c r="CZ110" s="174"/>
      <c r="DA110" s="174"/>
      <c r="DB110" s="174"/>
      <c r="DC110" s="174"/>
      <c r="DD110" s="174"/>
      <c r="DE110" s="174"/>
      <c r="DF110" s="174"/>
      <c r="DG110" s="174"/>
      <c r="DH110" s="174"/>
      <c r="DI110" s="174"/>
      <c r="DJ110" s="174"/>
      <c r="DK110" s="174"/>
      <c r="DL110" s="174"/>
      <c r="DM110" s="174"/>
      <c r="DN110" s="174"/>
      <c r="DO110" s="174"/>
      <c r="DP110" s="174"/>
      <c r="DQ110" s="174"/>
      <c r="DR110" s="174"/>
      <c r="DS110" s="174"/>
      <c r="DT110" s="174"/>
      <c r="DU110" s="174"/>
      <c r="DV110" s="174"/>
      <c r="DW110" s="174"/>
      <c r="DX110" s="174"/>
      <c r="DY110" s="174"/>
      <c r="DZ110" s="174"/>
      <c r="EA110" s="174"/>
      <c r="EB110" s="174"/>
      <c r="EC110" s="174"/>
      <c r="ED110" s="174"/>
      <c r="EE110" s="174"/>
      <c r="EF110" s="174"/>
      <c r="EG110" s="174"/>
      <c r="EH110" s="174"/>
      <c r="EI110" s="174"/>
      <c r="EJ110" s="174"/>
      <c r="EK110" s="174"/>
      <c r="EL110" s="174"/>
      <c r="EM110" s="174"/>
      <c r="EN110" s="174"/>
      <c r="EO110" s="174"/>
      <c r="EP110" s="174"/>
      <c r="EQ110" s="174"/>
      <c r="ER110" s="174"/>
      <c r="ES110" s="174"/>
      <c r="ET110" s="174"/>
      <c r="EU110" s="174"/>
      <c r="EV110" s="174"/>
      <c r="EW110" s="174"/>
      <c r="EX110" s="174"/>
      <c r="EY110" s="174"/>
      <c r="EZ110" s="174"/>
      <c r="FA110" s="174"/>
      <c r="FB110" s="174"/>
      <c r="FC110" s="174"/>
      <c r="FD110" s="174"/>
      <c r="FE110" s="174"/>
      <c r="FF110" s="174"/>
      <c r="FG110" s="174"/>
      <c r="FH110" s="174"/>
      <c r="FI110" s="174"/>
      <c r="FJ110" s="174"/>
      <c r="FK110" s="174"/>
      <c r="FL110" s="174"/>
      <c r="FM110" s="174"/>
      <c r="FN110" s="174"/>
      <c r="FO110" s="174"/>
      <c r="FP110" s="174"/>
      <c r="FQ110" s="174"/>
      <c r="FR110" s="174"/>
      <c r="FS110" s="174"/>
      <c r="FT110" s="174"/>
      <c r="FU110" s="174"/>
      <c r="FV110" s="174"/>
      <c r="FW110" s="174"/>
      <c r="FX110" s="174"/>
      <c r="FY110" s="174"/>
      <c r="FZ110" s="174"/>
      <c r="GA110" s="174"/>
      <c r="GB110" s="174"/>
      <c r="GC110" s="174"/>
      <c r="GD110" s="174"/>
      <c r="GE110" s="174"/>
      <c r="GF110" s="174"/>
      <c r="GG110" s="174"/>
      <c r="GH110" s="174"/>
      <c r="GI110" s="174"/>
      <c r="GJ110" s="174"/>
      <c r="GK110" s="174"/>
      <c r="GL110" s="174"/>
      <c r="GM110" s="174"/>
      <c r="GN110" s="174"/>
      <c r="GO110" s="174"/>
      <c r="GP110" s="174"/>
      <c r="GQ110" s="174"/>
      <c r="GR110" s="174"/>
      <c r="GS110" s="174"/>
      <c r="GT110" s="174"/>
      <c r="GU110" s="174"/>
      <c r="GV110" s="174"/>
      <c r="GW110" s="174"/>
      <c r="GX110" s="174"/>
      <c r="GY110" s="174"/>
      <c r="GZ110" s="174"/>
      <c r="HA110" s="174"/>
      <c r="HB110" s="174"/>
      <c r="HC110" s="174"/>
      <c r="HD110" s="174"/>
      <c r="HE110" s="174"/>
      <c r="HF110" s="174"/>
      <c r="HG110" s="174"/>
      <c r="HH110" s="174"/>
      <c r="HI110" s="174"/>
      <c r="HJ110" s="174"/>
      <c r="HK110" s="174"/>
      <c r="HL110" s="174"/>
      <c r="HM110" s="174"/>
      <c r="HN110" s="174"/>
      <c r="HO110" s="174"/>
      <c r="HP110" s="174"/>
      <c r="HQ110" s="174"/>
      <c r="HR110" s="174"/>
      <c r="HS110" s="174"/>
      <c r="HT110" s="174"/>
      <c r="HU110" s="174"/>
      <c r="HV110" s="174"/>
      <c r="HW110" s="174"/>
      <c r="HX110" s="174"/>
      <c r="HY110" s="174"/>
      <c r="HZ110" s="174"/>
      <c r="IA110" s="174"/>
      <c r="IB110" s="174"/>
      <c r="IC110" s="174"/>
      <c r="ID110" s="174"/>
      <c r="IE110" s="174"/>
      <c r="IF110" s="174"/>
      <c r="IG110" s="174"/>
      <c r="IH110" s="174"/>
      <c r="II110" s="174"/>
      <c r="IJ110" s="174"/>
      <c r="IK110" s="174"/>
      <c r="IL110" s="174"/>
      <c r="IM110" s="174"/>
      <c r="IN110" s="174"/>
      <c r="IO110" s="174"/>
      <c r="IP110" s="174"/>
      <c r="IQ110" s="174"/>
      <c r="IR110" s="174"/>
      <c r="IS110" s="174"/>
      <c r="IT110" s="174"/>
      <c r="IU110" s="75"/>
      <c r="IV110" s="75"/>
      <c r="IW110" s="75"/>
      <c r="IX110" s="75"/>
      <c r="IY110" s="75"/>
      <c r="IZ110" s="75"/>
      <c r="JA110" s="75"/>
      <c r="JB110" s="75"/>
      <c r="JC110" s="75"/>
      <c r="JD110" s="75"/>
      <c r="JF110" s="710"/>
      <c r="JG110" s="710"/>
      <c r="JH110" s="178">
        <f t="shared" si="7"/>
        <v>0</v>
      </c>
      <c r="JI110" s="174">
        <f t="shared" si="8"/>
        <v>0</v>
      </c>
    </row>
    <row r="111" spans="2:269" ht="15" customHeight="1" x14ac:dyDescent="0.25">
      <c r="B111" s="113">
        <v>108</v>
      </c>
      <c r="C111" s="353" t="str">
        <f t="shared" si="9"/>
        <v/>
      </c>
      <c r="D111" s="353" t="str">
        <f t="shared" si="10"/>
        <v/>
      </c>
      <c r="E111" s="174"/>
      <c r="F111" s="174"/>
      <c r="G111" s="174"/>
      <c r="H111" s="174"/>
      <c r="I111" s="174"/>
      <c r="J111" s="174"/>
      <c r="K111" s="174"/>
      <c r="L111" s="174"/>
      <c r="M111" s="174"/>
      <c r="N111" s="174"/>
      <c r="O111" s="174"/>
      <c r="P111" s="174"/>
      <c r="Q111" s="174"/>
      <c r="R111" s="174"/>
      <c r="S111" s="174"/>
      <c r="T111" s="174"/>
      <c r="U111" s="174"/>
      <c r="V111" s="174"/>
      <c r="W111" s="174"/>
      <c r="X111" s="174"/>
      <c r="Y111" s="174"/>
      <c r="Z111" s="174"/>
      <c r="AA111" s="174"/>
      <c r="AB111" s="174"/>
      <c r="AC111" s="174"/>
      <c r="AD111" s="174"/>
      <c r="AE111" s="174"/>
      <c r="AF111" s="174"/>
      <c r="AG111" s="174"/>
      <c r="AH111" s="174"/>
      <c r="AI111" s="174"/>
      <c r="AJ111" s="174"/>
      <c r="AK111" s="174"/>
      <c r="AL111" s="174"/>
      <c r="AM111" s="174"/>
      <c r="AN111" s="174"/>
      <c r="AO111" s="174"/>
      <c r="AP111" s="174"/>
      <c r="AQ111" s="174"/>
      <c r="AR111" s="174"/>
      <c r="AS111" s="174"/>
      <c r="AT111" s="174"/>
      <c r="AU111" s="174"/>
      <c r="AV111" s="174"/>
      <c r="AW111" s="174"/>
      <c r="AX111" s="174"/>
      <c r="AY111" s="174"/>
      <c r="AZ111" s="174"/>
      <c r="BA111" s="174"/>
      <c r="BB111" s="174"/>
      <c r="BC111" s="174"/>
      <c r="BD111" s="174"/>
      <c r="BE111" s="174"/>
      <c r="BF111" s="174"/>
      <c r="BG111" s="174"/>
      <c r="BH111" s="174"/>
      <c r="BI111" s="174"/>
      <c r="BJ111" s="174"/>
      <c r="BK111" s="174"/>
      <c r="BL111" s="174"/>
      <c r="BM111" s="174"/>
      <c r="BN111" s="174"/>
      <c r="BO111" s="174"/>
      <c r="BP111" s="174"/>
      <c r="BQ111" s="174"/>
      <c r="BR111" s="174"/>
      <c r="BS111" s="174"/>
      <c r="BT111" s="174"/>
      <c r="BU111" s="174"/>
      <c r="BV111" s="174"/>
      <c r="BW111" s="174"/>
      <c r="BX111" s="174"/>
      <c r="BY111" s="174"/>
      <c r="BZ111" s="174"/>
      <c r="CA111" s="174"/>
      <c r="CB111" s="174"/>
      <c r="CC111" s="174"/>
      <c r="CD111" s="174"/>
      <c r="CE111" s="174"/>
      <c r="CF111" s="174"/>
      <c r="CG111" s="174"/>
      <c r="CH111" s="174"/>
      <c r="CI111" s="174"/>
      <c r="CJ111" s="174"/>
      <c r="CK111" s="174"/>
      <c r="CL111" s="174"/>
      <c r="CM111" s="174"/>
      <c r="CN111" s="174"/>
      <c r="CO111" s="174"/>
      <c r="CP111" s="174"/>
      <c r="CQ111" s="174"/>
      <c r="CR111" s="174"/>
      <c r="CS111" s="174"/>
      <c r="CT111" s="174"/>
      <c r="CU111" s="174"/>
      <c r="CV111" s="174"/>
      <c r="CW111" s="174"/>
      <c r="CX111" s="174"/>
      <c r="CY111" s="174"/>
      <c r="CZ111" s="174"/>
      <c r="DA111" s="174"/>
      <c r="DB111" s="174"/>
      <c r="DC111" s="174"/>
      <c r="DD111" s="174"/>
      <c r="DE111" s="174"/>
      <c r="DF111" s="174"/>
      <c r="DG111" s="174"/>
      <c r="DH111" s="174"/>
      <c r="DI111" s="174"/>
      <c r="DJ111" s="174"/>
      <c r="DK111" s="174"/>
      <c r="DL111" s="174"/>
      <c r="DM111" s="174"/>
      <c r="DN111" s="174"/>
      <c r="DO111" s="174"/>
      <c r="DP111" s="174"/>
      <c r="DQ111" s="174"/>
      <c r="DR111" s="174"/>
      <c r="DS111" s="174"/>
      <c r="DT111" s="174"/>
      <c r="DU111" s="174"/>
      <c r="DV111" s="174"/>
      <c r="DW111" s="174"/>
      <c r="DX111" s="174"/>
      <c r="DY111" s="174"/>
      <c r="DZ111" s="174"/>
      <c r="EA111" s="174"/>
      <c r="EB111" s="174"/>
      <c r="EC111" s="174"/>
      <c r="ED111" s="174"/>
      <c r="EE111" s="174"/>
      <c r="EF111" s="174"/>
      <c r="EG111" s="174"/>
      <c r="EH111" s="174"/>
      <c r="EI111" s="174"/>
      <c r="EJ111" s="174"/>
      <c r="EK111" s="174"/>
      <c r="EL111" s="174"/>
      <c r="EM111" s="174"/>
      <c r="EN111" s="174"/>
      <c r="EO111" s="174"/>
      <c r="EP111" s="174"/>
      <c r="EQ111" s="174"/>
      <c r="ER111" s="174"/>
      <c r="ES111" s="174"/>
      <c r="ET111" s="174"/>
      <c r="EU111" s="174"/>
      <c r="EV111" s="174"/>
      <c r="EW111" s="174"/>
      <c r="EX111" s="174"/>
      <c r="EY111" s="174"/>
      <c r="EZ111" s="174"/>
      <c r="FA111" s="174"/>
      <c r="FB111" s="174"/>
      <c r="FC111" s="174"/>
      <c r="FD111" s="174"/>
      <c r="FE111" s="174"/>
      <c r="FF111" s="174"/>
      <c r="FG111" s="174"/>
      <c r="FH111" s="174"/>
      <c r="FI111" s="174"/>
      <c r="FJ111" s="174"/>
      <c r="FK111" s="174"/>
      <c r="FL111" s="174"/>
      <c r="FM111" s="174"/>
      <c r="FN111" s="174"/>
      <c r="FO111" s="174"/>
      <c r="FP111" s="174"/>
      <c r="FQ111" s="174"/>
      <c r="FR111" s="174"/>
      <c r="FS111" s="174"/>
      <c r="FT111" s="174"/>
      <c r="FU111" s="174"/>
      <c r="FV111" s="174"/>
      <c r="FW111" s="174"/>
      <c r="FX111" s="174"/>
      <c r="FY111" s="174"/>
      <c r="FZ111" s="174"/>
      <c r="GA111" s="174"/>
      <c r="GB111" s="174"/>
      <c r="GC111" s="174"/>
      <c r="GD111" s="174"/>
      <c r="GE111" s="174"/>
      <c r="GF111" s="174"/>
      <c r="GG111" s="174"/>
      <c r="GH111" s="174"/>
      <c r="GI111" s="174"/>
      <c r="GJ111" s="174"/>
      <c r="GK111" s="174"/>
      <c r="GL111" s="174"/>
      <c r="GM111" s="174"/>
      <c r="GN111" s="174"/>
      <c r="GO111" s="174"/>
      <c r="GP111" s="174"/>
      <c r="GQ111" s="174"/>
      <c r="GR111" s="174"/>
      <c r="GS111" s="174"/>
      <c r="GT111" s="174"/>
      <c r="GU111" s="174"/>
      <c r="GV111" s="174"/>
      <c r="GW111" s="174"/>
      <c r="GX111" s="174"/>
      <c r="GY111" s="174"/>
      <c r="GZ111" s="174"/>
      <c r="HA111" s="174"/>
      <c r="HB111" s="174"/>
      <c r="HC111" s="174"/>
      <c r="HD111" s="174"/>
      <c r="HE111" s="174"/>
      <c r="HF111" s="174"/>
      <c r="HG111" s="174"/>
      <c r="HH111" s="174"/>
      <c r="HI111" s="174"/>
      <c r="HJ111" s="174"/>
      <c r="HK111" s="174"/>
      <c r="HL111" s="174"/>
      <c r="HM111" s="174"/>
      <c r="HN111" s="174"/>
      <c r="HO111" s="174"/>
      <c r="HP111" s="174"/>
      <c r="HQ111" s="174"/>
      <c r="HR111" s="174"/>
      <c r="HS111" s="174"/>
      <c r="HT111" s="174"/>
      <c r="HU111" s="174"/>
      <c r="HV111" s="174"/>
      <c r="HW111" s="174"/>
      <c r="HX111" s="174"/>
      <c r="HY111" s="174"/>
      <c r="HZ111" s="174"/>
      <c r="IA111" s="174"/>
      <c r="IB111" s="174"/>
      <c r="IC111" s="174"/>
      <c r="ID111" s="174"/>
      <c r="IE111" s="174"/>
      <c r="IF111" s="174"/>
      <c r="IG111" s="174"/>
      <c r="IH111" s="174"/>
      <c r="II111" s="174"/>
      <c r="IJ111" s="174"/>
      <c r="IK111" s="174"/>
      <c r="IL111" s="174"/>
      <c r="IM111" s="174"/>
      <c r="IN111" s="174"/>
      <c r="IO111" s="174"/>
      <c r="IP111" s="174"/>
      <c r="IQ111" s="174"/>
      <c r="IR111" s="174"/>
      <c r="IS111" s="174"/>
      <c r="IT111" s="174"/>
      <c r="IU111" s="75"/>
      <c r="IV111" s="75"/>
      <c r="IW111" s="75"/>
      <c r="IX111" s="75"/>
      <c r="IY111" s="75"/>
      <c r="IZ111" s="75"/>
      <c r="JA111" s="75"/>
      <c r="JB111" s="75"/>
      <c r="JC111" s="75"/>
      <c r="JD111" s="75"/>
      <c r="JF111" s="710"/>
      <c r="JG111" s="710"/>
      <c r="JH111" s="178">
        <f t="shared" si="7"/>
        <v>0</v>
      </c>
      <c r="JI111" s="174">
        <f t="shared" si="8"/>
        <v>0</v>
      </c>
    </row>
    <row r="112" spans="2:269" ht="15" customHeight="1" x14ac:dyDescent="0.25">
      <c r="B112" s="113">
        <v>109</v>
      </c>
      <c r="C112" s="353" t="str">
        <f t="shared" si="9"/>
        <v/>
      </c>
      <c r="D112" s="353" t="str">
        <f t="shared" si="10"/>
        <v/>
      </c>
      <c r="E112" s="174"/>
      <c r="F112" s="174"/>
      <c r="G112" s="174"/>
      <c r="H112" s="174"/>
      <c r="I112" s="174"/>
      <c r="J112" s="174"/>
      <c r="K112" s="174"/>
      <c r="L112" s="174"/>
      <c r="M112" s="174"/>
      <c r="N112" s="174"/>
      <c r="O112" s="174"/>
      <c r="P112" s="174"/>
      <c r="Q112" s="174"/>
      <c r="R112" s="174"/>
      <c r="S112" s="174"/>
      <c r="T112" s="174"/>
      <c r="U112" s="174"/>
      <c r="V112" s="174"/>
      <c r="W112" s="174"/>
      <c r="X112" s="174"/>
      <c r="Y112" s="174"/>
      <c r="Z112" s="174"/>
      <c r="AA112" s="174"/>
      <c r="AB112" s="174"/>
      <c r="AC112" s="174"/>
      <c r="AD112" s="174"/>
      <c r="AE112" s="174"/>
      <c r="AF112" s="174"/>
      <c r="AG112" s="174"/>
      <c r="AH112" s="174"/>
      <c r="AI112" s="174"/>
      <c r="AJ112" s="174"/>
      <c r="AK112" s="174"/>
      <c r="AL112" s="174"/>
      <c r="AM112" s="174"/>
      <c r="AN112" s="174"/>
      <c r="AO112" s="174"/>
      <c r="AP112" s="174"/>
      <c r="AQ112" s="174"/>
      <c r="AR112" s="174"/>
      <c r="AS112" s="174"/>
      <c r="AT112" s="174"/>
      <c r="AU112" s="174"/>
      <c r="AV112" s="174"/>
      <c r="AW112" s="174"/>
      <c r="AX112" s="174"/>
      <c r="AY112" s="174"/>
      <c r="AZ112" s="174"/>
      <c r="BA112" s="174"/>
      <c r="BB112" s="174"/>
      <c r="BC112" s="174"/>
      <c r="BD112" s="174"/>
      <c r="BE112" s="174"/>
      <c r="BF112" s="174"/>
      <c r="BG112" s="174"/>
      <c r="BH112" s="174"/>
      <c r="BI112" s="174"/>
      <c r="BJ112" s="174"/>
      <c r="BK112" s="174"/>
      <c r="BL112" s="174"/>
      <c r="BM112" s="174"/>
      <c r="BN112" s="174"/>
      <c r="BO112" s="174"/>
      <c r="BP112" s="174"/>
      <c r="BQ112" s="174"/>
      <c r="BR112" s="174"/>
      <c r="BS112" s="174"/>
      <c r="BT112" s="174"/>
      <c r="BU112" s="174"/>
      <c r="BV112" s="174"/>
      <c r="BW112" s="174"/>
      <c r="BX112" s="174"/>
      <c r="BY112" s="174"/>
      <c r="BZ112" s="174"/>
      <c r="CA112" s="174"/>
      <c r="CB112" s="174"/>
      <c r="CC112" s="174"/>
      <c r="CD112" s="174"/>
      <c r="CE112" s="174"/>
      <c r="CF112" s="174"/>
      <c r="CG112" s="174"/>
      <c r="CH112" s="174"/>
      <c r="CI112" s="174"/>
      <c r="CJ112" s="174"/>
      <c r="CK112" s="174"/>
      <c r="CL112" s="174"/>
      <c r="CM112" s="174"/>
      <c r="CN112" s="174"/>
      <c r="CO112" s="174"/>
      <c r="CP112" s="174"/>
      <c r="CQ112" s="174"/>
      <c r="CR112" s="174"/>
      <c r="CS112" s="174"/>
      <c r="CT112" s="174"/>
      <c r="CU112" s="174"/>
      <c r="CV112" s="174"/>
      <c r="CW112" s="174"/>
      <c r="CX112" s="174"/>
      <c r="CY112" s="174"/>
      <c r="CZ112" s="174"/>
      <c r="DA112" s="174"/>
      <c r="DB112" s="174"/>
      <c r="DC112" s="174"/>
      <c r="DD112" s="174"/>
      <c r="DE112" s="174"/>
      <c r="DF112" s="174"/>
      <c r="DG112" s="174"/>
      <c r="DH112" s="174"/>
      <c r="DI112" s="174"/>
      <c r="DJ112" s="174"/>
      <c r="DK112" s="174"/>
      <c r="DL112" s="174"/>
      <c r="DM112" s="174"/>
      <c r="DN112" s="174"/>
      <c r="DO112" s="174"/>
      <c r="DP112" s="174"/>
      <c r="DQ112" s="174"/>
      <c r="DR112" s="174"/>
      <c r="DS112" s="174"/>
      <c r="DT112" s="174"/>
      <c r="DU112" s="174"/>
      <c r="DV112" s="174"/>
      <c r="DW112" s="174"/>
      <c r="DX112" s="174"/>
      <c r="DY112" s="174"/>
      <c r="DZ112" s="174"/>
      <c r="EA112" s="174"/>
      <c r="EB112" s="174"/>
      <c r="EC112" s="174"/>
      <c r="ED112" s="174"/>
      <c r="EE112" s="174"/>
      <c r="EF112" s="174"/>
      <c r="EG112" s="174"/>
      <c r="EH112" s="174"/>
      <c r="EI112" s="174"/>
      <c r="EJ112" s="174"/>
      <c r="EK112" s="174"/>
      <c r="EL112" s="174"/>
      <c r="EM112" s="174"/>
      <c r="EN112" s="174"/>
      <c r="EO112" s="174"/>
      <c r="EP112" s="174"/>
      <c r="EQ112" s="174"/>
      <c r="ER112" s="174"/>
      <c r="ES112" s="174"/>
      <c r="ET112" s="174"/>
      <c r="EU112" s="174"/>
      <c r="EV112" s="174"/>
      <c r="EW112" s="174"/>
      <c r="EX112" s="174"/>
      <c r="EY112" s="174"/>
      <c r="EZ112" s="174"/>
      <c r="FA112" s="174"/>
      <c r="FB112" s="174"/>
      <c r="FC112" s="174"/>
      <c r="FD112" s="174"/>
      <c r="FE112" s="174"/>
      <c r="FF112" s="174"/>
      <c r="FG112" s="174"/>
      <c r="FH112" s="174"/>
      <c r="FI112" s="174"/>
      <c r="FJ112" s="174"/>
      <c r="FK112" s="174"/>
      <c r="FL112" s="174"/>
      <c r="FM112" s="174"/>
      <c r="FN112" s="174"/>
      <c r="FO112" s="174"/>
      <c r="FP112" s="174"/>
      <c r="FQ112" s="174"/>
      <c r="FR112" s="174"/>
      <c r="FS112" s="174"/>
      <c r="FT112" s="174"/>
      <c r="FU112" s="174"/>
      <c r="FV112" s="174"/>
      <c r="FW112" s="174"/>
      <c r="FX112" s="174"/>
      <c r="FY112" s="174"/>
      <c r="FZ112" s="174"/>
      <c r="GA112" s="174"/>
      <c r="GB112" s="174"/>
      <c r="GC112" s="174"/>
      <c r="GD112" s="174"/>
      <c r="GE112" s="174"/>
      <c r="GF112" s="174"/>
      <c r="GG112" s="174"/>
      <c r="GH112" s="174"/>
      <c r="GI112" s="174"/>
      <c r="GJ112" s="174"/>
      <c r="GK112" s="174"/>
      <c r="GL112" s="174"/>
      <c r="GM112" s="174"/>
      <c r="GN112" s="174"/>
      <c r="GO112" s="174"/>
      <c r="GP112" s="174"/>
      <c r="GQ112" s="174"/>
      <c r="GR112" s="174"/>
      <c r="GS112" s="174"/>
      <c r="GT112" s="174"/>
      <c r="GU112" s="174"/>
      <c r="GV112" s="174"/>
      <c r="GW112" s="174"/>
      <c r="GX112" s="174"/>
      <c r="GY112" s="174"/>
      <c r="GZ112" s="174"/>
      <c r="HA112" s="174"/>
      <c r="HB112" s="174"/>
      <c r="HC112" s="174"/>
      <c r="HD112" s="174"/>
      <c r="HE112" s="174"/>
      <c r="HF112" s="174"/>
      <c r="HG112" s="174"/>
      <c r="HH112" s="174"/>
      <c r="HI112" s="174"/>
      <c r="HJ112" s="174"/>
      <c r="HK112" s="174"/>
      <c r="HL112" s="174"/>
      <c r="HM112" s="174"/>
      <c r="HN112" s="174"/>
      <c r="HO112" s="174"/>
      <c r="HP112" s="174"/>
      <c r="HQ112" s="174"/>
      <c r="HR112" s="174"/>
      <c r="HS112" s="174"/>
      <c r="HT112" s="174"/>
      <c r="HU112" s="174"/>
      <c r="HV112" s="174"/>
      <c r="HW112" s="174"/>
      <c r="HX112" s="174"/>
      <c r="HY112" s="174"/>
      <c r="HZ112" s="174"/>
      <c r="IA112" s="174"/>
      <c r="IB112" s="174"/>
      <c r="IC112" s="174"/>
      <c r="ID112" s="174"/>
      <c r="IE112" s="174"/>
      <c r="IF112" s="174"/>
      <c r="IG112" s="174"/>
      <c r="IH112" s="174"/>
      <c r="II112" s="174"/>
      <c r="IJ112" s="174"/>
      <c r="IK112" s="174"/>
      <c r="IL112" s="174"/>
      <c r="IM112" s="174"/>
      <c r="IN112" s="174"/>
      <c r="IO112" s="174"/>
      <c r="IP112" s="174"/>
      <c r="IQ112" s="174"/>
      <c r="IR112" s="174"/>
      <c r="IS112" s="174"/>
      <c r="IT112" s="174"/>
      <c r="IU112" s="75"/>
      <c r="IV112" s="75"/>
      <c r="IW112" s="75"/>
      <c r="IX112" s="75"/>
      <c r="IY112" s="75"/>
      <c r="IZ112" s="75"/>
      <c r="JA112" s="75"/>
      <c r="JB112" s="75"/>
      <c r="JC112" s="75"/>
      <c r="JD112" s="75"/>
      <c r="JF112" s="710"/>
      <c r="JG112" s="710"/>
      <c r="JH112" s="178">
        <f t="shared" si="7"/>
        <v>0</v>
      </c>
      <c r="JI112" s="174">
        <f t="shared" si="8"/>
        <v>0</v>
      </c>
    </row>
    <row r="113" spans="2:269" ht="15" customHeight="1" x14ac:dyDescent="0.25">
      <c r="B113" s="113">
        <v>110</v>
      </c>
      <c r="C113" s="353" t="str">
        <f t="shared" si="9"/>
        <v/>
      </c>
      <c r="D113" s="353" t="str">
        <f t="shared" si="10"/>
        <v/>
      </c>
      <c r="E113" s="174"/>
      <c r="F113" s="174"/>
      <c r="G113" s="174"/>
      <c r="H113" s="174"/>
      <c r="I113" s="174"/>
      <c r="J113" s="174"/>
      <c r="K113" s="174"/>
      <c r="L113" s="174"/>
      <c r="M113" s="174"/>
      <c r="N113" s="174"/>
      <c r="O113" s="174"/>
      <c r="P113" s="174"/>
      <c r="Q113" s="174"/>
      <c r="R113" s="174"/>
      <c r="S113" s="174"/>
      <c r="T113" s="174"/>
      <c r="U113" s="174"/>
      <c r="V113" s="174"/>
      <c r="W113" s="174"/>
      <c r="X113" s="174"/>
      <c r="Y113" s="174"/>
      <c r="Z113" s="174"/>
      <c r="AA113" s="174"/>
      <c r="AB113" s="174"/>
      <c r="AC113" s="174"/>
      <c r="AD113" s="174"/>
      <c r="AE113" s="174"/>
      <c r="AF113" s="174"/>
      <c r="AG113" s="174"/>
      <c r="AH113" s="174"/>
      <c r="AI113" s="174"/>
      <c r="AJ113" s="174"/>
      <c r="AK113" s="174"/>
      <c r="AL113" s="174"/>
      <c r="AM113" s="174"/>
      <c r="AN113" s="174"/>
      <c r="AO113" s="174"/>
      <c r="AP113" s="174"/>
      <c r="AQ113" s="174"/>
      <c r="AR113" s="174"/>
      <c r="AS113" s="174"/>
      <c r="AT113" s="174"/>
      <c r="AU113" s="174"/>
      <c r="AV113" s="174"/>
      <c r="AW113" s="174"/>
      <c r="AX113" s="174"/>
      <c r="AY113" s="174"/>
      <c r="AZ113" s="174"/>
      <c r="BA113" s="174"/>
      <c r="BB113" s="174"/>
      <c r="BC113" s="174"/>
      <c r="BD113" s="174"/>
      <c r="BE113" s="174"/>
      <c r="BF113" s="174"/>
      <c r="BG113" s="174"/>
      <c r="BH113" s="174"/>
      <c r="BI113" s="174"/>
      <c r="BJ113" s="174"/>
      <c r="BK113" s="174"/>
      <c r="BL113" s="174"/>
      <c r="BM113" s="174"/>
      <c r="BN113" s="174"/>
      <c r="BO113" s="174"/>
      <c r="BP113" s="174"/>
      <c r="BQ113" s="174"/>
      <c r="BR113" s="174"/>
      <c r="BS113" s="174"/>
      <c r="BT113" s="174"/>
      <c r="BU113" s="174"/>
      <c r="BV113" s="174"/>
      <c r="BW113" s="174"/>
      <c r="BX113" s="174"/>
      <c r="BY113" s="174"/>
      <c r="BZ113" s="174"/>
      <c r="CA113" s="174"/>
      <c r="CB113" s="174"/>
      <c r="CC113" s="174"/>
      <c r="CD113" s="174"/>
      <c r="CE113" s="174"/>
      <c r="CF113" s="174"/>
      <c r="CG113" s="174"/>
      <c r="CH113" s="174"/>
      <c r="CI113" s="174"/>
      <c r="CJ113" s="174"/>
      <c r="CK113" s="174"/>
      <c r="CL113" s="174"/>
      <c r="CM113" s="174"/>
      <c r="CN113" s="174"/>
      <c r="CO113" s="174"/>
      <c r="CP113" s="174"/>
      <c r="CQ113" s="174"/>
      <c r="CR113" s="174"/>
      <c r="CS113" s="174"/>
      <c r="CT113" s="174"/>
      <c r="CU113" s="174"/>
      <c r="CV113" s="174"/>
      <c r="CW113" s="174"/>
      <c r="CX113" s="174"/>
      <c r="CY113" s="174"/>
      <c r="CZ113" s="174"/>
      <c r="DA113" s="174"/>
      <c r="DB113" s="174"/>
      <c r="DC113" s="174"/>
      <c r="DD113" s="174"/>
      <c r="DE113" s="174"/>
      <c r="DF113" s="174"/>
      <c r="DG113" s="174"/>
      <c r="DH113" s="174"/>
      <c r="DI113" s="174"/>
      <c r="DJ113" s="174"/>
      <c r="DK113" s="174"/>
      <c r="DL113" s="174"/>
      <c r="DM113" s="174"/>
      <c r="DN113" s="174"/>
      <c r="DO113" s="174"/>
      <c r="DP113" s="174"/>
      <c r="DQ113" s="174"/>
      <c r="DR113" s="174"/>
      <c r="DS113" s="174"/>
      <c r="DT113" s="174"/>
      <c r="DU113" s="174"/>
      <c r="DV113" s="174"/>
      <c r="DW113" s="174"/>
      <c r="DX113" s="174"/>
      <c r="DY113" s="174"/>
      <c r="DZ113" s="174"/>
      <c r="EA113" s="174"/>
      <c r="EB113" s="174"/>
      <c r="EC113" s="174"/>
      <c r="ED113" s="174"/>
      <c r="EE113" s="174"/>
      <c r="EF113" s="174"/>
      <c r="EG113" s="174"/>
      <c r="EH113" s="174"/>
      <c r="EI113" s="174"/>
      <c r="EJ113" s="174"/>
      <c r="EK113" s="174"/>
      <c r="EL113" s="174"/>
      <c r="EM113" s="174"/>
      <c r="EN113" s="174"/>
      <c r="EO113" s="174"/>
      <c r="EP113" s="174"/>
      <c r="EQ113" s="174"/>
      <c r="ER113" s="174"/>
      <c r="ES113" s="174"/>
      <c r="ET113" s="174"/>
      <c r="EU113" s="174"/>
      <c r="EV113" s="174"/>
      <c r="EW113" s="174"/>
      <c r="EX113" s="174"/>
      <c r="EY113" s="174"/>
      <c r="EZ113" s="174"/>
      <c r="FA113" s="174"/>
      <c r="FB113" s="174"/>
      <c r="FC113" s="174"/>
      <c r="FD113" s="174"/>
      <c r="FE113" s="174"/>
      <c r="FF113" s="174"/>
      <c r="FG113" s="174"/>
      <c r="FH113" s="174"/>
      <c r="FI113" s="174"/>
      <c r="FJ113" s="174"/>
      <c r="FK113" s="174"/>
      <c r="FL113" s="174"/>
      <c r="FM113" s="174"/>
      <c r="FN113" s="174"/>
      <c r="FO113" s="174"/>
      <c r="FP113" s="174"/>
      <c r="FQ113" s="174"/>
      <c r="FR113" s="174"/>
      <c r="FS113" s="174"/>
      <c r="FT113" s="174"/>
      <c r="FU113" s="174"/>
      <c r="FV113" s="174"/>
      <c r="FW113" s="174"/>
      <c r="FX113" s="174"/>
      <c r="FY113" s="174"/>
      <c r="FZ113" s="174"/>
      <c r="GA113" s="174"/>
      <c r="GB113" s="174"/>
      <c r="GC113" s="174"/>
      <c r="GD113" s="174"/>
      <c r="GE113" s="174"/>
      <c r="GF113" s="174"/>
      <c r="GG113" s="174"/>
      <c r="GH113" s="174"/>
      <c r="GI113" s="174"/>
      <c r="GJ113" s="174"/>
      <c r="GK113" s="174"/>
      <c r="GL113" s="174"/>
      <c r="GM113" s="174"/>
      <c r="GN113" s="174"/>
      <c r="GO113" s="174"/>
      <c r="GP113" s="174"/>
      <c r="GQ113" s="174"/>
      <c r="GR113" s="174"/>
      <c r="GS113" s="174"/>
      <c r="GT113" s="174"/>
      <c r="GU113" s="174"/>
      <c r="GV113" s="174"/>
      <c r="GW113" s="174"/>
      <c r="GX113" s="174"/>
      <c r="GY113" s="174"/>
      <c r="GZ113" s="174"/>
      <c r="HA113" s="174"/>
      <c r="HB113" s="174"/>
      <c r="HC113" s="174"/>
      <c r="HD113" s="174"/>
      <c r="HE113" s="174"/>
      <c r="HF113" s="174"/>
      <c r="HG113" s="174"/>
      <c r="HH113" s="174"/>
      <c r="HI113" s="174"/>
      <c r="HJ113" s="174"/>
      <c r="HK113" s="174"/>
      <c r="HL113" s="174"/>
      <c r="HM113" s="174"/>
      <c r="HN113" s="174"/>
      <c r="HO113" s="174"/>
      <c r="HP113" s="174"/>
      <c r="HQ113" s="174"/>
      <c r="HR113" s="174"/>
      <c r="HS113" s="174"/>
      <c r="HT113" s="174"/>
      <c r="HU113" s="174"/>
      <c r="HV113" s="174"/>
      <c r="HW113" s="174"/>
      <c r="HX113" s="174"/>
      <c r="HY113" s="174"/>
      <c r="HZ113" s="174"/>
      <c r="IA113" s="174"/>
      <c r="IB113" s="174"/>
      <c r="IC113" s="174"/>
      <c r="ID113" s="174"/>
      <c r="IE113" s="174"/>
      <c r="IF113" s="174"/>
      <c r="IG113" s="174"/>
      <c r="IH113" s="174"/>
      <c r="II113" s="174"/>
      <c r="IJ113" s="174"/>
      <c r="IK113" s="174"/>
      <c r="IL113" s="174"/>
      <c r="IM113" s="174"/>
      <c r="IN113" s="174"/>
      <c r="IO113" s="174"/>
      <c r="IP113" s="174"/>
      <c r="IQ113" s="174"/>
      <c r="IR113" s="174"/>
      <c r="IS113" s="174"/>
      <c r="IT113" s="174"/>
      <c r="IU113" s="75"/>
      <c r="IV113" s="75"/>
      <c r="IW113" s="75"/>
      <c r="IX113" s="75"/>
      <c r="IY113" s="75"/>
      <c r="IZ113" s="75"/>
      <c r="JA113" s="75"/>
      <c r="JB113" s="75"/>
      <c r="JC113" s="75"/>
      <c r="JD113" s="75"/>
      <c r="JF113" s="710"/>
      <c r="JG113" s="710"/>
      <c r="JH113" s="178">
        <f t="shared" si="7"/>
        <v>0</v>
      </c>
      <c r="JI113" s="174">
        <f t="shared" si="8"/>
        <v>0</v>
      </c>
    </row>
    <row r="114" spans="2:269" ht="15" customHeight="1" x14ac:dyDescent="0.25">
      <c r="B114" s="113">
        <v>111</v>
      </c>
      <c r="C114" s="353" t="str">
        <f t="shared" si="9"/>
        <v/>
      </c>
      <c r="D114" s="353" t="str">
        <f t="shared" si="10"/>
        <v/>
      </c>
      <c r="E114" s="174"/>
      <c r="F114" s="174"/>
      <c r="G114" s="174"/>
      <c r="H114" s="174"/>
      <c r="I114" s="174"/>
      <c r="J114" s="174"/>
      <c r="K114" s="174"/>
      <c r="L114" s="174"/>
      <c r="M114" s="174"/>
      <c r="N114" s="174"/>
      <c r="O114" s="174"/>
      <c r="P114" s="174"/>
      <c r="Q114" s="174"/>
      <c r="R114" s="174"/>
      <c r="S114" s="174"/>
      <c r="T114" s="174"/>
      <c r="U114" s="174"/>
      <c r="V114" s="174"/>
      <c r="W114" s="174"/>
      <c r="X114" s="174"/>
      <c r="Y114" s="174"/>
      <c r="Z114" s="174"/>
      <c r="AA114" s="174"/>
      <c r="AB114" s="174"/>
      <c r="AC114" s="174"/>
      <c r="AD114" s="174"/>
      <c r="AE114" s="174"/>
      <c r="AF114" s="174"/>
      <c r="AG114" s="174"/>
      <c r="AH114" s="174"/>
      <c r="AI114" s="174"/>
      <c r="AJ114" s="174"/>
      <c r="AK114" s="174"/>
      <c r="AL114" s="174"/>
      <c r="AM114" s="174"/>
      <c r="AN114" s="174"/>
      <c r="AO114" s="174"/>
      <c r="AP114" s="174"/>
      <c r="AQ114" s="174"/>
      <c r="AR114" s="174"/>
      <c r="AS114" s="174"/>
      <c r="AT114" s="174"/>
      <c r="AU114" s="174"/>
      <c r="AV114" s="174"/>
      <c r="AW114" s="174"/>
      <c r="AX114" s="174"/>
      <c r="AY114" s="174"/>
      <c r="AZ114" s="174"/>
      <c r="BA114" s="174"/>
      <c r="BB114" s="174"/>
      <c r="BC114" s="174"/>
      <c r="BD114" s="174"/>
      <c r="BE114" s="174"/>
      <c r="BF114" s="174"/>
      <c r="BG114" s="174"/>
      <c r="BH114" s="174"/>
      <c r="BI114" s="174"/>
      <c r="BJ114" s="174"/>
      <c r="BK114" s="174"/>
      <c r="BL114" s="174"/>
      <c r="BM114" s="174"/>
      <c r="BN114" s="174"/>
      <c r="BO114" s="174"/>
      <c r="BP114" s="174"/>
      <c r="BQ114" s="174"/>
      <c r="BR114" s="174"/>
      <c r="BS114" s="174"/>
      <c r="BT114" s="174"/>
      <c r="BU114" s="174"/>
      <c r="BV114" s="174"/>
      <c r="BW114" s="174"/>
      <c r="BX114" s="174"/>
      <c r="BY114" s="174"/>
      <c r="BZ114" s="174"/>
      <c r="CA114" s="174"/>
      <c r="CB114" s="174"/>
      <c r="CC114" s="174"/>
      <c r="CD114" s="174"/>
      <c r="CE114" s="174"/>
      <c r="CF114" s="174"/>
      <c r="CG114" s="174"/>
      <c r="CH114" s="174"/>
      <c r="CI114" s="174"/>
      <c r="CJ114" s="174"/>
      <c r="CK114" s="174"/>
      <c r="CL114" s="174"/>
      <c r="CM114" s="174"/>
      <c r="CN114" s="174"/>
      <c r="CO114" s="174"/>
      <c r="CP114" s="174"/>
      <c r="CQ114" s="174"/>
      <c r="CR114" s="174"/>
      <c r="CS114" s="174"/>
      <c r="CT114" s="174"/>
      <c r="CU114" s="174"/>
      <c r="CV114" s="174"/>
      <c r="CW114" s="174"/>
      <c r="CX114" s="174"/>
      <c r="CY114" s="174"/>
      <c r="CZ114" s="174"/>
      <c r="DA114" s="174"/>
      <c r="DB114" s="174"/>
      <c r="DC114" s="174"/>
      <c r="DD114" s="174"/>
      <c r="DE114" s="174"/>
      <c r="DF114" s="174"/>
      <c r="DG114" s="174"/>
      <c r="DH114" s="174"/>
      <c r="DI114" s="174"/>
      <c r="DJ114" s="174"/>
      <c r="DK114" s="174"/>
      <c r="DL114" s="174"/>
      <c r="DM114" s="174"/>
      <c r="DN114" s="174"/>
      <c r="DO114" s="174"/>
      <c r="DP114" s="174"/>
      <c r="DQ114" s="174"/>
      <c r="DR114" s="174"/>
      <c r="DS114" s="174"/>
      <c r="DT114" s="174"/>
      <c r="DU114" s="174"/>
      <c r="DV114" s="174"/>
      <c r="DW114" s="174"/>
      <c r="DX114" s="174"/>
      <c r="DY114" s="174"/>
      <c r="DZ114" s="174"/>
      <c r="EA114" s="174"/>
      <c r="EB114" s="174"/>
      <c r="EC114" s="174"/>
      <c r="ED114" s="174"/>
      <c r="EE114" s="174"/>
      <c r="EF114" s="174"/>
      <c r="EG114" s="174"/>
      <c r="EH114" s="174"/>
      <c r="EI114" s="174"/>
      <c r="EJ114" s="174"/>
      <c r="EK114" s="174"/>
      <c r="EL114" s="174"/>
      <c r="EM114" s="174"/>
      <c r="EN114" s="174"/>
      <c r="EO114" s="174"/>
      <c r="EP114" s="174"/>
      <c r="EQ114" s="174"/>
      <c r="ER114" s="174"/>
      <c r="ES114" s="174"/>
      <c r="ET114" s="174"/>
      <c r="EU114" s="174"/>
      <c r="EV114" s="174"/>
      <c r="EW114" s="174"/>
      <c r="EX114" s="174"/>
      <c r="EY114" s="174"/>
      <c r="EZ114" s="174"/>
      <c r="FA114" s="174"/>
      <c r="FB114" s="174"/>
      <c r="FC114" s="174"/>
      <c r="FD114" s="174"/>
      <c r="FE114" s="174"/>
      <c r="FF114" s="174"/>
      <c r="FG114" s="174"/>
      <c r="FH114" s="174"/>
      <c r="FI114" s="174"/>
      <c r="FJ114" s="174"/>
      <c r="FK114" s="174"/>
      <c r="FL114" s="174"/>
      <c r="FM114" s="174"/>
      <c r="FN114" s="174"/>
      <c r="FO114" s="174"/>
      <c r="FP114" s="174"/>
      <c r="FQ114" s="174"/>
      <c r="FR114" s="174"/>
      <c r="FS114" s="174"/>
      <c r="FT114" s="174"/>
      <c r="FU114" s="174"/>
      <c r="FV114" s="174"/>
      <c r="FW114" s="174"/>
      <c r="FX114" s="174"/>
      <c r="FY114" s="174"/>
      <c r="FZ114" s="174"/>
      <c r="GA114" s="174"/>
      <c r="GB114" s="174"/>
      <c r="GC114" s="174"/>
      <c r="GD114" s="174"/>
      <c r="GE114" s="174"/>
      <c r="GF114" s="174"/>
      <c r="GG114" s="174"/>
      <c r="GH114" s="174"/>
      <c r="GI114" s="174"/>
      <c r="GJ114" s="174"/>
      <c r="GK114" s="174"/>
      <c r="GL114" s="174"/>
      <c r="GM114" s="174"/>
      <c r="GN114" s="174"/>
      <c r="GO114" s="174"/>
      <c r="GP114" s="174"/>
      <c r="GQ114" s="174"/>
      <c r="GR114" s="174"/>
      <c r="GS114" s="174"/>
      <c r="GT114" s="174"/>
      <c r="GU114" s="174"/>
      <c r="GV114" s="174"/>
      <c r="GW114" s="174"/>
      <c r="GX114" s="174"/>
      <c r="GY114" s="174"/>
      <c r="GZ114" s="174"/>
      <c r="HA114" s="174"/>
      <c r="HB114" s="174"/>
      <c r="HC114" s="174"/>
      <c r="HD114" s="174"/>
      <c r="HE114" s="174"/>
      <c r="HF114" s="174"/>
      <c r="HG114" s="174"/>
      <c r="HH114" s="174"/>
      <c r="HI114" s="174"/>
      <c r="HJ114" s="174"/>
      <c r="HK114" s="174"/>
      <c r="HL114" s="174"/>
      <c r="HM114" s="174"/>
      <c r="HN114" s="174"/>
      <c r="HO114" s="174"/>
      <c r="HP114" s="174"/>
      <c r="HQ114" s="174"/>
      <c r="HR114" s="174"/>
      <c r="HS114" s="174"/>
      <c r="HT114" s="174"/>
      <c r="HU114" s="174"/>
      <c r="HV114" s="174"/>
      <c r="HW114" s="174"/>
      <c r="HX114" s="174"/>
      <c r="HY114" s="174"/>
      <c r="HZ114" s="174"/>
      <c r="IA114" s="174"/>
      <c r="IB114" s="174"/>
      <c r="IC114" s="174"/>
      <c r="ID114" s="174"/>
      <c r="IE114" s="174"/>
      <c r="IF114" s="174"/>
      <c r="IG114" s="174"/>
      <c r="IH114" s="174"/>
      <c r="II114" s="174"/>
      <c r="IJ114" s="174"/>
      <c r="IK114" s="174"/>
      <c r="IL114" s="174"/>
      <c r="IM114" s="174"/>
      <c r="IN114" s="174"/>
      <c r="IO114" s="174"/>
      <c r="IP114" s="174"/>
      <c r="IQ114" s="174"/>
      <c r="IR114" s="174"/>
      <c r="IS114" s="174"/>
      <c r="IT114" s="174"/>
      <c r="IU114" s="75"/>
      <c r="IV114" s="75"/>
      <c r="IW114" s="75"/>
      <c r="IX114" s="75"/>
      <c r="IY114" s="75"/>
      <c r="IZ114" s="75"/>
      <c r="JA114" s="75"/>
      <c r="JB114" s="75"/>
      <c r="JC114" s="75"/>
      <c r="JD114" s="75"/>
      <c r="JF114" s="710"/>
      <c r="JG114" s="710"/>
      <c r="JH114" s="178">
        <f t="shared" si="7"/>
        <v>0</v>
      </c>
      <c r="JI114" s="174">
        <f t="shared" si="8"/>
        <v>0</v>
      </c>
    </row>
    <row r="115" spans="2:269" ht="15" customHeight="1" x14ac:dyDescent="0.25">
      <c r="B115" s="113">
        <v>112</v>
      </c>
      <c r="C115" s="353" t="str">
        <f t="shared" si="9"/>
        <v/>
      </c>
      <c r="D115" s="353" t="str">
        <f t="shared" si="10"/>
        <v/>
      </c>
      <c r="E115" s="174"/>
      <c r="F115" s="174"/>
      <c r="G115" s="174"/>
      <c r="H115" s="174"/>
      <c r="I115" s="174"/>
      <c r="J115" s="174"/>
      <c r="K115" s="174"/>
      <c r="L115" s="174"/>
      <c r="M115" s="174"/>
      <c r="N115" s="174"/>
      <c r="O115" s="174"/>
      <c r="P115" s="174"/>
      <c r="Q115" s="174"/>
      <c r="R115" s="174"/>
      <c r="S115" s="174"/>
      <c r="T115" s="174"/>
      <c r="U115" s="174"/>
      <c r="V115" s="174"/>
      <c r="W115" s="174"/>
      <c r="X115" s="174"/>
      <c r="Y115" s="174"/>
      <c r="Z115" s="174"/>
      <c r="AA115" s="174"/>
      <c r="AB115" s="174"/>
      <c r="AC115" s="174"/>
      <c r="AD115" s="174"/>
      <c r="AE115" s="174"/>
      <c r="AF115" s="174"/>
      <c r="AG115" s="174"/>
      <c r="AH115" s="174"/>
      <c r="AI115" s="174"/>
      <c r="AJ115" s="174"/>
      <c r="AK115" s="174"/>
      <c r="AL115" s="174"/>
      <c r="AM115" s="174"/>
      <c r="AN115" s="174"/>
      <c r="AO115" s="174"/>
      <c r="AP115" s="174"/>
      <c r="AQ115" s="174"/>
      <c r="AR115" s="174"/>
      <c r="AS115" s="174"/>
      <c r="AT115" s="174"/>
      <c r="AU115" s="174"/>
      <c r="AV115" s="174"/>
      <c r="AW115" s="174"/>
      <c r="AX115" s="174"/>
      <c r="AY115" s="174"/>
      <c r="AZ115" s="174"/>
      <c r="BA115" s="174"/>
      <c r="BB115" s="174"/>
      <c r="BC115" s="174"/>
      <c r="BD115" s="174"/>
      <c r="BE115" s="174"/>
      <c r="BF115" s="174"/>
      <c r="BG115" s="174"/>
      <c r="BH115" s="174"/>
      <c r="BI115" s="174"/>
      <c r="BJ115" s="174"/>
      <c r="BK115" s="174"/>
      <c r="BL115" s="174"/>
      <c r="BM115" s="174"/>
      <c r="BN115" s="174"/>
      <c r="BO115" s="174"/>
      <c r="BP115" s="174"/>
      <c r="BQ115" s="174"/>
      <c r="BR115" s="174"/>
      <c r="BS115" s="174"/>
      <c r="BT115" s="174"/>
      <c r="BU115" s="174"/>
      <c r="BV115" s="174"/>
      <c r="BW115" s="174"/>
      <c r="BX115" s="174"/>
      <c r="BY115" s="174"/>
      <c r="BZ115" s="174"/>
      <c r="CA115" s="174"/>
      <c r="CB115" s="174"/>
      <c r="CC115" s="174"/>
      <c r="CD115" s="174"/>
      <c r="CE115" s="174"/>
      <c r="CF115" s="174"/>
      <c r="CG115" s="174"/>
      <c r="CH115" s="174"/>
      <c r="CI115" s="174"/>
      <c r="CJ115" s="174"/>
      <c r="CK115" s="174"/>
      <c r="CL115" s="174"/>
      <c r="CM115" s="174"/>
      <c r="CN115" s="174"/>
      <c r="CO115" s="174"/>
      <c r="CP115" s="174"/>
      <c r="CQ115" s="174"/>
      <c r="CR115" s="174"/>
      <c r="CS115" s="174"/>
      <c r="CT115" s="174"/>
      <c r="CU115" s="174"/>
      <c r="CV115" s="174"/>
      <c r="CW115" s="174"/>
      <c r="CX115" s="174"/>
      <c r="CY115" s="174"/>
      <c r="CZ115" s="174"/>
      <c r="DA115" s="174"/>
      <c r="DB115" s="174"/>
      <c r="DC115" s="174"/>
      <c r="DD115" s="174"/>
      <c r="DE115" s="174"/>
      <c r="DF115" s="174"/>
      <c r="DG115" s="174"/>
      <c r="DH115" s="174"/>
      <c r="DI115" s="174"/>
      <c r="DJ115" s="174"/>
      <c r="DK115" s="174"/>
      <c r="DL115" s="174"/>
      <c r="DM115" s="174"/>
      <c r="DN115" s="174"/>
      <c r="DO115" s="174"/>
      <c r="DP115" s="174"/>
      <c r="DQ115" s="174"/>
      <c r="DR115" s="174"/>
      <c r="DS115" s="174"/>
      <c r="DT115" s="174"/>
      <c r="DU115" s="174"/>
      <c r="DV115" s="174"/>
      <c r="DW115" s="174"/>
      <c r="DX115" s="174"/>
      <c r="DY115" s="174"/>
      <c r="DZ115" s="174"/>
      <c r="EA115" s="174"/>
      <c r="EB115" s="174"/>
      <c r="EC115" s="174"/>
      <c r="ED115" s="174"/>
      <c r="EE115" s="174"/>
      <c r="EF115" s="174"/>
      <c r="EG115" s="174"/>
      <c r="EH115" s="174"/>
      <c r="EI115" s="174"/>
      <c r="EJ115" s="174"/>
      <c r="EK115" s="174"/>
      <c r="EL115" s="174"/>
      <c r="EM115" s="174"/>
      <c r="EN115" s="174"/>
      <c r="EO115" s="174"/>
      <c r="EP115" s="174"/>
      <c r="EQ115" s="174"/>
      <c r="ER115" s="174"/>
      <c r="ES115" s="174"/>
      <c r="ET115" s="174"/>
      <c r="EU115" s="174"/>
      <c r="EV115" s="174"/>
      <c r="EW115" s="174"/>
      <c r="EX115" s="174"/>
      <c r="EY115" s="174"/>
      <c r="EZ115" s="174"/>
      <c r="FA115" s="174"/>
      <c r="FB115" s="174"/>
      <c r="FC115" s="174"/>
      <c r="FD115" s="174"/>
      <c r="FE115" s="174"/>
      <c r="FF115" s="174"/>
      <c r="FG115" s="174"/>
      <c r="FH115" s="174"/>
      <c r="FI115" s="174"/>
      <c r="FJ115" s="174"/>
      <c r="FK115" s="174"/>
      <c r="FL115" s="174"/>
      <c r="FM115" s="174"/>
      <c r="FN115" s="174"/>
      <c r="FO115" s="174"/>
      <c r="FP115" s="174"/>
      <c r="FQ115" s="174"/>
      <c r="FR115" s="174"/>
      <c r="FS115" s="174"/>
      <c r="FT115" s="174"/>
      <c r="FU115" s="174"/>
      <c r="FV115" s="174"/>
      <c r="FW115" s="174"/>
      <c r="FX115" s="174"/>
      <c r="FY115" s="174"/>
      <c r="FZ115" s="174"/>
      <c r="GA115" s="174"/>
      <c r="GB115" s="174"/>
      <c r="GC115" s="174"/>
      <c r="GD115" s="174"/>
      <c r="GE115" s="174"/>
      <c r="GF115" s="174"/>
      <c r="GG115" s="174"/>
      <c r="GH115" s="174"/>
      <c r="GI115" s="174"/>
      <c r="GJ115" s="174"/>
      <c r="GK115" s="174"/>
      <c r="GL115" s="174"/>
      <c r="GM115" s="174"/>
      <c r="GN115" s="174"/>
      <c r="GO115" s="174"/>
      <c r="GP115" s="174"/>
      <c r="GQ115" s="174"/>
      <c r="GR115" s="174"/>
      <c r="GS115" s="174"/>
      <c r="GT115" s="174"/>
      <c r="GU115" s="174"/>
      <c r="GV115" s="174"/>
      <c r="GW115" s="174"/>
      <c r="GX115" s="174"/>
      <c r="GY115" s="174"/>
      <c r="GZ115" s="174"/>
      <c r="HA115" s="174"/>
      <c r="HB115" s="174"/>
      <c r="HC115" s="174"/>
      <c r="HD115" s="174"/>
      <c r="HE115" s="174"/>
      <c r="HF115" s="174"/>
      <c r="HG115" s="174"/>
      <c r="HH115" s="174"/>
      <c r="HI115" s="174"/>
      <c r="HJ115" s="174"/>
      <c r="HK115" s="174"/>
      <c r="HL115" s="174"/>
      <c r="HM115" s="174"/>
      <c r="HN115" s="174"/>
      <c r="HO115" s="174"/>
      <c r="HP115" s="174"/>
      <c r="HQ115" s="174"/>
      <c r="HR115" s="174"/>
      <c r="HS115" s="174"/>
      <c r="HT115" s="174"/>
      <c r="HU115" s="174"/>
      <c r="HV115" s="174"/>
      <c r="HW115" s="174"/>
      <c r="HX115" s="174"/>
      <c r="HY115" s="174"/>
      <c r="HZ115" s="174"/>
      <c r="IA115" s="174"/>
      <c r="IB115" s="174"/>
      <c r="IC115" s="174"/>
      <c r="ID115" s="174"/>
      <c r="IE115" s="174"/>
      <c r="IF115" s="174"/>
      <c r="IG115" s="174"/>
      <c r="IH115" s="174"/>
      <c r="II115" s="174"/>
      <c r="IJ115" s="174"/>
      <c r="IK115" s="174"/>
      <c r="IL115" s="174"/>
      <c r="IM115" s="174"/>
      <c r="IN115" s="174"/>
      <c r="IO115" s="174"/>
      <c r="IP115" s="174"/>
      <c r="IQ115" s="174"/>
      <c r="IR115" s="174"/>
      <c r="IS115" s="174"/>
      <c r="IT115" s="174"/>
      <c r="IU115" s="75"/>
      <c r="IV115" s="75"/>
      <c r="IW115" s="75"/>
      <c r="IX115" s="75"/>
      <c r="IY115" s="75"/>
      <c r="IZ115" s="75"/>
      <c r="JA115" s="75"/>
      <c r="JB115" s="75"/>
      <c r="JC115" s="75"/>
      <c r="JD115" s="75"/>
      <c r="JF115" s="710"/>
      <c r="JG115" s="710"/>
      <c r="JH115" s="178">
        <f t="shared" si="7"/>
        <v>0</v>
      </c>
      <c r="JI115" s="174">
        <f t="shared" si="8"/>
        <v>0</v>
      </c>
    </row>
    <row r="116" spans="2:269" ht="15" customHeight="1" x14ac:dyDescent="0.25">
      <c r="B116" s="113">
        <v>113</v>
      </c>
      <c r="C116" s="353" t="str">
        <f t="shared" si="9"/>
        <v/>
      </c>
      <c r="D116" s="353" t="str">
        <f t="shared" si="10"/>
        <v/>
      </c>
      <c r="E116" s="174"/>
      <c r="F116" s="174"/>
      <c r="G116" s="174"/>
      <c r="H116" s="174"/>
      <c r="I116" s="174"/>
      <c r="J116" s="174"/>
      <c r="K116" s="174"/>
      <c r="L116" s="174"/>
      <c r="M116" s="174"/>
      <c r="N116" s="174"/>
      <c r="O116" s="174"/>
      <c r="P116" s="174"/>
      <c r="Q116" s="174"/>
      <c r="R116" s="174"/>
      <c r="S116" s="174"/>
      <c r="T116" s="174"/>
      <c r="U116" s="174"/>
      <c r="V116" s="174"/>
      <c r="W116" s="174"/>
      <c r="X116" s="174"/>
      <c r="Y116" s="174"/>
      <c r="Z116" s="174"/>
      <c r="AA116" s="174"/>
      <c r="AB116" s="174"/>
      <c r="AC116" s="174"/>
      <c r="AD116" s="174"/>
      <c r="AE116" s="174"/>
      <c r="AF116" s="174"/>
      <c r="AG116" s="174"/>
      <c r="AH116" s="174"/>
      <c r="AI116" s="174"/>
      <c r="AJ116" s="174"/>
      <c r="AK116" s="174"/>
      <c r="AL116" s="174"/>
      <c r="AM116" s="174"/>
      <c r="AN116" s="174"/>
      <c r="AO116" s="174"/>
      <c r="AP116" s="174"/>
      <c r="AQ116" s="174"/>
      <c r="AR116" s="174"/>
      <c r="AS116" s="174"/>
      <c r="AT116" s="174"/>
      <c r="AU116" s="174"/>
      <c r="AV116" s="174"/>
      <c r="AW116" s="174"/>
      <c r="AX116" s="174"/>
      <c r="AY116" s="174"/>
      <c r="AZ116" s="174"/>
      <c r="BA116" s="174"/>
      <c r="BB116" s="174"/>
      <c r="BC116" s="174"/>
      <c r="BD116" s="174"/>
      <c r="BE116" s="174"/>
      <c r="BF116" s="174"/>
      <c r="BG116" s="174"/>
      <c r="BH116" s="174"/>
      <c r="BI116" s="174"/>
      <c r="BJ116" s="174"/>
      <c r="BK116" s="174"/>
      <c r="BL116" s="174"/>
      <c r="BM116" s="174"/>
      <c r="BN116" s="174"/>
      <c r="BO116" s="174"/>
      <c r="BP116" s="174"/>
      <c r="BQ116" s="174"/>
      <c r="BR116" s="174"/>
      <c r="BS116" s="174"/>
      <c r="BT116" s="174"/>
      <c r="BU116" s="174"/>
      <c r="BV116" s="174"/>
      <c r="BW116" s="174"/>
      <c r="BX116" s="174"/>
      <c r="BY116" s="174"/>
      <c r="BZ116" s="174"/>
      <c r="CA116" s="174"/>
      <c r="CB116" s="174"/>
      <c r="CC116" s="174"/>
      <c r="CD116" s="174"/>
      <c r="CE116" s="174"/>
      <c r="CF116" s="174"/>
      <c r="CG116" s="174"/>
      <c r="CH116" s="174"/>
      <c r="CI116" s="174"/>
      <c r="CJ116" s="174"/>
      <c r="CK116" s="174"/>
      <c r="CL116" s="174"/>
      <c r="CM116" s="174"/>
      <c r="CN116" s="174"/>
      <c r="CO116" s="174"/>
      <c r="CP116" s="174"/>
      <c r="CQ116" s="174"/>
      <c r="CR116" s="174"/>
      <c r="CS116" s="174"/>
      <c r="CT116" s="174"/>
      <c r="CU116" s="174"/>
      <c r="CV116" s="174"/>
      <c r="CW116" s="174"/>
      <c r="CX116" s="174"/>
      <c r="CY116" s="174"/>
      <c r="CZ116" s="174"/>
      <c r="DA116" s="174"/>
      <c r="DB116" s="174"/>
      <c r="DC116" s="174"/>
      <c r="DD116" s="174"/>
      <c r="DE116" s="174"/>
      <c r="DF116" s="174"/>
      <c r="DG116" s="174"/>
      <c r="DH116" s="174"/>
      <c r="DI116" s="174"/>
      <c r="DJ116" s="174"/>
      <c r="DK116" s="174"/>
      <c r="DL116" s="174"/>
      <c r="DM116" s="174"/>
      <c r="DN116" s="174"/>
      <c r="DO116" s="174"/>
      <c r="DP116" s="174"/>
      <c r="DQ116" s="174"/>
      <c r="DR116" s="174"/>
      <c r="DS116" s="174"/>
      <c r="DT116" s="174"/>
      <c r="DU116" s="174"/>
      <c r="DV116" s="174"/>
      <c r="DW116" s="174"/>
      <c r="DX116" s="174"/>
      <c r="DY116" s="174"/>
      <c r="DZ116" s="174"/>
      <c r="EA116" s="174"/>
      <c r="EB116" s="174"/>
      <c r="EC116" s="174"/>
      <c r="ED116" s="174"/>
      <c r="EE116" s="174"/>
      <c r="EF116" s="174"/>
      <c r="EG116" s="174"/>
      <c r="EH116" s="174"/>
      <c r="EI116" s="174"/>
      <c r="EJ116" s="174"/>
      <c r="EK116" s="174"/>
      <c r="EL116" s="174"/>
      <c r="EM116" s="174"/>
      <c r="EN116" s="174"/>
      <c r="EO116" s="174"/>
      <c r="EP116" s="174"/>
      <c r="EQ116" s="174"/>
      <c r="ER116" s="174"/>
      <c r="ES116" s="174"/>
      <c r="ET116" s="174"/>
      <c r="EU116" s="174"/>
      <c r="EV116" s="174"/>
      <c r="EW116" s="174"/>
      <c r="EX116" s="174"/>
      <c r="EY116" s="174"/>
      <c r="EZ116" s="174"/>
      <c r="FA116" s="174"/>
      <c r="FB116" s="174"/>
      <c r="FC116" s="174"/>
      <c r="FD116" s="174"/>
      <c r="FE116" s="174"/>
      <c r="FF116" s="174"/>
      <c r="FG116" s="174"/>
      <c r="FH116" s="174"/>
      <c r="FI116" s="174"/>
      <c r="FJ116" s="174"/>
      <c r="FK116" s="174"/>
      <c r="FL116" s="174"/>
      <c r="FM116" s="174"/>
      <c r="FN116" s="174"/>
      <c r="FO116" s="174"/>
      <c r="FP116" s="174"/>
      <c r="FQ116" s="174"/>
      <c r="FR116" s="174"/>
      <c r="FS116" s="174"/>
      <c r="FT116" s="174"/>
      <c r="FU116" s="174"/>
      <c r="FV116" s="174"/>
      <c r="FW116" s="174"/>
      <c r="FX116" s="174"/>
      <c r="FY116" s="174"/>
      <c r="FZ116" s="174"/>
      <c r="GA116" s="174"/>
      <c r="GB116" s="174"/>
      <c r="GC116" s="174"/>
      <c r="GD116" s="174"/>
      <c r="GE116" s="174"/>
      <c r="GF116" s="174"/>
      <c r="GG116" s="174"/>
      <c r="GH116" s="174"/>
      <c r="GI116" s="174"/>
      <c r="GJ116" s="174"/>
      <c r="GK116" s="174"/>
      <c r="GL116" s="174"/>
      <c r="GM116" s="174"/>
      <c r="GN116" s="174"/>
      <c r="GO116" s="174"/>
      <c r="GP116" s="174"/>
      <c r="GQ116" s="174"/>
      <c r="GR116" s="174"/>
      <c r="GS116" s="174"/>
      <c r="GT116" s="174"/>
      <c r="GU116" s="174"/>
      <c r="GV116" s="174"/>
      <c r="GW116" s="174"/>
      <c r="GX116" s="174"/>
      <c r="GY116" s="174"/>
      <c r="GZ116" s="174"/>
      <c r="HA116" s="174"/>
      <c r="HB116" s="174"/>
      <c r="HC116" s="174"/>
      <c r="HD116" s="174"/>
      <c r="HE116" s="174"/>
      <c r="HF116" s="174"/>
      <c r="HG116" s="174"/>
      <c r="HH116" s="174"/>
      <c r="HI116" s="174"/>
      <c r="HJ116" s="174"/>
      <c r="HK116" s="174"/>
      <c r="HL116" s="174"/>
      <c r="HM116" s="174"/>
      <c r="HN116" s="174"/>
      <c r="HO116" s="174"/>
      <c r="HP116" s="174"/>
      <c r="HQ116" s="174"/>
      <c r="HR116" s="174"/>
      <c r="HS116" s="174"/>
      <c r="HT116" s="174"/>
      <c r="HU116" s="174"/>
      <c r="HV116" s="174"/>
      <c r="HW116" s="174"/>
      <c r="HX116" s="174"/>
      <c r="HY116" s="174"/>
      <c r="HZ116" s="174"/>
      <c r="IA116" s="174"/>
      <c r="IB116" s="174"/>
      <c r="IC116" s="174"/>
      <c r="ID116" s="174"/>
      <c r="IE116" s="174"/>
      <c r="IF116" s="174"/>
      <c r="IG116" s="174"/>
      <c r="IH116" s="174"/>
      <c r="II116" s="174"/>
      <c r="IJ116" s="174"/>
      <c r="IK116" s="174"/>
      <c r="IL116" s="174"/>
      <c r="IM116" s="174"/>
      <c r="IN116" s="174"/>
      <c r="IO116" s="174"/>
      <c r="IP116" s="174"/>
      <c r="IQ116" s="174"/>
      <c r="IR116" s="174"/>
      <c r="IS116" s="174"/>
      <c r="IT116" s="174"/>
      <c r="IU116" s="75"/>
      <c r="IV116" s="75"/>
      <c r="IW116" s="75"/>
      <c r="IX116" s="75"/>
      <c r="IY116" s="75"/>
      <c r="IZ116" s="75"/>
      <c r="JA116" s="75"/>
      <c r="JB116" s="75"/>
      <c r="JC116" s="75"/>
      <c r="JD116" s="75"/>
      <c r="JF116" s="710"/>
      <c r="JG116" s="710"/>
      <c r="JH116" s="178">
        <f t="shared" si="7"/>
        <v>0</v>
      </c>
      <c r="JI116" s="174">
        <f t="shared" si="8"/>
        <v>0</v>
      </c>
    </row>
    <row r="117" spans="2:269" ht="15" customHeight="1" x14ac:dyDescent="0.25">
      <c r="B117" s="113">
        <v>114</v>
      </c>
      <c r="C117" s="353" t="str">
        <f t="shared" si="9"/>
        <v/>
      </c>
      <c r="D117" s="353" t="str">
        <f t="shared" si="10"/>
        <v/>
      </c>
      <c r="E117" s="174"/>
      <c r="F117" s="174"/>
      <c r="G117" s="174"/>
      <c r="H117" s="174"/>
      <c r="I117" s="174"/>
      <c r="J117" s="174"/>
      <c r="K117" s="174"/>
      <c r="L117" s="174"/>
      <c r="M117" s="174"/>
      <c r="N117" s="174"/>
      <c r="O117" s="174"/>
      <c r="P117" s="174"/>
      <c r="Q117" s="174"/>
      <c r="R117" s="174"/>
      <c r="S117" s="174"/>
      <c r="T117" s="174"/>
      <c r="U117" s="174"/>
      <c r="V117" s="174"/>
      <c r="W117" s="174"/>
      <c r="X117" s="174"/>
      <c r="Y117" s="174"/>
      <c r="Z117" s="174"/>
      <c r="AA117" s="174"/>
      <c r="AB117" s="174"/>
      <c r="AC117" s="174"/>
      <c r="AD117" s="174"/>
      <c r="AE117" s="174"/>
      <c r="AF117" s="174"/>
      <c r="AG117" s="174"/>
      <c r="AH117" s="174"/>
      <c r="AI117" s="174"/>
      <c r="AJ117" s="174"/>
      <c r="AK117" s="174"/>
      <c r="AL117" s="174"/>
      <c r="AM117" s="174"/>
      <c r="AN117" s="174"/>
      <c r="AO117" s="174"/>
      <c r="AP117" s="174"/>
      <c r="AQ117" s="174"/>
      <c r="AR117" s="174"/>
      <c r="AS117" s="174"/>
      <c r="AT117" s="174"/>
      <c r="AU117" s="174"/>
      <c r="AV117" s="174"/>
      <c r="AW117" s="174"/>
      <c r="AX117" s="174"/>
      <c r="AY117" s="174"/>
      <c r="AZ117" s="174"/>
      <c r="BA117" s="174"/>
      <c r="BB117" s="174"/>
      <c r="BC117" s="174"/>
      <c r="BD117" s="174"/>
      <c r="BE117" s="174"/>
      <c r="BF117" s="174"/>
      <c r="BG117" s="174"/>
      <c r="BH117" s="174"/>
      <c r="BI117" s="174"/>
      <c r="BJ117" s="174"/>
      <c r="BK117" s="174"/>
      <c r="BL117" s="174"/>
      <c r="BM117" s="174"/>
      <c r="BN117" s="174"/>
      <c r="BO117" s="174"/>
      <c r="BP117" s="174"/>
      <c r="BQ117" s="174"/>
      <c r="BR117" s="174"/>
      <c r="BS117" s="174"/>
      <c r="BT117" s="174"/>
      <c r="BU117" s="174"/>
      <c r="BV117" s="174"/>
      <c r="BW117" s="174"/>
      <c r="BX117" s="174"/>
      <c r="BY117" s="174"/>
      <c r="BZ117" s="174"/>
      <c r="CA117" s="174"/>
      <c r="CB117" s="174"/>
      <c r="CC117" s="174"/>
      <c r="CD117" s="174"/>
      <c r="CE117" s="174"/>
      <c r="CF117" s="174"/>
      <c r="CG117" s="174"/>
      <c r="CH117" s="174"/>
      <c r="CI117" s="174"/>
      <c r="CJ117" s="174"/>
      <c r="CK117" s="174"/>
      <c r="CL117" s="174"/>
      <c r="CM117" s="174"/>
      <c r="CN117" s="174"/>
      <c r="CO117" s="174"/>
      <c r="CP117" s="174"/>
      <c r="CQ117" s="174"/>
      <c r="CR117" s="174"/>
      <c r="CS117" s="174"/>
      <c r="CT117" s="174"/>
      <c r="CU117" s="174"/>
      <c r="CV117" s="174"/>
      <c r="CW117" s="174"/>
      <c r="CX117" s="174"/>
      <c r="CY117" s="174"/>
      <c r="CZ117" s="174"/>
      <c r="DA117" s="174"/>
      <c r="DB117" s="174"/>
      <c r="DC117" s="174"/>
      <c r="DD117" s="174"/>
      <c r="DE117" s="174"/>
      <c r="DF117" s="174"/>
      <c r="DG117" s="174"/>
      <c r="DH117" s="174"/>
      <c r="DI117" s="174"/>
      <c r="DJ117" s="174"/>
      <c r="DK117" s="174"/>
      <c r="DL117" s="174"/>
      <c r="DM117" s="174"/>
      <c r="DN117" s="174"/>
      <c r="DO117" s="174"/>
      <c r="DP117" s="174"/>
      <c r="DQ117" s="174"/>
      <c r="DR117" s="174"/>
      <c r="DS117" s="174"/>
      <c r="DT117" s="174"/>
      <c r="DU117" s="174"/>
      <c r="DV117" s="174"/>
      <c r="DW117" s="174"/>
      <c r="DX117" s="174"/>
      <c r="DY117" s="174"/>
      <c r="DZ117" s="174"/>
      <c r="EA117" s="174"/>
      <c r="EB117" s="174"/>
      <c r="EC117" s="174"/>
      <c r="ED117" s="174"/>
      <c r="EE117" s="174"/>
      <c r="EF117" s="174"/>
      <c r="EG117" s="174"/>
      <c r="EH117" s="174"/>
      <c r="EI117" s="174"/>
      <c r="EJ117" s="174"/>
      <c r="EK117" s="174"/>
      <c r="EL117" s="174"/>
      <c r="EM117" s="174"/>
      <c r="EN117" s="174"/>
      <c r="EO117" s="174"/>
      <c r="EP117" s="174"/>
      <c r="EQ117" s="174"/>
      <c r="ER117" s="174"/>
      <c r="ES117" s="174"/>
      <c r="ET117" s="174"/>
      <c r="EU117" s="174"/>
      <c r="EV117" s="174"/>
      <c r="EW117" s="174"/>
      <c r="EX117" s="174"/>
      <c r="EY117" s="174"/>
      <c r="EZ117" s="174"/>
      <c r="FA117" s="174"/>
      <c r="FB117" s="174"/>
      <c r="FC117" s="174"/>
      <c r="FD117" s="174"/>
      <c r="FE117" s="174"/>
      <c r="FF117" s="174"/>
      <c r="FG117" s="174"/>
      <c r="FH117" s="174"/>
      <c r="FI117" s="174"/>
      <c r="FJ117" s="174"/>
      <c r="FK117" s="174"/>
      <c r="FL117" s="174"/>
      <c r="FM117" s="174"/>
      <c r="FN117" s="174"/>
      <c r="FO117" s="174"/>
      <c r="FP117" s="174"/>
      <c r="FQ117" s="174"/>
      <c r="FR117" s="174"/>
      <c r="FS117" s="174"/>
      <c r="FT117" s="174"/>
      <c r="FU117" s="174"/>
      <c r="FV117" s="174"/>
      <c r="FW117" s="174"/>
      <c r="FX117" s="174"/>
      <c r="FY117" s="174"/>
      <c r="FZ117" s="174"/>
      <c r="GA117" s="174"/>
      <c r="GB117" s="174"/>
      <c r="GC117" s="174"/>
      <c r="GD117" s="174"/>
      <c r="GE117" s="174"/>
      <c r="GF117" s="174"/>
      <c r="GG117" s="174"/>
      <c r="GH117" s="174"/>
      <c r="GI117" s="174"/>
      <c r="GJ117" s="174"/>
      <c r="GK117" s="174"/>
      <c r="GL117" s="174"/>
      <c r="GM117" s="174"/>
      <c r="GN117" s="174"/>
      <c r="GO117" s="174"/>
      <c r="GP117" s="174"/>
      <c r="GQ117" s="174"/>
      <c r="GR117" s="174"/>
      <c r="GS117" s="174"/>
      <c r="GT117" s="174"/>
      <c r="GU117" s="174"/>
      <c r="GV117" s="174"/>
      <c r="GW117" s="174"/>
      <c r="GX117" s="174"/>
      <c r="GY117" s="174"/>
      <c r="GZ117" s="174"/>
      <c r="HA117" s="174"/>
      <c r="HB117" s="174"/>
      <c r="HC117" s="174"/>
      <c r="HD117" s="174"/>
      <c r="HE117" s="174"/>
      <c r="HF117" s="174"/>
      <c r="HG117" s="174"/>
      <c r="HH117" s="174"/>
      <c r="HI117" s="174"/>
      <c r="HJ117" s="174"/>
      <c r="HK117" s="174"/>
      <c r="HL117" s="174"/>
      <c r="HM117" s="174"/>
      <c r="HN117" s="174"/>
      <c r="HO117" s="174"/>
      <c r="HP117" s="174"/>
      <c r="HQ117" s="174"/>
      <c r="HR117" s="174"/>
      <c r="HS117" s="174"/>
      <c r="HT117" s="174"/>
      <c r="HU117" s="174"/>
      <c r="HV117" s="174"/>
      <c r="HW117" s="174"/>
      <c r="HX117" s="174"/>
      <c r="HY117" s="174"/>
      <c r="HZ117" s="174"/>
      <c r="IA117" s="174"/>
      <c r="IB117" s="174"/>
      <c r="IC117" s="174"/>
      <c r="ID117" s="174"/>
      <c r="IE117" s="174"/>
      <c r="IF117" s="174"/>
      <c r="IG117" s="174"/>
      <c r="IH117" s="174"/>
      <c r="II117" s="174"/>
      <c r="IJ117" s="174"/>
      <c r="IK117" s="174"/>
      <c r="IL117" s="174"/>
      <c r="IM117" s="174"/>
      <c r="IN117" s="174"/>
      <c r="IO117" s="174"/>
      <c r="IP117" s="174"/>
      <c r="IQ117" s="174"/>
      <c r="IR117" s="174"/>
      <c r="IS117" s="174"/>
      <c r="IT117" s="174"/>
      <c r="IU117" s="75"/>
      <c r="IV117" s="75"/>
      <c r="IW117" s="75"/>
      <c r="IX117" s="75"/>
      <c r="IY117" s="75"/>
      <c r="IZ117" s="75"/>
      <c r="JA117" s="75"/>
      <c r="JB117" s="75"/>
      <c r="JC117" s="75"/>
      <c r="JD117" s="75"/>
      <c r="JF117" s="710"/>
      <c r="JG117" s="710"/>
      <c r="JH117" s="178">
        <f t="shared" si="7"/>
        <v>0</v>
      </c>
      <c r="JI117" s="174">
        <f t="shared" si="8"/>
        <v>0</v>
      </c>
    </row>
    <row r="118" spans="2:269" ht="15" customHeight="1" x14ac:dyDescent="0.25">
      <c r="B118" s="113">
        <v>115</v>
      </c>
      <c r="C118" s="353" t="str">
        <f t="shared" si="9"/>
        <v/>
      </c>
      <c r="D118" s="353" t="str">
        <f t="shared" si="10"/>
        <v/>
      </c>
      <c r="E118" s="174"/>
      <c r="F118" s="174"/>
      <c r="G118" s="174"/>
      <c r="H118" s="174"/>
      <c r="I118" s="174"/>
      <c r="J118" s="174"/>
      <c r="K118" s="174"/>
      <c r="L118" s="174"/>
      <c r="M118" s="174"/>
      <c r="N118" s="174"/>
      <c r="O118" s="174"/>
      <c r="P118" s="174"/>
      <c r="Q118" s="174"/>
      <c r="R118" s="174"/>
      <c r="S118" s="174"/>
      <c r="T118" s="174"/>
      <c r="U118" s="174"/>
      <c r="V118" s="174"/>
      <c r="W118" s="174"/>
      <c r="X118" s="174"/>
      <c r="Y118" s="174"/>
      <c r="Z118" s="174"/>
      <c r="AA118" s="174"/>
      <c r="AB118" s="174"/>
      <c r="AC118" s="174"/>
      <c r="AD118" s="174"/>
      <c r="AE118" s="174"/>
      <c r="AF118" s="174"/>
      <c r="AG118" s="174"/>
      <c r="AH118" s="174"/>
      <c r="AI118" s="174"/>
      <c r="AJ118" s="174"/>
      <c r="AK118" s="174"/>
      <c r="AL118" s="174"/>
      <c r="AM118" s="174"/>
      <c r="AN118" s="174"/>
      <c r="AO118" s="174"/>
      <c r="AP118" s="174"/>
      <c r="AQ118" s="174"/>
      <c r="AR118" s="174"/>
      <c r="AS118" s="174"/>
      <c r="AT118" s="174"/>
      <c r="AU118" s="174"/>
      <c r="AV118" s="174"/>
      <c r="AW118" s="174"/>
      <c r="AX118" s="174"/>
      <c r="AY118" s="174"/>
      <c r="AZ118" s="174"/>
      <c r="BA118" s="174"/>
      <c r="BB118" s="174"/>
      <c r="BC118" s="174"/>
      <c r="BD118" s="174"/>
      <c r="BE118" s="174"/>
      <c r="BF118" s="174"/>
      <c r="BG118" s="174"/>
      <c r="BH118" s="174"/>
      <c r="BI118" s="174"/>
      <c r="BJ118" s="174"/>
      <c r="BK118" s="174"/>
      <c r="BL118" s="174"/>
      <c r="BM118" s="174"/>
      <c r="BN118" s="174"/>
      <c r="BO118" s="174"/>
      <c r="BP118" s="174"/>
      <c r="BQ118" s="174"/>
      <c r="BR118" s="174"/>
      <c r="BS118" s="174"/>
      <c r="BT118" s="174"/>
      <c r="BU118" s="174"/>
      <c r="BV118" s="174"/>
      <c r="BW118" s="174"/>
      <c r="BX118" s="174"/>
      <c r="BY118" s="174"/>
      <c r="BZ118" s="174"/>
      <c r="CA118" s="174"/>
      <c r="CB118" s="174"/>
      <c r="CC118" s="174"/>
      <c r="CD118" s="174"/>
      <c r="CE118" s="174"/>
      <c r="CF118" s="174"/>
      <c r="CG118" s="174"/>
      <c r="CH118" s="174"/>
      <c r="CI118" s="174"/>
      <c r="CJ118" s="174"/>
      <c r="CK118" s="174"/>
      <c r="CL118" s="174"/>
      <c r="CM118" s="174"/>
      <c r="CN118" s="174"/>
      <c r="CO118" s="174"/>
      <c r="CP118" s="174"/>
      <c r="CQ118" s="174"/>
      <c r="CR118" s="174"/>
      <c r="CS118" s="174"/>
      <c r="CT118" s="174"/>
      <c r="CU118" s="174"/>
      <c r="CV118" s="174"/>
      <c r="CW118" s="174"/>
      <c r="CX118" s="174"/>
      <c r="CY118" s="174"/>
      <c r="CZ118" s="174"/>
      <c r="DA118" s="174"/>
      <c r="DB118" s="174"/>
      <c r="DC118" s="174"/>
      <c r="DD118" s="174"/>
      <c r="DE118" s="174"/>
      <c r="DF118" s="174"/>
      <c r="DG118" s="174"/>
      <c r="DH118" s="174"/>
      <c r="DI118" s="174"/>
      <c r="DJ118" s="174"/>
      <c r="DK118" s="174"/>
      <c r="DL118" s="174"/>
      <c r="DM118" s="174"/>
      <c r="DN118" s="174"/>
      <c r="DO118" s="174"/>
      <c r="DP118" s="174"/>
      <c r="DQ118" s="174"/>
      <c r="DR118" s="174"/>
      <c r="DS118" s="174"/>
      <c r="DT118" s="174"/>
      <c r="DU118" s="174"/>
      <c r="DV118" s="174"/>
      <c r="DW118" s="174"/>
      <c r="DX118" s="174"/>
      <c r="DY118" s="174"/>
      <c r="DZ118" s="174"/>
      <c r="EA118" s="174"/>
      <c r="EB118" s="174"/>
      <c r="EC118" s="174"/>
      <c r="ED118" s="174"/>
      <c r="EE118" s="174"/>
      <c r="EF118" s="174"/>
      <c r="EG118" s="174"/>
      <c r="EH118" s="174"/>
      <c r="EI118" s="174"/>
      <c r="EJ118" s="174"/>
      <c r="EK118" s="174"/>
      <c r="EL118" s="174"/>
      <c r="EM118" s="174"/>
      <c r="EN118" s="174"/>
      <c r="EO118" s="174"/>
      <c r="EP118" s="174"/>
      <c r="EQ118" s="174"/>
      <c r="ER118" s="174"/>
      <c r="ES118" s="174"/>
      <c r="ET118" s="174"/>
      <c r="EU118" s="174"/>
      <c r="EV118" s="174"/>
      <c r="EW118" s="174"/>
      <c r="EX118" s="174"/>
      <c r="EY118" s="174"/>
      <c r="EZ118" s="174"/>
      <c r="FA118" s="174"/>
      <c r="FB118" s="174"/>
      <c r="FC118" s="174"/>
      <c r="FD118" s="174"/>
      <c r="FE118" s="174"/>
      <c r="FF118" s="174"/>
      <c r="FG118" s="174"/>
      <c r="FH118" s="174"/>
      <c r="FI118" s="174"/>
      <c r="FJ118" s="174"/>
      <c r="FK118" s="174"/>
      <c r="FL118" s="174"/>
      <c r="FM118" s="174"/>
      <c r="FN118" s="174"/>
      <c r="FO118" s="174"/>
      <c r="FP118" s="174"/>
      <c r="FQ118" s="174"/>
      <c r="FR118" s="174"/>
      <c r="FS118" s="174"/>
      <c r="FT118" s="174"/>
      <c r="FU118" s="174"/>
      <c r="FV118" s="174"/>
      <c r="FW118" s="174"/>
      <c r="FX118" s="174"/>
      <c r="FY118" s="174"/>
      <c r="FZ118" s="174"/>
      <c r="GA118" s="174"/>
      <c r="GB118" s="174"/>
      <c r="GC118" s="174"/>
      <c r="GD118" s="174"/>
      <c r="GE118" s="174"/>
      <c r="GF118" s="174"/>
      <c r="GG118" s="174"/>
      <c r="GH118" s="174"/>
      <c r="GI118" s="174"/>
      <c r="GJ118" s="174"/>
      <c r="GK118" s="174"/>
      <c r="GL118" s="174"/>
      <c r="GM118" s="174"/>
      <c r="GN118" s="174"/>
      <c r="GO118" s="174"/>
      <c r="GP118" s="174"/>
      <c r="GQ118" s="174"/>
      <c r="GR118" s="174"/>
      <c r="GS118" s="174"/>
      <c r="GT118" s="174"/>
      <c r="GU118" s="174"/>
      <c r="GV118" s="174"/>
      <c r="GW118" s="174"/>
      <c r="GX118" s="174"/>
      <c r="GY118" s="174"/>
      <c r="GZ118" s="174"/>
      <c r="HA118" s="174"/>
      <c r="HB118" s="174"/>
      <c r="HC118" s="174"/>
      <c r="HD118" s="174"/>
      <c r="HE118" s="174"/>
      <c r="HF118" s="174"/>
      <c r="HG118" s="174"/>
      <c r="HH118" s="174"/>
      <c r="HI118" s="174"/>
      <c r="HJ118" s="174"/>
      <c r="HK118" s="174"/>
      <c r="HL118" s="174"/>
      <c r="HM118" s="174"/>
      <c r="HN118" s="174"/>
      <c r="HO118" s="174"/>
      <c r="HP118" s="174"/>
      <c r="HQ118" s="174"/>
      <c r="HR118" s="174"/>
      <c r="HS118" s="174"/>
      <c r="HT118" s="174"/>
      <c r="HU118" s="174"/>
      <c r="HV118" s="174"/>
      <c r="HW118" s="174"/>
      <c r="HX118" s="174"/>
      <c r="HY118" s="174"/>
      <c r="HZ118" s="174"/>
      <c r="IA118" s="174"/>
      <c r="IB118" s="174"/>
      <c r="IC118" s="174"/>
      <c r="ID118" s="174"/>
      <c r="IE118" s="174"/>
      <c r="IF118" s="174"/>
      <c r="IG118" s="174"/>
      <c r="IH118" s="174"/>
      <c r="II118" s="174"/>
      <c r="IJ118" s="174"/>
      <c r="IK118" s="174"/>
      <c r="IL118" s="174"/>
      <c r="IM118" s="174"/>
      <c r="IN118" s="174"/>
      <c r="IO118" s="174"/>
      <c r="IP118" s="174"/>
      <c r="IQ118" s="174"/>
      <c r="IR118" s="174"/>
      <c r="IS118" s="174"/>
      <c r="IT118" s="174"/>
      <c r="IU118" s="75"/>
      <c r="IV118" s="75"/>
      <c r="IW118" s="75"/>
      <c r="IX118" s="75"/>
      <c r="IY118" s="75"/>
      <c r="IZ118" s="75"/>
      <c r="JA118" s="75"/>
      <c r="JB118" s="75"/>
      <c r="JC118" s="75"/>
      <c r="JD118" s="75"/>
      <c r="JF118" s="710"/>
      <c r="JG118" s="710"/>
      <c r="JH118" s="178">
        <f t="shared" si="7"/>
        <v>0</v>
      </c>
      <c r="JI118" s="174">
        <f t="shared" si="8"/>
        <v>0</v>
      </c>
    </row>
    <row r="119" spans="2:269" ht="15" customHeight="1" x14ac:dyDescent="0.25">
      <c r="B119" s="113">
        <v>116</v>
      </c>
      <c r="C119" s="353" t="str">
        <f t="shared" si="9"/>
        <v/>
      </c>
      <c r="D119" s="353" t="str">
        <f t="shared" si="10"/>
        <v/>
      </c>
      <c r="E119" s="174"/>
      <c r="F119" s="174"/>
      <c r="G119" s="174"/>
      <c r="H119" s="174"/>
      <c r="I119" s="174"/>
      <c r="J119" s="174"/>
      <c r="K119" s="174"/>
      <c r="L119" s="174"/>
      <c r="M119" s="174"/>
      <c r="N119" s="174"/>
      <c r="O119" s="174"/>
      <c r="P119" s="174"/>
      <c r="Q119" s="174"/>
      <c r="R119" s="174"/>
      <c r="S119" s="174"/>
      <c r="T119" s="174"/>
      <c r="U119" s="174"/>
      <c r="V119" s="174"/>
      <c r="W119" s="174"/>
      <c r="X119" s="174"/>
      <c r="Y119" s="174"/>
      <c r="Z119" s="174"/>
      <c r="AA119" s="174"/>
      <c r="AB119" s="174"/>
      <c r="AC119" s="174"/>
      <c r="AD119" s="174"/>
      <c r="AE119" s="174"/>
      <c r="AF119" s="174"/>
      <c r="AG119" s="174"/>
      <c r="AH119" s="174"/>
      <c r="AI119" s="174"/>
      <c r="AJ119" s="174"/>
      <c r="AK119" s="174"/>
      <c r="AL119" s="174"/>
      <c r="AM119" s="174"/>
      <c r="AN119" s="174"/>
      <c r="AO119" s="174"/>
      <c r="AP119" s="174"/>
      <c r="AQ119" s="174"/>
      <c r="AR119" s="174"/>
      <c r="AS119" s="174"/>
      <c r="AT119" s="174"/>
      <c r="AU119" s="174"/>
      <c r="AV119" s="174"/>
      <c r="AW119" s="174"/>
      <c r="AX119" s="174"/>
      <c r="AY119" s="174"/>
      <c r="AZ119" s="174"/>
      <c r="BA119" s="174"/>
      <c r="BB119" s="174"/>
      <c r="BC119" s="174"/>
      <c r="BD119" s="174"/>
      <c r="BE119" s="174"/>
      <c r="BF119" s="174"/>
      <c r="BG119" s="174"/>
      <c r="BH119" s="174"/>
      <c r="BI119" s="174"/>
      <c r="BJ119" s="174"/>
      <c r="BK119" s="174"/>
      <c r="BL119" s="174"/>
      <c r="BM119" s="174"/>
      <c r="BN119" s="174"/>
      <c r="BO119" s="174"/>
      <c r="BP119" s="174"/>
      <c r="BQ119" s="174"/>
      <c r="BR119" s="174"/>
      <c r="BS119" s="174"/>
      <c r="BT119" s="174"/>
      <c r="BU119" s="174"/>
      <c r="BV119" s="174"/>
      <c r="BW119" s="174"/>
      <c r="BX119" s="174"/>
      <c r="BY119" s="174"/>
      <c r="BZ119" s="174"/>
      <c r="CA119" s="174"/>
      <c r="CB119" s="174"/>
      <c r="CC119" s="174"/>
      <c r="CD119" s="174"/>
      <c r="CE119" s="174"/>
      <c r="CF119" s="174"/>
      <c r="CG119" s="174"/>
      <c r="CH119" s="174"/>
      <c r="CI119" s="174"/>
      <c r="CJ119" s="174"/>
      <c r="CK119" s="174"/>
      <c r="CL119" s="174"/>
      <c r="CM119" s="174"/>
      <c r="CN119" s="174"/>
      <c r="CO119" s="174"/>
      <c r="CP119" s="174"/>
      <c r="CQ119" s="174"/>
      <c r="CR119" s="174"/>
      <c r="CS119" s="174"/>
      <c r="CT119" s="174"/>
      <c r="CU119" s="174"/>
      <c r="CV119" s="174"/>
      <c r="CW119" s="174"/>
      <c r="CX119" s="174"/>
      <c r="CY119" s="174"/>
      <c r="CZ119" s="174"/>
      <c r="DA119" s="174"/>
      <c r="DB119" s="174"/>
      <c r="DC119" s="174"/>
      <c r="DD119" s="174"/>
      <c r="DE119" s="174"/>
      <c r="DF119" s="174"/>
      <c r="DG119" s="174"/>
      <c r="DH119" s="174"/>
      <c r="DI119" s="174"/>
      <c r="DJ119" s="174"/>
      <c r="DK119" s="174"/>
      <c r="DL119" s="174"/>
      <c r="DM119" s="174"/>
      <c r="DN119" s="174"/>
      <c r="DO119" s="174"/>
      <c r="DP119" s="174"/>
      <c r="DQ119" s="174"/>
      <c r="DR119" s="174"/>
      <c r="DS119" s="174"/>
      <c r="DT119" s="174"/>
      <c r="DU119" s="174"/>
      <c r="DV119" s="174"/>
      <c r="DW119" s="174"/>
      <c r="DX119" s="174"/>
      <c r="DY119" s="174"/>
      <c r="DZ119" s="174"/>
      <c r="EA119" s="174"/>
      <c r="EB119" s="174"/>
      <c r="EC119" s="174"/>
      <c r="ED119" s="174"/>
      <c r="EE119" s="174"/>
      <c r="EF119" s="174"/>
      <c r="EG119" s="174"/>
      <c r="EH119" s="174"/>
      <c r="EI119" s="174"/>
      <c r="EJ119" s="174"/>
      <c r="EK119" s="174"/>
      <c r="EL119" s="174"/>
      <c r="EM119" s="174"/>
      <c r="EN119" s="174"/>
      <c r="EO119" s="174"/>
      <c r="EP119" s="174"/>
      <c r="EQ119" s="174"/>
      <c r="ER119" s="174"/>
      <c r="ES119" s="174"/>
      <c r="ET119" s="174"/>
      <c r="EU119" s="174"/>
      <c r="EV119" s="174"/>
      <c r="EW119" s="174"/>
      <c r="EX119" s="174"/>
      <c r="EY119" s="174"/>
      <c r="EZ119" s="174"/>
      <c r="FA119" s="174"/>
      <c r="FB119" s="174"/>
      <c r="FC119" s="174"/>
      <c r="FD119" s="174"/>
      <c r="FE119" s="174"/>
      <c r="FF119" s="174"/>
      <c r="FG119" s="174"/>
      <c r="FH119" s="174"/>
      <c r="FI119" s="174"/>
      <c r="FJ119" s="174"/>
      <c r="FK119" s="174"/>
      <c r="FL119" s="174"/>
      <c r="FM119" s="174"/>
      <c r="FN119" s="174"/>
      <c r="FO119" s="174"/>
      <c r="FP119" s="174"/>
      <c r="FQ119" s="174"/>
      <c r="FR119" s="174"/>
      <c r="FS119" s="174"/>
      <c r="FT119" s="174"/>
      <c r="FU119" s="174"/>
      <c r="FV119" s="174"/>
      <c r="FW119" s="174"/>
      <c r="FX119" s="174"/>
      <c r="FY119" s="174"/>
      <c r="FZ119" s="174"/>
      <c r="GA119" s="174"/>
      <c r="GB119" s="174"/>
      <c r="GC119" s="174"/>
      <c r="GD119" s="174"/>
      <c r="GE119" s="174"/>
      <c r="GF119" s="174"/>
      <c r="GG119" s="174"/>
      <c r="GH119" s="174"/>
      <c r="GI119" s="174"/>
      <c r="GJ119" s="174"/>
      <c r="GK119" s="174"/>
      <c r="GL119" s="174"/>
      <c r="GM119" s="174"/>
      <c r="GN119" s="174"/>
      <c r="GO119" s="174"/>
      <c r="GP119" s="174"/>
      <c r="GQ119" s="174"/>
      <c r="GR119" s="174"/>
      <c r="GS119" s="174"/>
      <c r="GT119" s="174"/>
      <c r="GU119" s="174"/>
      <c r="GV119" s="174"/>
      <c r="GW119" s="174"/>
      <c r="GX119" s="174"/>
      <c r="GY119" s="174"/>
      <c r="GZ119" s="174"/>
      <c r="HA119" s="174"/>
      <c r="HB119" s="174"/>
      <c r="HC119" s="174"/>
      <c r="HD119" s="174"/>
      <c r="HE119" s="174"/>
      <c r="HF119" s="174"/>
      <c r="HG119" s="174"/>
      <c r="HH119" s="174"/>
      <c r="HI119" s="174"/>
      <c r="HJ119" s="174"/>
      <c r="HK119" s="174"/>
      <c r="HL119" s="174"/>
      <c r="HM119" s="174"/>
      <c r="HN119" s="174"/>
      <c r="HO119" s="174"/>
      <c r="HP119" s="174"/>
      <c r="HQ119" s="174"/>
      <c r="HR119" s="174"/>
      <c r="HS119" s="174"/>
      <c r="HT119" s="174"/>
      <c r="HU119" s="174"/>
      <c r="HV119" s="174"/>
      <c r="HW119" s="174"/>
      <c r="HX119" s="174"/>
      <c r="HY119" s="174"/>
      <c r="HZ119" s="174"/>
      <c r="IA119" s="174"/>
      <c r="IB119" s="174"/>
      <c r="IC119" s="174"/>
      <c r="ID119" s="174"/>
      <c r="IE119" s="174"/>
      <c r="IF119" s="174"/>
      <c r="IG119" s="174"/>
      <c r="IH119" s="174"/>
      <c r="II119" s="174"/>
      <c r="IJ119" s="174"/>
      <c r="IK119" s="174"/>
      <c r="IL119" s="174"/>
      <c r="IM119" s="174"/>
      <c r="IN119" s="174"/>
      <c r="IO119" s="174"/>
      <c r="IP119" s="174"/>
      <c r="IQ119" s="174"/>
      <c r="IR119" s="174"/>
      <c r="IS119" s="174"/>
      <c r="IT119" s="174"/>
      <c r="IU119" s="75"/>
      <c r="IV119" s="75"/>
      <c r="IW119" s="75"/>
      <c r="IX119" s="75"/>
      <c r="IY119" s="75"/>
      <c r="IZ119" s="75"/>
      <c r="JA119" s="75"/>
      <c r="JB119" s="75"/>
      <c r="JC119" s="75"/>
      <c r="JD119" s="75"/>
      <c r="JF119" s="710"/>
      <c r="JG119" s="710"/>
      <c r="JH119" s="178">
        <f t="shared" si="7"/>
        <v>0</v>
      </c>
      <c r="JI119" s="174">
        <f t="shared" si="8"/>
        <v>0</v>
      </c>
    </row>
    <row r="120" spans="2:269" ht="15" customHeight="1" x14ac:dyDescent="0.25">
      <c r="B120" s="113">
        <v>117</v>
      </c>
      <c r="C120" s="353" t="str">
        <f t="shared" si="9"/>
        <v/>
      </c>
      <c r="D120" s="353" t="str">
        <f t="shared" si="10"/>
        <v/>
      </c>
      <c r="E120" s="174"/>
      <c r="F120" s="174"/>
      <c r="G120" s="174"/>
      <c r="H120" s="174"/>
      <c r="I120" s="174"/>
      <c r="J120" s="174"/>
      <c r="K120" s="174"/>
      <c r="L120" s="174"/>
      <c r="M120" s="174"/>
      <c r="N120" s="174"/>
      <c r="O120" s="174"/>
      <c r="P120" s="174"/>
      <c r="Q120" s="174"/>
      <c r="R120" s="174"/>
      <c r="S120" s="174"/>
      <c r="T120" s="174"/>
      <c r="U120" s="174"/>
      <c r="V120" s="174"/>
      <c r="W120" s="174"/>
      <c r="X120" s="174"/>
      <c r="Y120" s="174"/>
      <c r="Z120" s="174"/>
      <c r="AA120" s="174"/>
      <c r="AB120" s="174"/>
      <c r="AC120" s="174"/>
      <c r="AD120" s="174"/>
      <c r="AE120" s="174"/>
      <c r="AF120" s="174"/>
      <c r="AG120" s="174"/>
      <c r="AH120" s="174"/>
      <c r="AI120" s="174"/>
      <c r="AJ120" s="174"/>
      <c r="AK120" s="174"/>
      <c r="AL120" s="174"/>
      <c r="AM120" s="174"/>
      <c r="AN120" s="174"/>
      <c r="AO120" s="174"/>
      <c r="AP120" s="174"/>
      <c r="AQ120" s="174"/>
      <c r="AR120" s="174"/>
      <c r="AS120" s="174"/>
      <c r="AT120" s="174"/>
      <c r="AU120" s="174"/>
      <c r="AV120" s="174"/>
      <c r="AW120" s="174"/>
      <c r="AX120" s="174"/>
      <c r="AY120" s="174"/>
      <c r="AZ120" s="174"/>
      <c r="BA120" s="174"/>
      <c r="BB120" s="174"/>
      <c r="BC120" s="174"/>
      <c r="BD120" s="174"/>
      <c r="BE120" s="174"/>
      <c r="BF120" s="174"/>
      <c r="BG120" s="174"/>
      <c r="BH120" s="174"/>
      <c r="BI120" s="174"/>
      <c r="BJ120" s="174"/>
      <c r="BK120" s="174"/>
      <c r="BL120" s="174"/>
      <c r="BM120" s="174"/>
      <c r="BN120" s="174"/>
      <c r="BO120" s="174"/>
      <c r="BP120" s="174"/>
      <c r="BQ120" s="174"/>
      <c r="BR120" s="174"/>
      <c r="BS120" s="174"/>
      <c r="BT120" s="174"/>
      <c r="BU120" s="174"/>
      <c r="BV120" s="174"/>
      <c r="BW120" s="174"/>
      <c r="BX120" s="174"/>
      <c r="BY120" s="174"/>
      <c r="BZ120" s="174"/>
      <c r="CA120" s="174"/>
      <c r="CB120" s="174"/>
      <c r="CC120" s="174"/>
      <c r="CD120" s="174"/>
      <c r="CE120" s="174"/>
      <c r="CF120" s="174"/>
      <c r="CG120" s="174"/>
      <c r="CH120" s="174"/>
      <c r="CI120" s="174"/>
      <c r="CJ120" s="174"/>
      <c r="CK120" s="174"/>
      <c r="CL120" s="174"/>
      <c r="CM120" s="174"/>
      <c r="CN120" s="174"/>
      <c r="CO120" s="174"/>
      <c r="CP120" s="174"/>
      <c r="CQ120" s="174"/>
      <c r="CR120" s="174"/>
      <c r="CS120" s="174"/>
      <c r="CT120" s="174"/>
      <c r="CU120" s="174"/>
      <c r="CV120" s="174"/>
      <c r="CW120" s="174"/>
      <c r="CX120" s="174"/>
      <c r="CY120" s="174"/>
      <c r="CZ120" s="174"/>
      <c r="DA120" s="174"/>
      <c r="DB120" s="174"/>
      <c r="DC120" s="174"/>
      <c r="DD120" s="174"/>
      <c r="DE120" s="174"/>
      <c r="DF120" s="174"/>
      <c r="DG120" s="174"/>
      <c r="DH120" s="174"/>
      <c r="DI120" s="174"/>
      <c r="DJ120" s="174"/>
      <c r="DK120" s="174"/>
      <c r="DL120" s="174"/>
      <c r="DM120" s="174"/>
      <c r="DN120" s="174"/>
      <c r="DO120" s="174"/>
      <c r="DP120" s="174"/>
      <c r="DQ120" s="174"/>
      <c r="DR120" s="174"/>
      <c r="DS120" s="174"/>
      <c r="DT120" s="174"/>
      <c r="DU120" s="174"/>
      <c r="DV120" s="174"/>
      <c r="DW120" s="174"/>
      <c r="DX120" s="174"/>
      <c r="DY120" s="174"/>
      <c r="DZ120" s="174"/>
      <c r="EA120" s="174"/>
      <c r="EB120" s="174"/>
      <c r="EC120" s="174"/>
      <c r="ED120" s="174"/>
      <c r="EE120" s="174"/>
      <c r="EF120" s="174"/>
      <c r="EG120" s="174"/>
      <c r="EH120" s="174"/>
      <c r="EI120" s="174"/>
      <c r="EJ120" s="174"/>
      <c r="EK120" s="174"/>
      <c r="EL120" s="174"/>
      <c r="EM120" s="174"/>
      <c r="EN120" s="174"/>
      <c r="EO120" s="174"/>
      <c r="EP120" s="174"/>
      <c r="EQ120" s="174"/>
      <c r="ER120" s="174"/>
      <c r="ES120" s="174"/>
      <c r="ET120" s="174"/>
      <c r="EU120" s="174"/>
      <c r="EV120" s="174"/>
      <c r="EW120" s="174"/>
      <c r="EX120" s="174"/>
      <c r="EY120" s="174"/>
      <c r="EZ120" s="174"/>
      <c r="FA120" s="174"/>
      <c r="FB120" s="174"/>
      <c r="FC120" s="174"/>
      <c r="FD120" s="174"/>
      <c r="FE120" s="174"/>
      <c r="FF120" s="174"/>
      <c r="FG120" s="174"/>
      <c r="FH120" s="174"/>
      <c r="FI120" s="174"/>
      <c r="FJ120" s="174"/>
      <c r="FK120" s="174"/>
      <c r="FL120" s="174"/>
      <c r="FM120" s="174"/>
      <c r="FN120" s="174"/>
      <c r="FO120" s="174"/>
      <c r="FP120" s="174"/>
      <c r="FQ120" s="174"/>
      <c r="FR120" s="174"/>
      <c r="FS120" s="174"/>
      <c r="FT120" s="174"/>
      <c r="FU120" s="174"/>
      <c r="FV120" s="174"/>
      <c r="FW120" s="174"/>
      <c r="FX120" s="174"/>
      <c r="FY120" s="174"/>
      <c r="FZ120" s="174"/>
      <c r="GA120" s="174"/>
      <c r="GB120" s="174"/>
      <c r="GC120" s="174"/>
      <c r="GD120" s="174"/>
      <c r="GE120" s="174"/>
      <c r="GF120" s="174"/>
      <c r="GG120" s="174"/>
      <c r="GH120" s="174"/>
      <c r="GI120" s="174"/>
      <c r="GJ120" s="174"/>
      <c r="GK120" s="174"/>
      <c r="GL120" s="174"/>
      <c r="GM120" s="174"/>
      <c r="GN120" s="174"/>
      <c r="GO120" s="174"/>
      <c r="GP120" s="174"/>
      <c r="GQ120" s="174"/>
      <c r="GR120" s="174"/>
      <c r="GS120" s="174"/>
      <c r="GT120" s="174"/>
      <c r="GU120" s="174"/>
      <c r="GV120" s="174"/>
      <c r="GW120" s="174"/>
      <c r="GX120" s="174"/>
      <c r="GY120" s="174"/>
      <c r="GZ120" s="174"/>
      <c r="HA120" s="174"/>
      <c r="HB120" s="174"/>
      <c r="HC120" s="174"/>
      <c r="HD120" s="174"/>
      <c r="HE120" s="174"/>
      <c r="HF120" s="174"/>
      <c r="HG120" s="174"/>
      <c r="HH120" s="174"/>
      <c r="HI120" s="174"/>
      <c r="HJ120" s="174"/>
      <c r="HK120" s="174"/>
      <c r="HL120" s="174"/>
      <c r="HM120" s="174"/>
      <c r="HN120" s="174"/>
      <c r="HO120" s="174"/>
      <c r="HP120" s="174"/>
      <c r="HQ120" s="174"/>
      <c r="HR120" s="174"/>
      <c r="HS120" s="174"/>
      <c r="HT120" s="174"/>
      <c r="HU120" s="174"/>
      <c r="HV120" s="174"/>
      <c r="HW120" s="174"/>
      <c r="HX120" s="174"/>
      <c r="HY120" s="174"/>
      <c r="HZ120" s="174"/>
      <c r="IA120" s="174"/>
      <c r="IB120" s="174"/>
      <c r="IC120" s="174"/>
      <c r="ID120" s="174"/>
      <c r="IE120" s="174"/>
      <c r="IF120" s="174"/>
      <c r="IG120" s="174"/>
      <c r="IH120" s="174"/>
      <c r="II120" s="174"/>
      <c r="IJ120" s="174"/>
      <c r="IK120" s="174"/>
      <c r="IL120" s="174"/>
      <c r="IM120" s="174"/>
      <c r="IN120" s="174"/>
      <c r="IO120" s="174"/>
      <c r="IP120" s="174"/>
      <c r="IQ120" s="174"/>
      <c r="IR120" s="174"/>
      <c r="IS120" s="174"/>
      <c r="IT120" s="174"/>
      <c r="IU120" s="75"/>
      <c r="IV120" s="75"/>
      <c r="IW120" s="75"/>
      <c r="IX120" s="75"/>
      <c r="IY120" s="75"/>
      <c r="IZ120" s="75"/>
      <c r="JA120" s="75"/>
      <c r="JB120" s="75"/>
      <c r="JC120" s="75"/>
      <c r="JD120" s="75"/>
      <c r="JF120" s="710"/>
      <c r="JG120" s="710"/>
      <c r="JH120" s="178">
        <f t="shared" si="7"/>
        <v>0</v>
      </c>
      <c r="JI120" s="174">
        <f t="shared" si="8"/>
        <v>0</v>
      </c>
    </row>
    <row r="121" spans="2:269" ht="15" customHeight="1" x14ac:dyDescent="0.25">
      <c r="B121" s="113">
        <v>118</v>
      </c>
      <c r="C121" s="353" t="str">
        <f t="shared" si="9"/>
        <v/>
      </c>
      <c r="D121" s="353" t="str">
        <f t="shared" si="10"/>
        <v/>
      </c>
      <c r="E121" s="174"/>
      <c r="F121" s="174"/>
      <c r="G121" s="174"/>
      <c r="H121" s="174"/>
      <c r="I121" s="174"/>
      <c r="J121" s="174"/>
      <c r="K121" s="174"/>
      <c r="L121" s="174"/>
      <c r="M121" s="174"/>
      <c r="N121" s="174"/>
      <c r="O121" s="174"/>
      <c r="P121" s="174"/>
      <c r="Q121" s="174"/>
      <c r="R121" s="174"/>
      <c r="S121" s="174"/>
      <c r="T121" s="174"/>
      <c r="U121" s="174"/>
      <c r="V121" s="174"/>
      <c r="W121" s="174"/>
      <c r="X121" s="174"/>
      <c r="Y121" s="174"/>
      <c r="Z121" s="174"/>
      <c r="AA121" s="174"/>
      <c r="AB121" s="174"/>
      <c r="AC121" s="174"/>
      <c r="AD121" s="174"/>
      <c r="AE121" s="174"/>
      <c r="AF121" s="174"/>
      <c r="AG121" s="174"/>
      <c r="AH121" s="174"/>
      <c r="AI121" s="174"/>
      <c r="AJ121" s="174"/>
      <c r="AK121" s="174"/>
      <c r="AL121" s="174"/>
      <c r="AM121" s="174"/>
      <c r="AN121" s="174"/>
      <c r="AO121" s="174"/>
      <c r="AP121" s="174"/>
      <c r="AQ121" s="174"/>
      <c r="AR121" s="174"/>
      <c r="AS121" s="174"/>
      <c r="AT121" s="174"/>
      <c r="AU121" s="174"/>
      <c r="AV121" s="174"/>
      <c r="AW121" s="174"/>
      <c r="AX121" s="174"/>
      <c r="AY121" s="174"/>
      <c r="AZ121" s="174"/>
      <c r="BA121" s="174"/>
      <c r="BB121" s="174"/>
      <c r="BC121" s="174"/>
      <c r="BD121" s="174"/>
      <c r="BE121" s="174"/>
      <c r="BF121" s="174"/>
      <c r="BG121" s="174"/>
      <c r="BH121" s="174"/>
      <c r="BI121" s="174"/>
      <c r="BJ121" s="174"/>
      <c r="BK121" s="174"/>
      <c r="BL121" s="174"/>
      <c r="BM121" s="174"/>
      <c r="BN121" s="174"/>
      <c r="BO121" s="174"/>
      <c r="BP121" s="174"/>
      <c r="BQ121" s="174"/>
      <c r="BR121" s="174"/>
      <c r="BS121" s="174"/>
      <c r="BT121" s="174"/>
      <c r="BU121" s="174"/>
      <c r="BV121" s="174"/>
      <c r="BW121" s="174"/>
      <c r="BX121" s="174"/>
      <c r="BY121" s="174"/>
      <c r="BZ121" s="174"/>
      <c r="CA121" s="174"/>
      <c r="CB121" s="174"/>
      <c r="CC121" s="174"/>
      <c r="CD121" s="174"/>
      <c r="CE121" s="174"/>
      <c r="CF121" s="174"/>
      <c r="CG121" s="174"/>
      <c r="CH121" s="174"/>
      <c r="CI121" s="174"/>
      <c r="CJ121" s="174"/>
      <c r="CK121" s="174"/>
      <c r="CL121" s="174"/>
      <c r="CM121" s="174"/>
      <c r="CN121" s="174"/>
      <c r="CO121" s="174"/>
      <c r="CP121" s="174"/>
      <c r="CQ121" s="174"/>
      <c r="CR121" s="174"/>
      <c r="CS121" s="174"/>
      <c r="CT121" s="174"/>
      <c r="CU121" s="174"/>
      <c r="CV121" s="174"/>
      <c r="CW121" s="174"/>
      <c r="CX121" s="174"/>
      <c r="CY121" s="174"/>
      <c r="CZ121" s="174"/>
      <c r="DA121" s="174"/>
      <c r="DB121" s="174"/>
      <c r="DC121" s="174"/>
      <c r="DD121" s="174"/>
      <c r="DE121" s="174"/>
      <c r="DF121" s="174"/>
      <c r="DG121" s="174"/>
      <c r="DH121" s="174"/>
      <c r="DI121" s="174"/>
      <c r="DJ121" s="174"/>
      <c r="DK121" s="174"/>
      <c r="DL121" s="174"/>
      <c r="DM121" s="174"/>
      <c r="DN121" s="174"/>
      <c r="DO121" s="174"/>
      <c r="DP121" s="174"/>
      <c r="DQ121" s="174"/>
      <c r="DR121" s="174"/>
      <c r="DS121" s="174"/>
      <c r="DT121" s="174"/>
      <c r="DU121" s="174"/>
      <c r="DV121" s="174"/>
      <c r="DW121" s="174"/>
      <c r="DX121" s="174"/>
      <c r="DY121" s="174"/>
      <c r="DZ121" s="174"/>
      <c r="EA121" s="174"/>
      <c r="EB121" s="174"/>
      <c r="EC121" s="174"/>
      <c r="ED121" s="174"/>
      <c r="EE121" s="174"/>
      <c r="EF121" s="174"/>
      <c r="EG121" s="174"/>
      <c r="EH121" s="174"/>
      <c r="EI121" s="174"/>
      <c r="EJ121" s="174"/>
      <c r="EK121" s="174"/>
      <c r="EL121" s="174"/>
      <c r="EM121" s="174"/>
      <c r="EN121" s="174"/>
      <c r="EO121" s="174"/>
      <c r="EP121" s="174"/>
      <c r="EQ121" s="174"/>
      <c r="ER121" s="174"/>
      <c r="ES121" s="174"/>
      <c r="ET121" s="174"/>
      <c r="EU121" s="174"/>
      <c r="EV121" s="174"/>
      <c r="EW121" s="174"/>
      <c r="EX121" s="174"/>
      <c r="EY121" s="174"/>
      <c r="EZ121" s="174"/>
      <c r="FA121" s="174"/>
      <c r="FB121" s="174"/>
      <c r="FC121" s="174"/>
      <c r="FD121" s="174"/>
      <c r="FE121" s="174"/>
      <c r="FF121" s="174"/>
      <c r="FG121" s="174"/>
      <c r="FH121" s="174"/>
      <c r="FI121" s="174"/>
      <c r="FJ121" s="174"/>
      <c r="FK121" s="174"/>
      <c r="FL121" s="174"/>
      <c r="FM121" s="174"/>
      <c r="FN121" s="174"/>
      <c r="FO121" s="174"/>
      <c r="FP121" s="174"/>
      <c r="FQ121" s="174"/>
      <c r="FR121" s="174"/>
      <c r="FS121" s="174"/>
      <c r="FT121" s="174"/>
      <c r="FU121" s="174"/>
      <c r="FV121" s="174"/>
      <c r="FW121" s="174"/>
      <c r="FX121" s="174"/>
      <c r="FY121" s="174"/>
      <c r="FZ121" s="174"/>
      <c r="GA121" s="174"/>
      <c r="GB121" s="174"/>
      <c r="GC121" s="174"/>
      <c r="GD121" s="174"/>
      <c r="GE121" s="174"/>
      <c r="GF121" s="174"/>
      <c r="GG121" s="174"/>
      <c r="GH121" s="174"/>
      <c r="GI121" s="174"/>
      <c r="GJ121" s="174"/>
      <c r="GK121" s="174"/>
      <c r="GL121" s="174"/>
      <c r="GM121" s="174"/>
      <c r="GN121" s="174"/>
      <c r="GO121" s="174"/>
      <c r="GP121" s="174"/>
      <c r="GQ121" s="174"/>
      <c r="GR121" s="174"/>
      <c r="GS121" s="174"/>
      <c r="GT121" s="174"/>
      <c r="GU121" s="174"/>
      <c r="GV121" s="174"/>
      <c r="GW121" s="174"/>
      <c r="GX121" s="174"/>
      <c r="GY121" s="174"/>
      <c r="GZ121" s="174"/>
      <c r="HA121" s="174"/>
      <c r="HB121" s="174"/>
      <c r="HC121" s="174"/>
      <c r="HD121" s="174"/>
      <c r="HE121" s="174"/>
      <c r="HF121" s="174"/>
      <c r="HG121" s="174"/>
      <c r="HH121" s="174"/>
      <c r="HI121" s="174"/>
      <c r="HJ121" s="174"/>
      <c r="HK121" s="174"/>
      <c r="HL121" s="174"/>
      <c r="HM121" s="174"/>
      <c r="HN121" s="174"/>
      <c r="HO121" s="174"/>
      <c r="HP121" s="174"/>
      <c r="HQ121" s="174"/>
      <c r="HR121" s="174"/>
      <c r="HS121" s="174"/>
      <c r="HT121" s="174"/>
      <c r="HU121" s="174"/>
      <c r="HV121" s="174"/>
      <c r="HW121" s="174"/>
      <c r="HX121" s="174"/>
      <c r="HY121" s="174"/>
      <c r="HZ121" s="174"/>
      <c r="IA121" s="174"/>
      <c r="IB121" s="174"/>
      <c r="IC121" s="174"/>
      <c r="ID121" s="174"/>
      <c r="IE121" s="174"/>
      <c r="IF121" s="174"/>
      <c r="IG121" s="174"/>
      <c r="IH121" s="174"/>
      <c r="II121" s="174"/>
      <c r="IJ121" s="174"/>
      <c r="IK121" s="174"/>
      <c r="IL121" s="174"/>
      <c r="IM121" s="174"/>
      <c r="IN121" s="174"/>
      <c r="IO121" s="174"/>
      <c r="IP121" s="174"/>
      <c r="IQ121" s="174"/>
      <c r="IR121" s="174"/>
      <c r="IS121" s="174"/>
      <c r="IT121" s="174"/>
      <c r="IU121" s="75"/>
      <c r="IV121" s="75"/>
      <c r="IW121" s="75"/>
      <c r="IX121" s="75"/>
      <c r="IY121" s="75"/>
      <c r="IZ121" s="75"/>
      <c r="JA121" s="75"/>
      <c r="JB121" s="75"/>
      <c r="JC121" s="75"/>
      <c r="JD121" s="75"/>
      <c r="JF121" s="710"/>
      <c r="JG121" s="710"/>
      <c r="JH121" s="178">
        <f t="shared" si="7"/>
        <v>0</v>
      </c>
      <c r="JI121" s="174">
        <f t="shared" si="8"/>
        <v>0</v>
      </c>
    </row>
    <row r="122" spans="2:269" ht="15" customHeight="1" x14ac:dyDescent="0.25">
      <c r="B122" s="113">
        <v>119</v>
      </c>
      <c r="C122" s="353" t="str">
        <f t="shared" si="9"/>
        <v/>
      </c>
      <c r="D122" s="353" t="str">
        <f t="shared" si="10"/>
        <v/>
      </c>
      <c r="E122" s="174"/>
      <c r="F122" s="174"/>
      <c r="G122" s="174"/>
      <c r="H122" s="174"/>
      <c r="I122" s="174"/>
      <c r="J122" s="174"/>
      <c r="K122" s="174"/>
      <c r="L122" s="174"/>
      <c r="M122" s="174"/>
      <c r="N122" s="174"/>
      <c r="O122" s="174"/>
      <c r="P122" s="174"/>
      <c r="Q122" s="174"/>
      <c r="R122" s="174"/>
      <c r="S122" s="174"/>
      <c r="T122" s="174"/>
      <c r="U122" s="174"/>
      <c r="V122" s="174"/>
      <c r="W122" s="174"/>
      <c r="X122" s="174"/>
      <c r="Y122" s="174"/>
      <c r="Z122" s="174"/>
      <c r="AA122" s="174"/>
      <c r="AB122" s="174"/>
      <c r="AC122" s="174"/>
      <c r="AD122" s="174"/>
      <c r="AE122" s="174"/>
      <c r="AF122" s="174"/>
      <c r="AG122" s="174"/>
      <c r="AH122" s="174"/>
      <c r="AI122" s="174"/>
      <c r="AJ122" s="174"/>
      <c r="AK122" s="174"/>
      <c r="AL122" s="174"/>
      <c r="AM122" s="174"/>
      <c r="AN122" s="174"/>
      <c r="AO122" s="174"/>
      <c r="AP122" s="174"/>
      <c r="AQ122" s="174"/>
      <c r="AR122" s="174"/>
      <c r="AS122" s="174"/>
      <c r="AT122" s="174"/>
      <c r="AU122" s="174"/>
      <c r="AV122" s="174"/>
      <c r="AW122" s="174"/>
      <c r="AX122" s="174"/>
      <c r="AY122" s="174"/>
      <c r="AZ122" s="174"/>
      <c r="BA122" s="174"/>
      <c r="BB122" s="174"/>
      <c r="BC122" s="174"/>
      <c r="BD122" s="174"/>
      <c r="BE122" s="174"/>
      <c r="BF122" s="174"/>
      <c r="BG122" s="174"/>
      <c r="BH122" s="174"/>
      <c r="BI122" s="174"/>
      <c r="BJ122" s="174"/>
      <c r="BK122" s="174"/>
      <c r="BL122" s="174"/>
      <c r="BM122" s="174"/>
      <c r="BN122" s="174"/>
      <c r="BO122" s="174"/>
      <c r="BP122" s="174"/>
      <c r="BQ122" s="174"/>
      <c r="BR122" s="174"/>
      <c r="BS122" s="174"/>
      <c r="BT122" s="174"/>
      <c r="BU122" s="174"/>
      <c r="BV122" s="174"/>
      <c r="BW122" s="174"/>
      <c r="BX122" s="174"/>
      <c r="BY122" s="174"/>
      <c r="BZ122" s="174"/>
      <c r="CA122" s="174"/>
      <c r="CB122" s="174"/>
      <c r="CC122" s="174"/>
      <c r="CD122" s="174"/>
      <c r="CE122" s="174"/>
      <c r="CF122" s="174"/>
      <c r="CG122" s="174"/>
      <c r="CH122" s="174"/>
      <c r="CI122" s="174"/>
      <c r="CJ122" s="174"/>
      <c r="CK122" s="174"/>
      <c r="CL122" s="174"/>
      <c r="CM122" s="174"/>
      <c r="CN122" s="174"/>
      <c r="CO122" s="174"/>
      <c r="CP122" s="174"/>
      <c r="CQ122" s="174"/>
      <c r="CR122" s="174"/>
      <c r="CS122" s="174"/>
      <c r="CT122" s="174"/>
      <c r="CU122" s="174"/>
      <c r="CV122" s="174"/>
      <c r="CW122" s="174"/>
      <c r="CX122" s="174"/>
      <c r="CY122" s="174"/>
      <c r="CZ122" s="174"/>
      <c r="DA122" s="174"/>
      <c r="DB122" s="174"/>
      <c r="DC122" s="174"/>
      <c r="DD122" s="174"/>
      <c r="DE122" s="174"/>
      <c r="DF122" s="174"/>
      <c r="DG122" s="174"/>
      <c r="DH122" s="174"/>
      <c r="DI122" s="174"/>
      <c r="DJ122" s="174"/>
      <c r="DK122" s="174"/>
      <c r="DL122" s="174"/>
      <c r="DM122" s="174"/>
      <c r="DN122" s="174"/>
      <c r="DO122" s="174"/>
      <c r="DP122" s="174"/>
      <c r="DQ122" s="174"/>
      <c r="DR122" s="174"/>
      <c r="DS122" s="174"/>
      <c r="DT122" s="174"/>
      <c r="DU122" s="174"/>
      <c r="DV122" s="174"/>
      <c r="DW122" s="174"/>
      <c r="DX122" s="174"/>
      <c r="DY122" s="174"/>
      <c r="DZ122" s="174"/>
      <c r="EA122" s="174"/>
      <c r="EB122" s="174"/>
      <c r="EC122" s="174"/>
      <c r="ED122" s="174"/>
      <c r="EE122" s="174"/>
      <c r="EF122" s="174"/>
      <c r="EG122" s="174"/>
      <c r="EH122" s="174"/>
      <c r="EI122" s="174"/>
      <c r="EJ122" s="174"/>
      <c r="EK122" s="174"/>
      <c r="EL122" s="174"/>
      <c r="EM122" s="174"/>
      <c r="EN122" s="174"/>
      <c r="EO122" s="174"/>
      <c r="EP122" s="174"/>
      <c r="EQ122" s="174"/>
      <c r="ER122" s="174"/>
      <c r="ES122" s="174"/>
      <c r="ET122" s="174"/>
      <c r="EU122" s="174"/>
      <c r="EV122" s="174"/>
      <c r="EW122" s="174"/>
      <c r="EX122" s="174"/>
      <c r="EY122" s="174"/>
      <c r="EZ122" s="174"/>
      <c r="FA122" s="174"/>
      <c r="FB122" s="174"/>
      <c r="FC122" s="174"/>
      <c r="FD122" s="174"/>
      <c r="FE122" s="174"/>
      <c r="FF122" s="174"/>
      <c r="FG122" s="174"/>
      <c r="FH122" s="174"/>
      <c r="FI122" s="174"/>
      <c r="FJ122" s="174"/>
      <c r="FK122" s="174"/>
      <c r="FL122" s="174"/>
      <c r="FM122" s="174"/>
      <c r="FN122" s="174"/>
      <c r="FO122" s="174"/>
      <c r="FP122" s="174"/>
      <c r="FQ122" s="174"/>
      <c r="FR122" s="174"/>
      <c r="FS122" s="174"/>
      <c r="FT122" s="174"/>
      <c r="FU122" s="174"/>
      <c r="FV122" s="174"/>
      <c r="FW122" s="174"/>
      <c r="FX122" s="174"/>
      <c r="FY122" s="174"/>
      <c r="FZ122" s="174"/>
      <c r="GA122" s="174"/>
      <c r="GB122" s="174"/>
      <c r="GC122" s="174"/>
      <c r="GD122" s="174"/>
      <c r="GE122" s="174"/>
      <c r="GF122" s="174"/>
      <c r="GG122" s="174"/>
      <c r="GH122" s="174"/>
      <c r="GI122" s="174"/>
      <c r="GJ122" s="174"/>
      <c r="GK122" s="174"/>
      <c r="GL122" s="174"/>
      <c r="GM122" s="174"/>
      <c r="GN122" s="174"/>
      <c r="GO122" s="174"/>
      <c r="GP122" s="174"/>
      <c r="GQ122" s="174"/>
      <c r="GR122" s="174"/>
      <c r="GS122" s="174"/>
      <c r="GT122" s="174"/>
      <c r="GU122" s="174"/>
      <c r="GV122" s="174"/>
      <c r="GW122" s="174"/>
      <c r="GX122" s="174"/>
      <c r="GY122" s="174"/>
      <c r="GZ122" s="174"/>
      <c r="HA122" s="174"/>
      <c r="HB122" s="174"/>
      <c r="HC122" s="174"/>
      <c r="HD122" s="174"/>
      <c r="HE122" s="174"/>
      <c r="HF122" s="174"/>
      <c r="HG122" s="174"/>
      <c r="HH122" s="174"/>
      <c r="HI122" s="174"/>
      <c r="HJ122" s="174"/>
      <c r="HK122" s="174"/>
      <c r="HL122" s="174"/>
      <c r="HM122" s="174"/>
      <c r="HN122" s="174"/>
      <c r="HO122" s="174"/>
      <c r="HP122" s="174"/>
      <c r="HQ122" s="174"/>
      <c r="HR122" s="174"/>
      <c r="HS122" s="174"/>
      <c r="HT122" s="174"/>
      <c r="HU122" s="174"/>
      <c r="HV122" s="174"/>
      <c r="HW122" s="174"/>
      <c r="HX122" s="174"/>
      <c r="HY122" s="174"/>
      <c r="HZ122" s="174"/>
      <c r="IA122" s="174"/>
      <c r="IB122" s="174"/>
      <c r="IC122" s="174"/>
      <c r="ID122" s="174"/>
      <c r="IE122" s="174"/>
      <c r="IF122" s="174"/>
      <c r="IG122" s="174"/>
      <c r="IH122" s="174"/>
      <c r="II122" s="174"/>
      <c r="IJ122" s="174"/>
      <c r="IK122" s="174"/>
      <c r="IL122" s="174"/>
      <c r="IM122" s="174"/>
      <c r="IN122" s="174"/>
      <c r="IO122" s="174"/>
      <c r="IP122" s="174"/>
      <c r="IQ122" s="174"/>
      <c r="IR122" s="174"/>
      <c r="IS122" s="174"/>
      <c r="IT122" s="174"/>
      <c r="IU122" s="75"/>
      <c r="IV122" s="75"/>
      <c r="IW122" s="75"/>
      <c r="IX122" s="75"/>
      <c r="IY122" s="75"/>
      <c r="IZ122" s="75"/>
      <c r="JA122" s="75"/>
      <c r="JB122" s="75"/>
      <c r="JC122" s="75"/>
      <c r="JD122" s="75"/>
      <c r="JF122" s="710"/>
      <c r="JG122" s="710"/>
      <c r="JH122" s="178">
        <f t="shared" si="7"/>
        <v>0</v>
      </c>
      <c r="JI122" s="174">
        <f t="shared" si="8"/>
        <v>0</v>
      </c>
    </row>
    <row r="123" spans="2:269" ht="15" customHeight="1" x14ac:dyDescent="0.25">
      <c r="B123" s="113">
        <v>120</v>
      </c>
      <c r="C123" s="353" t="str">
        <f t="shared" si="9"/>
        <v/>
      </c>
      <c r="D123" s="353" t="str">
        <f t="shared" si="10"/>
        <v/>
      </c>
      <c r="E123" s="174"/>
      <c r="F123" s="174"/>
      <c r="G123" s="174"/>
      <c r="H123" s="174"/>
      <c r="I123" s="174"/>
      <c r="J123" s="174"/>
      <c r="K123" s="174"/>
      <c r="L123" s="174"/>
      <c r="M123" s="174"/>
      <c r="N123" s="174"/>
      <c r="O123" s="174"/>
      <c r="P123" s="174"/>
      <c r="Q123" s="174"/>
      <c r="R123" s="174"/>
      <c r="S123" s="174"/>
      <c r="T123" s="174"/>
      <c r="U123" s="174"/>
      <c r="V123" s="174"/>
      <c r="W123" s="174"/>
      <c r="X123" s="174"/>
      <c r="Y123" s="174"/>
      <c r="Z123" s="174"/>
      <c r="AA123" s="174"/>
      <c r="AB123" s="174"/>
      <c r="AC123" s="174"/>
      <c r="AD123" s="174"/>
      <c r="AE123" s="174"/>
      <c r="AF123" s="174"/>
      <c r="AG123" s="174"/>
      <c r="AH123" s="174"/>
      <c r="AI123" s="174"/>
      <c r="AJ123" s="174"/>
      <c r="AK123" s="174"/>
      <c r="AL123" s="174"/>
      <c r="AM123" s="174"/>
      <c r="AN123" s="174"/>
      <c r="AO123" s="174"/>
      <c r="AP123" s="174"/>
      <c r="AQ123" s="174"/>
      <c r="AR123" s="174"/>
      <c r="AS123" s="174"/>
      <c r="AT123" s="174"/>
      <c r="AU123" s="174"/>
      <c r="AV123" s="174"/>
      <c r="AW123" s="174"/>
      <c r="AX123" s="174"/>
      <c r="AY123" s="174"/>
      <c r="AZ123" s="174"/>
      <c r="BA123" s="174"/>
      <c r="BB123" s="174"/>
      <c r="BC123" s="174"/>
      <c r="BD123" s="174"/>
      <c r="BE123" s="174"/>
      <c r="BF123" s="174"/>
      <c r="BG123" s="174"/>
      <c r="BH123" s="174"/>
      <c r="BI123" s="174"/>
      <c r="BJ123" s="174"/>
      <c r="BK123" s="174"/>
      <c r="BL123" s="174"/>
      <c r="BM123" s="174"/>
      <c r="BN123" s="174"/>
      <c r="BO123" s="174"/>
      <c r="BP123" s="174"/>
      <c r="BQ123" s="174"/>
      <c r="BR123" s="174"/>
      <c r="BS123" s="174"/>
      <c r="BT123" s="174"/>
      <c r="BU123" s="174"/>
      <c r="BV123" s="174"/>
      <c r="BW123" s="174"/>
      <c r="BX123" s="174"/>
      <c r="BY123" s="174"/>
      <c r="BZ123" s="174"/>
      <c r="CA123" s="174"/>
      <c r="CB123" s="174"/>
      <c r="CC123" s="174"/>
      <c r="CD123" s="174"/>
      <c r="CE123" s="174"/>
      <c r="CF123" s="174"/>
      <c r="CG123" s="174"/>
      <c r="CH123" s="174"/>
      <c r="CI123" s="174"/>
      <c r="CJ123" s="174"/>
      <c r="CK123" s="174"/>
      <c r="CL123" s="174"/>
      <c r="CM123" s="174"/>
      <c r="CN123" s="174"/>
      <c r="CO123" s="174"/>
      <c r="CP123" s="174"/>
      <c r="CQ123" s="174"/>
      <c r="CR123" s="174"/>
      <c r="CS123" s="174"/>
      <c r="CT123" s="174"/>
      <c r="CU123" s="174"/>
      <c r="CV123" s="174"/>
      <c r="CW123" s="174"/>
      <c r="CX123" s="174"/>
      <c r="CY123" s="174"/>
      <c r="CZ123" s="174"/>
      <c r="DA123" s="174"/>
      <c r="DB123" s="174"/>
      <c r="DC123" s="174"/>
      <c r="DD123" s="174"/>
      <c r="DE123" s="174"/>
      <c r="DF123" s="174"/>
      <c r="DG123" s="174"/>
      <c r="DH123" s="174"/>
      <c r="DI123" s="174"/>
      <c r="DJ123" s="174"/>
      <c r="DK123" s="174"/>
      <c r="DL123" s="174"/>
      <c r="DM123" s="174"/>
      <c r="DN123" s="174"/>
      <c r="DO123" s="174"/>
      <c r="DP123" s="174"/>
      <c r="DQ123" s="174"/>
      <c r="DR123" s="174"/>
      <c r="DS123" s="174"/>
      <c r="DT123" s="174"/>
      <c r="DU123" s="174"/>
      <c r="DV123" s="174"/>
      <c r="DW123" s="174"/>
      <c r="DX123" s="174"/>
      <c r="DY123" s="174"/>
      <c r="DZ123" s="174"/>
      <c r="EA123" s="174"/>
      <c r="EB123" s="174"/>
      <c r="EC123" s="174"/>
      <c r="ED123" s="174"/>
      <c r="EE123" s="174"/>
      <c r="EF123" s="174"/>
      <c r="EG123" s="174"/>
      <c r="EH123" s="174"/>
      <c r="EI123" s="174"/>
      <c r="EJ123" s="174"/>
      <c r="EK123" s="174"/>
      <c r="EL123" s="174"/>
      <c r="EM123" s="174"/>
      <c r="EN123" s="174"/>
      <c r="EO123" s="174"/>
      <c r="EP123" s="174"/>
      <c r="EQ123" s="174"/>
      <c r="ER123" s="174"/>
      <c r="ES123" s="174"/>
      <c r="ET123" s="174"/>
      <c r="EU123" s="174"/>
      <c r="EV123" s="174"/>
      <c r="EW123" s="174"/>
      <c r="EX123" s="174"/>
      <c r="EY123" s="174"/>
      <c r="EZ123" s="174"/>
      <c r="FA123" s="174"/>
      <c r="FB123" s="174"/>
      <c r="FC123" s="174"/>
      <c r="FD123" s="174"/>
      <c r="FE123" s="174"/>
      <c r="FF123" s="174"/>
      <c r="FG123" s="174"/>
      <c r="FH123" s="174"/>
      <c r="FI123" s="174"/>
      <c r="FJ123" s="174"/>
      <c r="FK123" s="174"/>
      <c r="FL123" s="174"/>
      <c r="FM123" s="174"/>
      <c r="FN123" s="174"/>
      <c r="FO123" s="174"/>
      <c r="FP123" s="174"/>
      <c r="FQ123" s="174"/>
      <c r="FR123" s="174"/>
      <c r="FS123" s="174"/>
      <c r="FT123" s="174"/>
      <c r="FU123" s="174"/>
      <c r="FV123" s="174"/>
      <c r="FW123" s="174"/>
      <c r="FX123" s="174"/>
      <c r="FY123" s="174"/>
      <c r="FZ123" s="174"/>
      <c r="GA123" s="174"/>
      <c r="GB123" s="174"/>
      <c r="GC123" s="174"/>
      <c r="GD123" s="174"/>
      <c r="GE123" s="174"/>
      <c r="GF123" s="174"/>
      <c r="GG123" s="174"/>
      <c r="GH123" s="174"/>
      <c r="GI123" s="174"/>
      <c r="GJ123" s="174"/>
      <c r="GK123" s="174"/>
      <c r="GL123" s="174"/>
      <c r="GM123" s="174"/>
      <c r="GN123" s="174"/>
      <c r="GO123" s="174"/>
      <c r="GP123" s="174"/>
      <c r="GQ123" s="174"/>
      <c r="GR123" s="174"/>
      <c r="GS123" s="174"/>
      <c r="GT123" s="174"/>
      <c r="GU123" s="174"/>
      <c r="GV123" s="174"/>
      <c r="GW123" s="174"/>
      <c r="GX123" s="174"/>
      <c r="GY123" s="174"/>
      <c r="GZ123" s="174"/>
      <c r="HA123" s="174"/>
      <c r="HB123" s="174"/>
      <c r="HC123" s="174"/>
      <c r="HD123" s="174"/>
      <c r="HE123" s="174"/>
      <c r="HF123" s="174"/>
      <c r="HG123" s="174"/>
      <c r="HH123" s="174"/>
      <c r="HI123" s="174"/>
      <c r="HJ123" s="174"/>
      <c r="HK123" s="174"/>
      <c r="HL123" s="174"/>
      <c r="HM123" s="174"/>
      <c r="HN123" s="174"/>
      <c r="HO123" s="174"/>
      <c r="HP123" s="174"/>
      <c r="HQ123" s="174"/>
      <c r="HR123" s="174"/>
      <c r="HS123" s="174"/>
      <c r="HT123" s="174"/>
      <c r="HU123" s="174"/>
      <c r="HV123" s="174"/>
      <c r="HW123" s="174"/>
      <c r="HX123" s="174"/>
      <c r="HY123" s="174"/>
      <c r="HZ123" s="174"/>
      <c r="IA123" s="174"/>
      <c r="IB123" s="174"/>
      <c r="IC123" s="174"/>
      <c r="ID123" s="174"/>
      <c r="IE123" s="174"/>
      <c r="IF123" s="174"/>
      <c r="IG123" s="174"/>
      <c r="IH123" s="174"/>
      <c r="II123" s="174"/>
      <c r="IJ123" s="174"/>
      <c r="IK123" s="174"/>
      <c r="IL123" s="174"/>
      <c r="IM123" s="174"/>
      <c r="IN123" s="174"/>
      <c r="IO123" s="174"/>
      <c r="IP123" s="174"/>
      <c r="IQ123" s="174"/>
      <c r="IR123" s="174"/>
      <c r="IS123" s="174"/>
      <c r="IT123" s="174"/>
      <c r="IU123" s="75"/>
      <c r="IV123" s="75"/>
      <c r="IW123" s="75"/>
      <c r="IX123" s="75"/>
      <c r="IY123" s="75"/>
      <c r="IZ123" s="75"/>
      <c r="JA123" s="75"/>
      <c r="JB123" s="75"/>
      <c r="JC123" s="75"/>
      <c r="JD123" s="75"/>
      <c r="JF123" s="710"/>
      <c r="JG123" s="710"/>
      <c r="JH123" s="178">
        <f t="shared" si="7"/>
        <v>0</v>
      </c>
      <c r="JI123" s="174">
        <f t="shared" si="8"/>
        <v>0</v>
      </c>
    </row>
    <row r="124" spans="2:269" ht="15" customHeight="1" x14ac:dyDescent="0.25">
      <c r="B124" s="113">
        <v>121</v>
      </c>
      <c r="C124" s="353" t="str">
        <f t="shared" si="9"/>
        <v/>
      </c>
      <c r="D124" s="353" t="str">
        <f t="shared" si="10"/>
        <v/>
      </c>
      <c r="E124" s="174"/>
      <c r="F124" s="174"/>
      <c r="G124" s="174"/>
      <c r="H124" s="174"/>
      <c r="I124" s="174"/>
      <c r="J124" s="174"/>
      <c r="K124" s="174"/>
      <c r="L124" s="174"/>
      <c r="M124" s="174"/>
      <c r="N124" s="174"/>
      <c r="O124" s="174"/>
      <c r="P124" s="174"/>
      <c r="Q124" s="174"/>
      <c r="R124" s="174"/>
      <c r="S124" s="174"/>
      <c r="T124" s="174"/>
      <c r="U124" s="174"/>
      <c r="V124" s="174"/>
      <c r="W124" s="174"/>
      <c r="X124" s="174"/>
      <c r="Y124" s="174"/>
      <c r="Z124" s="174"/>
      <c r="AA124" s="174"/>
      <c r="AB124" s="174"/>
      <c r="AC124" s="174"/>
      <c r="AD124" s="174"/>
      <c r="AE124" s="174"/>
      <c r="AF124" s="174"/>
      <c r="AG124" s="174"/>
      <c r="AH124" s="174"/>
      <c r="AI124" s="174"/>
      <c r="AJ124" s="174"/>
      <c r="AK124" s="174"/>
      <c r="AL124" s="174"/>
      <c r="AM124" s="174"/>
      <c r="AN124" s="174"/>
      <c r="AO124" s="174"/>
      <c r="AP124" s="174"/>
      <c r="AQ124" s="174"/>
      <c r="AR124" s="174"/>
      <c r="AS124" s="174"/>
      <c r="AT124" s="174"/>
      <c r="AU124" s="174"/>
      <c r="AV124" s="174"/>
      <c r="AW124" s="174"/>
      <c r="AX124" s="174"/>
      <c r="AY124" s="174"/>
      <c r="AZ124" s="174"/>
      <c r="BA124" s="174"/>
      <c r="BB124" s="174"/>
      <c r="BC124" s="174"/>
      <c r="BD124" s="174"/>
      <c r="BE124" s="174"/>
      <c r="BF124" s="174"/>
      <c r="BG124" s="174"/>
      <c r="BH124" s="174"/>
      <c r="BI124" s="174"/>
      <c r="BJ124" s="174"/>
      <c r="BK124" s="174"/>
      <c r="BL124" s="174"/>
      <c r="BM124" s="174"/>
      <c r="BN124" s="174"/>
      <c r="BO124" s="174"/>
      <c r="BP124" s="174"/>
      <c r="BQ124" s="174"/>
      <c r="BR124" s="174"/>
      <c r="BS124" s="174"/>
      <c r="BT124" s="174"/>
      <c r="BU124" s="174"/>
      <c r="BV124" s="174"/>
      <c r="BW124" s="174"/>
      <c r="BX124" s="174"/>
      <c r="BY124" s="174"/>
      <c r="BZ124" s="174"/>
      <c r="CA124" s="174"/>
      <c r="CB124" s="174"/>
      <c r="CC124" s="174"/>
      <c r="CD124" s="174"/>
      <c r="CE124" s="174"/>
      <c r="CF124" s="174"/>
      <c r="CG124" s="174"/>
      <c r="CH124" s="174"/>
      <c r="CI124" s="174"/>
      <c r="CJ124" s="174"/>
      <c r="CK124" s="174"/>
      <c r="CL124" s="174"/>
      <c r="CM124" s="174"/>
      <c r="CN124" s="174"/>
      <c r="CO124" s="174"/>
      <c r="CP124" s="174"/>
      <c r="CQ124" s="174"/>
      <c r="CR124" s="174"/>
      <c r="CS124" s="174"/>
      <c r="CT124" s="174"/>
      <c r="CU124" s="174"/>
      <c r="CV124" s="174"/>
      <c r="CW124" s="174"/>
      <c r="CX124" s="174"/>
      <c r="CY124" s="174"/>
      <c r="CZ124" s="174"/>
      <c r="DA124" s="174"/>
      <c r="DB124" s="174"/>
      <c r="DC124" s="174"/>
      <c r="DD124" s="174"/>
      <c r="DE124" s="174"/>
      <c r="DF124" s="174"/>
      <c r="DG124" s="174"/>
      <c r="DH124" s="174"/>
      <c r="DI124" s="174"/>
      <c r="DJ124" s="174"/>
      <c r="DK124" s="174"/>
      <c r="DL124" s="174"/>
      <c r="DM124" s="174"/>
      <c r="DN124" s="174"/>
      <c r="DO124" s="174"/>
      <c r="DP124" s="174"/>
      <c r="DQ124" s="174"/>
      <c r="DR124" s="174"/>
      <c r="DS124" s="174"/>
      <c r="DT124" s="174"/>
      <c r="DU124" s="174"/>
      <c r="DV124" s="174"/>
      <c r="DW124" s="174"/>
      <c r="DX124" s="174"/>
      <c r="DY124" s="174"/>
      <c r="DZ124" s="174"/>
      <c r="EA124" s="174"/>
      <c r="EB124" s="174"/>
      <c r="EC124" s="174"/>
      <c r="ED124" s="174"/>
      <c r="EE124" s="174"/>
      <c r="EF124" s="174"/>
      <c r="EG124" s="174"/>
      <c r="EH124" s="174"/>
      <c r="EI124" s="174"/>
      <c r="EJ124" s="174"/>
      <c r="EK124" s="174"/>
      <c r="EL124" s="174"/>
      <c r="EM124" s="174"/>
      <c r="EN124" s="174"/>
      <c r="EO124" s="174"/>
      <c r="EP124" s="174"/>
      <c r="EQ124" s="174"/>
      <c r="ER124" s="174"/>
      <c r="ES124" s="174"/>
      <c r="ET124" s="174"/>
      <c r="EU124" s="174"/>
      <c r="EV124" s="174"/>
      <c r="EW124" s="174"/>
      <c r="EX124" s="174"/>
      <c r="EY124" s="174"/>
      <c r="EZ124" s="174"/>
      <c r="FA124" s="174"/>
      <c r="FB124" s="174"/>
      <c r="FC124" s="174"/>
      <c r="FD124" s="174"/>
      <c r="FE124" s="174"/>
      <c r="FF124" s="174"/>
      <c r="FG124" s="174"/>
      <c r="FH124" s="174"/>
      <c r="FI124" s="174"/>
      <c r="FJ124" s="174"/>
      <c r="FK124" s="174"/>
      <c r="FL124" s="174"/>
      <c r="FM124" s="174"/>
      <c r="FN124" s="174"/>
      <c r="FO124" s="174"/>
      <c r="FP124" s="174"/>
      <c r="FQ124" s="174"/>
      <c r="FR124" s="174"/>
      <c r="FS124" s="174"/>
      <c r="FT124" s="174"/>
      <c r="FU124" s="174"/>
      <c r="FV124" s="174"/>
      <c r="FW124" s="174"/>
      <c r="FX124" s="174"/>
      <c r="FY124" s="174"/>
      <c r="FZ124" s="174"/>
      <c r="GA124" s="174"/>
      <c r="GB124" s="174"/>
      <c r="GC124" s="174"/>
      <c r="GD124" s="174"/>
      <c r="GE124" s="174"/>
      <c r="GF124" s="174"/>
      <c r="GG124" s="174"/>
      <c r="GH124" s="174"/>
      <c r="GI124" s="174"/>
      <c r="GJ124" s="174"/>
      <c r="GK124" s="174"/>
      <c r="GL124" s="174"/>
      <c r="GM124" s="174"/>
      <c r="GN124" s="174"/>
      <c r="GO124" s="174"/>
      <c r="GP124" s="174"/>
      <c r="GQ124" s="174"/>
      <c r="GR124" s="174"/>
      <c r="GS124" s="174"/>
      <c r="GT124" s="174"/>
      <c r="GU124" s="174"/>
      <c r="GV124" s="174"/>
      <c r="GW124" s="174"/>
      <c r="GX124" s="174"/>
      <c r="GY124" s="174"/>
      <c r="GZ124" s="174"/>
      <c r="HA124" s="174"/>
      <c r="HB124" s="174"/>
      <c r="HC124" s="174"/>
      <c r="HD124" s="174"/>
      <c r="HE124" s="174"/>
      <c r="HF124" s="174"/>
      <c r="HG124" s="174"/>
      <c r="HH124" s="174"/>
      <c r="HI124" s="174"/>
      <c r="HJ124" s="174"/>
      <c r="HK124" s="174"/>
      <c r="HL124" s="174"/>
      <c r="HM124" s="174"/>
      <c r="HN124" s="174"/>
      <c r="HO124" s="174"/>
      <c r="HP124" s="174"/>
      <c r="HQ124" s="174"/>
      <c r="HR124" s="174"/>
      <c r="HS124" s="174"/>
      <c r="HT124" s="174"/>
      <c r="HU124" s="174"/>
      <c r="HV124" s="174"/>
      <c r="HW124" s="174"/>
      <c r="HX124" s="174"/>
      <c r="HY124" s="174"/>
      <c r="HZ124" s="174"/>
      <c r="IA124" s="174"/>
      <c r="IB124" s="174"/>
      <c r="IC124" s="174"/>
      <c r="ID124" s="174"/>
      <c r="IE124" s="174"/>
      <c r="IF124" s="174"/>
      <c r="IG124" s="174"/>
      <c r="IH124" s="174"/>
      <c r="II124" s="174"/>
      <c r="IJ124" s="174"/>
      <c r="IK124" s="174"/>
      <c r="IL124" s="174"/>
      <c r="IM124" s="174"/>
      <c r="IN124" s="174"/>
      <c r="IO124" s="174"/>
      <c r="IP124" s="174"/>
      <c r="IQ124" s="174"/>
      <c r="IR124" s="174"/>
      <c r="IS124" s="174"/>
      <c r="IT124" s="174"/>
      <c r="IU124" s="75"/>
      <c r="IV124" s="75"/>
      <c r="IW124" s="75"/>
      <c r="IX124" s="75"/>
      <c r="IY124" s="75"/>
      <c r="IZ124" s="75"/>
      <c r="JA124" s="75"/>
      <c r="JB124" s="75"/>
      <c r="JC124" s="75"/>
      <c r="JD124" s="75"/>
      <c r="JF124" s="710"/>
      <c r="JG124" s="710"/>
      <c r="JH124" s="178">
        <f t="shared" si="7"/>
        <v>0</v>
      </c>
      <c r="JI124" s="174">
        <f t="shared" si="8"/>
        <v>0</v>
      </c>
    </row>
    <row r="125" spans="2:269" ht="15" customHeight="1" x14ac:dyDescent="0.25">
      <c r="B125" s="113">
        <v>122</v>
      </c>
      <c r="C125" s="353" t="str">
        <f t="shared" si="9"/>
        <v/>
      </c>
      <c r="D125" s="353" t="str">
        <f t="shared" si="10"/>
        <v/>
      </c>
      <c r="E125" s="174"/>
      <c r="F125" s="174"/>
      <c r="G125" s="174"/>
      <c r="H125" s="174"/>
      <c r="I125" s="174"/>
      <c r="J125" s="174"/>
      <c r="K125" s="174"/>
      <c r="L125" s="174"/>
      <c r="M125" s="174"/>
      <c r="N125" s="174"/>
      <c r="O125" s="174"/>
      <c r="P125" s="174"/>
      <c r="Q125" s="174"/>
      <c r="R125" s="174"/>
      <c r="S125" s="174"/>
      <c r="T125" s="174"/>
      <c r="U125" s="174"/>
      <c r="V125" s="174"/>
      <c r="W125" s="174"/>
      <c r="X125" s="174"/>
      <c r="Y125" s="174"/>
      <c r="Z125" s="174"/>
      <c r="AA125" s="174"/>
      <c r="AB125" s="174"/>
      <c r="AC125" s="174"/>
      <c r="AD125" s="174"/>
      <c r="AE125" s="174"/>
      <c r="AF125" s="174"/>
      <c r="AG125" s="174"/>
      <c r="AH125" s="174"/>
      <c r="AI125" s="174"/>
      <c r="AJ125" s="174"/>
      <c r="AK125" s="174"/>
      <c r="AL125" s="174"/>
      <c r="AM125" s="174"/>
      <c r="AN125" s="174"/>
      <c r="AO125" s="174"/>
      <c r="AP125" s="174"/>
      <c r="AQ125" s="174"/>
      <c r="AR125" s="174"/>
      <c r="AS125" s="174"/>
      <c r="AT125" s="174"/>
      <c r="AU125" s="174"/>
      <c r="AV125" s="174"/>
      <c r="AW125" s="174"/>
      <c r="AX125" s="174"/>
      <c r="AY125" s="174"/>
      <c r="AZ125" s="174"/>
      <c r="BA125" s="174"/>
      <c r="BB125" s="174"/>
      <c r="BC125" s="174"/>
      <c r="BD125" s="174"/>
      <c r="BE125" s="174"/>
      <c r="BF125" s="174"/>
      <c r="BG125" s="174"/>
      <c r="BH125" s="174"/>
      <c r="BI125" s="174"/>
      <c r="BJ125" s="174"/>
      <c r="BK125" s="174"/>
      <c r="BL125" s="174"/>
      <c r="BM125" s="174"/>
      <c r="BN125" s="174"/>
      <c r="BO125" s="174"/>
      <c r="BP125" s="174"/>
      <c r="BQ125" s="174"/>
      <c r="BR125" s="174"/>
      <c r="BS125" s="174"/>
      <c r="BT125" s="174"/>
      <c r="BU125" s="174"/>
      <c r="BV125" s="174"/>
      <c r="BW125" s="174"/>
      <c r="BX125" s="174"/>
      <c r="BY125" s="174"/>
      <c r="BZ125" s="174"/>
      <c r="CA125" s="174"/>
      <c r="CB125" s="174"/>
      <c r="CC125" s="174"/>
      <c r="CD125" s="174"/>
      <c r="CE125" s="174"/>
      <c r="CF125" s="174"/>
      <c r="CG125" s="174"/>
      <c r="CH125" s="174"/>
      <c r="CI125" s="174"/>
      <c r="CJ125" s="174"/>
      <c r="CK125" s="174"/>
      <c r="CL125" s="174"/>
      <c r="CM125" s="174"/>
      <c r="CN125" s="174"/>
      <c r="CO125" s="174"/>
      <c r="CP125" s="174"/>
      <c r="CQ125" s="174"/>
      <c r="CR125" s="174"/>
      <c r="CS125" s="174"/>
      <c r="CT125" s="174"/>
      <c r="CU125" s="174"/>
      <c r="CV125" s="174"/>
      <c r="CW125" s="174"/>
      <c r="CX125" s="174"/>
      <c r="CY125" s="174"/>
      <c r="CZ125" s="174"/>
      <c r="DA125" s="174"/>
      <c r="DB125" s="174"/>
      <c r="DC125" s="174"/>
      <c r="DD125" s="174"/>
      <c r="DE125" s="174"/>
      <c r="DF125" s="174"/>
      <c r="DG125" s="174"/>
      <c r="DH125" s="174"/>
      <c r="DI125" s="174"/>
      <c r="DJ125" s="174"/>
      <c r="DK125" s="174"/>
      <c r="DL125" s="174"/>
      <c r="DM125" s="174"/>
      <c r="DN125" s="174"/>
      <c r="DO125" s="174"/>
      <c r="DP125" s="174"/>
      <c r="DQ125" s="174"/>
      <c r="DR125" s="174"/>
      <c r="DS125" s="174"/>
      <c r="DT125" s="174"/>
      <c r="DU125" s="174"/>
      <c r="DV125" s="174"/>
      <c r="DW125" s="174"/>
      <c r="DX125" s="174"/>
      <c r="DY125" s="174"/>
      <c r="DZ125" s="174"/>
      <c r="EA125" s="174"/>
      <c r="EB125" s="174"/>
      <c r="EC125" s="174"/>
      <c r="ED125" s="174"/>
      <c r="EE125" s="174"/>
      <c r="EF125" s="174"/>
      <c r="EG125" s="174"/>
      <c r="EH125" s="174"/>
      <c r="EI125" s="174"/>
      <c r="EJ125" s="174"/>
      <c r="EK125" s="174"/>
      <c r="EL125" s="174"/>
      <c r="EM125" s="174"/>
      <c r="EN125" s="174"/>
      <c r="EO125" s="174"/>
      <c r="EP125" s="174"/>
      <c r="EQ125" s="174"/>
      <c r="ER125" s="174"/>
      <c r="ES125" s="174"/>
      <c r="ET125" s="174"/>
      <c r="EU125" s="174"/>
      <c r="EV125" s="174"/>
      <c r="EW125" s="174"/>
      <c r="EX125" s="174"/>
      <c r="EY125" s="174"/>
      <c r="EZ125" s="174"/>
      <c r="FA125" s="174"/>
      <c r="FB125" s="174"/>
      <c r="FC125" s="174"/>
      <c r="FD125" s="174"/>
      <c r="FE125" s="174"/>
      <c r="FF125" s="174"/>
      <c r="FG125" s="174"/>
      <c r="FH125" s="174"/>
      <c r="FI125" s="174"/>
      <c r="FJ125" s="174"/>
      <c r="FK125" s="174"/>
      <c r="FL125" s="174"/>
      <c r="FM125" s="174"/>
      <c r="FN125" s="174"/>
      <c r="FO125" s="174"/>
      <c r="FP125" s="174"/>
      <c r="FQ125" s="174"/>
      <c r="FR125" s="174"/>
      <c r="FS125" s="174"/>
      <c r="FT125" s="174"/>
      <c r="FU125" s="174"/>
      <c r="FV125" s="174"/>
      <c r="FW125" s="174"/>
      <c r="FX125" s="174"/>
      <c r="FY125" s="174"/>
      <c r="FZ125" s="174"/>
      <c r="GA125" s="174"/>
      <c r="GB125" s="174"/>
      <c r="GC125" s="174"/>
      <c r="GD125" s="174"/>
      <c r="GE125" s="174"/>
      <c r="GF125" s="174"/>
      <c r="GG125" s="174"/>
      <c r="GH125" s="174"/>
      <c r="GI125" s="174"/>
      <c r="GJ125" s="174"/>
      <c r="GK125" s="174"/>
      <c r="GL125" s="174"/>
      <c r="GM125" s="174"/>
      <c r="GN125" s="174"/>
      <c r="GO125" s="174"/>
      <c r="GP125" s="174"/>
      <c r="GQ125" s="174"/>
      <c r="GR125" s="174"/>
      <c r="GS125" s="174"/>
      <c r="GT125" s="174"/>
      <c r="GU125" s="174"/>
      <c r="GV125" s="174"/>
      <c r="GW125" s="174"/>
      <c r="GX125" s="174"/>
      <c r="GY125" s="174"/>
      <c r="GZ125" s="174"/>
      <c r="HA125" s="174"/>
      <c r="HB125" s="174"/>
      <c r="HC125" s="174"/>
      <c r="HD125" s="174"/>
      <c r="HE125" s="174"/>
      <c r="HF125" s="174"/>
      <c r="HG125" s="174"/>
      <c r="HH125" s="174"/>
      <c r="HI125" s="174"/>
      <c r="HJ125" s="174"/>
      <c r="HK125" s="174"/>
      <c r="HL125" s="174"/>
      <c r="HM125" s="174"/>
      <c r="HN125" s="174"/>
      <c r="HO125" s="174"/>
      <c r="HP125" s="174"/>
      <c r="HQ125" s="174"/>
      <c r="HR125" s="174"/>
      <c r="HS125" s="174"/>
      <c r="HT125" s="174"/>
      <c r="HU125" s="174"/>
      <c r="HV125" s="174"/>
      <c r="HW125" s="174"/>
      <c r="HX125" s="174"/>
      <c r="HY125" s="174"/>
      <c r="HZ125" s="174"/>
      <c r="IA125" s="174"/>
      <c r="IB125" s="174"/>
      <c r="IC125" s="174"/>
      <c r="ID125" s="174"/>
      <c r="IE125" s="174"/>
      <c r="IF125" s="174"/>
      <c r="IG125" s="174"/>
      <c r="IH125" s="174"/>
      <c r="II125" s="174"/>
      <c r="IJ125" s="174"/>
      <c r="IK125" s="174"/>
      <c r="IL125" s="174"/>
      <c r="IM125" s="174"/>
      <c r="IN125" s="174"/>
      <c r="IO125" s="174"/>
      <c r="IP125" s="174"/>
      <c r="IQ125" s="174"/>
      <c r="IR125" s="174"/>
      <c r="IS125" s="174"/>
      <c r="IT125" s="174"/>
      <c r="IU125" s="75"/>
      <c r="IV125" s="75"/>
      <c r="IW125" s="75"/>
      <c r="IX125" s="75"/>
      <c r="IY125" s="75"/>
      <c r="IZ125" s="75"/>
      <c r="JA125" s="75"/>
      <c r="JB125" s="75"/>
      <c r="JC125" s="75"/>
      <c r="JD125" s="75"/>
      <c r="JF125" s="710"/>
      <c r="JG125" s="710"/>
      <c r="JH125" s="178">
        <f t="shared" si="7"/>
        <v>0</v>
      </c>
      <c r="JI125" s="174">
        <f t="shared" si="8"/>
        <v>0</v>
      </c>
    </row>
    <row r="126" spans="2:269" ht="15" customHeight="1" x14ac:dyDescent="0.25">
      <c r="B126" s="113">
        <v>123</v>
      </c>
      <c r="C126" s="353" t="str">
        <f t="shared" si="9"/>
        <v/>
      </c>
      <c r="D126" s="353" t="str">
        <f t="shared" si="10"/>
        <v/>
      </c>
      <c r="E126" s="174"/>
      <c r="F126" s="174"/>
      <c r="G126" s="174"/>
      <c r="H126" s="174"/>
      <c r="I126" s="174"/>
      <c r="J126" s="174"/>
      <c r="K126" s="174"/>
      <c r="L126" s="174"/>
      <c r="M126" s="174"/>
      <c r="N126" s="174"/>
      <c r="O126" s="174"/>
      <c r="P126" s="174"/>
      <c r="Q126" s="174"/>
      <c r="R126" s="174"/>
      <c r="S126" s="174"/>
      <c r="T126" s="174"/>
      <c r="U126" s="174"/>
      <c r="V126" s="174"/>
      <c r="W126" s="174"/>
      <c r="X126" s="174"/>
      <c r="Y126" s="174"/>
      <c r="Z126" s="174"/>
      <c r="AA126" s="174"/>
      <c r="AB126" s="174"/>
      <c r="AC126" s="174"/>
      <c r="AD126" s="174"/>
      <c r="AE126" s="174"/>
      <c r="AF126" s="174"/>
      <c r="AG126" s="174"/>
      <c r="AH126" s="174"/>
      <c r="AI126" s="174"/>
      <c r="AJ126" s="174"/>
      <c r="AK126" s="174"/>
      <c r="AL126" s="174"/>
      <c r="AM126" s="174"/>
      <c r="AN126" s="174"/>
      <c r="AO126" s="174"/>
      <c r="AP126" s="174"/>
      <c r="AQ126" s="174"/>
      <c r="AR126" s="174"/>
      <c r="AS126" s="174"/>
      <c r="AT126" s="174"/>
      <c r="AU126" s="174"/>
      <c r="AV126" s="174"/>
      <c r="AW126" s="174"/>
      <c r="AX126" s="174"/>
      <c r="AY126" s="174"/>
      <c r="AZ126" s="174"/>
      <c r="BA126" s="174"/>
      <c r="BB126" s="174"/>
      <c r="BC126" s="174"/>
      <c r="BD126" s="174"/>
      <c r="BE126" s="174"/>
      <c r="BF126" s="174"/>
      <c r="BG126" s="174"/>
      <c r="BH126" s="174"/>
      <c r="BI126" s="174"/>
      <c r="BJ126" s="174"/>
      <c r="BK126" s="174"/>
      <c r="BL126" s="174"/>
      <c r="BM126" s="174"/>
      <c r="BN126" s="174"/>
      <c r="BO126" s="174"/>
      <c r="BP126" s="174"/>
      <c r="BQ126" s="174"/>
      <c r="BR126" s="174"/>
      <c r="BS126" s="174"/>
      <c r="BT126" s="174"/>
      <c r="BU126" s="174"/>
      <c r="BV126" s="174"/>
      <c r="BW126" s="174"/>
      <c r="BX126" s="174"/>
      <c r="BY126" s="174"/>
      <c r="BZ126" s="174"/>
      <c r="CA126" s="174"/>
      <c r="CB126" s="174"/>
      <c r="CC126" s="174"/>
      <c r="CD126" s="174"/>
      <c r="CE126" s="174"/>
      <c r="CF126" s="174"/>
      <c r="CG126" s="174"/>
      <c r="CH126" s="174"/>
      <c r="CI126" s="174"/>
      <c r="CJ126" s="174"/>
      <c r="CK126" s="174"/>
      <c r="CL126" s="174"/>
      <c r="CM126" s="174"/>
      <c r="CN126" s="174"/>
      <c r="CO126" s="174"/>
      <c r="CP126" s="174"/>
      <c r="CQ126" s="174"/>
      <c r="CR126" s="174"/>
      <c r="CS126" s="174"/>
      <c r="CT126" s="174"/>
      <c r="CU126" s="174"/>
      <c r="CV126" s="174"/>
      <c r="CW126" s="174"/>
      <c r="CX126" s="174"/>
      <c r="CY126" s="174"/>
      <c r="CZ126" s="174"/>
      <c r="DA126" s="174"/>
      <c r="DB126" s="174"/>
      <c r="DC126" s="174"/>
      <c r="DD126" s="174"/>
      <c r="DE126" s="174"/>
      <c r="DF126" s="174"/>
      <c r="DG126" s="174"/>
      <c r="DH126" s="174"/>
      <c r="DI126" s="174"/>
      <c r="DJ126" s="174"/>
      <c r="DK126" s="174"/>
      <c r="DL126" s="174"/>
      <c r="DM126" s="174"/>
      <c r="DN126" s="174"/>
      <c r="DO126" s="174"/>
      <c r="DP126" s="174"/>
      <c r="DQ126" s="174"/>
      <c r="DR126" s="174"/>
      <c r="DS126" s="174"/>
      <c r="DT126" s="174"/>
      <c r="DU126" s="174"/>
      <c r="DV126" s="174"/>
      <c r="DW126" s="174"/>
      <c r="DX126" s="174"/>
      <c r="DY126" s="174"/>
      <c r="DZ126" s="174"/>
      <c r="EA126" s="174"/>
      <c r="EB126" s="174"/>
      <c r="EC126" s="174"/>
      <c r="ED126" s="174"/>
      <c r="EE126" s="174"/>
      <c r="EF126" s="174"/>
      <c r="EG126" s="174"/>
      <c r="EH126" s="174"/>
      <c r="EI126" s="174"/>
      <c r="EJ126" s="174"/>
      <c r="EK126" s="174"/>
      <c r="EL126" s="174"/>
      <c r="EM126" s="174"/>
      <c r="EN126" s="174"/>
      <c r="EO126" s="174"/>
      <c r="EP126" s="174"/>
      <c r="EQ126" s="174"/>
      <c r="ER126" s="174"/>
      <c r="ES126" s="174"/>
      <c r="ET126" s="174"/>
      <c r="EU126" s="174"/>
      <c r="EV126" s="174"/>
      <c r="EW126" s="174"/>
      <c r="EX126" s="174"/>
      <c r="EY126" s="174"/>
      <c r="EZ126" s="174"/>
      <c r="FA126" s="174"/>
      <c r="FB126" s="174"/>
      <c r="FC126" s="174"/>
      <c r="FD126" s="174"/>
      <c r="FE126" s="174"/>
      <c r="FF126" s="174"/>
      <c r="FG126" s="174"/>
      <c r="FH126" s="174"/>
      <c r="FI126" s="174"/>
      <c r="FJ126" s="174"/>
      <c r="FK126" s="174"/>
      <c r="FL126" s="174"/>
      <c r="FM126" s="174"/>
      <c r="FN126" s="174"/>
      <c r="FO126" s="174"/>
      <c r="FP126" s="174"/>
      <c r="FQ126" s="174"/>
      <c r="FR126" s="174"/>
      <c r="FS126" s="174"/>
      <c r="FT126" s="174"/>
      <c r="FU126" s="174"/>
      <c r="FV126" s="174"/>
      <c r="FW126" s="174"/>
      <c r="FX126" s="174"/>
      <c r="FY126" s="174"/>
      <c r="FZ126" s="174"/>
      <c r="GA126" s="174"/>
      <c r="GB126" s="174"/>
      <c r="GC126" s="174"/>
      <c r="GD126" s="174"/>
      <c r="GE126" s="174"/>
      <c r="GF126" s="174"/>
      <c r="GG126" s="174"/>
      <c r="GH126" s="174"/>
      <c r="GI126" s="174"/>
      <c r="GJ126" s="174"/>
      <c r="GK126" s="174"/>
      <c r="GL126" s="174"/>
      <c r="GM126" s="174"/>
      <c r="GN126" s="174"/>
      <c r="GO126" s="174"/>
      <c r="GP126" s="174"/>
      <c r="GQ126" s="174"/>
      <c r="GR126" s="174"/>
      <c r="GS126" s="174"/>
      <c r="GT126" s="174"/>
      <c r="GU126" s="174"/>
      <c r="GV126" s="174"/>
      <c r="GW126" s="174"/>
      <c r="GX126" s="174"/>
      <c r="GY126" s="174"/>
      <c r="GZ126" s="174"/>
      <c r="HA126" s="174"/>
      <c r="HB126" s="174"/>
      <c r="HC126" s="174"/>
      <c r="HD126" s="174"/>
      <c r="HE126" s="174"/>
      <c r="HF126" s="174"/>
      <c r="HG126" s="174"/>
      <c r="HH126" s="174"/>
      <c r="HI126" s="174"/>
      <c r="HJ126" s="174"/>
      <c r="HK126" s="174"/>
      <c r="HL126" s="174"/>
      <c r="HM126" s="174"/>
      <c r="HN126" s="174"/>
      <c r="HO126" s="174"/>
      <c r="HP126" s="174"/>
      <c r="HQ126" s="174"/>
      <c r="HR126" s="174"/>
      <c r="HS126" s="174"/>
      <c r="HT126" s="174"/>
      <c r="HU126" s="174"/>
      <c r="HV126" s="174"/>
      <c r="HW126" s="174"/>
      <c r="HX126" s="174"/>
      <c r="HY126" s="174"/>
      <c r="HZ126" s="174"/>
      <c r="IA126" s="174"/>
      <c r="IB126" s="174"/>
      <c r="IC126" s="174"/>
      <c r="ID126" s="174"/>
      <c r="IE126" s="174"/>
      <c r="IF126" s="174"/>
      <c r="IG126" s="174"/>
      <c r="IH126" s="174"/>
      <c r="II126" s="174"/>
      <c r="IJ126" s="174"/>
      <c r="IK126" s="174"/>
      <c r="IL126" s="174"/>
      <c r="IM126" s="174"/>
      <c r="IN126" s="174"/>
      <c r="IO126" s="174"/>
      <c r="IP126" s="174"/>
      <c r="IQ126" s="174"/>
      <c r="IR126" s="174"/>
      <c r="IS126" s="174"/>
      <c r="IT126" s="174"/>
      <c r="IU126" s="75"/>
      <c r="IV126" s="75"/>
      <c r="IW126" s="75"/>
      <c r="IX126" s="75"/>
      <c r="IY126" s="75"/>
      <c r="IZ126" s="75"/>
      <c r="JA126" s="75"/>
      <c r="JB126" s="75"/>
      <c r="JC126" s="75"/>
      <c r="JD126" s="75"/>
      <c r="JF126" s="710"/>
      <c r="JG126" s="710"/>
      <c r="JH126" s="178">
        <f t="shared" si="7"/>
        <v>0</v>
      </c>
      <c r="JI126" s="174">
        <f t="shared" si="8"/>
        <v>0</v>
      </c>
    </row>
    <row r="127" spans="2:269" ht="15" customHeight="1" x14ac:dyDescent="0.25">
      <c r="B127" s="113">
        <v>124</v>
      </c>
      <c r="C127" s="353" t="str">
        <f t="shared" si="9"/>
        <v/>
      </c>
      <c r="D127" s="353" t="str">
        <f t="shared" si="10"/>
        <v/>
      </c>
      <c r="E127" s="174"/>
      <c r="F127" s="174"/>
      <c r="G127" s="174"/>
      <c r="H127" s="174"/>
      <c r="I127" s="174"/>
      <c r="J127" s="174"/>
      <c r="K127" s="174"/>
      <c r="L127" s="174"/>
      <c r="M127" s="174"/>
      <c r="N127" s="174"/>
      <c r="O127" s="174"/>
      <c r="P127" s="174"/>
      <c r="Q127" s="174"/>
      <c r="R127" s="174"/>
      <c r="S127" s="174"/>
      <c r="T127" s="174"/>
      <c r="U127" s="174"/>
      <c r="V127" s="174"/>
      <c r="W127" s="174"/>
      <c r="X127" s="174"/>
      <c r="Y127" s="174"/>
      <c r="Z127" s="174"/>
      <c r="AA127" s="174"/>
      <c r="AB127" s="174"/>
      <c r="AC127" s="174"/>
      <c r="AD127" s="174"/>
      <c r="AE127" s="174"/>
      <c r="AF127" s="174"/>
      <c r="AG127" s="174"/>
      <c r="AH127" s="174"/>
      <c r="AI127" s="174"/>
      <c r="AJ127" s="174"/>
      <c r="AK127" s="174"/>
      <c r="AL127" s="174"/>
      <c r="AM127" s="174"/>
      <c r="AN127" s="174"/>
      <c r="AO127" s="174"/>
      <c r="AP127" s="174"/>
      <c r="AQ127" s="174"/>
      <c r="AR127" s="174"/>
      <c r="AS127" s="174"/>
      <c r="AT127" s="174"/>
      <c r="AU127" s="174"/>
      <c r="AV127" s="174"/>
      <c r="AW127" s="174"/>
      <c r="AX127" s="174"/>
      <c r="AY127" s="174"/>
      <c r="AZ127" s="174"/>
      <c r="BA127" s="174"/>
      <c r="BB127" s="174"/>
      <c r="BC127" s="174"/>
      <c r="BD127" s="174"/>
      <c r="BE127" s="174"/>
      <c r="BF127" s="174"/>
      <c r="BG127" s="174"/>
      <c r="BH127" s="174"/>
      <c r="BI127" s="174"/>
      <c r="BJ127" s="174"/>
      <c r="BK127" s="174"/>
      <c r="BL127" s="174"/>
      <c r="BM127" s="174"/>
      <c r="BN127" s="174"/>
      <c r="BO127" s="174"/>
      <c r="BP127" s="174"/>
      <c r="BQ127" s="174"/>
      <c r="BR127" s="174"/>
      <c r="BS127" s="174"/>
      <c r="BT127" s="174"/>
      <c r="BU127" s="174"/>
      <c r="BV127" s="174"/>
      <c r="BW127" s="174"/>
      <c r="BX127" s="174"/>
      <c r="BY127" s="174"/>
      <c r="BZ127" s="174"/>
      <c r="CA127" s="174"/>
      <c r="CB127" s="174"/>
      <c r="CC127" s="174"/>
      <c r="CD127" s="174"/>
      <c r="CE127" s="174"/>
      <c r="CF127" s="174"/>
      <c r="CG127" s="174"/>
      <c r="CH127" s="174"/>
      <c r="CI127" s="174"/>
      <c r="CJ127" s="174"/>
      <c r="CK127" s="174"/>
      <c r="CL127" s="174"/>
      <c r="CM127" s="174"/>
      <c r="CN127" s="174"/>
      <c r="CO127" s="174"/>
      <c r="CP127" s="174"/>
      <c r="CQ127" s="174"/>
      <c r="CR127" s="174"/>
      <c r="CS127" s="174"/>
      <c r="CT127" s="174"/>
      <c r="CU127" s="174"/>
      <c r="CV127" s="174"/>
      <c r="CW127" s="174"/>
      <c r="CX127" s="174"/>
      <c r="CY127" s="174"/>
      <c r="CZ127" s="174"/>
      <c r="DA127" s="174"/>
      <c r="DB127" s="174"/>
      <c r="DC127" s="174"/>
      <c r="DD127" s="174"/>
      <c r="DE127" s="174"/>
      <c r="DF127" s="174"/>
      <c r="DG127" s="174"/>
      <c r="DH127" s="174"/>
      <c r="DI127" s="174"/>
      <c r="DJ127" s="174"/>
      <c r="DK127" s="174"/>
      <c r="DL127" s="174"/>
      <c r="DM127" s="174"/>
      <c r="DN127" s="174"/>
      <c r="DO127" s="174"/>
      <c r="DP127" s="174"/>
      <c r="DQ127" s="174"/>
      <c r="DR127" s="174"/>
      <c r="DS127" s="174"/>
      <c r="DT127" s="174"/>
      <c r="DU127" s="174"/>
      <c r="DV127" s="174"/>
      <c r="DW127" s="174"/>
      <c r="DX127" s="174"/>
      <c r="DY127" s="174"/>
      <c r="DZ127" s="174"/>
      <c r="EA127" s="174"/>
      <c r="EB127" s="174"/>
      <c r="EC127" s="174"/>
      <c r="ED127" s="174"/>
      <c r="EE127" s="174"/>
      <c r="EF127" s="174"/>
      <c r="EG127" s="174"/>
      <c r="EH127" s="174"/>
      <c r="EI127" s="174"/>
      <c r="EJ127" s="174"/>
      <c r="EK127" s="174"/>
      <c r="EL127" s="174"/>
      <c r="EM127" s="174"/>
      <c r="EN127" s="174"/>
      <c r="EO127" s="174"/>
      <c r="EP127" s="174"/>
      <c r="EQ127" s="174"/>
      <c r="ER127" s="174"/>
      <c r="ES127" s="174"/>
      <c r="ET127" s="174"/>
      <c r="EU127" s="174"/>
      <c r="EV127" s="174"/>
      <c r="EW127" s="174"/>
      <c r="EX127" s="174"/>
      <c r="EY127" s="174"/>
      <c r="EZ127" s="174"/>
      <c r="FA127" s="174"/>
      <c r="FB127" s="174"/>
      <c r="FC127" s="174"/>
      <c r="FD127" s="174"/>
      <c r="FE127" s="174"/>
      <c r="FF127" s="174"/>
      <c r="FG127" s="174"/>
      <c r="FH127" s="174"/>
      <c r="FI127" s="174"/>
      <c r="FJ127" s="174"/>
      <c r="FK127" s="174"/>
      <c r="FL127" s="174"/>
      <c r="FM127" s="174"/>
      <c r="FN127" s="174"/>
      <c r="FO127" s="174"/>
      <c r="FP127" s="174"/>
      <c r="FQ127" s="174"/>
      <c r="FR127" s="174"/>
      <c r="FS127" s="174"/>
      <c r="FT127" s="174"/>
      <c r="FU127" s="174"/>
      <c r="FV127" s="174"/>
      <c r="FW127" s="174"/>
      <c r="FX127" s="174"/>
      <c r="FY127" s="174"/>
      <c r="FZ127" s="174"/>
      <c r="GA127" s="174"/>
      <c r="GB127" s="174"/>
      <c r="GC127" s="174"/>
      <c r="GD127" s="174"/>
      <c r="GE127" s="174"/>
      <c r="GF127" s="174"/>
      <c r="GG127" s="174"/>
      <c r="GH127" s="174"/>
      <c r="GI127" s="174"/>
      <c r="GJ127" s="174"/>
      <c r="GK127" s="174"/>
      <c r="GL127" s="174"/>
      <c r="GM127" s="174"/>
      <c r="GN127" s="174"/>
      <c r="GO127" s="174"/>
      <c r="GP127" s="174"/>
      <c r="GQ127" s="174"/>
      <c r="GR127" s="174"/>
      <c r="GS127" s="174"/>
      <c r="GT127" s="174"/>
      <c r="GU127" s="174"/>
      <c r="GV127" s="174"/>
      <c r="GW127" s="174"/>
      <c r="GX127" s="174"/>
      <c r="GY127" s="174"/>
      <c r="GZ127" s="174"/>
      <c r="HA127" s="174"/>
      <c r="HB127" s="174"/>
      <c r="HC127" s="174"/>
      <c r="HD127" s="174"/>
      <c r="HE127" s="174"/>
      <c r="HF127" s="174"/>
      <c r="HG127" s="174"/>
      <c r="HH127" s="174"/>
      <c r="HI127" s="174"/>
      <c r="HJ127" s="174"/>
      <c r="HK127" s="174"/>
      <c r="HL127" s="174"/>
      <c r="HM127" s="174"/>
      <c r="HN127" s="174"/>
      <c r="HO127" s="174"/>
      <c r="HP127" s="174"/>
      <c r="HQ127" s="174"/>
      <c r="HR127" s="174"/>
      <c r="HS127" s="174"/>
      <c r="HT127" s="174"/>
      <c r="HU127" s="174"/>
      <c r="HV127" s="174"/>
      <c r="HW127" s="174"/>
      <c r="HX127" s="174"/>
      <c r="HY127" s="174"/>
      <c r="HZ127" s="174"/>
      <c r="IA127" s="174"/>
      <c r="IB127" s="174"/>
      <c r="IC127" s="174"/>
      <c r="ID127" s="174"/>
      <c r="IE127" s="174"/>
      <c r="IF127" s="174"/>
      <c r="IG127" s="174"/>
      <c r="IH127" s="174"/>
      <c r="II127" s="174"/>
      <c r="IJ127" s="174"/>
      <c r="IK127" s="174"/>
      <c r="IL127" s="174"/>
      <c r="IM127" s="174"/>
      <c r="IN127" s="174"/>
      <c r="IO127" s="174"/>
      <c r="IP127" s="174"/>
      <c r="IQ127" s="174"/>
      <c r="IR127" s="174"/>
      <c r="IS127" s="174"/>
      <c r="IT127" s="174"/>
      <c r="IU127" s="75"/>
      <c r="IV127" s="75"/>
      <c r="IW127" s="75"/>
      <c r="IX127" s="75"/>
      <c r="IY127" s="75"/>
      <c r="IZ127" s="75"/>
      <c r="JA127" s="75"/>
      <c r="JB127" s="75"/>
      <c r="JC127" s="75"/>
      <c r="JD127" s="75"/>
      <c r="JF127" s="710"/>
      <c r="JG127" s="710"/>
      <c r="JH127" s="178">
        <f t="shared" si="7"/>
        <v>0</v>
      </c>
      <c r="JI127" s="174">
        <f t="shared" si="8"/>
        <v>0</v>
      </c>
    </row>
    <row r="128" spans="2:269" ht="15" customHeight="1" x14ac:dyDescent="0.25">
      <c r="B128" s="113">
        <v>125</v>
      </c>
      <c r="C128" s="353" t="str">
        <f t="shared" si="9"/>
        <v/>
      </c>
      <c r="D128" s="353" t="str">
        <f t="shared" si="10"/>
        <v/>
      </c>
      <c r="E128" s="174"/>
      <c r="F128" s="174"/>
      <c r="G128" s="174"/>
      <c r="H128" s="174"/>
      <c r="I128" s="174"/>
      <c r="J128" s="174"/>
      <c r="K128" s="174"/>
      <c r="L128" s="174"/>
      <c r="M128" s="174"/>
      <c r="N128" s="174"/>
      <c r="O128" s="174"/>
      <c r="P128" s="174"/>
      <c r="Q128" s="174"/>
      <c r="R128" s="174"/>
      <c r="S128" s="174"/>
      <c r="T128" s="174"/>
      <c r="U128" s="174"/>
      <c r="V128" s="174"/>
      <c r="W128" s="174"/>
      <c r="X128" s="174"/>
      <c r="Y128" s="174"/>
      <c r="Z128" s="174"/>
      <c r="AA128" s="174"/>
      <c r="AB128" s="174"/>
      <c r="AC128" s="174"/>
      <c r="AD128" s="174"/>
      <c r="AE128" s="174"/>
      <c r="AF128" s="174"/>
      <c r="AG128" s="174"/>
      <c r="AH128" s="174"/>
      <c r="AI128" s="174"/>
      <c r="AJ128" s="174"/>
      <c r="AK128" s="174"/>
      <c r="AL128" s="174"/>
      <c r="AM128" s="174"/>
      <c r="AN128" s="174"/>
      <c r="AO128" s="174"/>
      <c r="AP128" s="174"/>
      <c r="AQ128" s="174"/>
      <c r="AR128" s="174"/>
      <c r="AS128" s="174"/>
      <c r="AT128" s="174"/>
      <c r="AU128" s="174"/>
      <c r="AV128" s="174"/>
      <c r="AW128" s="174"/>
      <c r="AX128" s="174"/>
      <c r="AY128" s="174"/>
      <c r="AZ128" s="174"/>
      <c r="BA128" s="174"/>
      <c r="BB128" s="174"/>
      <c r="BC128" s="174"/>
      <c r="BD128" s="174"/>
      <c r="BE128" s="174"/>
      <c r="BF128" s="174"/>
      <c r="BG128" s="174"/>
      <c r="BH128" s="174"/>
      <c r="BI128" s="174"/>
      <c r="BJ128" s="174"/>
      <c r="BK128" s="174"/>
      <c r="BL128" s="174"/>
      <c r="BM128" s="174"/>
      <c r="BN128" s="174"/>
      <c r="BO128" s="174"/>
      <c r="BP128" s="174"/>
      <c r="BQ128" s="174"/>
      <c r="BR128" s="174"/>
      <c r="BS128" s="174"/>
      <c r="BT128" s="174"/>
      <c r="BU128" s="174"/>
      <c r="BV128" s="174"/>
      <c r="BW128" s="174"/>
      <c r="BX128" s="174"/>
      <c r="BY128" s="174"/>
      <c r="BZ128" s="174"/>
      <c r="CA128" s="174"/>
      <c r="CB128" s="174"/>
      <c r="CC128" s="174"/>
      <c r="CD128" s="174"/>
      <c r="CE128" s="174"/>
      <c r="CF128" s="174"/>
      <c r="CG128" s="174"/>
      <c r="CH128" s="174"/>
      <c r="CI128" s="174"/>
      <c r="CJ128" s="174"/>
      <c r="CK128" s="174"/>
      <c r="CL128" s="174"/>
      <c r="CM128" s="174"/>
      <c r="CN128" s="174"/>
      <c r="CO128" s="174"/>
      <c r="CP128" s="174"/>
      <c r="CQ128" s="174"/>
      <c r="CR128" s="174"/>
      <c r="CS128" s="174"/>
      <c r="CT128" s="174"/>
      <c r="CU128" s="174"/>
      <c r="CV128" s="174"/>
      <c r="CW128" s="174"/>
      <c r="CX128" s="174"/>
      <c r="CY128" s="174"/>
      <c r="CZ128" s="174"/>
      <c r="DA128" s="174"/>
      <c r="DB128" s="174"/>
      <c r="DC128" s="174"/>
      <c r="DD128" s="174"/>
      <c r="DE128" s="174"/>
      <c r="DF128" s="174"/>
      <c r="DG128" s="174"/>
      <c r="DH128" s="174"/>
      <c r="DI128" s="174"/>
      <c r="DJ128" s="174"/>
      <c r="DK128" s="174"/>
      <c r="DL128" s="174"/>
      <c r="DM128" s="174"/>
      <c r="DN128" s="174"/>
      <c r="DO128" s="174"/>
      <c r="DP128" s="174"/>
      <c r="DQ128" s="174"/>
      <c r="DR128" s="174"/>
      <c r="DS128" s="174"/>
      <c r="DT128" s="174"/>
      <c r="DU128" s="174"/>
      <c r="DV128" s="174"/>
      <c r="DW128" s="174"/>
      <c r="DX128" s="174"/>
      <c r="DY128" s="174"/>
      <c r="DZ128" s="174"/>
      <c r="EA128" s="174"/>
      <c r="EB128" s="174"/>
      <c r="EC128" s="174"/>
      <c r="ED128" s="174"/>
      <c r="EE128" s="174"/>
      <c r="EF128" s="174"/>
      <c r="EG128" s="174"/>
      <c r="EH128" s="174"/>
      <c r="EI128" s="174"/>
      <c r="EJ128" s="174"/>
      <c r="EK128" s="174"/>
      <c r="EL128" s="174"/>
      <c r="EM128" s="174"/>
      <c r="EN128" s="174"/>
      <c r="EO128" s="174"/>
      <c r="EP128" s="174"/>
      <c r="EQ128" s="174"/>
      <c r="ER128" s="174"/>
      <c r="ES128" s="174"/>
      <c r="ET128" s="174"/>
      <c r="EU128" s="174"/>
      <c r="EV128" s="174"/>
      <c r="EW128" s="174"/>
      <c r="EX128" s="174"/>
      <c r="EY128" s="174"/>
      <c r="EZ128" s="174"/>
      <c r="FA128" s="174"/>
      <c r="FB128" s="174"/>
      <c r="FC128" s="174"/>
      <c r="FD128" s="174"/>
      <c r="FE128" s="174"/>
      <c r="FF128" s="174"/>
      <c r="FG128" s="174"/>
      <c r="FH128" s="174"/>
      <c r="FI128" s="174"/>
      <c r="FJ128" s="174"/>
      <c r="FK128" s="174"/>
      <c r="FL128" s="174"/>
      <c r="FM128" s="174"/>
      <c r="FN128" s="174"/>
      <c r="FO128" s="174"/>
      <c r="FP128" s="174"/>
      <c r="FQ128" s="174"/>
      <c r="FR128" s="174"/>
      <c r="FS128" s="174"/>
      <c r="FT128" s="174"/>
      <c r="FU128" s="174"/>
      <c r="FV128" s="174"/>
      <c r="FW128" s="174"/>
      <c r="FX128" s="174"/>
      <c r="FY128" s="174"/>
      <c r="FZ128" s="174"/>
      <c r="GA128" s="174"/>
      <c r="GB128" s="174"/>
      <c r="GC128" s="174"/>
      <c r="GD128" s="174"/>
      <c r="GE128" s="174"/>
      <c r="GF128" s="174"/>
      <c r="GG128" s="174"/>
      <c r="GH128" s="174"/>
      <c r="GI128" s="174"/>
      <c r="GJ128" s="174"/>
      <c r="GK128" s="174"/>
      <c r="GL128" s="174"/>
      <c r="GM128" s="174"/>
      <c r="GN128" s="174"/>
      <c r="GO128" s="174"/>
      <c r="GP128" s="174"/>
      <c r="GQ128" s="174"/>
      <c r="GR128" s="174"/>
      <c r="GS128" s="174"/>
      <c r="GT128" s="174"/>
      <c r="GU128" s="174"/>
      <c r="GV128" s="174"/>
      <c r="GW128" s="174"/>
      <c r="GX128" s="174"/>
      <c r="GY128" s="174"/>
      <c r="GZ128" s="174"/>
      <c r="HA128" s="174"/>
      <c r="HB128" s="174"/>
      <c r="HC128" s="174"/>
      <c r="HD128" s="174"/>
      <c r="HE128" s="174"/>
      <c r="HF128" s="174"/>
      <c r="HG128" s="174"/>
      <c r="HH128" s="174"/>
      <c r="HI128" s="174"/>
      <c r="HJ128" s="174"/>
      <c r="HK128" s="174"/>
      <c r="HL128" s="174"/>
      <c r="HM128" s="174"/>
      <c r="HN128" s="174"/>
      <c r="HO128" s="174"/>
      <c r="HP128" s="174"/>
      <c r="HQ128" s="174"/>
      <c r="HR128" s="174"/>
      <c r="HS128" s="174"/>
      <c r="HT128" s="174"/>
      <c r="HU128" s="174"/>
      <c r="HV128" s="174"/>
      <c r="HW128" s="174"/>
      <c r="HX128" s="174"/>
      <c r="HY128" s="174"/>
      <c r="HZ128" s="174"/>
      <c r="IA128" s="174"/>
      <c r="IB128" s="174"/>
      <c r="IC128" s="174"/>
      <c r="ID128" s="174"/>
      <c r="IE128" s="174"/>
      <c r="IF128" s="174"/>
      <c r="IG128" s="174"/>
      <c r="IH128" s="174"/>
      <c r="II128" s="174"/>
      <c r="IJ128" s="174"/>
      <c r="IK128" s="174"/>
      <c r="IL128" s="174"/>
      <c r="IM128" s="174"/>
      <c r="IN128" s="174"/>
      <c r="IO128" s="174"/>
      <c r="IP128" s="174"/>
      <c r="IQ128" s="174"/>
      <c r="IR128" s="174"/>
      <c r="IS128" s="174"/>
      <c r="IT128" s="174"/>
      <c r="IU128" s="75"/>
      <c r="IV128" s="75"/>
      <c r="IW128" s="75"/>
      <c r="IX128" s="75"/>
      <c r="IY128" s="75"/>
      <c r="IZ128" s="75"/>
      <c r="JA128" s="75"/>
      <c r="JB128" s="75"/>
      <c r="JC128" s="75"/>
      <c r="JD128" s="75"/>
      <c r="JF128" s="710"/>
      <c r="JG128" s="710"/>
      <c r="JH128" s="178">
        <f t="shared" si="7"/>
        <v>0</v>
      </c>
      <c r="JI128" s="174">
        <f t="shared" si="8"/>
        <v>0</v>
      </c>
    </row>
    <row r="129" spans="2:269" ht="15" customHeight="1" x14ac:dyDescent="0.25">
      <c r="B129" s="113">
        <v>126</v>
      </c>
      <c r="C129" s="353" t="str">
        <f t="shared" si="9"/>
        <v/>
      </c>
      <c r="D129" s="353" t="str">
        <f t="shared" si="10"/>
        <v/>
      </c>
      <c r="E129" s="174"/>
      <c r="F129" s="174"/>
      <c r="G129" s="174"/>
      <c r="H129" s="174"/>
      <c r="I129" s="174"/>
      <c r="J129" s="174"/>
      <c r="K129" s="174"/>
      <c r="L129" s="174"/>
      <c r="M129" s="174"/>
      <c r="N129" s="174"/>
      <c r="O129" s="174"/>
      <c r="P129" s="174"/>
      <c r="Q129" s="174"/>
      <c r="R129" s="174"/>
      <c r="S129" s="174"/>
      <c r="T129" s="174"/>
      <c r="U129" s="174"/>
      <c r="V129" s="174"/>
      <c r="W129" s="174"/>
      <c r="X129" s="174"/>
      <c r="Y129" s="174"/>
      <c r="Z129" s="174"/>
      <c r="AA129" s="174"/>
      <c r="AB129" s="174"/>
      <c r="AC129" s="174"/>
      <c r="AD129" s="174"/>
      <c r="AE129" s="174"/>
      <c r="AF129" s="174"/>
      <c r="AG129" s="174"/>
      <c r="AH129" s="174"/>
      <c r="AI129" s="174"/>
      <c r="AJ129" s="174"/>
      <c r="AK129" s="174"/>
      <c r="AL129" s="174"/>
      <c r="AM129" s="174"/>
      <c r="AN129" s="174"/>
      <c r="AO129" s="174"/>
      <c r="AP129" s="174"/>
      <c r="AQ129" s="174"/>
      <c r="AR129" s="174"/>
      <c r="AS129" s="174"/>
      <c r="AT129" s="174"/>
      <c r="AU129" s="174"/>
      <c r="AV129" s="174"/>
      <c r="AW129" s="174"/>
      <c r="AX129" s="174"/>
      <c r="AY129" s="174"/>
      <c r="AZ129" s="174"/>
      <c r="BA129" s="174"/>
      <c r="BB129" s="174"/>
      <c r="BC129" s="174"/>
      <c r="BD129" s="174"/>
      <c r="BE129" s="174"/>
      <c r="BF129" s="174"/>
      <c r="BG129" s="174"/>
      <c r="BH129" s="174"/>
      <c r="BI129" s="174"/>
      <c r="BJ129" s="174"/>
      <c r="BK129" s="174"/>
      <c r="BL129" s="174"/>
      <c r="BM129" s="174"/>
      <c r="BN129" s="174"/>
      <c r="BO129" s="174"/>
      <c r="BP129" s="174"/>
      <c r="BQ129" s="174"/>
      <c r="BR129" s="174"/>
      <c r="BS129" s="174"/>
      <c r="BT129" s="174"/>
      <c r="BU129" s="174"/>
      <c r="BV129" s="174"/>
      <c r="BW129" s="174"/>
      <c r="BX129" s="174"/>
      <c r="BY129" s="174"/>
      <c r="BZ129" s="174"/>
      <c r="CA129" s="174"/>
      <c r="CB129" s="174"/>
      <c r="CC129" s="174"/>
      <c r="CD129" s="174"/>
      <c r="CE129" s="174"/>
      <c r="CF129" s="174"/>
      <c r="CG129" s="174"/>
      <c r="CH129" s="174"/>
      <c r="CI129" s="174"/>
      <c r="CJ129" s="174"/>
      <c r="CK129" s="174"/>
      <c r="CL129" s="174"/>
      <c r="CM129" s="174"/>
      <c r="CN129" s="174"/>
      <c r="CO129" s="174"/>
      <c r="CP129" s="174"/>
      <c r="CQ129" s="174"/>
      <c r="CR129" s="174"/>
      <c r="CS129" s="174"/>
      <c r="CT129" s="174"/>
      <c r="CU129" s="174"/>
      <c r="CV129" s="174"/>
      <c r="CW129" s="174"/>
      <c r="CX129" s="174"/>
      <c r="CY129" s="174"/>
      <c r="CZ129" s="174"/>
      <c r="DA129" s="174"/>
      <c r="DB129" s="174"/>
      <c r="DC129" s="174"/>
      <c r="DD129" s="174"/>
      <c r="DE129" s="174"/>
      <c r="DF129" s="174"/>
      <c r="DG129" s="174"/>
      <c r="DH129" s="174"/>
      <c r="DI129" s="174"/>
      <c r="DJ129" s="174"/>
      <c r="DK129" s="174"/>
      <c r="DL129" s="174"/>
      <c r="DM129" s="174"/>
      <c r="DN129" s="174"/>
      <c r="DO129" s="174"/>
      <c r="DP129" s="174"/>
      <c r="DQ129" s="174"/>
      <c r="DR129" s="174"/>
      <c r="DS129" s="174"/>
      <c r="DT129" s="174"/>
      <c r="DU129" s="174"/>
      <c r="DV129" s="174"/>
      <c r="DW129" s="174"/>
      <c r="DX129" s="174"/>
      <c r="DY129" s="174"/>
      <c r="DZ129" s="174"/>
      <c r="EA129" s="174"/>
      <c r="EB129" s="174"/>
      <c r="EC129" s="174"/>
      <c r="ED129" s="174"/>
      <c r="EE129" s="174"/>
      <c r="EF129" s="174"/>
      <c r="EG129" s="174"/>
      <c r="EH129" s="174"/>
      <c r="EI129" s="174"/>
      <c r="EJ129" s="174"/>
      <c r="EK129" s="174"/>
      <c r="EL129" s="174"/>
      <c r="EM129" s="174"/>
      <c r="EN129" s="174"/>
      <c r="EO129" s="174"/>
      <c r="EP129" s="174"/>
      <c r="EQ129" s="174"/>
      <c r="ER129" s="174"/>
      <c r="ES129" s="174"/>
      <c r="ET129" s="174"/>
      <c r="EU129" s="174"/>
      <c r="EV129" s="174"/>
      <c r="EW129" s="174"/>
      <c r="EX129" s="174"/>
      <c r="EY129" s="174"/>
      <c r="EZ129" s="174"/>
      <c r="FA129" s="174"/>
      <c r="FB129" s="174"/>
      <c r="FC129" s="174"/>
      <c r="FD129" s="174"/>
      <c r="FE129" s="174"/>
      <c r="FF129" s="174"/>
      <c r="FG129" s="174"/>
      <c r="FH129" s="174"/>
      <c r="FI129" s="174"/>
      <c r="FJ129" s="174"/>
      <c r="FK129" s="174"/>
      <c r="FL129" s="174"/>
      <c r="FM129" s="174"/>
      <c r="FN129" s="174"/>
      <c r="FO129" s="174"/>
      <c r="FP129" s="174"/>
      <c r="FQ129" s="174"/>
      <c r="FR129" s="174"/>
      <c r="FS129" s="174"/>
      <c r="FT129" s="174"/>
      <c r="FU129" s="174"/>
      <c r="FV129" s="174"/>
      <c r="FW129" s="174"/>
      <c r="FX129" s="174"/>
      <c r="FY129" s="174"/>
      <c r="FZ129" s="174"/>
      <c r="GA129" s="174"/>
      <c r="GB129" s="174"/>
      <c r="GC129" s="174"/>
      <c r="GD129" s="174"/>
      <c r="GE129" s="174"/>
      <c r="GF129" s="174"/>
      <c r="GG129" s="174"/>
      <c r="GH129" s="174"/>
      <c r="GI129" s="174"/>
      <c r="GJ129" s="174"/>
      <c r="GK129" s="174"/>
      <c r="GL129" s="174"/>
      <c r="GM129" s="174"/>
      <c r="GN129" s="174"/>
      <c r="GO129" s="174"/>
      <c r="GP129" s="174"/>
      <c r="GQ129" s="174"/>
      <c r="GR129" s="174"/>
      <c r="GS129" s="174"/>
      <c r="GT129" s="174"/>
      <c r="GU129" s="174"/>
      <c r="GV129" s="174"/>
      <c r="GW129" s="174"/>
      <c r="GX129" s="174"/>
      <c r="GY129" s="174"/>
      <c r="GZ129" s="174"/>
      <c r="HA129" s="174"/>
      <c r="HB129" s="174"/>
      <c r="HC129" s="174"/>
      <c r="HD129" s="174"/>
      <c r="HE129" s="174"/>
      <c r="HF129" s="174"/>
      <c r="HG129" s="174"/>
      <c r="HH129" s="174"/>
      <c r="HI129" s="174"/>
      <c r="HJ129" s="174"/>
      <c r="HK129" s="174"/>
      <c r="HL129" s="174"/>
      <c r="HM129" s="174"/>
      <c r="HN129" s="174"/>
      <c r="HO129" s="174"/>
      <c r="HP129" s="174"/>
      <c r="HQ129" s="174"/>
      <c r="HR129" s="174"/>
      <c r="HS129" s="174"/>
      <c r="HT129" s="174"/>
      <c r="HU129" s="174"/>
      <c r="HV129" s="174"/>
      <c r="HW129" s="174"/>
      <c r="HX129" s="174"/>
      <c r="HY129" s="174"/>
      <c r="HZ129" s="174"/>
      <c r="IA129" s="174"/>
      <c r="IB129" s="174"/>
      <c r="IC129" s="174"/>
      <c r="ID129" s="174"/>
      <c r="IE129" s="174"/>
      <c r="IF129" s="174"/>
      <c r="IG129" s="174"/>
      <c r="IH129" s="174"/>
      <c r="II129" s="174"/>
      <c r="IJ129" s="174"/>
      <c r="IK129" s="174"/>
      <c r="IL129" s="174"/>
      <c r="IM129" s="174"/>
      <c r="IN129" s="174"/>
      <c r="IO129" s="174"/>
      <c r="IP129" s="174"/>
      <c r="IQ129" s="174"/>
      <c r="IR129" s="174"/>
      <c r="IS129" s="174"/>
      <c r="IT129" s="174"/>
      <c r="IU129" s="75"/>
      <c r="IV129" s="75"/>
      <c r="IW129" s="75"/>
      <c r="IX129" s="75"/>
      <c r="IY129" s="75"/>
      <c r="IZ129" s="75"/>
      <c r="JA129" s="75"/>
      <c r="JB129" s="75"/>
      <c r="JC129" s="75"/>
      <c r="JD129" s="75"/>
      <c r="JF129" s="710"/>
      <c r="JG129" s="710"/>
      <c r="JH129" s="178">
        <f t="shared" si="7"/>
        <v>0</v>
      </c>
      <c r="JI129" s="174">
        <f t="shared" si="8"/>
        <v>0</v>
      </c>
    </row>
    <row r="130" spans="2:269" ht="15" customHeight="1" x14ac:dyDescent="0.25">
      <c r="B130" s="113">
        <v>127</v>
      </c>
      <c r="C130" s="353" t="str">
        <f t="shared" si="9"/>
        <v/>
      </c>
      <c r="D130" s="353" t="str">
        <f t="shared" si="10"/>
        <v/>
      </c>
      <c r="E130" s="174"/>
      <c r="F130" s="174"/>
      <c r="G130" s="174"/>
      <c r="H130" s="174"/>
      <c r="I130" s="174"/>
      <c r="J130" s="174"/>
      <c r="K130" s="174"/>
      <c r="L130" s="174"/>
      <c r="M130" s="174"/>
      <c r="N130" s="174"/>
      <c r="O130" s="174"/>
      <c r="P130" s="174"/>
      <c r="Q130" s="174"/>
      <c r="R130" s="174"/>
      <c r="S130" s="174"/>
      <c r="T130" s="174"/>
      <c r="U130" s="174"/>
      <c r="V130" s="174"/>
      <c r="W130" s="174"/>
      <c r="X130" s="174"/>
      <c r="Y130" s="174"/>
      <c r="Z130" s="174"/>
      <c r="AA130" s="174"/>
      <c r="AB130" s="174"/>
      <c r="AC130" s="174"/>
      <c r="AD130" s="174"/>
      <c r="AE130" s="174"/>
      <c r="AF130" s="174"/>
      <c r="AG130" s="174"/>
      <c r="AH130" s="174"/>
      <c r="AI130" s="174"/>
      <c r="AJ130" s="174"/>
      <c r="AK130" s="174"/>
      <c r="AL130" s="174"/>
      <c r="AM130" s="174"/>
      <c r="AN130" s="174"/>
      <c r="AO130" s="174"/>
      <c r="AP130" s="174"/>
      <c r="AQ130" s="174"/>
      <c r="AR130" s="174"/>
      <c r="AS130" s="174"/>
      <c r="AT130" s="174"/>
      <c r="AU130" s="174"/>
      <c r="AV130" s="174"/>
      <c r="AW130" s="174"/>
      <c r="AX130" s="174"/>
      <c r="AY130" s="174"/>
      <c r="AZ130" s="174"/>
      <c r="BA130" s="174"/>
      <c r="BB130" s="174"/>
      <c r="BC130" s="174"/>
      <c r="BD130" s="174"/>
      <c r="BE130" s="174"/>
      <c r="BF130" s="174"/>
      <c r="BG130" s="174"/>
      <c r="BH130" s="174"/>
      <c r="BI130" s="174"/>
      <c r="BJ130" s="174"/>
      <c r="BK130" s="174"/>
      <c r="BL130" s="174"/>
      <c r="BM130" s="174"/>
      <c r="BN130" s="174"/>
      <c r="BO130" s="174"/>
      <c r="BP130" s="174"/>
      <c r="BQ130" s="174"/>
      <c r="BR130" s="174"/>
      <c r="BS130" s="174"/>
      <c r="BT130" s="174"/>
      <c r="BU130" s="174"/>
      <c r="BV130" s="174"/>
      <c r="BW130" s="174"/>
      <c r="BX130" s="174"/>
      <c r="BY130" s="174"/>
      <c r="BZ130" s="174"/>
      <c r="CA130" s="174"/>
      <c r="CB130" s="174"/>
      <c r="CC130" s="174"/>
      <c r="CD130" s="174"/>
      <c r="CE130" s="174"/>
      <c r="CF130" s="174"/>
      <c r="CG130" s="174"/>
      <c r="CH130" s="174"/>
      <c r="CI130" s="174"/>
      <c r="CJ130" s="174"/>
      <c r="CK130" s="174"/>
      <c r="CL130" s="174"/>
      <c r="CM130" s="174"/>
      <c r="CN130" s="174"/>
      <c r="CO130" s="174"/>
      <c r="CP130" s="174"/>
      <c r="CQ130" s="174"/>
      <c r="CR130" s="174"/>
      <c r="CS130" s="174"/>
      <c r="CT130" s="174"/>
      <c r="CU130" s="174"/>
      <c r="CV130" s="174"/>
      <c r="CW130" s="174"/>
      <c r="CX130" s="174"/>
      <c r="CY130" s="174"/>
      <c r="CZ130" s="174"/>
      <c r="DA130" s="174"/>
      <c r="DB130" s="174"/>
      <c r="DC130" s="174"/>
      <c r="DD130" s="174"/>
      <c r="DE130" s="174"/>
      <c r="DF130" s="174"/>
      <c r="DG130" s="174"/>
      <c r="DH130" s="174"/>
      <c r="DI130" s="174"/>
      <c r="DJ130" s="174"/>
      <c r="DK130" s="174"/>
      <c r="DL130" s="174"/>
      <c r="DM130" s="174"/>
      <c r="DN130" s="174"/>
      <c r="DO130" s="174"/>
      <c r="DP130" s="174"/>
      <c r="DQ130" s="174"/>
      <c r="DR130" s="174"/>
      <c r="DS130" s="174"/>
      <c r="DT130" s="174"/>
      <c r="DU130" s="174"/>
      <c r="DV130" s="174"/>
      <c r="DW130" s="174"/>
      <c r="DX130" s="174"/>
      <c r="DY130" s="174"/>
      <c r="DZ130" s="174"/>
      <c r="EA130" s="174"/>
      <c r="EB130" s="174"/>
      <c r="EC130" s="174"/>
      <c r="ED130" s="174"/>
      <c r="EE130" s="174"/>
      <c r="EF130" s="174"/>
      <c r="EG130" s="174"/>
      <c r="EH130" s="174"/>
      <c r="EI130" s="174"/>
      <c r="EJ130" s="174"/>
      <c r="EK130" s="174"/>
      <c r="EL130" s="174"/>
      <c r="EM130" s="174"/>
      <c r="EN130" s="174"/>
      <c r="EO130" s="174"/>
      <c r="EP130" s="174"/>
      <c r="EQ130" s="174"/>
      <c r="ER130" s="174"/>
      <c r="ES130" s="174"/>
      <c r="ET130" s="174"/>
      <c r="EU130" s="174"/>
      <c r="EV130" s="174"/>
      <c r="EW130" s="174"/>
      <c r="EX130" s="174"/>
      <c r="EY130" s="174"/>
      <c r="EZ130" s="174"/>
      <c r="FA130" s="174"/>
      <c r="FB130" s="174"/>
      <c r="FC130" s="174"/>
      <c r="FD130" s="174"/>
      <c r="FE130" s="174"/>
      <c r="FF130" s="174"/>
      <c r="FG130" s="174"/>
      <c r="FH130" s="174"/>
      <c r="FI130" s="174"/>
      <c r="FJ130" s="174"/>
      <c r="FK130" s="174"/>
      <c r="FL130" s="174"/>
      <c r="FM130" s="174"/>
      <c r="FN130" s="174"/>
      <c r="FO130" s="174"/>
      <c r="FP130" s="174"/>
      <c r="FQ130" s="174"/>
      <c r="FR130" s="174"/>
      <c r="FS130" s="174"/>
      <c r="FT130" s="174"/>
      <c r="FU130" s="174"/>
      <c r="FV130" s="174"/>
      <c r="FW130" s="174"/>
      <c r="FX130" s="174"/>
      <c r="FY130" s="174"/>
      <c r="FZ130" s="174"/>
      <c r="GA130" s="174"/>
      <c r="GB130" s="174"/>
      <c r="GC130" s="174"/>
      <c r="GD130" s="174"/>
      <c r="GE130" s="174"/>
      <c r="GF130" s="174"/>
      <c r="GG130" s="174"/>
      <c r="GH130" s="174"/>
      <c r="GI130" s="174"/>
      <c r="GJ130" s="174"/>
      <c r="GK130" s="174"/>
      <c r="GL130" s="174"/>
      <c r="GM130" s="174"/>
      <c r="GN130" s="174"/>
      <c r="GO130" s="174"/>
      <c r="GP130" s="174"/>
      <c r="GQ130" s="174"/>
      <c r="GR130" s="174"/>
      <c r="GS130" s="174"/>
      <c r="GT130" s="174"/>
      <c r="GU130" s="174"/>
      <c r="GV130" s="174"/>
      <c r="GW130" s="174"/>
      <c r="GX130" s="174"/>
      <c r="GY130" s="174"/>
      <c r="GZ130" s="174"/>
      <c r="HA130" s="174"/>
      <c r="HB130" s="174"/>
      <c r="HC130" s="174"/>
      <c r="HD130" s="174"/>
      <c r="HE130" s="174"/>
      <c r="HF130" s="174"/>
      <c r="HG130" s="174"/>
      <c r="HH130" s="174"/>
      <c r="HI130" s="174"/>
      <c r="HJ130" s="174"/>
      <c r="HK130" s="174"/>
      <c r="HL130" s="174"/>
      <c r="HM130" s="174"/>
      <c r="HN130" s="174"/>
      <c r="HO130" s="174"/>
      <c r="HP130" s="174"/>
      <c r="HQ130" s="174"/>
      <c r="HR130" s="174"/>
      <c r="HS130" s="174"/>
      <c r="HT130" s="174"/>
      <c r="HU130" s="174"/>
      <c r="HV130" s="174"/>
      <c r="HW130" s="174"/>
      <c r="HX130" s="174"/>
      <c r="HY130" s="174"/>
      <c r="HZ130" s="174"/>
      <c r="IA130" s="174"/>
      <c r="IB130" s="174"/>
      <c r="IC130" s="174"/>
      <c r="ID130" s="174"/>
      <c r="IE130" s="174"/>
      <c r="IF130" s="174"/>
      <c r="IG130" s="174"/>
      <c r="IH130" s="174"/>
      <c r="II130" s="174"/>
      <c r="IJ130" s="174"/>
      <c r="IK130" s="174"/>
      <c r="IL130" s="174"/>
      <c r="IM130" s="174"/>
      <c r="IN130" s="174"/>
      <c r="IO130" s="174"/>
      <c r="IP130" s="174"/>
      <c r="IQ130" s="174"/>
      <c r="IR130" s="174"/>
      <c r="IS130" s="174"/>
      <c r="IT130" s="174"/>
      <c r="IU130" s="75"/>
      <c r="IV130" s="75"/>
      <c r="IW130" s="75"/>
      <c r="IX130" s="75"/>
      <c r="IY130" s="75"/>
      <c r="IZ130" s="75"/>
      <c r="JA130" s="75"/>
      <c r="JB130" s="75"/>
      <c r="JC130" s="75"/>
      <c r="JD130" s="75"/>
      <c r="JF130" s="710"/>
      <c r="JG130" s="710"/>
      <c r="JH130" s="178">
        <f t="shared" si="7"/>
        <v>0</v>
      </c>
      <c r="JI130" s="174">
        <f t="shared" si="8"/>
        <v>0</v>
      </c>
    </row>
    <row r="131" spans="2:269" ht="15" customHeight="1" x14ac:dyDescent="0.25">
      <c r="B131" s="113">
        <v>128</v>
      </c>
      <c r="C131" s="353" t="str">
        <f t="shared" si="9"/>
        <v/>
      </c>
      <c r="D131" s="353" t="str">
        <f t="shared" si="10"/>
        <v/>
      </c>
      <c r="E131" s="174"/>
      <c r="F131" s="174"/>
      <c r="G131" s="174"/>
      <c r="H131" s="174"/>
      <c r="I131" s="174"/>
      <c r="J131" s="174"/>
      <c r="K131" s="174"/>
      <c r="L131" s="174"/>
      <c r="M131" s="174"/>
      <c r="N131" s="174"/>
      <c r="O131" s="174"/>
      <c r="P131" s="174"/>
      <c r="Q131" s="174"/>
      <c r="R131" s="174"/>
      <c r="S131" s="174"/>
      <c r="T131" s="174"/>
      <c r="U131" s="174"/>
      <c r="V131" s="174"/>
      <c r="W131" s="174"/>
      <c r="X131" s="174"/>
      <c r="Y131" s="174"/>
      <c r="Z131" s="174"/>
      <c r="AA131" s="174"/>
      <c r="AB131" s="174"/>
      <c r="AC131" s="174"/>
      <c r="AD131" s="174"/>
      <c r="AE131" s="174"/>
      <c r="AF131" s="174"/>
      <c r="AG131" s="174"/>
      <c r="AH131" s="174"/>
      <c r="AI131" s="174"/>
      <c r="AJ131" s="174"/>
      <c r="AK131" s="174"/>
      <c r="AL131" s="174"/>
      <c r="AM131" s="174"/>
      <c r="AN131" s="174"/>
      <c r="AO131" s="174"/>
      <c r="AP131" s="174"/>
      <c r="AQ131" s="174"/>
      <c r="AR131" s="174"/>
      <c r="AS131" s="174"/>
      <c r="AT131" s="174"/>
      <c r="AU131" s="174"/>
      <c r="AV131" s="174"/>
      <c r="AW131" s="174"/>
      <c r="AX131" s="174"/>
      <c r="AY131" s="174"/>
      <c r="AZ131" s="174"/>
      <c r="BA131" s="174"/>
      <c r="BB131" s="174"/>
      <c r="BC131" s="174"/>
      <c r="BD131" s="174"/>
      <c r="BE131" s="174"/>
      <c r="BF131" s="174"/>
      <c r="BG131" s="174"/>
      <c r="BH131" s="174"/>
      <c r="BI131" s="174"/>
      <c r="BJ131" s="174"/>
      <c r="BK131" s="174"/>
      <c r="BL131" s="174"/>
      <c r="BM131" s="174"/>
      <c r="BN131" s="174"/>
      <c r="BO131" s="174"/>
      <c r="BP131" s="174"/>
      <c r="BQ131" s="174"/>
      <c r="BR131" s="174"/>
      <c r="BS131" s="174"/>
      <c r="BT131" s="174"/>
      <c r="BU131" s="174"/>
      <c r="BV131" s="174"/>
      <c r="BW131" s="174"/>
      <c r="BX131" s="174"/>
      <c r="BY131" s="174"/>
      <c r="BZ131" s="174"/>
      <c r="CA131" s="174"/>
      <c r="CB131" s="174"/>
      <c r="CC131" s="174"/>
      <c r="CD131" s="174"/>
      <c r="CE131" s="174"/>
      <c r="CF131" s="174"/>
      <c r="CG131" s="174"/>
      <c r="CH131" s="174"/>
      <c r="CI131" s="174"/>
      <c r="CJ131" s="174"/>
      <c r="CK131" s="174"/>
      <c r="CL131" s="174"/>
      <c r="CM131" s="174"/>
      <c r="CN131" s="174"/>
      <c r="CO131" s="174"/>
      <c r="CP131" s="174"/>
      <c r="CQ131" s="174"/>
      <c r="CR131" s="174"/>
      <c r="CS131" s="174"/>
      <c r="CT131" s="174"/>
      <c r="CU131" s="174"/>
      <c r="CV131" s="174"/>
      <c r="CW131" s="174"/>
      <c r="CX131" s="174"/>
      <c r="CY131" s="174"/>
      <c r="CZ131" s="174"/>
      <c r="DA131" s="174"/>
      <c r="DB131" s="174"/>
      <c r="DC131" s="174"/>
      <c r="DD131" s="174"/>
      <c r="DE131" s="174"/>
      <c r="DF131" s="174"/>
      <c r="DG131" s="174"/>
      <c r="DH131" s="174"/>
      <c r="DI131" s="174"/>
      <c r="DJ131" s="174"/>
      <c r="DK131" s="174"/>
      <c r="DL131" s="174"/>
      <c r="DM131" s="174"/>
      <c r="DN131" s="174"/>
      <c r="DO131" s="174"/>
      <c r="DP131" s="174"/>
      <c r="DQ131" s="174"/>
      <c r="DR131" s="174"/>
      <c r="DS131" s="174"/>
      <c r="DT131" s="174"/>
      <c r="DU131" s="174"/>
      <c r="DV131" s="174"/>
      <c r="DW131" s="174"/>
      <c r="DX131" s="174"/>
      <c r="DY131" s="174"/>
      <c r="DZ131" s="174"/>
      <c r="EA131" s="174"/>
      <c r="EB131" s="174"/>
      <c r="EC131" s="174"/>
      <c r="ED131" s="174"/>
      <c r="EE131" s="174"/>
      <c r="EF131" s="174"/>
      <c r="EG131" s="174"/>
      <c r="EH131" s="174"/>
      <c r="EI131" s="174"/>
      <c r="EJ131" s="174"/>
      <c r="EK131" s="174"/>
      <c r="EL131" s="174"/>
      <c r="EM131" s="174"/>
      <c r="EN131" s="174"/>
      <c r="EO131" s="174"/>
      <c r="EP131" s="174"/>
      <c r="EQ131" s="174"/>
      <c r="ER131" s="174"/>
      <c r="ES131" s="174"/>
      <c r="ET131" s="174"/>
      <c r="EU131" s="174"/>
      <c r="EV131" s="174"/>
      <c r="EW131" s="174"/>
      <c r="EX131" s="174"/>
      <c r="EY131" s="174"/>
      <c r="EZ131" s="174"/>
      <c r="FA131" s="174"/>
      <c r="FB131" s="174"/>
      <c r="FC131" s="174"/>
      <c r="FD131" s="174"/>
      <c r="FE131" s="174"/>
      <c r="FF131" s="174"/>
      <c r="FG131" s="174"/>
      <c r="FH131" s="174"/>
      <c r="FI131" s="174"/>
      <c r="FJ131" s="174"/>
      <c r="FK131" s="174"/>
      <c r="FL131" s="174"/>
      <c r="FM131" s="174"/>
      <c r="FN131" s="174"/>
      <c r="FO131" s="174"/>
      <c r="FP131" s="174"/>
      <c r="FQ131" s="174"/>
      <c r="FR131" s="174"/>
      <c r="FS131" s="174"/>
      <c r="FT131" s="174"/>
      <c r="FU131" s="174"/>
      <c r="FV131" s="174"/>
      <c r="FW131" s="174"/>
      <c r="FX131" s="174"/>
      <c r="FY131" s="174"/>
      <c r="FZ131" s="174"/>
      <c r="GA131" s="174"/>
      <c r="GB131" s="174"/>
      <c r="GC131" s="174"/>
      <c r="GD131" s="174"/>
      <c r="GE131" s="174"/>
      <c r="GF131" s="174"/>
      <c r="GG131" s="174"/>
      <c r="GH131" s="174"/>
      <c r="GI131" s="174"/>
      <c r="GJ131" s="174"/>
      <c r="GK131" s="174"/>
      <c r="GL131" s="174"/>
      <c r="GM131" s="174"/>
      <c r="GN131" s="174"/>
      <c r="GO131" s="174"/>
      <c r="GP131" s="174"/>
      <c r="GQ131" s="174"/>
      <c r="GR131" s="174"/>
      <c r="GS131" s="174"/>
      <c r="GT131" s="174"/>
      <c r="GU131" s="174"/>
      <c r="GV131" s="174"/>
      <c r="GW131" s="174"/>
      <c r="GX131" s="174"/>
      <c r="GY131" s="174"/>
      <c r="GZ131" s="174"/>
      <c r="HA131" s="174"/>
      <c r="HB131" s="174"/>
      <c r="HC131" s="174"/>
      <c r="HD131" s="174"/>
      <c r="HE131" s="174"/>
      <c r="HF131" s="174"/>
      <c r="HG131" s="174"/>
      <c r="HH131" s="174"/>
      <c r="HI131" s="174"/>
      <c r="HJ131" s="174"/>
      <c r="HK131" s="174"/>
      <c r="HL131" s="174"/>
      <c r="HM131" s="174"/>
      <c r="HN131" s="174"/>
      <c r="HO131" s="174"/>
      <c r="HP131" s="174"/>
      <c r="HQ131" s="174"/>
      <c r="HR131" s="174"/>
      <c r="HS131" s="174"/>
      <c r="HT131" s="174"/>
      <c r="HU131" s="174"/>
      <c r="HV131" s="174"/>
      <c r="HW131" s="174"/>
      <c r="HX131" s="174"/>
      <c r="HY131" s="174"/>
      <c r="HZ131" s="174"/>
      <c r="IA131" s="174"/>
      <c r="IB131" s="174"/>
      <c r="IC131" s="174"/>
      <c r="ID131" s="174"/>
      <c r="IE131" s="174"/>
      <c r="IF131" s="174"/>
      <c r="IG131" s="174"/>
      <c r="IH131" s="174"/>
      <c r="II131" s="174"/>
      <c r="IJ131" s="174"/>
      <c r="IK131" s="174"/>
      <c r="IL131" s="174"/>
      <c r="IM131" s="174"/>
      <c r="IN131" s="174"/>
      <c r="IO131" s="174"/>
      <c r="IP131" s="174"/>
      <c r="IQ131" s="174"/>
      <c r="IR131" s="174"/>
      <c r="IS131" s="174"/>
      <c r="IT131" s="174"/>
      <c r="IU131" s="75"/>
      <c r="IV131" s="75"/>
      <c r="IW131" s="75"/>
      <c r="IX131" s="75"/>
      <c r="IY131" s="75"/>
      <c r="IZ131" s="75"/>
      <c r="JA131" s="75"/>
      <c r="JB131" s="75"/>
      <c r="JC131" s="75"/>
      <c r="JD131" s="75"/>
      <c r="JF131" s="710"/>
      <c r="JG131" s="710"/>
      <c r="JH131" s="178">
        <f t="shared" si="7"/>
        <v>0</v>
      </c>
      <c r="JI131" s="174">
        <f t="shared" si="8"/>
        <v>0</v>
      </c>
    </row>
    <row r="132" spans="2:269" ht="15" customHeight="1" x14ac:dyDescent="0.25">
      <c r="B132" s="113">
        <v>129</v>
      </c>
      <c r="C132" s="353" t="str">
        <f t="shared" si="9"/>
        <v/>
      </c>
      <c r="D132" s="353" t="str">
        <f t="shared" si="10"/>
        <v/>
      </c>
      <c r="E132" s="174"/>
      <c r="F132" s="174"/>
      <c r="G132" s="174"/>
      <c r="H132" s="174"/>
      <c r="I132" s="174"/>
      <c r="J132" s="174"/>
      <c r="K132" s="174"/>
      <c r="L132" s="174"/>
      <c r="M132" s="174"/>
      <c r="N132" s="174"/>
      <c r="O132" s="174"/>
      <c r="P132" s="174"/>
      <c r="Q132" s="174"/>
      <c r="R132" s="174"/>
      <c r="S132" s="174"/>
      <c r="T132" s="174"/>
      <c r="U132" s="174"/>
      <c r="V132" s="174"/>
      <c r="W132" s="174"/>
      <c r="X132" s="174"/>
      <c r="Y132" s="174"/>
      <c r="Z132" s="174"/>
      <c r="AA132" s="174"/>
      <c r="AB132" s="174"/>
      <c r="AC132" s="174"/>
      <c r="AD132" s="174"/>
      <c r="AE132" s="174"/>
      <c r="AF132" s="174"/>
      <c r="AG132" s="174"/>
      <c r="AH132" s="174"/>
      <c r="AI132" s="174"/>
      <c r="AJ132" s="174"/>
      <c r="AK132" s="174"/>
      <c r="AL132" s="174"/>
      <c r="AM132" s="174"/>
      <c r="AN132" s="174"/>
      <c r="AO132" s="174"/>
      <c r="AP132" s="174"/>
      <c r="AQ132" s="174"/>
      <c r="AR132" s="174"/>
      <c r="AS132" s="174"/>
      <c r="AT132" s="174"/>
      <c r="AU132" s="174"/>
      <c r="AV132" s="174"/>
      <c r="AW132" s="174"/>
      <c r="AX132" s="174"/>
      <c r="AY132" s="174"/>
      <c r="AZ132" s="174"/>
      <c r="BA132" s="174"/>
      <c r="BB132" s="174"/>
      <c r="BC132" s="174"/>
      <c r="BD132" s="174"/>
      <c r="BE132" s="174"/>
      <c r="BF132" s="174"/>
      <c r="BG132" s="174"/>
      <c r="BH132" s="174"/>
      <c r="BI132" s="174"/>
      <c r="BJ132" s="174"/>
      <c r="BK132" s="174"/>
      <c r="BL132" s="174"/>
      <c r="BM132" s="174"/>
      <c r="BN132" s="174"/>
      <c r="BO132" s="174"/>
      <c r="BP132" s="174"/>
      <c r="BQ132" s="174"/>
      <c r="BR132" s="174"/>
      <c r="BS132" s="174"/>
      <c r="BT132" s="174"/>
      <c r="BU132" s="174"/>
      <c r="BV132" s="174"/>
      <c r="BW132" s="174"/>
      <c r="BX132" s="174"/>
      <c r="BY132" s="174"/>
      <c r="BZ132" s="174"/>
      <c r="CA132" s="174"/>
      <c r="CB132" s="174"/>
      <c r="CC132" s="174"/>
      <c r="CD132" s="174"/>
      <c r="CE132" s="174"/>
      <c r="CF132" s="174"/>
      <c r="CG132" s="174"/>
      <c r="CH132" s="174"/>
      <c r="CI132" s="174"/>
      <c r="CJ132" s="174"/>
      <c r="CK132" s="174"/>
      <c r="CL132" s="174"/>
      <c r="CM132" s="174"/>
      <c r="CN132" s="174"/>
      <c r="CO132" s="174"/>
      <c r="CP132" s="174"/>
      <c r="CQ132" s="174"/>
      <c r="CR132" s="174"/>
      <c r="CS132" s="174"/>
      <c r="CT132" s="174"/>
      <c r="CU132" s="174"/>
      <c r="CV132" s="174"/>
      <c r="CW132" s="174"/>
      <c r="CX132" s="174"/>
      <c r="CY132" s="174"/>
      <c r="CZ132" s="174"/>
      <c r="DA132" s="174"/>
      <c r="DB132" s="174"/>
      <c r="DC132" s="174"/>
      <c r="DD132" s="174"/>
      <c r="DE132" s="174"/>
      <c r="DF132" s="174"/>
      <c r="DG132" s="174"/>
      <c r="DH132" s="174"/>
      <c r="DI132" s="174"/>
      <c r="DJ132" s="174"/>
      <c r="DK132" s="174"/>
      <c r="DL132" s="174"/>
      <c r="DM132" s="174"/>
      <c r="DN132" s="174"/>
      <c r="DO132" s="174"/>
      <c r="DP132" s="174"/>
      <c r="DQ132" s="174"/>
      <c r="DR132" s="174"/>
      <c r="DS132" s="174"/>
      <c r="DT132" s="174"/>
      <c r="DU132" s="174"/>
      <c r="DV132" s="174"/>
      <c r="DW132" s="174"/>
      <c r="DX132" s="174"/>
      <c r="DY132" s="174"/>
      <c r="DZ132" s="174"/>
      <c r="EA132" s="174"/>
      <c r="EB132" s="174"/>
      <c r="EC132" s="174"/>
      <c r="ED132" s="174"/>
      <c r="EE132" s="174"/>
      <c r="EF132" s="174"/>
      <c r="EG132" s="174"/>
      <c r="EH132" s="174"/>
      <c r="EI132" s="174"/>
      <c r="EJ132" s="174"/>
      <c r="EK132" s="174"/>
      <c r="EL132" s="174"/>
      <c r="EM132" s="174"/>
      <c r="EN132" s="174"/>
      <c r="EO132" s="174"/>
      <c r="EP132" s="174"/>
      <c r="EQ132" s="174"/>
      <c r="ER132" s="174"/>
      <c r="ES132" s="174"/>
      <c r="ET132" s="174"/>
      <c r="EU132" s="174"/>
      <c r="EV132" s="174"/>
      <c r="EW132" s="174"/>
      <c r="EX132" s="174"/>
      <c r="EY132" s="174"/>
      <c r="EZ132" s="174"/>
      <c r="FA132" s="174"/>
      <c r="FB132" s="174"/>
      <c r="FC132" s="174"/>
      <c r="FD132" s="174"/>
      <c r="FE132" s="174"/>
      <c r="FF132" s="174"/>
      <c r="FG132" s="174"/>
      <c r="FH132" s="174"/>
      <c r="FI132" s="174"/>
      <c r="FJ132" s="174"/>
      <c r="FK132" s="174"/>
      <c r="FL132" s="174"/>
      <c r="FM132" s="174"/>
      <c r="FN132" s="174"/>
      <c r="FO132" s="174"/>
      <c r="FP132" s="174"/>
      <c r="FQ132" s="174"/>
      <c r="FR132" s="174"/>
      <c r="FS132" s="174"/>
      <c r="FT132" s="174"/>
      <c r="FU132" s="174"/>
      <c r="FV132" s="174"/>
      <c r="FW132" s="174"/>
      <c r="FX132" s="174"/>
      <c r="FY132" s="174"/>
      <c r="FZ132" s="174"/>
      <c r="GA132" s="174"/>
      <c r="GB132" s="174"/>
      <c r="GC132" s="174"/>
      <c r="GD132" s="174"/>
      <c r="GE132" s="174"/>
      <c r="GF132" s="174"/>
      <c r="GG132" s="174"/>
      <c r="GH132" s="174"/>
      <c r="GI132" s="174"/>
      <c r="GJ132" s="174"/>
      <c r="GK132" s="174"/>
      <c r="GL132" s="174"/>
      <c r="GM132" s="174"/>
      <c r="GN132" s="174"/>
      <c r="GO132" s="174"/>
      <c r="GP132" s="174"/>
      <c r="GQ132" s="174"/>
      <c r="GR132" s="174"/>
      <c r="GS132" s="174"/>
      <c r="GT132" s="174"/>
      <c r="GU132" s="174"/>
      <c r="GV132" s="174"/>
      <c r="GW132" s="174"/>
      <c r="GX132" s="174"/>
      <c r="GY132" s="174"/>
      <c r="GZ132" s="174"/>
      <c r="HA132" s="174"/>
      <c r="HB132" s="174"/>
      <c r="HC132" s="174"/>
      <c r="HD132" s="174"/>
      <c r="HE132" s="174"/>
      <c r="HF132" s="174"/>
      <c r="HG132" s="174"/>
      <c r="HH132" s="174"/>
      <c r="HI132" s="174"/>
      <c r="HJ132" s="174"/>
      <c r="HK132" s="174"/>
      <c r="HL132" s="174"/>
      <c r="HM132" s="174"/>
      <c r="HN132" s="174"/>
      <c r="HO132" s="174"/>
      <c r="HP132" s="174"/>
      <c r="HQ132" s="174"/>
      <c r="HR132" s="174"/>
      <c r="HS132" s="174"/>
      <c r="HT132" s="174"/>
      <c r="HU132" s="174"/>
      <c r="HV132" s="174"/>
      <c r="HW132" s="174"/>
      <c r="HX132" s="174"/>
      <c r="HY132" s="174"/>
      <c r="HZ132" s="174"/>
      <c r="IA132" s="174"/>
      <c r="IB132" s="174"/>
      <c r="IC132" s="174"/>
      <c r="ID132" s="174"/>
      <c r="IE132" s="174"/>
      <c r="IF132" s="174"/>
      <c r="IG132" s="174"/>
      <c r="IH132" s="174"/>
      <c r="II132" s="174"/>
      <c r="IJ132" s="174"/>
      <c r="IK132" s="174"/>
      <c r="IL132" s="174"/>
      <c r="IM132" s="174"/>
      <c r="IN132" s="174"/>
      <c r="IO132" s="174"/>
      <c r="IP132" s="174"/>
      <c r="IQ132" s="174"/>
      <c r="IR132" s="174"/>
      <c r="IS132" s="174"/>
      <c r="IT132" s="174"/>
      <c r="IU132" s="75"/>
      <c r="IV132" s="75"/>
      <c r="IW132" s="75"/>
      <c r="IX132" s="75"/>
      <c r="IY132" s="75"/>
      <c r="IZ132" s="75"/>
      <c r="JA132" s="75"/>
      <c r="JB132" s="75"/>
      <c r="JC132" s="75"/>
      <c r="JD132" s="75"/>
      <c r="JF132" s="710"/>
      <c r="JG132" s="710"/>
      <c r="JH132" s="178">
        <f t="shared" ref="JH132:JH195" si="11">IF(JF132&lt;&gt;"",VLOOKUP(JF132,tbl_materiais,COLUMN(head_mat_CLreal)-COLUMN(head_mat_item)+1,FALSE),0)</f>
        <v>0</v>
      </c>
      <c r="JI132" s="174">
        <f t="shared" ref="JI132:JI195" si="12">IF(JF132&lt;&gt;"",SUMPRODUCT(E132:JD132,$E$215:$JD$215),0)</f>
        <v>0</v>
      </c>
    </row>
    <row r="133" spans="2:269" ht="15" customHeight="1" x14ac:dyDescent="0.25">
      <c r="B133" s="113">
        <v>130</v>
      </c>
      <c r="C133" s="353" t="str">
        <f t="shared" si="9"/>
        <v/>
      </c>
      <c r="D133" s="353" t="str">
        <f t="shared" si="10"/>
        <v/>
      </c>
      <c r="E133" s="174"/>
      <c r="F133" s="174"/>
      <c r="G133" s="174"/>
      <c r="H133" s="174"/>
      <c r="I133" s="174"/>
      <c r="J133" s="174"/>
      <c r="K133" s="174"/>
      <c r="L133" s="174"/>
      <c r="M133" s="174"/>
      <c r="N133" s="174"/>
      <c r="O133" s="174"/>
      <c r="P133" s="174"/>
      <c r="Q133" s="174"/>
      <c r="R133" s="174"/>
      <c r="S133" s="174"/>
      <c r="T133" s="174"/>
      <c r="U133" s="174"/>
      <c r="V133" s="174"/>
      <c r="W133" s="174"/>
      <c r="X133" s="174"/>
      <c r="Y133" s="174"/>
      <c r="Z133" s="174"/>
      <c r="AA133" s="174"/>
      <c r="AB133" s="174"/>
      <c r="AC133" s="174"/>
      <c r="AD133" s="174"/>
      <c r="AE133" s="174"/>
      <c r="AF133" s="174"/>
      <c r="AG133" s="174"/>
      <c r="AH133" s="174"/>
      <c r="AI133" s="174"/>
      <c r="AJ133" s="174"/>
      <c r="AK133" s="174"/>
      <c r="AL133" s="174"/>
      <c r="AM133" s="174"/>
      <c r="AN133" s="174"/>
      <c r="AO133" s="174"/>
      <c r="AP133" s="174"/>
      <c r="AQ133" s="174"/>
      <c r="AR133" s="174"/>
      <c r="AS133" s="174"/>
      <c r="AT133" s="174"/>
      <c r="AU133" s="174"/>
      <c r="AV133" s="174"/>
      <c r="AW133" s="174"/>
      <c r="AX133" s="174"/>
      <c r="AY133" s="174"/>
      <c r="AZ133" s="174"/>
      <c r="BA133" s="174"/>
      <c r="BB133" s="174"/>
      <c r="BC133" s="174"/>
      <c r="BD133" s="174"/>
      <c r="BE133" s="174"/>
      <c r="BF133" s="174"/>
      <c r="BG133" s="174"/>
      <c r="BH133" s="174"/>
      <c r="BI133" s="174"/>
      <c r="BJ133" s="174"/>
      <c r="BK133" s="174"/>
      <c r="BL133" s="174"/>
      <c r="BM133" s="174"/>
      <c r="BN133" s="174"/>
      <c r="BO133" s="174"/>
      <c r="BP133" s="174"/>
      <c r="BQ133" s="174"/>
      <c r="BR133" s="174"/>
      <c r="BS133" s="174"/>
      <c r="BT133" s="174"/>
      <c r="BU133" s="174"/>
      <c r="BV133" s="174"/>
      <c r="BW133" s="174"/>
      <c r="BX133" s="174"/>
      <c r="BY133" s="174"/>
      <c r="BZ133" s="174"/>
      <c r="CA133" s="174"/>
      <c r="CB133" s="174"/>
      <c r="CC133" s="174"/>
      <c r="CD133" s="174"/>
      <c r="CE133" s="174"/>
      <c r="CF133" s="174"/>
      <c r="CG133" s="174"/>
      <c r="CH133" s="174"/>
      <c r="CI133" s="174"/>
      <c r="CJ133" s="174"/>
      <c r="CK133" s="174"/>
      <c r="CL133" s="174"/>
      <c r="CM133" s="174"/>
      <c r="CN133" s="174"/>
      <c r="CO133" s="174"/>
      <c r="CP133" s="174"/>
      <c r="CQ133" s="174"/>
      <c r="CR133" s="174"/>
      <c r="CS133" s="174"/>
      <c r="CT133" s="174"/>
      <c r="CU133" s="174"/>
      <c r="CV133" s="174"/>
      <c r="CW133" s="174"/>
      <c r="CX133" s="174"/>
      <c r="CY133" s="174"/>
      <c r="CZ133" s="174"/>
      <c r="DA133" s="174"/>
      <c r="DB133" s="174"/>
      <c r="DC133" s="174"/>
      <c r="DD133" s="174"/>
      <c r="DE133" s="174"/>
      <c r="DF133" s="174"/>
      <c r="DG133" s="174"/>
      <c r="DH133" s="174"/>
      <c r="DI133" s="174"/>
      <c r="DJ133" s="174"/>
      <c r="DK133" s="174"/>
      <c r="DL133" s="174"/>
      <c r="DM133" s="174"/>
      <c r="DN133" s="174"/>
      <c r="DO133" s="174"/>
      <c r="DP133" s="174"/>
      <c r="DQ133" s="174"/>
      <c r="DR133" s="174"/>
      <c r="DS133" s="174"/>
      <c r="DT133" s="174"/>
      <c r="DU133" s="174"/>
      <c r="DV133" s="174"/>
      <c r="DW133" s="174"/>
      <c r="DX133" s="174"/>
      <c r="DY133" s="174"/>
      <c r="DZ133" s="174"/>
      <c r="EA133" s="174"/>
      <c r="EB133" s="174"/>
      <c r="EC133" s="174"/>
      <c r="ED133" s="174"/>
      <c r="EE133" s="174"/>
      <c r="EF133" s="174"/>
      <c r="EG133" s="174"/>
      <c r="EH133" s="174"/>
      <c r="EI133" s="174"/>
      <c r="EJ133" s="174"/>
      <c r="EK133" s="174"/>
      <c r="EL133" s="174"/>
      <c r="EM133" s="174"/>
      <c r="EN133" s="174"/>
      <c r="EO133" s="174"/>
      <c r="EP133" s="174"/>
      <c r="EQ133" s="174"/>
      <c r="ER133" s="174"/>
      <c r="ES133" s="174"/>
      <c r="ET133" s="174"/>
      <c r="EU133" s="174"/>
      <c r="EV133" s="174"/>
      <c r="EW133" s="174"/>
      <c r="EX133" s="174"/>
      <c r="EY133" s="174"/>
      <c r="EZ133" s="174"/>
      <c r="FA133" s="174"/>
      <c r="FB133" s="174"/>
      <c r="FC133" s="174"/>
      <c r="FD133" s="174"/>
      <c r="FE133" s="174"/>
      <c r="FF133" s="174"/>
      <c r="FG133" s="174"/>
      <c r="FH133" s="174"/>
      <c r="FI133" s="174"/>
      <c r="FJ133" s="174"/>
      <c r="FK133" s="174"/>
      <c r="FL133" s="174"/>
      <c r="FM133" s="174"/>
      <c r="FN133" s="174"/>
      <c r="FO133" s="174"/>
      <c r="FP133" s="174"/>
      <c r="FQ133" s="174"/>
      <c r="FR133" s="174"/>
      <c r="FS133" s="174"/>
      <c r="FT133" s="174"/>
      <c r="FU133" s="174"/>
      <c r="FV133" s="174"/>
      <c r="FW133" s="174"/>
      <c r="FX133" s="174"/>
      <c r="FY133" s="174"/>
      <c r="FZ133" s="174"/>
      <c r="GA133" s="174"/>
      <c r="GB133" s="174"/>
      <c r="GC133" s="174"/>
      <c r="GD133" s="174"/>
      <c r="GE133" s="174"/>
      <c r="GF133" s="174"/>
      <c r="GG133" s="174"/>
      <c r="GH133" s="174"/>
      <c r="GI133" s="174"/>
      <c r="GJ133" s="174"/>
      <c r="GK133" s="174"/>
      <c r="GL133" s="174"/>
      <c r="GM133" s="174"/>
      <c r="GN133" s="174"/>
      <c r="GO133" s="174"/>
      <c r="GP133" s="174"/>
      <c r="GQ133" s="174"/>
      <c r="GR133" s="174"/>
      <c r="GS133" s="174"/>
      <c r="GT133" s="174"/>
      <c r="GU133" s="174"/>
      <c r="GV133" s="174"/>
      <c r="GW133" s="174"/>
      <c r="GX133" s="174"/>
      <c r="GY133" s="174"/>
      <c r="GZ133" s="174"/>
      <c r="HA133" s="174"/>
      <c r="HB133" s="174"/>
      <c r="HC133" s="174"/>
      <c r="HD133" s="174"/>
      <c r="HE133" s="174"/>
      <c r="HF133" s="174"/>
      <c r="HG133" s="174"/>
      <c r="HH133" s="174"/>
      <c r="HI133" s="174"/>
      <c r="HJ133" s="174"/>
      <c r="HK133" s="174"/>
      <c r="HL133" s="174"/>
      <c r="HM133" s="174"/>
      <c r="HN133" s="174"/>
      <c r="HO133" s="174"/>
      <c r="HP133" s="174"/>
      <c r="HQ133" s="174"/>
      <c r="HR133" s="174"/>
      <c r="HS133" s="174"/>
      <c r="HT133" s="174"/>
      <c r="HU133" s="174"/>
      <c r="HV133" s="174"/>
      <c r="HW133" s="174"/>
      <c r="HX133" s="174"/>
      <c r="HY133" s="174"/>
      <c r="HZ133" s="174"/>
      <c r="IA133" s="174"/>
      <c r="IB133" s="174"/>
      <c r="IC133" s="174"/>
      <c r="ID133" s="174"/>
      <c r="IE133" s="174"/>
      <c r="IF133" s="174"/>
      <c r="IG133" s="174"/>
      <c r="IH133" s="174"/>
      <c r="II133" s="174"/>
      <c r="IJ133" s="174"/>
      <c r="IK133" s="174"/>
      <c r="IL133" s="174"/>
      <c r="IM133" s="174"/>
      <c r="IN133" s="174"/>
      <c r="IO133" s="174"/>
      <c r="IP133" s="174"/>
      <c r="IQ133" s="174"/>
      <c r="IR133" s="174"/>
      <c r="IS133" s="174"/>
      <c r="IT133" s="174"/>
      <c r="IU133" s="75"/>
      <c r="IV133" s="75"/>
      <c r="IW133" s="75"/>
      <c r="IX133" s="75"/>
      <c r="IY133" s="75"/>
      <c r="IZ133" s="75"/>
      <c r="JA133" s="75"/>
      <c r="JB133" s="75"/>
      <c r="JC133" s="75"/>
      <c r="JD133" s="75"/>
      <c r="JF133" s="710"/>
      <c r="JG133" s="710"/>
      <c r="JH133" s="178">
        <f t="shared" si="11"/>
        <v>0</v>
      </c>
      <c r="JI133" s="174">
        <f t="shared" si="12"/>
        <v>0</v>
      </c>
    </row>
    <row r="134" spans="2:269" ht="15" customHeight="1" x14ac:dyDescent="0.25">
      <c r="B134" s="113">
        <v>131</v>
      </c>
      <c r="C134" s="353" t="str">
        <f t="shared" si="9"/>
        <v/>
      </c>
      <c r="D134" s="353" t="str">
        <f t="shared" si="10"/>
        <v/>
      </c>
      <c r="E134" s="174"/>
      <c r="F134" s="174"/>
      <c r="G134" s="174"/>
      <c r="H134" s="174"/>
      <c r="I134" s="174"/>
      <c r="J134" s="174"/>
      <c r="K134" s="174"/>
      <c r="L134" s="174"/>
      <c r="M134" s="174"/>
      <c r="N134" s="174"/>
      <c r="O134" s="174"/>
      <c r="P134" s="174"/>
      <c r="Q134" s="174"/>
      <c r="R134" s="174"/>
      <c r="S134" s="174"/>
      <c r="T134" s="174"/>
      <c r="U134" s="174"/>
      <c r="V134" s="174"/>
      <c r="W134" s="174"/>
      <c r="X134" s="174"/>
      <c r="Y134" s="174"/>
      <c r="Z134" s="174"/>
      <c r="AA134" s="174"/>
      <c r="AB134" s="174"/>
      <c r="AC134" s="174"/>
      <c r="AD134" s="174"/>
      <c r="AE134" s="174"/>
      <c r="AF134" s="174"/>
      <c r="AG134" s="174"/>
      <c r="AH134" s="174"/>
      <c r="AI134" s="174"/>
      <c r="AJ134" s="174"/>
      <c r="AK134" s="174"/>
      <c r="AL134" s="174"/>
      <c r="AM134" s="174"/>
      <c r="AN134" s="174"/>
      <c r="AO134" s="174"/>
      <c r="AP134" s="174"/>
      <c r="AQ134" s="174"/>
      <c r="AR134" s="174"/>
      <c r="AS134" s="174"/>
      <c r="AT134" s="174"/>
      <c r="AU134" s="174"/>
      <c r="AV134" s="174"/>
      <c r="AW134" s="174"/>
      <c r="AX134" s="174"/>
      <c r="AY134" s="174"/>
      <c r="AZ134" s="174"/>
      <c r="BA134" s="174"/>
      <c r="BB134" s="174"/>
      <c r="BC134" s="174"/>
      <c r="BD134" s="174"/>
      <c r="BE134" s="174"/>
      <c r="BF134" s="174"/>
      <c r="BG134" s="174"/>
      <c r="BH134" s="174"/>
      <c r="BI134" s="174"/>
      <c r="BJ134" s="174"/>
      <c r="BK134" s="174"/>
      <c r="BL134" s="174"/>
      <c r="BM134" s="174"/>
      <c r="BN134" s="174"/>
      <c r="BO134" s="174"/>
      <c r="BP134" s="174"/>
      <c r="BQ134" s="174"/>
      <c r="BR134" s="174"/>
      <c r="BS134" s="174"/>
      <c r="BT134" s="174"/>
      <c r="BU134" s="174"/>
      <c r="BV134" s="174"/>
      <c r="BW134" s="174"/>
      <c r="BX134" s="174"/>
      <c r="BY134" s="174"/>
      <c r="BZ134" s="174"/>
      <c r="CA134" s="174"/>
      <c r="CB134" s="174"/>
      <c r="CC134" s="174"/>
      <c r="CD134" s="174"/>
      <c r="CE134" s="174"/>
      <c r="CF134" s="174"/>
      <c r="CG134" s="174"/>
      <c r="CH134" s="174"/>
      <c r="CI134" s="174"/>
      <c r="CJ134" s="174"/>
      <c r="CK134" s="174"/>
      <c r="CL134" s="174"/>
      <c r="CM134" s="174"/>
      <c r="CN134" s="174"/>
      <c r="CO134" s="174"/>
      <c r="CP134" s="174"/>
      <c r="CQ134" s="174"/>
      <c r="CR134" s="174"/>
      <c r="CS134" s="174"/>
      <c r="CT134" s="174"/>
      <c r="CU134" s="174"/>
      <c r="CV134" s="174"/>
      <c r="CW134" s="174"/>
      <c r="CX134" s="174"/>
      <c r="CY134" s="174"/>
      <c r="CZ134" s="174"/>
      <c r="DA134" s="174"/>
      <c r="DB134" s="174"/>
      <c r="DC134" s="174"/>
      <c r="DD134" s="174"/>
      <c r="DE134" s="174"/>
      <c r="DF134" s="174"/>
      <c r="DG134" s="174"/>
      <c r="DH134" s="174"/>
      <c r="DI134" s="174"/>
      <c r="DJ134" s="174"/>
      <c r="DK134" s="174"/>
      <c r="DL134" s="174"/>
      <c r="DM134" s="174"/>
      <c r="DN134" s="174"/>
      <c r="DO134" s="174"/>
      <c r="DP134" s="174"/>
      <c r="DQ134" s="174"/>
      <c r="DR134" s="174"/>
      <c r="DS134" s="174"/>
      <c r="DT134" s="174"/>
      <c r="DU134" s="174"/>
      <c r="DV134" s="174"/>
      <c r="DW134" s="174"/>
      <c r="DX134" s="174"/>
      <c r="DY134" s="174"/>
      <c r="DZ134" s="174"/>
      <c r="EA134" s="174"/>
      <c r="EB134" s="174"/>
      <c r="EC134" s="174"/>
      <c r="ED134" s="174"/>
      <c r="EE134" s="174"/>
      <c r="EF134" s="174"/>
      <c r="EG134" s="174"/>
      <c r="EH134" s="174"/>
      <c r="EI134" s="174"/>
      <c r="EJ134" s="174"/>
      <c r="EK134" s="174"/>
      <c r="EL134" s="174"/>
      <c r="EM134" s="174"/>
      <c r="EN134" s="174"/>
      <c r="EO134" s="174"/>
      <c r="EP134" s="174"/>
      <c r="EQ134" s="174"/>
      <c r="ER134" s="174"/>
      <c r="ES134" s="174"/>
      <c r="ET134" s="174"/>
      <c r="EU134" s="174"/>
      <c r="EV134" s="174"/>
      <c r="EW134" s="174"/>
      <c r="EX134" s="174"/>
      <c r="EY134" s="174"/>
      <c r="EZ134" s="174"/>
      <c r="FA134" s="174"/>
      <c r="FB134" s="174"/>
      <c r="FC134" s="174"/>
      <c r="FD134" s="174"/>
      <c r="FE134" s="174"/>
      <c r="FF134" s="174"/>
      <c r="FG134" s="174"/>
      <c r="FH134" s="174"/>
      <c r="FI134" s="174"/>
      <c r="FJ134" s="174"/>
      <c r="FK134" s="174"/>
      <c r="FL134" s="174"/>
      <c r="FM134" s="174"/>
      <c r="FN134" s="174"/>
      <c r="FO134" s="174"/>
      <c r="FP134" s="174"/>
      <c r="FQ134" s="174"/>
      <c r="FR134" s="174"/>
      <c r="FS134" s="174"/>
      <c r="FT134" s="174"/>
      <c r="FU134" s="174"/>
      <c r="FV134" s="174"/>
      <c r="FW134" s="174"/>
      <c r="FX134" s="174"/>
      <c r="FY134" s="174"/>
      <c r="FZ134" s="174"/>
      <c r="GA134" s="174"/>
      <c r="GB134" s="174"/>
      <c r="GC134" s="174"/>
      <c r="GD134" s="174"/>
      <c r="GE134" s="174"/>
      <c r="GF134" s="174"/>
      <c r="GG134" s="174"/>
      <c r="GH134" s="174"/>
      <c r="GI134" s="174"/>
      <c r="GJ134" s="174"/>
      <c r="GK134" s="174"/>
      <c r="GL134" s="174"/>
      <c r="GM134" s="174"/>
      <c r="GN134" s="174"/>
      <c r="GO134" s="174"/>
      <c r="GP134" s="174"/>
      <c r="GQ134" s="174"/>
      <c r="GR134" s="174"/>
      <c r="GS134" s="174"/>
      <c r="GT134" s="174"/>
      <c r="GU134" s="174"/>
      <c r="GV134" s="174"/>
      <c r="GW134" s="174"/>
      <c r="GX134" s="174"/>
      <c r="GY134" s="174"/>
      <c r="GZ134" s="174"/>
      <c r="HA134" s="174"/>
      <c r="HB134" s="174"/>
      <c r="HC134" s="174"/>
      <c r="HD134" s="174"/>
      <c r="HE134" s="174"/>
      <c r="HF134" s="174"/>
      <c r="HG134" s="174"/>
      <c r="HH134" s="174"/>
      <c r="HI134" s="174"/>
      <c r="HJ134" s="174"/>
      <c r="HK134" s="174"/>
      <c r="HL134" s="174"/>
      <c r="HM134" s="174"/>
      <c r="HN134" s="174"/>
      <c r="HO134" s="174"/>
      <c r="HP134" s="174"/>
      <c r="HQ134" s="174"/>
      <c r="HR134" s="174"/>
      <c r="HS134" s="174"/>
      <c r="HT134" s="174"/>
      <c r="HU134" s="174"/>
      <c r="HV134" s="174"/>
      <c r="HW134" s="174"/>
      <c r="HX134" s="174"/>
      <c r="HY134" s="174"/>
      <c r="HZ134" s="174"/>
      <c r="IA134" s="174"/>
      <c r="IB134" s="174"/>
      <c r="IC134" s="174"/>
      <c r="ID134" s="174"/>
      <c r="IE134" s="174"/>
      <c r="IF134" s="174"/>
      <c r="IG134" s="174"/>
      <c r="IH134" s="174"/>
      <c r="II134" s="174"/>
      <c r="IJ134" s="174"/>
      <c r="IK134" s="174"/>
      <c r="IL134" s="174"/>
      <c r="IM134" s="174"/>
      <c r="IN134" s="174"/>
      <c r="IO134" s="174"/>
      <c r="IP134" s="174"/>
      <c r="IQ134" s="174"/>
      <c r="IR134" s="174"/>
      <c r="IS134" s="174"/>
      <c r="IT134" s="174"/>
      <c r="IU134" s="75"/>
      <c r="IV134" s="75"/>
      <c r="IW134" s="75"/>
      <c r="IX134" s="75"/>
      <c r="IY134" s="75"/>
      <c r="IZ134" s="75"/>
      <c r="JA134" s="75"/>
      <c r="JB134" s="75"/>
      <c r="JC134" s="75"/>
      <c r="JD134" s="75"/>
      <c r="JF134" s="710"/>
      <c r="JG134" s="710"/>
      <c r="JH134" s="178">
        <f t="shared" si="11"/>
        <v>0</v>
      </c>
      <c r="JI134" s="174">
        <f t="shared" si="12"/>
        <v>0</v>
      </c>
    </row>
    <row r="135" spans="2:269" ht="15" customHeight="1" x14ac:dyDescent="0.25">
      <c r="B135" s="113">
        <v>132</v>
      </c>
      <c r="C135" s="353" t="str">
        <f t="shared" si="9"/>
        <v/>
      </c>
      <c r="D135" s="353" t="str">
        <f t="shared" si="10"/>
        <v/>
      </c>
      <c r="E135" s="174"/>
      <c r="F135" s="174"/>
      <c r="G135" s="174"/>
      <c r="H135" s="174"/>
      <c r="I135" s="174"/>
      <c r="J135" s="174"/>
      <c r="K135" s="174"/>
      <c r="L135" s="174"/>
      <c r="M135" s="174"/>
      <c r="N135" s="174"/>
      <c r="O135" s="174"/>
      <c r="P135" s="174"/>
      <c r="Q135" s="174"/>
      <c r="R135" s="174"/>
      <c r="S135" s="174"/>
      <c r="T135" s="174"/>
      <c r="U135" s="174"/>
      <c r="V135" s="174"/>
      <c r="W135" s="174"/>
      <c r="X135" s="174"/>
      <c r="Y135" s="174"/>
      <c r="Z135" s="174"/>
      <c r="AA135" s="174"/>
      <c r="AB135" s="174"/>
      <c r="AC135" s="174"/>
      <c r="AD135" s="174"/>
      <c r="AE135" s="174"/>
      <c r="AF135" s="174"/>
      <c r="AG135" s="174"/>
      <c r="AH135" s="174"/>
      <c r="AI135" s="174"/>
      <c r="AJ135" s="174"/>
      <c r="AK135" s="174"/>
      <c r="AL135" s="174"/>
      <c r="AM135" s="174"/>
      <c r="AN135" s="174"/>
      <c r="AO135" s="174"/>
      <c r="AP135" s="174"/>
      <c r="AQ135" s="174"/>
      <c r="AR135" s="174"/>
      <c r="AS135" s="174"/>
      <c r="AT135" s="174"/>
      <c r="AU135" s="174"/>
      <c r="AV135" s="174"/>
      <c r="AW135" s="174"/>
      <c r="AX135" s="174"/>
      <c r="AY135" s="174"/>
      <c r="AZ135" s="174"/>
      <c r="BA135" s="174"/>
      <c r="BB135" s="174"/>
      <c r="BC135" s="174"/>
      <c r="BD135" s="174"/>
      <c r="BE135" s="174"/>
      <c r="BF135" s="174"/>
      <c r="BG135" s="174"/>
      <c r="BH135" s="174"/>
      <c r="BI135" s="174"/>
      <c r="BJ135" s="174"/>
      <c r="BK135" s="174"/>
      <c r="BL135" s="174"/>
      <c r="BM135" s="174"/>
      <c r="BN135" s="174"/>
      <c r="BO135" s="174"/>
      <c r="BP135" s="174"/>
      <c r="BQ135" s="174"/>
      <c r="BR135" s="174"/>
      <c r="BS135" s="174"/>
      <c r="BT135" s="174"/>
      <c r="BU135" s="174"/>
      <c r="BV135" s="174"/>
      <c r="BW135" s="174"/>
      <c r="BX135" s="174"/>
      <c r="BY135" s="174"/>
      <c r="BZ135" s="174"/>
      <c r="CA135" s="174"/>
      <c r="CB135" s="174"/>
      <c r="CC135" s="174"/>
      <c r="CD135" s="174"/>
      <c r="CE135" s="174"/>
      <c r="CF135" s="174"/>
      <c r="CG135" s="174"/>
      <c r="CH135" s="174"/>
      <c r="CI135" s="174"/>
      <c r="CJ135" s="174"/>
      <c r="CK135" s="174"/>
      <c r="CL135" s="174"/>
      <c r="CM135" s="174"/>
      <c r="CN135" s="174"/>
      <c r="CO135" s="174"/>
      <c r="CP135" s="174"/>
      <c r="CQ135" s="174"/>
      <c r="CR135" s="174"/>
      <c r="CS135" s="174"/>
      <c r="CT135" s="174"/>
      <c r="CU135" s="174"/>
      <c r="CV135" s="174"/>
      <c r="CW135" s="174"/>
      <c r="CX135" s="174"/>
      <c r="CY135" s="174"/>
      <c r="CZ135" s="174"/>
      <c r="DA135" s="174"/>
      <c r="DB135" s="174"/>
      <c r="DC135" s="174"/>
      <c r="DD135" s="174"/>
      <c r="DE135" s="174"/>
      <c r="DF135" s="174"/>
      <c r="DG135" s="174"/>
      <c r="DH135" s="174"/>
      <c r="DI135" s="174"/>
      <c r="DJ135" s="174"/>
      <c r="DK135" s="174"/>
      <c r="DL135" s="174"/>
      <c r="DM135" s="174"/>
      <c r="DN135" s="174"/>
      <c r="DO135" s="174"/>
      <c r="DP135" s="174"/>
      <c r="DQ135" s="174"/>
      <c r="DR135" s="174"/>
      <c r="DS135" s="174"/>
      <c r="DT135" s="174"/>
      <c r="DU135" s="174"/>
      <c r="DV135" s="174"/>
      <c r="DW135" s="174"/>
      <c r="DX135" s="174"/>
      <c r="DY135" s="174"/>
      <c r="DZ135" s="174"/>
      <c r="EA135" s="174"/>
      <c r="EB135" s="174"/>
      <c r="EC135" s="174"/>
      <c r="ED135" s="174"/>
      <c r="EE135" s="174"/>
      <c r="EF135" s="174"/>
      <c r="EG135" s="174"/>
      <c r="EH135" s="174"/>
      <c r="EI135" s="174"/>
      <c r="EJ135" s="174"/>
      <c r="EK135" s="174"/>
      <c r="EL135" s="174"/>
      <c r="EM135" s="174"/>
      <c r="EN135" s="174"/>
      <c r="EO135" s="174"/>
      <c r="EP135" s="174"/>
      <c r="EQ135" s="174"/>
      <c r="ER135" s="174"/>
      <c r="ES135" s="174"/>
      <c r="ET135" s="174"/>
      <c r="EU135" s="174"/>
      <c r="EV135" s="174"/>
      <c r="EW135" s="174"/>
      <c r="EX135" s="174"/>
      <c r="EY135" s="174"/>
      <c r="EZ135" s="174"/>
      <c r="FA135" s="174"/>
      <c r="FB135" s="174"/>
      <c r="FC135" s="174"/>
      <c r="FD135" s="174"/>
      <c r="FE135" s="174"/>
      <c r="FF135" s="174"/>
      <c r="FG135" s="174"/>
      <c r="FH135" s="174"/>
      <c r="FI135" s="174"/>
      <c r="FJ135" s="174"/>
      <c r="FK135" s="174"/>
      <c r="FL135" s="174"/>
      <c r="FM135" s="174"/>
      <c r="FN135" s="174"/>
      <c r="FO135" s="174"/>
      <c r="FP135" s="174"/>
      <c r="FQ135" s="174"/>
      <c r="FR135" s="174"/>
      <c r="FS135" s="174"/>
      <c r="FT135" s="174"/>
      <c r="FU135" s="174"/>
      <c r="FV135" s="174"/>
      <c r="FW135" s="174"/>
      <c r="FX135" s="174"/>
      <c r="FY135" s="174"/>
      <c r="FZ135" s="174"/>
      <c r="GA135" s="174"/>
      <c r="GB135" s="174"/>
      <c r="GC135" s="174"/>
      <c r="GD135" s="174"/>
      <c r="GE135" s="174"/>
      <c r="GF135" s="174"/>
      <c r="GG135" s="174"/>
      <c r="GH135" s="174"/>
      <c r="GI135" s="174"/>
      <c r="GJ135" s="174"/>
      <c r="GK135" s="174"/>
      <c r="GL135" s="174"/>
      <c r="GM135" s="174"/>
      <c r="GN135" s="174"/>
      <c r="GO135" s="174"/>
      <c r="GP135" s="174"/>
      <c r="GQ135" s="174"/>
      <c r="GR135" s="174"/>
      <c r="GS135" s="174"/>
      <c r="GT135" s="174"/>
      <c r="GU135" s="174"/>
      <c r="GV135" s="174"/>
      <c r="GW135" s="174"/>
      <c r="GX135" s="174"/>
      <c r="GY135" s="174"/>
      <c r="GZ135" s="174"/>
      <c r="HA135" s="174"/>
      <c r="HB135" s="174"/>
      <c r="HC135" s="174"/>
      <c r="HD135" s="174"/>
      <c r="HE135" s="174"/>
      <c r="HF135" s="174"/>
      <c r="HG135" s="174"/>
      <c r="HH135" s="174"/>
      <c r="HI135" s="174"/>
      <c r="HJ135" s="174"/>
      <c r="HK135" s="174"/>
      <c r="HL135" s="174"/>
      <c r="HM135" s="174"/>
      <c r="HN135" s="174"/>
      <c r="HO135" s="174"/>
      <c r="HP135" s="174"/>
      <c r="HQ135" s="174"/>
      <c r="HR135" s="174"/>
      <c r="HS135" s="174"/>
      <c r="HT135" s="174"/>
      <c r="HU135" s="174"/>
      <c r="HV135" s="174"/>
      <c r="HW135" s="174"/>
      <c r="HX135" s="174"/>
      <c r="HY135" s="174"/>
      <c r="HZ135" s="174"/>
      <c r="IA135" s="174"/>
      <c r="IB135" s="174"/>
      <c r="IC135" s="174"/>
      <c r="ID135" s="174"/>
      <c r="IE135" s="174"/>
      <c r="IF135" s="174"/>
      <c r="IG135" s="174"/>
      <c r="IH135" s="174"/>
      <c r="II135" s="174"/>
      <c r="IJ135" s="174"/>
      <c r="IK135" s="174"/>
      <c r="IL135" s="174"/>
      <c r="IM135" s="174"/>
      <c r="IN135" s="174"/>
      <c r="IO135" s="174"/>
      <c r="IP135" s="174"/>
      <c r="IQ135" s="174"/>
      <c r="IR135" s="174"/>
      <c r="IS135" s="174"/>
      <c r="IT135" s="174"/>
      <c r="IU135" s="75"/>
      <c r="IV135" s="75"/>
      <c r="IW135" s="75"/>
      <c r="IX135" s="75"/>
      <c r="IY135" s="75"/>
      <c r="IZ135" s="75"/>
      <c r="JA135" s="75"/>
      <c r="JB135" s="75"/>
      <c r="JC135" s="75"/>
      <c r="JD135" s="75"/>
      <c r="JF135" s="710"/>
      <c r="JG135" s="710"/>
      <c r="JH135" s="178">
        <f t="shared" si="11"/>
        <v>0</v>
      </c>
      <c r="JI135" s="174">
        <f t="shared" si="12"/>
        <v>0</v>
      </c>
    </row>
    <row r="136" spans="2:269" ht="15" customHeight="1" x14ac:dyDescent="0.25">
      <c r="B136" s="113">
        <v>133</v>
      </c>
      <c r="C136" s="353" t="str">
        <f t="shared" si="9"/>
        <v/>
      </c>
      <c r="D136" s="353" t="str">
        <f t="shared" si="10"/>
        <v/>
      </c>
      <c r="E136" s="174"/>
      <c r="F136" s="174"/>
      <c r="G136" s="174"/>
      <c r="H136" s="174"/>
      <c r="I136" s="174"/>
      <c r="J136" s="174"/>
      <c r="K136" s="174"/>
      <c r="L136" s="174"/>
      <c r="M136" s="174"/>
      <c r="N136" s="174"/>
      <c r="O136" s="174"/>
      <c r="P136" s="174"/>
      <c r="Q136" s="174"/>
      <c r="R136" s="174"/>
      <c r="S136" s="174"/>
      <c r="T136" s="174"/>
      <c r="U136" s="174"/>
      <c r="V136" s="174"/>
      <c r="W136" s="174"/>
      <c r="X136" s="174"/>
      <c r="Y136" s="174"/>
      <c r="Z136" s="174"/>
      <c r="AA136" s="174"/>
      <c r="AB136" s="174"/>
      <c r="AC136" s="174"/>
      <c r="AD136" s="174"/>
      <c r="AE136" s="174"/>
      <c r="AF136" s="174"/>
      <c r="AG136" s="174"/>
      <c r="AH136" s="174"/>
      <c r="AI136" s="174"/>
      <c r="AJ136" s="174"/>
      <c r="AK136" s="174"/>
      <c r="AL136" s="174"/>
      <c r="AM136" s="174"/>
      <c r="AN136" s="174"/>
      <c r="AO136" s="174"/>
      <c r="AP136" s="174"/>
      <c r="AQ136" s="174"/>
      <c r="AR136" s="174"/>
      <c r="AS136" s="174"/>
      <c r="AT136" s="174"/>
      <c r="AU136" s="174"/>
      <c r="AV136" s="174"/>
      <c r="AW136" s="174"/>
      <c r="AX136" s="174"/>
      <c r="AY136" s="174"/>
      <c r="AZ136" s="174"/>
      <c r="BA136" s="174"/>
      <c r="BB136" s="174"/>
      <c r="BC136" s="174"/>
      <c r="BD136" s="174"/>
      <c r="BE136" s="174"/>
      <c r="BF136" s="174"/>
      <c r="BG136" s="174"/>
      <c r="BH136" s="174"/>
      <c r="BI136" s="174"/>
      <c r="BJ136" s="174"/>
      <c r="BK136" s="174"/>
      <c r="BL136" s="174"/>
      <c r="BM136" s="174"/>
      <c r="BN136" s="174"/>
      <c r="BO136" s="174"/>
      <c r="BP136" s="174"/>
      <c r="BQ136" s="174"/>
      <c r="BR136" s="174"/>
      <c r="BS136" s="174"/>
      <c r="BT136" s="174"/>
      <c r="BU136" s="174"/>
      <c r="BV136" s="174"/>
      <c r="BW136" s="174"/>
      <c r="BX136" s="174"/>
      <c r="BY136" s="174"/>
      <c r="BZ136" s="174"/>
      <c r="CA136" s="174"/>
      <c r="CB136" s="174"/>
      <c r="CC136" s="174"/>
      <c r="CD136" s="174"/>
      <c r="CE136" s="174"/>
      <c r="CF136" s="174"/>
      <c r="CG136" s="174"/>
      <c r="CH136" s="174"/>
      <c r="CI136" s="174"/>
      <c r="CJ136" s="174"/>
      <c r="CK136" s="174"/>
      <c r="CL136" s="174"/>
      <c r="CM136" s="174"/>
      <c r="CN136" s="174"/>
      <c r="CO136" s="174"/>
      <c r="CP136" s="174"/>
      <c r="CQ136" s="174"/>
      <c r="CR136" s="174"/>
      <c r="CS136" s="174"/>
      <c r="CT136" s="174"/>
      <c r="CU136" s="174"/>
      <c r="CV136" s="174"/>
      <c r="CW136" s="174"/>
      <c r="CX136" s="174"/>
      <c r="CY136" s="174"/>
      <c r="CZ136" s="174"/>
      <c r="DA136" s="174"/>
      <c r="DB136" s="174"/>
      <c r="DC136" s="174"/>
      <c r="DD136" s="174"/>
      <c r="DE136" s="174"/>
      <c r="DF136" s="174"/>
      <c r="DG136" s="174"/>
      <c r="DH136" s="174"/>
      <c r="DI136" s="174"/>
      <c r="DJ136" s="174"/>
      <c r="DK136" s="174"/>
      <c r="DL136" s="174"/>
      <c r="DM136" s="174"/>
      <c r="DN136" s="174"/>
      <c r="DO136" s="174"/>
      <c r="DP136" s="174"/>
      <c r="DQ136" s="174"/>
      <c r="DR136" s="174"/>
      <c r="DS136" s="174"/>
      <c r="DT136" s="174"/>
      <c r="DU136" s="174"/>
      <c r="DV136" s="174"/>
      <c r="DW136" s="174"/>
      <c r="DX136" s="174"/>
      <c r="DY136" s="174"/>
      <c r="DZ136" s="174"/>
      <c r="EA136" s="174"/>
      <c r="EB136" s="174"/>
      <c r="EC136" s="174"/>
      <c r="ED136" s="174"/>
      <c r="EE136" s="174"/>
      <c r="EF136" s="174"/>
      <c r="EG136" s="174"/>
      <c r="EH136" s="174"/>
      <c r="EI136" s="174"/>
      <c r="EJ136" s="174"/>
      <c r="EK136" s="174"/>
      <c r="EL136" s="174"/>
      <c r="EM136" s="174"/>
      <c r="EN136" s="174"/>
      <c r="EO136" s="174"/>
      <c r="EP136" s="174"/>
      <c r="EQ136" s="174"/>
      <c r="ER136" s="174"/>
      <c r="ES136" s="174"/>
      <c r="ET136" s="174"/>
      <c r="EU136" s="174"/>
      <c r="EV136" s="174"/>
      <c r="EW136" s="174"/>
      <c r="EX136" s="174"/>
      <c r="EY136" s="174"/>
      <c r="EZ136" s="174"/>
      <c r="FA136" s="174"/>
      <c r="FB136" s="174"/>
      <c r="FC136" s="174"/>
      <c r="FD136" s="174"/>
      <c r="FE136" s="174"/>
      <c r="FF136" s="174"/>
      <c r="FG136" s="174"/>
      <c r="FH136" s="174"/>
      <c r="FI136" s="174"/>
      <c r="FJ136" s="174"/>
      <c r="FK136" s="174"/>
      <c r="FL136" s="174"/>
      <c r="FM136" s="174"/>
      <c r="FN136" s="174"/>
      <c r="FO136" s="174"/>
      <c r="FP136" s="174"/>
      <c r="FQ136" s="174"/>
      <c r="FR136" s="174"/>
      <c r="FS136" s="174"/>
      <c r="FT136" s="174"/>
      <c r="FU136" s="174"/>
      <c r="FV136" s="174"/>
      <c r="FW136" s="174"/>
      <c r="FX136" s="174"/>
      <c r="FY136" s="174"/>
      <c r="FZ136" s="174"/>
      <c r="GA136" s="174"/>
      <c r="GB136" s="174"/>
      <c r="GC136" s="174"/>
      <c r="GD136" s="174"/>
      <c r="GE136" s="174"/>
      <c r="GF136" s="174"/>
      <c r="GG136" s="174"/>
      <c r="GH136" s="174"/>
      <c r="GI136" s="174"/>
      <c r="GJ136" s="174"/>
      <c r="GK136" s="174"/>
      <c r="GL136" s="174"/>
      <c r="GM136" s="174"/>
      <c r="GN136" s="174"/>
      <c r="GO136" s="174"/>
      <c r="GP136" s="174"/>
      <c r="GQ136" s="174"/>
      <c r="GR136" s="174"/>
      <c r="GS136" s="174"/>
      <c r="GT136" s="174"/>
      <c r="GU136" s="174"/>
      <c r="GV136" s="174"/>
      <c r="GW136" s="174"/>
      <c r="GX136" s="174"/>
      <c r="GY136" s="174"/>
      <c r="GZ136" s="174"/>
      <c r="HA136" s="174"/>
      <c r="HB136" s="174"/>
      <c r="HC136" s="174"/>
      <c r="HD136" s="174"/>
      <c r="HE136" s="174"/>
      <c r="HF136" s="174"/>
      <c r="HG136" s="174"/>
      <c r="HH136" s="174"/>
      <c r="HI136" s="174"/>
      <c r="HJ136" s="174"/>
      <c r="HK136" s="174"/>
      <c r="HL136" s="174"/>
      <c r="HM136" s="174"/>
      <c r="HN136" s="174"/>
      <c r="HO136" s="174"/>
      <c r="HP136" s="174"/>
      <c r="HQ136" s="174"/>
      <c r="HR136" s="174"/>
      <c r="HS136" s="174"/>
      <c r="HT136" s="174"/>
      <c r="HU136" s="174"/>
      <c r="HV136" s="174"/>
      <c r="HW136" s="174"/>
      <c r="HX136" s="174"/>
      <c r="HY136" s="174"/>
      <c r="HZ136" s="174"/>
      <c r="IA136" s="174"/>
      <c r="IB136" s="174"/>
      <c r="IC136" s="174"/>
      <c r="ID136" s="174"/>
      <c r="IE136" s="174"/>
      <c r="IF136" s="174"/>
      <c r="IG136" s="174"/>
      <c r="IH136" s="174"/>
      <c r="II136" s="174"/>
      <c r="IJ136" s="174"/>
      <c r="IK136" s="174"/>
      <c r="IL136" s="174"/>
      <c r="IM136" s="174"/>
      <c r="IN136" s="174"/>
      <c r="IO136" s="174"/>
      <c r="IP136" s="174"/>
      <c r="IQ136" s="174"/>
      <c r="IR136" s="174"/>
      <c r="IS136" s="174"/>
      <c r="IT136" s="174"/>
      <c r="IU136" s="75"/>
      <c r="IV136" s="75"/>
      <c r="IW136" s="75"/>
      <c r="IX136" s="75"/>
      <c r="IY136" s="75"/>
      <c r="IZ136" s="75"/>
      <c r="JA136" s="75"/>
      <c r="JB136" s="75"/>
      <c r="JC136" s="75"/>
      <c r="JD136" s="75"/>
      <c r="JF136" s="710"/>
      <c r="JG136" s="710"/>
      <c r="JH136" s="178">
        <f t="shared" si="11"/>
        <v>0</v>
      </c>
      <c r="JI136" s="174">
        <f t="shared" si="12"/>
        <v>0</v>
      </c>
    </row>
    <row r="137" spans="2:269" ht="15" customHeight="1" x14ac:dyDescent="0.25">
      <c r="B137" s="113">
        <v>134</v>
      </c>
      <c r="C137" s="353" t="str">
        <f t="shared" si="9"/>
        <v/>
      </c>
      <c r="D137" s="353" t="str">
        <f t="shared" si="10"/>
        <v/>
      </c>
      <c r="E137" s="174"/>
      <c r="F137" s="174"/>
      <c r="G137" s="174"/>
      <c r="H137" s="174"/>
      <c r="I137" s="174"/>
      <c r="J137" s="174"/>
      <c r="K137" s="174"/>
      <c r="L137" s="174"/>
      <c r="M137" s="174"/>
      <c r="N137" s="174"/>
      <c r="O137" s="174"/>
      <c r="P137" s="174"/>
      <c r="Q137" s="174"/>
      <c r="R137" s="174"/>
      <c r="S137" s="174"/>
      <c r="T137" s="174"/>
      <c r="U137" s="174"/>
      <c r="V137" s="174"/>
      <c r="W137" s="174"/>
      <c r="X137" s="174"/>
      <c r="Y137" s="174"/>
      <c r="Z137" s="174"/>
      <c r="AA137" s="174"/>
      <c r="AB137" s="174"/>
      <c r="AC137" s="174"/>
      <c r="AD137" s="174"/>
      <c r="AE137" s="174"/>
      <c r="AF137" s="174"/>
      <c r="AG137" s="174"/>
      <c r="AH137" s="174"/>
      <c r="AI137" s="174"/>
      <c r="AJ137" s="174"/>
      <c r="AK137" s="174"/>
      <c r="AL137" s="174"/>
      <c r="AM137" s="174"/>
      <c r="AN137" s="174"/>
      <c r="AO137" s="174"/>
      <c r="AP137" s="174"/>
      <c r="AQ137" s="174"/>
      <c r="AR137" s="174"/>
      <c r="AS137" s="174"/>
      <c r="AT137" s="174"/>
      <c r="AU137" s="174"/>
      <c r="AV137" s="174"/>
      <c r="AW137" s="174"/>
      <c r="AX137" s="174"/>
      <c r="AY137" s="174"/>
      <c r="AZ137" s="174"/>
      <c r="BA137" s="174"/>
      <c r="BB137" s="174"/>
      <c r="BC137" s="174"/>
      <c r="BD137" s="174"/>
      <c r="BE137" s="174"/>
      <c r="BF137" s="174"/>
      <c r="BG137" s="174"/>
      <c r="BH137" s="174"/>
      <c r="BI137" s="174"/>
      <c r="BJ137" s="174"/>
      <c r="BK137" s="174"/>
      <c r="BL137" s="174"/>
      <c r="BM137" s="174"/>
      <c r="BN137" s="174"/>
      <c r="BO137" s="174"/>
      <c r="BP137" s="174"/>
      <c r="BQ137" s="174"/>
      <c r="BR137" s="174"/>
      <c r="BS137" s="174"/>
      <c r="BT137" s="174"/>
      <c r="BU137" s="174"/>
      <c r="BV137" s="174"/>
      <c r="BW137" s="174"/>
      <c r="BX137" s="174"/>
      <c r="BY137" s="174"/>
      <c r="BZ137" s="174"/>
      <c r="CA137" s="174"/>
      <c r="CB137" s="174"/>
      <c r="CC137" s="174"/>
      <c r="CD137" s="174"/>
      <c r="CE137" s="174"/>
      <c r="CF137" s="174"/>
      <c r="CG137" s="174"/>
      <c r="CH137" s="174"/>
      <c r="CI137" s="174"/>
      <c r="CJ137" s="174"/>
      <c r="CK137" s="174"/>
      <c r="CL137" s="174"/>
      <c r="CM137" s="174"/>
      <c r="CN137" s="174"/>
      <c r="CO137" s="174"/>
      <c r="CP137" s="174"/>
      <c r="CQ137" s="174"/>
      <c r="CR137" s="174"/>
      <c r="CS137" s="174"/>
      <c r="CT137" s="174"/>
      <c r="CU137" s="174"/>
      <c r="CV137" s="174"/>
      <c r="CW137" s="174"/>
      <c r="CX137" s="174"/>
      <c r="CY137" s="174"/>
      <c r="CZ137" s="174"/>
      <c r="DA137" s="174"/>
      <c r="DB137" s="174"/>
      <c r="DC137" s="174"/>
      <c r="DD137" s="174"/>
      <c r="DE137" s="174"/>
      <c r="DF137" s="174"/>
      <c r="DG137" s="174"/>
      <c r="DH137" s="174"/>
      <c r="DI137" s="174"/>
      <c r="DJ137" s="174"/>
      <c r="DK137" s="174"/>
      <c r="DL137" s="174"/>
      <c r="DM137" s="174"/>
      <c r="DN137" s="174"/>
      <c r="DO137" s="174"/>
      <c r="DP137" s="174"/>
      <c r="DQ137" s="174"/>
      <c r="DR137" s="174"/>
      <c r="DS137" s="174"/>
      <c r="DT137" s="174"/>
      <c r="DU137" s="174"/>
      <c r="DV137" s="174"/>
      <c r="DW137" s="174"/>
      <c r="DX137" s="174"/>
      <c r="DY137" s="174"/>
      <c r="DZ137" s="174"/>
      <c r="EA137" s="174"/>
      <c r="EB137" s="174"/>
      <c r="EC137" s="174"/>
      <c r="ED137" s="174"/>
      <c r="EE137" s="174"/>
      <c r="EF137" s="174"/>
      <c r="EG137" s="174"/>
      <c r="EH137" s="174"/>
      <c r="EI137" s="174"/>
      <c r="EJ137" s="174"/>
      <c r="EK137" s="174"/>
      <c r="EL137" s="174"/>
      <c r="EM137" s="174"/>
      <c r="EN137" s="174"/>
      <c r="EO137" s="174"/>
      <c r="EP137" s="174"/>
      <c r="EQ137" s="174"/>
      <c r="ER137" s="174"/>
      <c r="ES137" s="174"/>
      <c r="ET137" s="174"/>
      <c r="EU137" s="174"/>
      <c r="EV137" s="174"/>
      <c r="EW137" s="174"/>
      <c r="EX137" s="174"/>
      <c r="EY137" s="174"/>
      <c r="EZ137" s="174"/>
      <c r="FA137" s="174"/>
      <c r="FB137" s="174"/>
      <c r="FC137" s="174"/>
      <c r="FD137" s="174"/>
      <c r="FE137" s="174"/>
      <c r="FF137" s="174"/>
      <c r="FG137" s="174"/>
      <c r="FH137" s="174"/>
      <c r="FI137" s="174"/>
      <c r="FJ137" s="174"/>
      <c r="FK137" s="174"/>
      <c r="FL137" s="174"/>
      <c r="FM137" s="174"/>
      <c r="FN137" s="174"/>
      <c r="FO137" s="174"/>
      <c r="FP137" s="174"/>
      <c r="FQ137" s="174"/>
      <c r="FR137" s="174"/>
      <c r="FS137" s="174"/>
      <c r="FT137" s="174"/>
      <c r="FU137" s="174"/>
      <c r="FV137" s="174"/>
      <c r="FW137" s="174"/>
      <c r="FX137" s="174"/>
      <c r="FY137" s="174"/>
      <c r="FZ137" s="174"/>
      <c r="GA137" s="174"/>
      <c r="GB137" s="174"/>
      <c r="GC137" s="174"/>
      <c r="GD137" s="174"/>
      <c r="GE137" s="174"/>
      <c r="GF137" s="174"/>
      <c r="GG137" s="174"/>
      <c r="GH137" s="174"/>
      <c r="GI137" s="174"/>
      <c r="GJ137" s="174"/>
      <c r="GK137" s="174"/>
      <c r="GL137" s="174"/>
      <c r="GM137" s="174"/>
      <c r="GN137" s="174"/>
      <c r="GO137" s="174"/>
      <c r="GP137" s="174"/>
      <c r="GQ137" s="174"/>
      <c r="GR137" s="174"/>
      <c r="GS137" s="174"/>
      <c r="GT137" s="174"/>
      <c r="GU137" s="174"/>
      <c r="GV137" s="174"/>
      <c r="GW137" s="174"/>
      <c r="GX137" s="174"/>
      <c r="GY137" s="174"/>
      <c r="GZ137" s="174"/>
      <c r="HA137" s="174"/>
      <c r="HB137" s="174"/>
      <c r="HC137" s="174"/>
      <c r="HD137" s="174"/>
      <c r="HE137" s="174"/>
      <c r="HF137" s="174"/>
      <c r="HG137" s="174"/>
      <c r="HH137" s="174"/>
      <c r="HI137" s="174"/>
      <c r="HJ137" s="174"/>
      <c r="HK137" s="174"/>
      <c r="HL137" s="174"/>
      <c r="HM137" s="174"/>
      <c r="HN137" s="174"/>
      <c r="HO137" s="174"/>
      <c r="HP137" s="174"/>
      <c r="HQ137" s="174"/>
      <c r="HR137" s="174"/>
      <c r="HS137" s="174"/>
      <c r="HT137" s="174"/>
      <c r="HU137" s="174"/>
      <c r="HV137" s="174"/>
      <c r="HW137" s="174"/>
      <c r="HX137" s="174"/>
      <c r="HY137" s="174"/>
      <c r="HZ137" s="174"/>
      <c r="IA137" s="174"/>
      <c r="IB137" s="174"/>
      <c r="IC137" s="174"/>
      <c r="ID137" s="174"/>
      <c r="IE137" s="174"/>
      <c r="IF137" s="174"/>
      <c r="IG137" s="174"/>
      <c r="IH137" s="174"/>
      <c r="II137" s="174"/>
      <c r="IJ137" s="174"/>
      <c r="IK137" s="174"/>
      <c r="IL137" s="174"/>
      <c r="IM137" s="174"/>
      <c r="IN137" s="174"/>
      <c r="IO137" s="174"/>
      <c r="IP137" s="174"/>
      <c r="IQ137" s="174"/>
      <c r="IR137" s="174"/>
      <c r="IS137" s="174"/>
      <c r="IT137" s="174"/>
      <c r="IU137" s="75"/>
      <c r="IV137" s="75"/>
      <c r="IW137" s="75"/>
      <c r="IX137" s="75"/>
      <c r="IY137" s="75"/>
      <c r="IZ137" s="75"/>
      <c r="JA137" s="75"/>
      <c r="JB137" s="75"/>
      <c r="JC137" s="75"/>
      <c r="JD137" s="75"/>
      <c r="JF137" s="710"/>
      <c r="JG137" s="710"/>
      <c r="JH137" s="178">
        <f t="shared" si="11"/>
        <v>0</v>
      </c>
      <c r="JI137" s="174">
        <f t="shared" si="12"/>
        <v>0</v>
      </c>
    </row>
    <row r="138" spans="2:269" ht="15" customHeight="1" x14ac:dyDescent="0.25">
      <c r="B138" s="113">
        <v>135</v>
      </c>
      <c r="C138" s="353" t="str">
        <f t="shared" si="9"/>
        <v/>
      </c>
      <c r="D138" s="353" t="str">
        <f t="shared" si="10"/>
        <v/>
      </c>
      <c r="E138" s="174"/>
      <c r="F138" s="174"/>
      <c r="G138" s="174"/>
      <c r="H138" s="174"/>
      <c r="I138" s="174"/>
      <c r="J138" s="174"/>
      <c r="K138" s="174"/>
      <c r="L138" s="174"/>
      <c r="M138" s="174"/>
      <c r="N138" s="174"/>
      <c r="O138" s="174"/>
      <c r="P138" s="174"/>
      <c r="Q138" s="174"/>
      <c r="R138" s="174"/>
      <c r="S138" s="174"/>
      <c r="T138" s="174"/>
      <c r="U138" s="174"/>
      <c r="V138" s="174"/>
      <c r="W138" s="174"/>
      <c r="X138" s="174"/>
      <c r="Y138" s="174"/>
      <c r="Z138" s="174"/>
      <c r="AA138" s="174"/>
      <c r="AB138" s="174"/>
      <c r="AC138" s="174"/>
      <c r="AD138" s="174"/>
      <c r="AE138" s="174"/>
      <c r="AF138" s="174"/>
      <c r="AG138" s="174"/>
      <c r="AH138" s="174"/>
      <c r="AI138" s="174"/>
      <c r="AJ138" s="174"/>
      <c r="AK138" s="174"/>
      <c r="AL138" s="174"/>
      <c r="AM138" s="174"/>
      <c r="AN138" s="174"/>
      <c r="AO138" s="174"/>
      <c r="AP138" s="174"/>
      <c r="AQ138" s="174"/>
      <c r="AR138" s="174"/>
      <c r="AS138" s="174"/>
      <c r="AT138" s="174"/>
      <c r="AU138" s="174"/>
      <c r="AV138" s="174"/>
      <c r="AW138" s="174"/>
      <c r="AX138" s="174"/>
      <c r="AY138" s="174"/>
      <c r="AZ138" s="174"/>
      <c r="BA138" s="174"/>
      <c r="BB138" s="174"/>
      <c r="BC138" s="174"/>
      <c r="BD138" s="174"/>
      <c r="BE138" s="174"/>
      <c r="BF138" s="174"/>
      <c r="BG138" s="174"/>
      <c r="BH138" s="174"/>
      <c r="BI138" s="174"/>
      <c r="BJ138" s="174"/>
      <c r="BK138" s="174"/>
      <c r="BL138" s="174"/>
      <c r="BM138" s="174"/>
      <c r="BN138" s="174"/>
      <c r="BO138" s="174"/>
      <c r="BP138" s="174"/>
      <c r="BQ138" s="174"/>
      <c r="BR138" s="174"/>
      <c r="BS138" s="174"/>
      <c r="BT138" s="174"/>
      <c r="BU138" s="174"/>
      <c r="BV138" s="174"/>
      <c r="BW138" s="174"/>
      <c r="BX138" s="174"/>
      <c r="BY138" s="174"/>
      <c r="BZ138" s="174"/>
      <c r="CA138" s="174"/>
      <c r="CB138" s="174"/>
      <c r="CC138" s="174"/>
      <c r="CD138" s="174"/>
      <c r="CE138" s="174"/>
      <c r="CF138" s="174"/>
      <c r="CG138" s="174"/>
      <c r="CH138" s="174"/>
      <c r="CI138" s="174"/>
      <c r="CJ138" s="174"/>
      <c r="CK138" s="174"/>
      <c r="CL138" s="174"/>
      <c r="CM138" s="174"/>
      <c r="CN138" s="174"/>
      <c r="CO138" s="174"/>
      <c r="CP138" s="174"/>
      <c r="CQ138" s="174"/>
      <c r="CR138" s="174"/>
      <c r="CS138" s="174"/>
      <c r="CT138" s="174"/>
      <c r="CU138" s="174"/>
      <c r="CV138" s="174"/>
      <c r="CW138" s="174"/>
      <c r="CX138" s="174"/>
      <c r="CY138" s="174"/>
      <c r="CZ138" s="174"/>
      <c r="DA138" s="174"/>
      <c r="DB138" s="174"/>
      <c r="DC138" s="174"/>
      <c r="DD138" s="174"/>
      <c r="DE138" s="174"/>
      <c r="DF138" s="174"/>
      <c r="DG138" s="174"/>
      <c r="DH138" s="174"/>
      <c r="DI138" s="174"/>
      <c r="DJ138" s="174"/>
      <c r="DK138" s="174"/>
      <c r="DL138" s="174"/>
      <c r="DM138" s="174"/>
      <c r="DN138" s="174"/>
      <c r="DO138" s="174"/>
      <c r="DP138" s="174"/>
      <c r="DQ138" s="174"/>
      <c r="DR138" s="174"/>
      <c r="DS138" s="174"/>
      <c r="DT138" s="174"/>
      <c r="DU138" s="174"/>
      <c r="DV138" s="174"/>
      <c r="DW138" s="174"/>
      <c r="DX138" s="174"/>
      <c r="DY138" s="174"/>
      <c r="DZ138" s="174"/>
      <c r="EA138" s="174"/>
      <c r="EB138" s="174"/>
      <c r="EC138" s="174"/>
      <c r="ED138" s="174"/>
      <c r="EE138" s="174"/>
      <c r="EF138" s="174"/>
      <c r="EG138" s="174"/>
      <c r="EH138" s="174"/>
      <c r="EI138" s="174"/>
      <c r="EJ138" s="174"/>
      <c r="EK138" s="174"/>
      <c r="EL138" s="174"/>
      <c r="EM138" s="174"/>
      <c r="EN138" s="174"/>
      <c r="EO138" s="174"/>
      <c r="EP138" s="174"/>
      <c r="EQ138" s="174"/>
      <c r="ER138" s="174"/>
      <c r="ES138" s="174"/>
      <c r="ET138" s="174"/>
      <c r="EU138" s="174"/>
      <c r="EV138" s="174"/>
      <c r="EW138" s="174"/>
      <c r="EX138" s="174"/>
      <c r="EY138" s="174"/>
      <c r="EZ138" s="174"/>
      <c r="FA138" s="174"/>
      <c r="FB138" s="174"/>
      <c r="FC138" s="174"/>
      <c r="FD138" s="174"/>
      <c r="FE138" s="174"/>
      <c r="FF138" s="174"/>
      <c r="FG138" s="174"/>
      <c r="FH138" s="174"/>
      <c r="FI138" s="174"/>
      <c r="FJ138" s="174"/>
      <c r="FK138" s="174"/>
      <c r="FL138" s="174"/>
      <c r="FM138" s="174"/>
      <c r="FN138" s="174"/>
      <c r="FO138" s="174"/>
      <c r="FP138" s="174"/>
      <c r="FQ138" s="174"/>
      <c r="FR138" s="174"/>
      <c r="FS138" s="174"/>
      <c r="FT138" s="174"/>
      <c r="FU138" s="174"/>
      <c r="FV138" s="174"/>
      <c r="FW138" s="174"/>
      <c r="FX138" s="174"/>
      <c r="FY138" s="174"/>
      <c r="FZ138" s="174"/>
      <c r="GA138" s="174"/>
      <c r="GB138" s="174"/>
      <c r="GC138" s="174"/>
      <c r="GD138" s="174"/>
      <c r="GE138" s="174"/>
      <c r="GF138" s="174"/>
      <c r="GG138" s="174"/>
      <c r="GH138" s="174"/>
      <c r="GI138" s="174"/>
      <c r="GJ138" s="174"/>
      <c r="GK138" s="174"/>
      <c r="GL138" s="174"/>
      <c r="GM138" s="174"/>
      <c r="GN138" s="174"/>
      <c r="GO138" s="174"/>
      <c r="GP138" s="174"/>
      <c r="GQ138" s="174"/>
      <c r="GR138" s="174"/>
      <c r="GS138" s="174"/>
      <c r="GT138" s="174"/>
      <c r="GU138" s="174"/>
      <c r="GV138" s="174"/>
      <c r="GW138" s="174"/>
      <c r="GX138" s="174"/>
      <c r="GY138" s="174"/>
      <c r="GZ138" s="174"/>
      <c r="HA138" s="174"/>
      <c r="HB138" s="174"/>
      <c r="HC138" s="174"/>
      <c r="HD138" s="174"/>
      <c r="HE138" s="174"/>
      <c r="HF138" s="174"/>
      <c r="HG138" s="174"/>
      <c r="HH138" s="174"/>
      <c r="HI138" s="174"/>
      <c r="HJ138" s="174"/>
      <c r="HK138" s="174"/>
      <c r="HL138" s="174"/>
      <c r="HM138" s="174"/>
      <c r="HN138" s="174"/>
      <c r="HO138" s="174"/>
      <c r="HP138" s="174"/>
      <c r="HQ138" s="174"/>
      <c r="HR138" s="174"/>
      <c r="HS138" s="174"/>
      <c r="HT138" s="174"/>
      <c r="HU138" s="174"/>
      <c r="HV138" s="174"/>
      <c r="HW138" s="174"/>
      <c r="HX138" s="174"/>
      <c r="HY138" s="174"/>
      <c r="HZ138" s="174"/>
      <c r="IA138" s="174"/>
      <c r="IB138" s="174"/>
      <c r="IC138" s="174"/>
      <c r="ID138" s="174"/>
      <c r="IE138" s="174"/>
      <c r="IF138" s="174"/>
      <c r="IG138" s="174"/>
      <c r="IH138" s="174"/>
      <c r="II138" s="174"/>
      <c r="IJ138" s="174"/>
      <c r="IK138" s="174"/>
      <c r="IL138" s="174"/>
      <c r="IM138" s="174"/>
      <c r="IN138" s="174"/>
      <c r="IO138" s="174"/>
      <c r="IP138" s="174"/>
      <c r="IQ138" s="174"/>
      <c r="IR138" s="174"/>
      <c r="IS138" s="174"/>
      <c r="IT138" s="174"/>
      <c r="IU138" s="75"/>
      <c r="IV138" s="75"/>
      <c r="IW138" s="75"/>
      <c r="IX138" s="75"/>
      <c r="IY138" s="75"/>
      <c r="IZ138" s="75"/>
      <c r="JA138" s="75"/>
      <c r="JB138" s="75"/>
      <c r="JC138" s="75"/>
      <c r="JD138" s="75"/>
      <c r="JF138" s="710"/>
      <c r="JG138" s="710"/>
      <c r="JH138" s="178">
        <f t="shared" si="11"/>
        <v>0</v>
      </c>
      <c r="JI138" s="174">
        <f t="shared" si="12"/>
        <v>0</v>
      </c>
    </row>
    <row r="139" spans="2:269" ht="15" customHeight="1" x14ac:dyDescent="0.25">
      <c r="B139" s="113">
        <v>136</v>
      </c>
      <c r="C139" s="353" t="str">
        <f t="shared" si="9"/>
        <v/>
      </c>
      <c r="D139" s="353" t="str">
        <f t="shared" si="10"/>
        <v/>
      </c>
      <c r="E139" s="174"/>
      <c r="F139" s="174"/>
      <c r="G139" s="174"/>
      <c r="H139" s="174"/>
      <c r="I139" s="174"/>
      <c r="J139" s="174"/>
      <c r="K139" s="174"/>
      <c r="L139" s="174"/>
      <c r="M139" s="174"/>
      <c r="N139" s="174"/>
      <c r="O139" s="174"/>
      <c r="P139" s="174"/>
      <c r="Q139" s="174"/>
      <c r="R139" s="174"/>
      <c r="S139" s="174"/>
      <c r="T139" s="174"/>
      <c r="U139" s="174"/>
      <c r="V139" s="174"/>
      <c r="W139" s="174"/>
      <c r="X139" s="174"/>
      <c r="Y139" s="174"/>
      <c r="Z139" s="174"/>
      <c r="AA139" s="174"/>
      <c r="AB139" s="174"/>
      <c r="AC139" s="174"/>
      <c r="AD139" s="174"/>
      <c r="AE139" s="174"/>
      <c r="AF139" s="174"/>
      <c r="AG139" s="174"/>
      <c r="AH139" s="174"/>
      <c r="AI139" s="174"/>
      <c r="AJ139" s="174"/>
      <c r="AK139" s="174"/>
      <c r="AL139" s="174"/>
      <c r="AM139" s="174"/>
      <c r="AN139" s="174"/>
      <c r="AO139" s="174"/>
      <c r="AP139" s="174"/>
      <c r="AQ139" s="174"/>
      <c r="AR139" s="174"/>
      <c r="AS139" s="174"/>
      <c r="AT139" s="174"/>
      <c r="AU139" s="174"/>
      <c r="AV139" s="174"/>
      <c r="AW139" s="174"/>
      <c r="AX139" s="174"/>
      <c r="AY139" s="174"/>
      <c r="AZ139" s="174"/>
      <c r="BA139" s="174"/>
      <c r="BB139" s="174"/>
      <c r="BC139" s="174"/>
      <c r="BD139" s="174"/>
      <c r="BE139" s="174"/>
      <c r="BF139" s="174"/>
      <c r="BG139" s="174"/>
      <c r="BH139" s="174"/>
      <c r="BI139" s="174"/>
      <c r="BJ139" s="174"/>
      <c r="BK139" s="174"/>
      <c r="BL139" s="174"/>
      <c r="BM139" s="174"/>
      <c r="BN139" s="174"/>
      <c r="BO139" s="174"/>
      <c r="BP139" s="174"/>
      <c r="BQ139" s="174"/>
      <c r="BR139" s="174"/>
      <c r="BS139" s="174"/>
      <c r="BT139" s="174"/>
      <c r="BU139" s="174"/>
      <c r="BV139" s="174"/>
      <c r="BW139" s="174"/>
      <c r="BX139" s="174"/>
      <c r="BY139" s="174"/>
      <c r="BZ139" s="174"/>
      <c r="CA139" s="174"/>
      <c r="CB139" s="174"/>
      <c r="CC139" s="174"/>
      <c r="CD139" s="174"/>
      <c r="CE139" s="174"/>
      <c r="CF139" s="174"/>
      <c r="CG139" s="174"/>
      <c r="CH139" s="174"/>
      <c r="CI139" s="174"/>
      <c r="CJ139" s="174"/>
      <c r="CK139" s="174"/>
      <c r="CL139" s="174"/>
      <c r="CM139" s="174"/>
      <c r="CN139" s="174"/>
      <c r="CO139" s="174"/>
      <c r="CP139" s="174"/>
      <c r="CQ139" s="174"/>
      <c r="CR139" s="174"/>
      <c r="CS139" s="174"/>
      <c r="CT139" s="174"/>
      <c r="CU139" s="174"/>
      <c r="CV139" s="174"/>
      <c r="CW139" s="174"/>
      <c r="CX139" s="174"/>
      <c r="CY139" s="174"/>
      <c r="CZ139" s="174"/>
      <c r="DA139" s="174"/>
      <c r="DB139" s="174"/>
      <c r="DC139" s="174"/>
      <c r="DD139" s="174"/>
      <c r="DE139" s="174"/>
      <c r="DF139" s="174"/>
      <c r="DG139" s="174"/>
      <c r="DH139" s="174"/>
      <c r="DI139" s="174"/>
      <c r="DJ139" s="174"/>
      <c r="DK139" s="174"/>
      <c r="DL139" s="174"/>
      <c r="DM139" s="174"/>
      <c r="DN139" s="174"/>
      <c r="DO139" s="174"/>
      <c r="DP139" s="174"/>
      <c r="DQ139" s="174"/>
      <c r="DR139" s="174"/>
      <c r="DS139" s="174"/>
      <c r="DT139" s="174"/>
      <c r="DU139" s="174"/>
      <c r="DV139" s="174"/>
      <c r="DW139" s="174"/>
      <c r="DX139" s="174"/>
      <c r="DY139" s="174"/>
      <c r="DZ139" s="174"/>
      <c r="EA139" s="174"/>
      <c r="EB139" s="174"/>
      <c r="EC139" s="174"/>
      <c r="ED139" s="174"/>
      <c r="EE139" s="174"/>
      <c r="EF139" s="174"/>
      <c r="EG139" s="174"/>
      <c r="EH139" s="174"/>
      <c r="EI139" s="174"/>
      <c r="EJ139" s="174"/>
      <c r="EK139" s="174"/>
      <c r="EL139" s="174"/>
      <c r="EM139" s="174"/>
      <c r="EN139" s="174"/>
      <c r="EO139" s="174"/>
      <c r="EP139" s="174"/>
      <c r="EQ139" s="174"/>
      <c r="ER139" s="174"/>
      <c r="ES139" s="174"/>
      <c r="ET139" s="174"/>
      <c r="EU139" s="174"/>
      <c r="EV139" s="174"/>
      <c r="EW139" s="174"/>
      <c r="EX139" s="174"/>
      <c r="EY139" s="174"/>
      <c r="EZ139" s="174"/>
      <c r="FA139" s="174"/>
      <c r="FB139" s="174"/>
      <c r="FC139" s="174"/>
      <c r="FD139" s="174"/>
      <c r="FE139" s="174"/>
      <c r="FF139" s="174"/>
      <c r="FG139" s="174"/>
      <c r="FH139" s="174"/>
      <c r="FI139" s="174"/>
      <c r="FJ139" s="174"/>
      <c r="FK139" s="174"/>
      <c r="FL139" s="174"/>
      <c r="FM139" s="174"/>
      <c r="FN139" s="174"/>
      <c r="FO139" s="174"/>
      <c r="FP139" s="174"/>
      <c r="FQ139" s="174"/>
      <c r="FR139" s="174"/>
      <c r="FS139" s="174"/>
      <c r="FT139" s="174"/>
      <c r="FU139" s="174"/>
      <c r="FV139" s="174"/>
      <c r="FW139" s="174"/>
      <c r="FX139" s="174"/>
      <c r="FY139" s="174"/>
      <c r="FZ139" s="174"/>
      <c r="GA139" s="174"/>
      <c r="GB139" s="174"/>
      <c r="GC139" s="174"/>
      <c r="GD139" s="174"/>
      <c r="GE139" s="174"/>
      <c r="GF139" s="174"/>
      <c r="GG139" s="174"/>
      <c r="GH139" s="174"/>
      <c r="GI139" s="174"/>
      <c r="GJ139" s="174"/>
      <c r="GK139" s="174"/>
      <c r="GL139" s="174"/>
      <c r="GM139" s="174"/>
      <c r="GN139" s="174"/>
      <c r="GO139" s="174"/>
      <c r="GP139" s="174"/>
      <c r="GQ139" s="174"/>
      <c r="GR139" s="174"/>
      <c r="GS139" s="174"/>
      <c r="GT139" s="174"/>
      <c r="GU139" s="174"/>
      <c r="GV139" s="174"/>
      <c r="GW139" s="174"/>
      <c r="GX139" s="174"/>
      <c r="GY139" s="174"/>
      <c r="GZ139" s="174"/>
      <c r="HA139" s="174"/>
      <c r="HB139" s="174"/>
      <c r="HC139" s="174"/>
      <c r="HD139" s="174"/>
      <c r="HE139" s="174"/>
      <c r="HF139" s="174"/>
      <c r="HG139" s="174"/>
      <c r="HH139" s="174"/>
      <c r="HI139" s="174"/>
      <c r="HJ139" s="174"/>
      <c r="HK139" s="174"/>
      <c r="HL139" s="174"/>
      <c r="HM139" s="174"/>
      <c r="HN139" s="174"/>
      <c r="HO139" s="174"/>
      <c r="HP139" s="174"/>
      <c r="HQ139" s="174"/>
      <c r="HR139" s="174"/>
      <c r="HS139" s="174"/>
      <c r="HT139" s="174"/>
      <c r="HU139" s="174"/>
      <c r="HV139" s="174"/>
      <c r="HW139" s="174"/>
      <c r="HX139" s="174"/>
      <c r="HY139" s="174"/>
      <c r="HZ139" s="174"/>
      <c r="IA139" s="174"/>
      <c r="IB139" s="174"/>
      <c r="IC139" s="174"/>
      <c r="ID139" s="174"/>
      <c r="IE139" s="174"/>
      <c r="IF139" s="174"/>
      <c r="IG139" s="174"/>
      <c r="IH139" s="174"/>
      <c r="II139" s="174"/>
      <c r="IJ139" s="174"/>
      <c r="IK139" s="174"/>
      <c r="IL139" s="174"/>
      <c r="IM139" s="174"/>
      <c r="IN139" s="174"/>
      <c r="IO139" s="174"/>
      <c r="IP139" s="174"/>
      <c r="IQ139" s="174"/>
      <c r="IR139" s="174"/>
      <c r="IS139" s="174"/>
      <c r="IT139" s="174"/>
      <c r="IU139" s="75"/>
      <c r="IV139" s="75"/>
      <c r="IW139" s="75"/>
      <c r="IX139" s="75"/>
      <c r="IY139" s="75"/>
      <c r="IZ139" s="75"/>
      <c r="JA139" s="75"/>
      <c r="JB139" s="75"/>
      <c r="JC139" s="75"/>
      <c r="JD139" s="75"/>
      <c r="JF139" s="710"/>
      <c r="JG139" s="710"/>
      <c r="JH139" s="178">
        <f t="shared" si="11"/>
        <v>0</v>
      </c>
      <c r="JI139" s="174">
        <f t="shared" si="12"/>
        <v>0</v>
      </c>
    </row>
    <row r="140" spans="2:269" ht="15" customHeight="1" x14ac:dyDescent="0.25">
      <c r="B140" s="113">
        <v>137</v>
      </c>
      <c r="C140" s="353" t="str">
        <f t="shared" si="9"/>
        <v/>
      </c>
      <c r="D140" s="353" t="str">
        <f t="shared" si="10"/>
        <v/>
      </c>
      <c r="E140" s="174"/>
      <c r="F140" s="174"/>
      <c r="G140" s="174"/>
      <c r="H140" s="174"/>
      <c r="I140" s="174"/>
      <c r="J140" s="174"/>
      <c r="K140" s="174"/>
      <c r="L140" s="174"/>
      <c r="M140" s="174"/>
      <c r="N140" s="174"/>
      <c r="O140" s="174"/>
      <c r="P140" s="174"/>
      <c r="Q140" s="174"/>
      <c r="R140" s="174"/>
      <c r="S140" s="174"/>
      <c r="T140" s="174"/>
      <c r="U140" s="174"/>
      <c r="V140" s="174"/>
      <c r="W140" s="174"/>
      <c r="X140" s="174"/>
      <c r="Y140" s="174"/>
      <c r="Z140" s="174"/>
      <c r="AA140" s="174"/>
      <c r="AB140" s="174"/>
      <c r="AC140" s="174"/>
      <c r="AD140" s="174"/>
      <c r="AE140" s="174"/>
      <c r="AF140" s="174"/>
      <c r="AG140" s="174"/>
      <c r="AH140" s="174"/>
      <c r="AI140" s="174"/>
      <c r="AJ140" s="174"/>
      <c r="AK140" s="174"/>
      <c r="AL140" s="174"/>
      <c r="AM140" s="174"/>
      <c r="AN140" s="174"/>
      <c r="AO140" s="174"/>
      <c r="AP140" s="174"/>
      <c r="AQ140" s="174"/>
      <c r="AR140" s="174"/>
      <c r="AS140" s="174"/>
      <c r="AT140" s="174"/>
      <c r="AU140" s="174"/>
      <c r="AV140" s="174"/>
      <c r="AW140" s="174"/>
      <c r="AX140" s="174"/>
      <c r="AY140" s="174"/>
      <c r="AZ140" s="174"/>
      <c r="BA140" s="174"/>
      <c r="BB140" s="174"/>
      <c r="BC140" s="174"/>
      <c r="BD140" s="174"/>
      <c r="BE140" s="174"/>
      <c r="BF140" s="174"/>
      <c r="BG140" s="174"/>
      <c r="BH140" s="174"/>
      <c r="BI140" s="174"/>
      <c r="BJ140" s="174"/>
      <c r="BK140" s="174"/>
      <c r="BL140" s="174"/>
      <c r="BM140" s="174"/>
      <c r="BN140" s="174"/>
      <c r="BO140" s="174"/>
      <c r="BP140" s="174"/>
      <c r="BQ140" s="174"/>
      <c r="BR140" s="174"/>
      <c r="BS140" s="174"/>
      <c r="BT140" s="174"/>
      <c r="BU140" s="174"/>
      <c r="BV140" s="174"/>
      <c r="BW140" s="174"/>
      <c r="BX140" s="174"/>
      <c r="BY140" s="174"/>
      <c r="BZ140" s="174"/>
      <c r="CA140" s="174"/>
      <c r="CB140" s="174"/>
      <c r="CC140" s="174"/>
      <c r="CD140" s="174"/>
      <c r="CE140" s="174"/>
      <c r="CF140" s="174"/>
      <c r="CG140" s="174"/>
      <c r="CH140" s="174"/>
      <c r="CI140" s="174"/>
      <c r="CJ140" s="174"/>
      <c r="CK140" s="174"/>
      <c r="CL140" s="174"/>
      <c r="CM140" s="174"/>
      <c r="CN140" s="174"/>
      <c r="CO140" s="174"/>
      <c r="CP140" s="174"/>
      <c r="CQ140" s="174"/>
      <c r="CR140" s="174"/>
      <c r="CS140" s="174"/>
      <c r="CT140" s="174"/>
      <c r="CU140" s="174"/>
      <c r="CV140" s="174"/>
      <c r="CW140" s="174"/>
      <c r="CX140" s="174"/>
      <c r="CY140" s="174"/>
      <c r="CZ140" s="174"/>
      <c r="DA140" s="174"/>
      <c r="DB140" s="174"/>
      <c r="DC140" s="174"/>
      <c r="DD140" s="174"/>
      <c r="DE140" s="174"/>
      <c r="DF140" s="174"/>
      <c r="DG140" s="174"/>
      <c r="DH140" s="174"/>
      <c r="DI140" s="174"/>
      <c r="DJ140" s="174"/>
      <c r="DK140" s="174"/>
      <c r="DL140" s="174"/>
      <c r="DM140" s="174"/>
      <c r="DN140" s="174"/>
      <c r="DO140" s="174"/>
      <c r="DP140" s="174"/>
      <c r="DQ140" s="174"/>
      <c r="DR140" s="174"/>
      <c r="DS140" s="174"/>
      <c r="DT140" s="174"/>
      <c r="DU140" s="174"/>
      <c r="DV140" s="174"/>
      <c r="DW140" s="174"/>
      <c r="DX140" s="174"/>
      <c r="DY140" s="174"/>
      <c r="DZ140" s="174"/>
      <c r="EA140" s="174"/>
      <c r="EB140" s="174"/>
      <c r="EC140" s="174"/>
      <c r="ED140" s="174"/>
      <c r="EE140" s="174"/>
      <c r="EF140" s="174"/>
      <c r="EG140" s="174"/>
      <c r="EH140" s="174"/>
      <c r="EI140" s="174"/>
      <c r="EJ140" s="174"/>
      <c r="EK140" s="174"/>
      <c r="EL140" s="174"/>
      <c r="EM140" s="174"/>
      <c r="EN140" s="174"/>
      <c r="EO140" s="174"/>
      <c r="EP140" s="174"/>
      <c r="EQ140" s="174"/>
      <c r="ER140" s="174"/>
      <c r="ES140" s="174"/>
      <c r="ET140" s="174"/>
      <c r="EU140" s="174"/>
      <c r="EV140" s="174"/>
      <c r="EW140" s="174"/>
      <c r="EX140" s="174"/>
      <c r="EY140" s="174"/>
      <c r="EZ140" s="174"/>
      <c r="FA140" s="174"/>
      <c r="FB140" s="174"/>
      <c r="FC140" s="174"/>
      <c r="FD140" s="174"/>
      <c r="FE140" s="174"/>
      <c r="FF140" s="174"/>
      <c r="FG140" s="174"/>
      <c r="FH140" s="174"/>
      <c r="FI140" s="174"/>
      <c r="FJ140" s="174"/>
      <c r="FK140" s="174"/>
      <c r="FL140" s="174"/>
      <c r="FM140" s="174"/>
      <c r="FN140" s="174"/>
      <c r="FO140" s="174"/>
      <c r="FP140" s="174"/>
      <c r="FQ140" s="174"/>
      <c r="FR140" s="174"/>
      <c r="FS140" s="174"/>
      <c r="FT140" s="174"/>
      <c r="FU140" s="174"/>
      <c r="FV140" s="174"/>
      <c r="FW140" s="174"/>
      <c r="FX140" s="174"/>
      <c r="FY140" s="174"/>
      <c r="FZ140" s="174"/>
      <c r="GA140" s="174"/>
      <c r="GB140" s="174"/>
      <c r="GC140" s="174"/>
      <c r="GD140" s="174"/>
      <c r="GE140" s="174"/>
      <c r="GF140" s="174"/>
      <c r="GG140" s="174"/>
      <c r="GH140" s="174"/>
      <c r="GI140" s="174"/>
      <c r="GJ140" s="174"/>
      <c r="GK140" s="174"/>
      <c r="GL140" s="174"/>
      <c r="GM140" s="174"/>
      <c r="GN140" s="174"/>
      <c r="GO140" s="174"/>
      <c r="GP140" s="174"/>
      <c r="GQ140" s="174"/>
      <c r="GR140" s="174"/>
      <c r="GS140" s="174"/>
      <c r="GT140" s="174"/>
      <c r="GU140" s="174"/>
      <c r="GV140" s="174"/>
      <c r="GW140" s="174"/>
      <c r="GX140" s="174"/>
      <c r="GY140" s="174"/>
      <c r="GZ140" s="174"/>
      <c r="HA140" s="174"/>
      <c r="HB140" s="174"/>
      <c r="HC140" s="174"/>
      <c r="HD140" s="174"/>
      <c r="HE140" s="174"/>
      <c r="HF140" s="174"/>
      <c r="HG140" s="174"/>
      <c r="HH140" s="174"/>
      <c r="HI140" s="174"/>
      <c r="HJ140" s="174"/>
      <c r="HK140" s="174"/>
      <c r="HL140" s="174"/>
      <c r="HM140" s="174"/>
      <c r="HN140" s="174"/>
      <c r="HO140" s="174"/>
      <c r="HP140" s="174"/>
      <c r="HQ140" s="174"/>
      <c r="HR140" s="174"/>
      <c r="HS140" s="174"/>
      <c r="HT140" s="174"/>
      <c r="HU140" s="174"/>
      <c r="HV140" s="174"/>
      <c r="HW140" s="174"/>
      <c r="HX140" s="174"/>
      <c r="HY140" s="174"/>
      <c r="HZ140" s="174"/>
      <c r="IA140" s="174"/>
      <c r="IB140" s="174"/>
      <c r="IC140" s="174"/>
      <c r="ID140" s="174"/>
      <c r="IE140" s="174"/>
      <c r="IF140" s="174"/>
      <c r="IG140" s="174"/>
      <c r="IH140" s="174"/>
      <c r="II140" s="174"/>
      <c r="IJ140" s="174"/>
      <c r="IK140" s="174"/>
      <c r="IL140" s="174"/>
      <c r="IM140" s="174"/>
      <c r="IN140" s="174"/>
      <c r="IO140" s="174"/>
      <c r="IP140" s="174"/>
      <c r="IQ140" s="174"/>
      <c r="IR140" s="174"/>
      <c r="IS140" s="174"/>
      <c r="IT140" s="174"/>
      <c r="IU140" s="75"/>
      <c r="IV140" s="75"/>
      <c r="IW140" s="75"/>
      <c r="IX140" s="75"/>
      <c r="IY140" s="75"/>
      <c r="IZ140" s="75"/>
      <c r="JA140" s="75"/>
      <c r="JB140" s="75"/>
      <c r="JC140" s="75"/>
      <c r="JD140" s="75"/>
      <c r="JF140" s="710"/>
      <c r="JG140" s="710"/>
      <c r="JH140" s="178">
        <f t="shared" si="11"/>
        <v>0</v>
      </c>
      <c r="JI140" s="174">
        <f t="shared" si="12"/>
        <v>0</v>
      </c>
    </row>
    <row r="141" spans="2:269" ht="15" customHeight="1" x14ac:dyDescent="0.25">
      <c r="B141" s="113">
        <v>138</v>
      </c>
      <c r="C141" s="353" t="str">
        <f t="shared" si="9"/>
        <v/>
      </c>
      <c r="D141" s="353" t="str">
        <f t="shared" si="10"/>
        <v/>
      </c>
      <c r="E141" s="174"/>
      <c r="F141" s="174"/>
      <c r="G141" s="174"/>
      <c r="H141" s="174"/>
      <c r="I141" s="174"/>
      <c r="J141" s="174"/>
      <c r="K141" s="174"/>
      <c r="L141" s="174"/>
      <c r="M141" s="174"/>
      <c r="N141" s="174"/>
      <c r="O141" s="174"/>
      <c r="P141" s="174"/>
      <c r="Q141" s="174"/>
      <c r="R141" s="174"/>
      <c r="S141" s="174"/>
      <c r="T141" s="174"/>
      <c r="U141" s="174"/>
      <c r="V141" s="174"/>
      <c r="W141" s="174"/>
      <c r="X141" s="174"/>
      <c r="Y141" s="174"/>
      <c r="Z141" s="174"/>
      <c r="AA141" s="174"/>
      <c r="AB141" s="174"/>
      <c r="AC141" s="174"/>
      <c r="AD141" s="174"/>
      <c r="AE141" s="174"/>
      <c r="AF141" s="174"/>
      <c r="AG141" s="174"/>
      <c r="AH141" s="174"/>
      <c r="AI141" s="174"/>
      <c r="AJ141" s="174"/>
      <c r="AK141" s="174"/>
      <c r="AL141" s="174"/>
      <c r="AM141" s="174"/>
      <c r="AN141" s="174"/>
      <c r="AO141" s="174"/>
      <c r="AP141" s="174"/>
      <c r="AQ141" s="174"/>
      <c r="AR141" s="174"/>
      <c r="AS141" s="174"/>
      <c r="AT141" s="174"/>
      <c r="AU141" s="174"/>
      <c r="AV141" s="174"/>
      <c r="AW141" s="174"/>
      <c r="AX141" s="174"/>
      <c r="AY141" s="174"/>
      <c r="AZ141" s="174"/>
      <c r="BA141" s="174"/>
      <c r="BB141" s="174"/>
      <c r="BC141" s="174"/>
      <c r="BD141" s="174"/>
      <c r="BE141" s="174"/>
      <c r="BF141" s="174"/>
      <c r="BG141" s="174"/>
      <c r="BH141" s="174"/>
      <c r="BI141" s="174"/>
      <c r="BJ141" s="174"/>
      <c r="BK141" s="174"/>
      <c r="BL141" s="174"/>
      <c r="BM141" s="174"/>
      <c r="BN141" s="174"/>
      <c r="BO141" s="174"/>
      <c r="BP141" s="174"/>
      <c r="BQ141" s="174"/>
      <c r="BR141" s="174"/>
      <c r="BS141" s="174"/>
      <c r="BT141" s="174"/>
      <c r="BU141" s="174"/>
      <c r="BV141" s="174"/>
      <c r="BW141" s="174"/>
      <c r="BX141" s="174"/>
      <c r="BY141" s="174"/>
      <c r="BZ141" s="174"/>
      <c r="CA141" s="174"/>
      <c r="CB141" s="174"/>
      <c r="CC141" s="174"/>
      <c r="CD141" s="174"/>
      <c r="CE141" s="174"/>
      <c r="CF141" s="174"/>
      <c r="CG141" s="174"/>
      <c r="CH141" s="174"/>
      <c r="CI141" s="174"/>
      <c r="CJ141" s="174"/>
      <c r="CK141" s="174"/>
      <c r="CL141" s="174"/>
      <c r="CM141" s="174"/>
      <c r="CN141" s="174"/>
      <c r="CO141" s="174"/>
      <c r="CP141" s="174"/>
      <c r="CQ141" s="174"/>
      <c r="CR141" s="174"/>
      <c r="CS141" s="174"/>
      <c r="CT141" s="174"/>
      <c r="CU141" s="174"/>
      <c r="CV141" s="174"/>
      <c r="CW141" s="174"/>
      <c r="CX141" s="174"/>
      <c r="CY141" s="174"/>
      <c r="CZ141" s="174"/>
      <c r="DA141" s="174"/>
      <c r="DB141" s="174"/>
      <c r="DC141" s="174"/>
      <c r="DD141" s="174"/>
      <c r="DE141" s="174"/>
      <c r="DF141" s="174"/>
      <c r="DG141" s="174"/>
      <c r="DH141" s="174"/>
      <c r="DI141" s="174"/>
      <c r="DJ141" s="174"/>
      <c r="DK141" s="174"/>
      <c r="DL141" s="174"/>
      <c r="DM141" s="174"/>
      <c r="DN141" s="174"/>
      <c r="DO141" s="174"/>
      <c r="DP141" s="174"/>
      <c r="DQ141" s="174"/>
      <c r="DR141" s="174"/>
      <c r="DS141" s="174"/>
      <c r="DT141" s="174"/>
      <c r="DU141" s="174"/>
      <c r="DV141" s="174"/>
      <c r="DW141" s="174"/>
      <c r="DX141" s="174"/>
      <c r="DY141" s="174"/>
      <c r="DZ141" s="174"/>
      <c r="EA141" s="174"/>
      <c r="EB141" s="174"/>
      <c r="EC141" s="174"/>
      <c r="ED141" s="174"/>
      <c r="EE141" s="174"/>
      <c r="EF141" s="174"/>
      <c r="EG141" s="174"/>
      <c r="EH141" s="174"/>
      <c r="EI141" s="174"/>
      <c r="EJ141" s="174"/>
      <c r="EK141" s="174"/>
      <c r="EL141" s="174"/>
      <c r="EM141" s="174"/>
      <c r="EN141" s="174"/>
      <c r="EO141" s="174"/>
      <c r="EP141" s="174"/>
      <c r="EQ141" s="174"/>
      <c r="ER141" s="174"/>
      <c r="ES141" s="174"/>
      <c r="ET141" s="174"/>
      <c r="EU141" s="174"/>
      <c r="EV141" s="174"/>
      <c r="EW141" s="174"/>
      <c r="EX141" s="174"/>
      <c r="EY141" s="174"/>
      <c r="EZ141" s="174"/>
      <c r="FA141" s="174"/>
      <c r="FB141" s="174"/>
      <c r="FC141" s="174"/>
      <c r="FD141" s="174"/>
      <c r="FE141" s="174"/>
      <c r="FF141" s="174"/>
      <c r="FG141" s="174"/>
      <c r="FH141" s="174"/>
      <c r="FI141" s="174"/>
      <c r="FJ141" s="174"/>
      <c r="FK141" s="174"/>
      <c r="FL141" s="174"/>
      <c r="FM141" s="174"/>
      <c r="FN141" s="174"/>
      <c r="FO141" s="174"/>
      <c r="FP141" s="174"/>
      <c r="FQ141" s="174"/>
      <c r="FR141" s="174"/>
      <c r="FS141" s="174"/>
      <c r="FT141" s="174"/>
      <c r="FU141" s="174"/>
      <c r="FV141" s="174"/>
      <c r="FW141" s="174"/>
      <c r="FX141" s="174"/>
      <c r="FY141" s="174"/>
      <c r="FZ141" s="174"/>
      <c r="GA141" s="174"/>
      <c r="GB141" s="174"/>
      <c r="GC141" s="174"/>
      <c r="GD141" s="174"/>
      <c r="GE141" s="174"/>
      <c r="GF141" s="174"/>
      <c r="GG141" s="174"/>
      <c r="GH141" s="174"/>
      <c r="GI141" s="174"/>
      <c r="GJ141" s="174"/>
      <c r="GK141" s="174"/>
      <c r="GL141" s="174"/>
      <c r="GM141" s="174"/>
      <c r="GN141" s="174"/>
      <c r="GO141" s="174"/>
      <c r="GP141" s="174"/>
      <c r="GQ141" s="174"/>
      <c r="GR141" s="174"/>
      <c r="GS141" s="174"/>
      <c r="GT141" s="174"/>
      <c r="GU141" s="174"/>
      <c r="GV141" s="174"/>
      <c r="GW141" s="174"/>
      <c r="GX141" s="174"/>
      <c r="GY141" s="174"/>
      <c r="GZ141" s="174"/>
      <c r="HA141" s="174"/>
      <c r="HB141" s="174"/>
      <c r="HC141" s="174"/>
      <c r="HD141" s="174"/>
      <c r="HE141" s="174"/>
      <c r="HF141" s="174"/>
      <c r="HG141" s="174"/>
      <c r="HH141" s="174"/>
      <c r="HI141" s="174"/>
      <c r="HJ141" s="174"/>
      <c r="HK141" s="174"/>
      <c r="HL141" s="174"/>
      <c r="HM141" s="174"/>
      <c r="HN141" s="174"/>
      <c r="HO141" s="174"/>
      <c r="HP141" s="174"/>
      <c r="HQ141" s="174"/>
      <c r="HR141" s="174"/>
      <c r="HS141" s="174"/>
      <c r="HT141" s="174"/>
      <c r="HU141" s="174"/>
      <c r="HV141" s="174"/>
      <c r="HW141" s="174"/>
      <c r="HX141" s="174"/>
      <c r="HY141" s="174"/>
      <c r="HZ141" s="174"/>
      <c r="IA141" s="174"/>
      <c r="IB141" s="174"/>
      <c r="IC141" s="174"/>
      <c r="ID141" s="174"/>
      <c r="IE141" s="174"/>
      <c r="IF141" s="174"/>
      <c r="IG141" s="174"/>
      <c r="IH141" s="174"/>
      <c r="II141" s="174"/>
      <c r="IJ141" s="174"/>
      <c r="IK141" s="174"/>
      <c r="IL141" s="174"/>
      <c r="IM141" s="174"/>
      <c r="IN141" s="174"/>
      <c r="IO141" s="174"/>
      <c r="IP141" s="174"/>
      <c r="IQ141" s="174"/>
      <c r="IR141" s="174"/>
      <c r="IS141" s="174"/>
      <c r="IT141" s="174"/>
      <c r="IU141" s="75"/>
      <c r="IV141" s="75"/>
      <c r="IW141" s="75"/>
      <c r="IX141" s="75"/>
      <c r="IY141" s="75"/>
      <c r="IZ141" s="75"/>
      <c r="JA141" s="75"/>
      <c r="JB141" s="75"/>
      <c r="JC141" s="75"/>
      <c r="JD141" s="75"/>
      <c r="JF141" s="710"/>
      <c r="JG141" s="710"/>
      <c r="JH141" s="178">
        <f t="shared" si="11"/>
        <v>0</v>
      </c>
      <c r="JI141" s="174">
        <f t="shared" si="12"/>
        <v>0</v>
      </c>
    </row>
    <row r="142" spans="2:269" ht="15" customHeight="1" x14ac:dyDescent="0.25">
      <c r="B142" s="113">
        <v>139</v>
      </c>
      <c r="C142" s="353" t="str">
        <f t="shared" si="9"/>
        <v/>
      </c>
      <c r="D142" s="353" t="str">
        <f t="shared" si="10"/>
        <v/>
      </c>
      <c r="E142" s="174"/>
      <c r="F142" s="174"/>
      <c r="G142" s="174"/>
      <c r="H142" s="174"/>
      <c r="I142" s="174"/>
      <c r="J142" s="174"/>
      <c r="K142" s="174"/>
      <c r="L142" s="174"/>
      <c r="M142" s="174"/>
      <c r="N142" s="174"/>
      <c r="O142" s="174"/>
      <c r="P142" s="174"/>
      <c r="Q142" s="174"/>
      <c r="R142" s="174"/>
      <c r="S142" s="174"/>
      <c r="T142" s="174"/>
      <c r="U142" s="174"/>
      <c r="V142" s="174"/>
      <c r="W142" s="174"/>
      <c r="X142" s="174"/>
      <c r="Y142" s="174"/>
      <c r="Z142" s="174"/>
      <c r="AA142" s="174"/>
      <c r="AB142" s="174"/>
      <c r="AC142" s="174"/>
      <c r="AD142" s="174"/>
      <c r="AE142" s="174"/>
      <c r="AF142" s="174"/>
      <c r="AG142" s="174"/>
      <c r="AH142" s="174"/>
      <c r="AI142" s="174"/>
      <c r="AJ142" s="174"/>
      <c r="AK142" s="174"/>
      <c r="AL142" s="174"/>
      <c r="AM142" s="174"/>
      <c r="AN142" s="174"/>
      <c r="AO142" s="174"/>
      <c r="AP142" s="174"/>
      <c r="AQ142" s="174"/>
      <c r="AR142" s="174"/>
      <c r="AS142" s="174"/>
      <c r="AT142" s="174"/>
      <c r="AU142" s="174"/>
      <c r="AV142" s="174"/>
      <c r="AW142" s="174"/>
      <c r="AX142" s="174"/>
      <c r="AY142" s="174"/>
      <c r="AZ142" s="174"/>
      <c r="BA142" s="174"/>
      <c r="BB142" s="174"/>
      <c r="BC142" s="174"/>
      <c r="BD142" s="174"/>
      <c r="BE142" s="174"/>
      <c r="BF142" s="174"/>
      <c r="BG142" s="174"/>
      <c r="BH142" s="174"/>
      <c r="BI142" s="174"/>
      <c r="BJ142" s="174"/>
      <c r="BK142" s="174"/>
      <c r="BL142" s="174"/>
      <c r="BM142" s="174"/>
      <c r="BN142" s="174"/>
      <c r="BO142" s="174"/>
      <c r="BP142" s="174"/>
      <c r="BQ142" s="174"/>
      <c r="BR142" s="174"/>
      <c r="BS142" s="174"/>
      <c r="BT142" s="174"/>
      <c r="BU142" s="174"/>
      <c r="BV142" s="174"/>
      <c r="BW142" s="174"/>
      <c r="BX142" s="174"/>
      <c r="BY142" s="174"/>
      <c r="BZ142" s="174"/>
      <c r="CA142" s="174"/>
      <c r="CB142" s="174"/>
      <c r="CC142" s="174"/>
      <c r="CD142" s="174"/>
      <c r="CE142" s="174"/>
      <c r="CF142" s="174"/>
      <c r="CG142" s="174"/>
      <c r="CH142" s="174"/>
      <c r="CI142" s="174"/>
      <c r="CJ142" s="174"/>
      <c r="CK142" s="174"/>
      <c r="CL142" s="174"/>
      <c r="CM142" s="174"/>
      <c r="CN142" s="174"/>
      <c r="CO142" s="174"/>
      <c r="CP142" s="174"/>
      <c r="CQ142" s="174"/>
      <c r="CR142" s="174"/>
      <c r="CS142" s="174"/>
      <c r="CT142" s="174"/>
      <c r="CU142" s="174"/>
      <c r="CV142" s="174"/>
      <c r="CW142" s="174"/>
      <c r="CX142" s="174"/>
      <c r="CY142" s="174"/>
      <c r="CZ142" s="174"/>
      <c r="DA142" s="174"/>
      <c r="DB142" s="174"/>
      <c r="DC142" s="174"/>
      <c r="DD142" s="174"/>
      <c r="DE142" s="174"/>
      <c r="DF142" s="174"/>
      <c r="DG142" s="174"/>
      <c r="DH142" s="174"/>
      <c r="DI142" s="174"/>
      <c r="DJ142" s="174"/>
      <c r="DK142" s="174"/>
      <c r="DL142" s="174"/>
      <c r="DM142" s="174"/>
      <c r="DN142" s="174"/>
      <c r="DO142" s="174"/>
      <c r="DP142" s="174"/>
      <c r="DQ142" s="174"/>
      <c r="DR142" s="174"/>
      <c r="DS142" s="174"/>
      <c r="DT142" s="174"/>
      <c r="DU142" s="174"/>
      <c r="DV142" s="174"/>
      <c r="DW142" s="174"/>
      <c r="DX142" s="174"/>
      <c r="DY142" s="174"/>
      <c r="DZ142" s="174"/>
      <c r="EA142" s="174"/>
      <c r="EB142" s="174"/>
      <c r="EC142" s="174"/>
      <c r="ED142" s="174"/>
      <c r="EE142" s="174"/>
      <c r="EF142" s="174"/>
      <c r="EG142" s="174"/>
      <c r="EH142" s="174"/>
      <c r="EI142" s="174"/>
      <c r="EJ142" s="174"/>
      <c r="EK142" s="174"/>
      <c r="EL142" s="174"/>
      <c r="EM142" s="174"/>
      <c r="EN142" s="174"/>
      <c r="EO142" s="174"/>
      <c r="EP142" s="174"/>
      <c r="EQ142" s="174"/>
      <c r="ER142" s="174"/>
      <c r="ES142" s="174"/>
      <c r="ET142" s="174"/>
      <c r="EU142" s="174"/>
      <c r="EV142" s="174"/>
      <c r="EW142" s="174"/>
      <c r="EX142" s="174"/>
      <c r="EY142" s="174"/>
      <c r="EZ142" s="174"/>
      <c r="FA142" s="174"/>
      <c r="FB142" s="174"/>
      <c r="FC142" s="174"/>
      <c r="FD142" s="174"/>
      <c r="FE142" s="174"/>
      <c r="FF142" s="174"/>
      <c r="FG142" s="174"/>
      <c r="FH142" s="174"/>
      <c r="FI142" s="174"/>
      <c r="FJ142" s="174"/>
      <c r="FK142" s="174"/>
      <c r="FL142" s="174"/>
      <c r="FM142" s="174"/>
      <c r="FN142" s="174"/>
      <c r="FO142" s="174"/>
      <c r="FP142" s="174"/>
      <c r="FQ142" s="174"/>
      <c r="FR142" s="174"/>
      <c r="FS142" s="174"/>
      <c r="FT142" s="174"/>
      <c r="FU142" s="174"/>
      <c r="FV142" s="174"/>
      <c r="FW142" s="174"/>
      <c r="FX142" s="174"/>
      <c r="FY142" s="174"/>
      <c r="FZ142" s="174"/>
      <c r="GA142" s="174"/>
      <c r="GB142" s="174"/>
      <c r="GC142" s="174"/>
      <c r="GD142" s="174"/>
      <c r="GE142" s="174"/>
      <c r="GF142" s="174"/>
      <c r="GG142" s="174"/>
      <c r="GH142" s="174"/>
      <c r="GI142" s="174"/>
      <c r="GJ142" s="174"/>
      <c r="GK142" s="174"/>
      <c r="GL142" s="174"/>
      <c r="GM142" s="174"/>
      <c r="GN142" s="174"/>
      <c r="GO142" s="174"/>
      <c r="GP142" s="174"/>
      <c r="GQ142" s="174"/>
      <c r="GR142" s="174"/>
      <c r="GS142" s="174"/>
      <c r="GT142" s="174"/>
      <c r="GU142" s="174"/>
      <c r="GV142" s="174"/>
      <c r="GW142" s="174"/>
      <c r="GX142" s="174"/>
      <c r="GY142" s="174"/>
      <c r="GZ142" s="174"/>
      <c r="HA142" s="174"/>
      <c r="HB142" s="174"/>
      <c r="HC142" s="174"/>
      <c r="HD142" s="174"/>
      <c r="HE142" s="174"/>
      <c r="HF142" s="174"/>
      <c r="HG142" s="174"/>
      <c r="HH142" s="174"/>
      <c r="HI142" s="174"/>
      <c r="HJ142" s="174"/>
      <c r="HK142" s="174"/>
      <c r="HL142" s="174"/>
      <c r="HM142" s="174"/>
      <c r="HN142" s="174"/>
      <c r="HO142" s="174"/>
      <c r="HP142" s="174"/>
      <c r="HQ142" s="174"/>
      <c r="HR142" s="174"/>
      <c r="HS142" s="174"/>
      <c r="HT142" s="174"/>
      <c r="HU142" s="174"/>
      <c r="HV142" s="174"/>
      <c r="HW142" s="174"/>
      <c r="HX142" s="174"/>
      <c r="HY142" s="174"/>
      <c r="HZ142" s="174"/>
      <c r="IA142" s="174"/>
      <c r="IB142" s="174"/>
      <c r="IC142" s="174"/>
      <c r="ID142" s="174"/>
      <c r="IE142" s="174"/>
      <c r="IF142" s="174"/>
      <c r="IG142" s="174"/>
      <c r="IH142" s="174"/>
      <c r="II142" s="174"/>
      <c r="IJ142" s="174"/>
      <c r="IK142" s="174"/>
      <c r="IL142" s="174"/>
      <c r="IM142" s="174"/>
      <c r="IN142" s="174"/>
      <c r="IO142" s="174"/>
      <c r="IP142" s="174"/>
      <c r="IQ142" s="174"/>
      <c r="IR142" s="174"/>
      <c r="IS142" s="174"/>
      <c r="IT142" s="174"/>
      <c r="IU142" s="75"/>
      <c r="IV142" s="75"/>
      <c r="IW142" s="75"/>
      <c r="IX142" s="75"/>
      <c r="IY142" s="75"/>
      <c r="IZ142" s="75"/>
      <c r="JA142" s="75"/>
      <c r="JB142" s="75"/>
      <c r="JC142" s="75"/>
      <c r="JD142" s="75"/>
      <c r="JF142" s="710"/>
      <c r="JG142" s="710"/>
      <c r="JH142" s="178">
        <f t="shared" si="11"/>
        <v>0</v>
      </c>
      <c r="JI142" s="174">
        <f t="shared" si="12"/>
        <v>0</v>
      </c>
    </row>
    <row r="143" spans="2:269" ht="15" customHeight="1" x14ac:dyDescent="0.25">
      <c r="B143" s="113">
        <v>140</v>
      </c>
      <c r="C143" s="353" t="str">
        <f t="shared" si="9"/>
        <v/>
      </c>
      <c r="D143" s="353" t="str">
        <f t="shared" si="10"/>
        <v/>
      </c>
      <c r="E143" s="174"/>
      <c r="F143" s="174"/>
      <c r="G143" s="174"/>
      <c r="H143" s="174"/>
      <c r="I143" s="174"/>
      <c r="J143" s="174"/>
      <c r="K143" s="174"/>
      <c r="L143" s="174"/>
      <c r="M143" s="174"/>
      <c r="N143" s="174"/>
      <c r="O143" s="174"/>
      <c r="P143" s="174"/>
      <c r="Q143" s="174"/>
      <c r="R143" s="174"/>
      <c r="S143" s="174"/>
      <c r="T143" s="174"/>
      <c r="U143" s="174"/>
      <c r="V143" s="174"/>
      <c r="W143" s="174"/>
      <c r="X143" s="174"/>
      <c r="Y143" s="174"/>
      <c r="Z143" s="174"/>
      <c r="AA143" s="174"/>
      <c r="AB143" s="174"/>
      <c r="AC143" s="174"/>
      <c r="AD143" s="174"/>
      <c r="AE143" s="174"/>
      <c r="AF143" s="174"/>
      <c r="AG143" s="174"/>
      <c r="AH143" s="174"/>
      <c r="AI143" s="174"/>
      <c r="AJ143" s="174"/>
      <c r="AK143" s="174"/>
      <c r="AL143" s="174"/>
      <c r="AM143" s="174"/>
      <c r="AN143" s="174"/>
      <c r="AO143" s="174"/>
      <c r="AP143" s="174"/>
      <c r="AQ143" s="174"/>
      <c r="AR143" s="174"/>
      <c r="AS143" s="174"/>
      <c r="AT143" s="174"/>
      <c r="AU143" s="174"/>
      <c r="AV143" s="174"/>
      <c r="AW143" s="174"/>
      <c r="AX143" s="174"/>
      <c r="AY143" s="174"/>
      <c r="AZ143" s="174"/>
      <c r="BA143" s="174"/>
      <c r="BB143" s="174"/>
      <c r="BC143" s="174"/>
      <c r="BD143" s="174"/>
      <c r="BE143" s="174"/>
      <c r="BF143" s="174"/>
      <c r="BG143" s="174"/>
      <c r="BH143" s="174"/>
      <c r="BI143" s="174"/>
      <c r="BJ143" s="174"/>
      <c r="BK143" s="174"/>
      <c r="BL143" s="174"/>
      <c r="BM143" s="174"/>
      <c r="BN143" s="174"/>
      <c r="BO143" s="174"/>
      <c r="BP143" s="174"/>
      <c r="BQ143" s="174"/>
      <c r="BR143" s="174"/>
      <c r="BS143" s="174"/>
      <c r="BT143" s="174"/>
      <c r="BU143" s="174"/>
      <c r="BV143" s="174"/>
      <c r="BW143" s="174"/>
      <c r="BX143" s="174"/>
      <c r="BY143" s="174"/>
      <c r="BZ143" s="174"/>
      <c r="CA143" s="174"/>
      <c r="CB143" s="174"/>
      <c r="CC143" s="174"/>
      <c r="CD143" s="174"/>
      <c r="CE143" s="174"/>
      <c r="CF143" s="174"/>
      <c r="CG143" s="174"/>
      <c r="CH143" s="174"/>
      <c r="CI143" s="174"/>
      <c r="CJ143" s="174"/>
      <c r="CK143" s="174"/>
      <c r="CL143" s="174"/>
      <c r="CM143" s="174"/>
      <c r="CN143" s="174"/>
      <c r="CO143" s="174"/>
      <c r="CP143" s="174"/>
      <c r="CQ143" s="174"/>
      <c r="CR143" s="174"/>
      <c r="CS143" s="174"/>
      <c r="CT143" s="174"/>
      <c r="CU143" s="174"/>
      <c r="CV143" s="174"/>
      <c r="CW143" s="174"/>
      <c r="CX143" s="174"/>
      <c r="CY143" s="174"/>
      <c r="CZ143" s="174"/>
      <c r="DA143" s="174"/>
      <c r="DB143" s="174"/>
      <c r="DC143" s="174"/>
      <c r="DD143" s="174"/>
      <c r="DE143" s="174"/>
      <c r="DF143" s="174"/>
      <c r="DG143" s="174"/>
      <c r="DH143" s="174"/>
      <c r="DI143" s="174"/>
      <c r="DJ143" s="174"/>
      <c r="DK143" s="174"/>
      <c r="DL143" s="174"/>
      <c r="DM143" s="174"/>
      <c r="DN143" s="174"/>
      <c r="DO143" s="174"/>
      <c r="DP143" s="174"/>
      <c r="DQ143" s="174"/>
      <c r="DR143" s="174"/>
      <c r="DS143" s="174"/>
      <c r="DT143" s="174"/>
      <c r="DU143" s="174"/>
      <c r="DV143" s="174"/>
      <c r="DW143" s="174"/>
      <c r="DX143" s="174"/>
      <c r="DY143" s="174"/>
      <c r="DZ143" s="174"/>
      <c r="EA143" s="174"/>
      <c r="EB143" s="174"/>
      <c r="EC143" s="174"/>
      <c r="ED143" s="174"/>
      <c r="EE143" s="174"/>
      <c r="EF143" s="174"/>
      <c r="EG143" s="174"/>
      <c r="EH143" s="174"/>
      <c r="EI143" s="174"/>
      <c r="EJ143" s="174"/>
      <c r="EK143" s="174"/>
      <c r="EL143" s="174"/>
      <c r="EM143" s="174"/>
      <c r="EN143" s="174"/>
      <c r="EO143" s="174"/>
      <c r="EP143" s="174"/>
      <c r="EQ143" s="174"/>
      <c r="ER143" s="174"/>
      <c r="ES143" s="174"/>
      <c r="ET143" s="174"/>
      <c r="EU143" s="174"/>
      <c r="EV143" s="174"/>
      <c r="EW143" s="174"/>
      <c r="EX143" s="174"/>
      <c r="EY143" s="174"/>
      <c r="EZ143" s="174"/>
      <c r="FA143" s="174"/>
      <c r="FB143" s="174"/>
      <c r="FC143" s="174"/>
      <c r="FD143" s="174"/>
      <c r="FE143" s="174"/>
      <c r="FF143" s="174"/>
      <c r="FG143" s="174"/>
      <c r="FH143" s="174"/>
      <c r="FI143" s="174"/>
      <c r="FJ143" s="174"/>
      <c r="FK143" s="174"/>
      <c r="FL143" s="174"/>
      <c r="FM143" s="174"/>
      <c r="FN143" s="174"/>
      <c r="FO143" s="174"/>
      <c r="FP143" s="174"/>
      <c r="FQ143" s="174"/>
      <c r="FR143" s="174"/>
      <c r="FS143" s="174"/>
      <c r="FT143" s="174"/>
      <c r="FU143" s="174"/>
      <c r="FV143" s="174"/>
      <c r="FW143" s="174"/>
      <c r="FX143" s="174"/>
      <c r="FY143" s="174"/>
      <c r="FZ143" s="174"/>
      <c r="GA143" s="174"/>
      <c r="GB143" s="174"/>
      <c r="GC143" s="174"/>
      <c r="GD143" s="174"/>
      <c r="GE143" s="174"/>
      <c r="GF143" s="174"/>
      <c r="GG143" s="174"/>
      <c r="GH143" s="174"/>
      <c r="GI143" s="174"/>
      <c r="GJ143" s="174"/>
      <c r="GK143" s="174"/>
      <c r="GL143" s="174"/>
      <c r="GM143" s="174"/>
      <c r="GN143" s="174"/>
      <c r="GO143" s="174"/>
      <c r="GP143" s="174"/>
      <c r="GQ143" s="174"/>
      <c r="GR143" s="174"/>
      <c r="GS143" s="174"/>
      <c r="GT143" s="174"/>
      <c r="GU143" s="174"/>
      <c r="GV143" s="174"/>
      <c r="GW143" s="174"/>
      <c r="GX143" s="174"/>
      <c r="GY143" s="174"/>
      <c r="GZ143" s="174"/>
      <c r="HA143" s="174"/>
      <c r="HB143" s="174"/>
      <c r="HC143" s="174"/>
      <c r="HD143" s="174"/>
      <c r="HE143" s="174"/>
      <c r="HF143" s="174"/>
      <c r="HG143" s="174"/>
      <c r="HH143" s="174"/>
      <c r="HI143" s="174"/>
      <c r="HJ143" s="174"/>
      <c r="HK143" s="174"/>
      <c r="HL143" s="174"/>
      <c r="HM143" s="174"/>
      <c r="HN143" s="174"/>
      <c r="HO143" s="174"/>
      <c r="HP143" s="174"/>
      <c r="HQ143" s="174"/>
      <c r="HR143" s="174"/>
      <c r="HS143" s="174"/>
      <c r="HT143" s="174"/>
      <c r="HU143" s="174"/>
      <c r="HV143" s="174"/>
      <c r="HW143" s="174"/>
      <c r="HX143" s="174"/>
      <c r="HY143" s="174"/>
      <c r="HZ143" s="174"/>
      <c r="IA143" s="174"/>
      <c r="IB143" s="174"/>
      <c r="IC143" s="174"/>
      <c r="ID143" s="174"/>
      <c r="IE143" s="174"/>
      <c r="IF143" s="174"/>
      <c r="IG143" s="174"/>
      <c r="IH143" s="174"/>
      <c r="II143" s="174"/>
      <c r="IJ143" s="174"/>
      <c r="IK143" s="174"/>
      <c r="IL143" s="174"/>
      <c r="IM143" s="174"/>
      <c r="IN143" s="174"/>
      <c r="IO143" s="174"/>
      <c r="IP143" s="174"/>
      <c r="IQ143" s="174"/>
      <c r="IR143" s="174"/>
      <c r="IS143" s="174"/>
      <c r="IT143" s="174"/>
      <c r="IU143" s="75"/>
      <c r="IV143" s="75"/>
      <c r="IW143" s="75"/>
      <c r="IX143" s="75"/>
      <c r="IY143" s="75"/>
      <c r="IZ143" s="75"/>
      <c r="JA143" s="75"/>
      <c r="JB143" s="75"/>
      <c r="JC143" s="75"/>
      <c r="JD143" s="75"/>
      <c r="JF143" s="710"/>
      <c r="JG143" s="710"/>
      <c r="JH143" s="178">
        <f t="shared" si="11"/>
        <v>0</v>
      </c>
      <c r="JI143" s="174">
        <f t="shared" si="12"/>
        <v>0</v>
      </c>
    </row>
    <row r="144" spans="2:269" ht="15" customHeight="1" x14ac:dyDescent="0.25">
      <c r="B144" s="113">
        <v>141</v>
      </c>
      <c r="C144" s="353" t="str">
        <f t="shared" si="9"/>
        <v/>
      </c>
      <c r="D144" s="353" t="str">
        <f t="shared" si="10"/>
        <v/>
      </c>
      <c r="E144" s="174"/>
      <c r="F144" s="174"/>
      <c r="G144" s="174"/>
      <c r="H144" s="174"/>
      <c r="I144" s="174"/>
      <c r="J144" s="174"/>
      <c r="K144" s="174"/>
      <c r="L144" s="174"/>
      <c r="M144" s="174"/>
      <c r="N144" s="174"/>
      <c r="O144" s="174"/>
      <c r="P144" s="174"/>
      <c r="Q144" s="174"/>
      <c r="R144" s="174"/>
      <c r="S144" s="174"/>
      <c r="T144" s="174"/>
      <c r="U144" s="174"/>
      <c r="V144" s="174"/>
      <c r="W144" s="174"/>
      <c r="X144" s="174"/>
      <c r="Y144" s="174"/>
      <c r="Z144" s="174"/>
      <c r="AA144" s="174"/>
      <c r="AB144" s="174"/>
      <c r="AC144" s="174"/>
      <c r="AD144" s="174"/>
      <c r="AE144" s="174"/>
      <c r="AF144" s="174"/>
      <c r="AG144" s="174"/>
      <c r="AH144" s="174"/>
      <c r="AI144" s="174"/>
      <c r="AJ144" s="174"/>
      <c r="AK144" s="174"/>
      <c r="AL144" s="174"/>
      <c r="AM144" s="174"/>
      <c r="AN144" s="174"/>
      <c r="AO144" s="174"/>
      <c r="AP144" s="174"/>
      <c r="AQ144" s="174"/>
      <c r="AR144" s="174"/>
      <c r="AS144" s="174"/>
      <c r="AT144" s="174"/>
      <c r="AU144" s="174"/>
      <c r="AV144" s="174"/>
      <c r="AW144" s="174"/>
      <c r="AX144" s="174"/>
      <c r="AY144" s="174"/>
      <c r="AZ144" s="174"/>
      <c r="BA144" s="174"/>
      <c r="BB144" s="174"/>
      <c r="BC144" s="174"/>
      <c r="BD144" s="174"/>
      <c r="BE144" s="174"/>
      <c r="BF144" s="174"/>
      <c r="BG144" s="174"/>
      <c r="BH144" s="174"/>
      <c r="BI144" s="174"/>
      <c r="BJ144" s="174"/>
      <c r="BK144" s="174"/>
      <c r="BL144" s="174"/>
      <c r="BM144" s="174"/>
      <c r="BN144" s="174"/>
      <c r="BO144" s="174"/>
      <c r="BP144" s="174"/>
      <c r="BQ144" s="174"/>
      <c r="BR144" s="174"/>
      <c r="BS144" s="174"/>
      <c r="BT144" s="174"/>
      <c r="BU144" s="174"/>
      <c r="BV144" s="174"/>
      <c r="BW144" s="174"/>
      <c r="BX144" s="174"/>
      <c r="BY144" s="174"/>
      <c r="BZ144" s="174"/>
      <c r="CA144" s="174"/>
      <c r="CB144" s="174"/>
      <c r="CC144" s="174"/>
      <c r="CD144" s="174"/>
      <c r="CE144" s="174"/>
      <c r="CF144" s="174"/>
      <c r="CG144" s="174"/>
      <c r="CH144" s="174"/>
      <c r="CI144" s="174"/>
      <c r="CJ144" s="174"/>
      <c r="CK144" s="174"/>
      <c r="CL144" s="174"/>
      <c r="CM144" s="174"/>
      <c r="CN144" s="174"/>
      <c r="CO144" s="174"/>
      <c r="CP144" s="174"/>
      <c r="CQ144" s="174"/>
      <c r="CR144" s="174"/>
      <c r="CS144" s="174"/>
      <c r="CT144" s="174"/>
      <c r="CU144" s="174"/>
      <c r="CV144" s="174"/>
      <c r="CW144" s="174"/>
      <c r="CX144" s="174"/>
      <c r="CY144" s="174"/>
      <c r="CZ144" s="174"/>
      <c r="DA144" s="174"/>
      <c r="DB144" s="174"/>
      <c r="DC144" s="174"/>
      <c r="DD144" s="174"/>
      <c r="DE144" s="174"/>
      <c r="DF144" s="174"/>
      <c r="DG144" s="174"/>
      <c r="DH144" s="174"/>
      <c r="DI144" s="174"/>
      <c r="DJ144" s="174"/>
      <c r="DK144" s="174"/>
      <c r="DL144" s="174"/>
      <c r="DM144" s="174"/>
      <c r="DN144" s="174"/>
      <c r="DO144" s="174"/>
      <c r="DP144" s="174"/>
      <c r="DQ144" s="174"/>
      <c r="DR144" s="174"/>
      <c r="DS144" s="174"/>
      <c r="DT144" s="174"/>
      <c r="DU144" s="174"/>
      <c r="DV144" s="174"/>
      <c r="DW144" s="174"/>
      <c r="DX144" s="174"/>
      <c r="DY144" s="174"/>
      <c r="DZ144" s="174"/>
      <c r="EA144" s="174"/>
      <c r="EB144" s="174"/>
      <c r="EC144" s="174"/>
      <c r="ED144" s="174"/>
      <c r="EE144" s="174"/>
      <c r="EF144" s="174"/>
      <c r="EG144" s="174"/>
      <c r="EH144" s="174"/>
      <c r="EI144" s="174"/>
      <c r="EJ144" s="174"/>
      <c r="EK144" s="174"/>
      <c r="EL144" s="174"/>
      <c r="EM144" s="174"/>
      <c r="EN144" s="174"/>
      <c r="EO144" s="174"/>
      <c r="EP144" s="174"/>
      <c r="EQ144" s="174"/>
      <c r="ER144" s="174"/>
      <c r="ES144" s="174"/>
      <c r="ET144" s="174"/>
      <c r="EU144" s="174"/>
      <c r="EV144" s="174"/>
      <c r="EW144" s="174"/>
      <c r="EX144" s="174"/>
      <c r="EY144" s="174"/>
      <c r="EZ144" s="174"/>
      <c r="FA144" s="174"/>
      <c r="FB144" s="174"/>
      <c r="FC144" s="174"/>
      <c r="FD144" s="174"/>
      <c r="FE144" s="174"/>
      <c r="FF144" s="174"/>
      <c r="FG144" s="174"/>
      <c r="FH144" s="174"/>
      <c r="FI144" s="174"/>
      <c r="FJ144" s="174"/>
      <c r="FK144" s="174"/>
      <c r="FL144" s="174"/>
      <c r="FM144" s="174"/>
      <c r="FN144" s="174"/>
      <c r="FO144" s="174"/>
      <c r="FP144" s="174"/>
      <c r="FQ144" s="174"/>
      <c r="FR144" s="174"/>
      <c r="FS144" s="174"/>
      <c r="FT144" s="174"/>
      <c r="FU144" s="174"/>
      <c r="FV144" s="174"/>
      <c r="FW144" s="174"/>
      <c r="FX144" s="174"/>
      <c r="FY144" s="174"/>
      <c r="FZ144" s="174"/>
      <c r="GA144" s="174"/>
      <c r="GB144" s="174"/>
      <c r="GC144" s="174"/>
      <c r="GD144" s="174"/>
      <c r="GE144" s="174"/>
      <c r="GF144" s="174"/>
      <c r="GG144" s="174"/>
      <c r="GH144" s="174"/>
      <c r="GI144" s="174"/>
      <c r="GJ144" s="174"/>
      <c r="GK144" s="174"/>
      <c r="GL144" s="174"/>
      <c r="GM144" s="174"/>
      <c r="GN144" s="174"/>
      <c r="GO144" s="174"/>
      <c r="GP144" s="174"/>
      <c r="GQ144" s="174"/>
      <c r="GR144" s="174"/>
      <c r="GS144" s="174"/>
      <c r="GT144" s="174"/>
      <c r="GU144" s="174"/>
      <c r="GV144" s="174"/>
      <c r="GW144" s="174"/>
      <c r="GX144" s="174"/>
      <c r="GY144" s="174"/>
      <c r="GZ144" s="174"/>
      <c r="HA144" s="174"/>
      <c r="HB144" s="174"/>
      <c r="HC144" s="174"/>
      <c r="HD144" s="174"/>
      <c r="HE144" s="174"/>
      <c r="HF144" s="174"/>
      <c r="HG144" s="174"/>
      <c r="HH144" s="174"/>
      <c r="HI144" s="174"/>
      <c r="HJ144" s="174"/>
      <c r="HK144" s="174"/>
      <c r="HL144" s="174"/>
      <c r="HM144" s="174"/>
      <c r="HN144" s="174"/>
      <c r="HO144" s="174"/>
      <c r="HP144" s="174"/>
      <c r="HQ144" s="174"/>
      <c r="HR144" s="174"/>
      <c r="HS144" s="174"/>
      <c r="HT144" s="174"/>
      <c r="HU144" s="174"/>
      <c r="HV144" s="174"/>
      <c r="HW144" s="174"/>
      <c r="HX144" s="174"/>
      <c r="HY144" s="174"/>
      <c r="HZ144" s="174"/>
      <c r="IA144" s="174"/>
      <c r="IB144" s="174"/>
      <c r="IC144" s="174"/>
      <c r="ID144" s="174"/>
      <c r="IE144" s="174"/>
      <c r="IF144" s="174"/>
      <c r="IG144" s="174"/>
      <c r="IH144" s="174"/>
      <c r="II144" s="174"/>
      <c r="IJ144" s="174"/>
      <c r="IK144" s="174"/>
      <c r="IL144" s="174"/>
      <c r="IM144" s="174"/>
      <c r="IN144" s="174"/>
      <c r="IO144" s="174"/>
      <c r="IP144" s="174"/>
      <c r="IQ144" s="174"/>
      <c r="IR144" s="174"/>
      <c r="IS144" s="174"/>
      <c r="IT144" s="174"/>
      <c r="IU144" s="75"/>
      <c r="IV144" s="75"/>
      <c r="IW144" s="75"/>
      <c r="IX144" s="75"/>
      <c r="IY144" s="75"/>
      <c r="IZ144" s="75"/>
      <c r="JA144" s="75"/>
      <c r="JB144" s="75"/>
      <c r="JC144" s="75"/>
      <c r="JD144" s="75"/>
      <c r="JF144" s="710"/>
      <c r="JG144" s="710"/>
      <c r="JH144" s="178">
        <f t="shared" si="11"/>
        <v>0</v>
      </c>
      <c r="JI144" s="174">
        <f t="shared" si="12"/>
        <v>0</v>
      </c>
    </row>
    <row r="145" spans="2:269" ht="15" customHeight="1" x14ac:dyDescent="0.25">
      <c r="B145" s="113">
        <v>142</v>
      </c>
      <c r="C145" s="353" t="str">
        <f t="shared" si="9"/>
        <v/>
      </c>
      <c r="D145" s="353" t="str">
        <f t="shared" si="10"/>
        <v/>
      </c>
      <c r="E145" s="174"/>
      <c r="F145" s="174"/>
      <c r="G145" s="174"/>
      <c r="H145" s="174"/>
      <c r="I145" s="174"/>
      <c r="J145" s="174"/>
      <c r="K145" s="174"/>
      <c r="L145" s="174"/>
      <c r="M145" s="174"/>
      <c r="N145" s="174"/>
      <c r="O145" s="174"/>
      <c r="P145" s="174"/>
      <c r="Q145" s="174"/>
      <c r="R145" s="174"/>
      <c r="S145" s="174"/>
      <c r="T145" s="174"/>
      <c r="U145" s="174"/>
      <c r="V145" s="174"/>
      <c r="W145" s="174"/>
      <c r="X145" s="174"/>
      <c r="Y145" s="174"/>
      <c r="Z145" s="174"/>
      <c r="AA145" s="174"/>
      <c r="AB145" s="174"/>
      <c r="AC145" s="174"/>
      <c r="AD145" s="174"/>
      <c r="AE145" s="174"/>
      <c r="AF145" s="174"/>
      <c r="AG145" s="174"/>
      <c r="AH145" s="174"/>
      <c r="AI145" s="174"/>
      <c r="AJ145" s="174"/>
      <c r="AK145" s="174"/>
      <c r="AL145" s="174"/>
      <c r="AM145" s="174"/>
      <c r="AN145" s="174"/>
      <c r="AO145" s="174"/>
      <c r="AP145" s="174"/>
      <c r="AQ145" s="174"/>
      <c r="AR145" s="174"/>
      <c r="AS145" s="174"/>
      <c r="AT145" s="174"/>
      <c r="AU145" s="174"/>
      <c r="AV145" s="174"/>
      <c r="AW145" s="174"/>
      <c r="AX145" s="174"/>
      <c r="AY145" s="174"/>
      <c r="AZ145" s="174"/>
      <c r="BA145" s="174"/>
      <c r="BB145" s="174"/>
      <c r="BC145" s="174"/>
      <c r="BD145" s="174"/>
      <c r="BE145" s="174"/>
      <c r="BF145" s="174"/>
      <c r="BG145" s="174"/>
      <c r="BH145" s="174"/>
      <c r="BI145" s="174"/>
      <c r="BJ145" s="174"/>
      <c r="BK145" s="174"/>
      <c r="BL145" s="174"/>
      <c r="BM145" s="174"/>
      <c r="BN145" s="174"/>
      <c r="BO145" s="174"/>
      <c r="BP145" s="174"/>
      <c r="BQ145" s="174"/>
      <c r="BR145" s="174"/>
      <c r="BS145" s="174"/>
      <c r="BT145" s="174"/>
      <c r="BU145" s="174"/>
      <c r="BV145" s="174"/>
      <c r="BW145" s="174"/>
      <c r="BX145" s="174"/>
      <c r="BY145" s="174"/>
      <c r="BZ145" s="174"/>
      <c r="CA145" s="174"/>
      <c r="CB145" s="174"/>
      <c r="CC145" s="174"/>
      <c r="CD145" s="174"/>
      <c r="CE145" s="174"/>
      <c r="CF145" s="174"/>
      <c r="CG145" s="174"/>
      <c r="CH145" s="174"/>
      <c r="CI145" s="174"/>
      <c r="CJ145" s="174"/>
      <c r="CK145" s="174"/>
      <c r="CL145" s="174"/>
      <c r="CM145" s="174"/>
      <c r="CN145" s="174"/>
      <c r="CO145" s="174"/>
      <c r="CP145" s="174"/>
      <c r="CQ145" s="174"/>
      <c r="CR145" s="174"/>
      <c r="CS145" s="174"/>
      <c r="CT145" s="174"/>
      <c r="CU145" s="174"/>
      <c r="CV145" s="174"/>
      <c r="CW145" s="174"/>
      <c r="CX145" s="174"/>
      <c r="CY145" s="174"/>
      <c r="CZ145" s="174"/>
      <c r="DA145" s="174"/>
      <c r="DB145" s="174"/>
      <c r="DC145" s="174"/>
      <c r="DD145" s="174"/>
      <c r="DE145" s="174"/>
      <c r="DF145" s="174"/>
      <c r="DG145" s="174"/>
      <c r="DH145" s="174"/>
      <c r="DI145" s="174"/>
      <c r="DJ145" s="174"/>
      <c r="DK145" s="174"/>
      <c r="DL145" s="174"/>
      <c r="DM145" s="174"/>
      <c r="DN145" s="174"/>
      <c r="DO145" s="174"/>
      <c r="DP145" s="174"/>
      <c r="DQ145" s="174"/>
      <c r="DR145" s="174"/>
      <c r="DS145" s="174"/>
      <c r="DT145" s="174"/>
      <c r="DU145" s="174"/>
      <c r="DV145" s="174"/>
      <c r="DW145" s="174"/>
      <c r="DX145" s="174"/>
      <c r="DY145" s="174"/>
      <c r="DZ145" s="174"/>
      <c r="EA145" s="174"/>
      <c r="EB145" s="174"/>
      <c r="EC145" s="174"/>
      <c r="ED145" s="174"/>
      <c r="EE145" s="174"/>
      <c r="EF145" s="174"/>
      <c r="EG145" s="174"/>
      <c r="EH145" s="174"/>
      <c r="EI145" s="174"/>
      <c r="EJ145" s="174"/>
      <c r="EK145" s="174"/>
      <c r="EL145" s="174"/>
      <c r="EM145" s="174"/>
      <c r="EN145" s="174"/>
      <c r="EO145" s="174"/>
      <c r="EP145" s="174"/>
      <c r="EQ145" s="174"/>
      <c r="ER145" s="174"/>
      <c r="ES145" s="174"/>
      <c r="ET145" s="174"/>
      <c r="EU145" s="174"/>
      <c r="EV145" s="174"/>
      <c r="EW145" s="174"/>
      <c r="EX145" s="174"/>
      <c r="EY145" s="174"/>
      <c r="EZ145" s="174"/>
      <c r="FA145" s="174"/>
      <c r="FB145" s="174"/>
      <c r="FC145" s="174"/>
      <c r="FD145" s="174"/>
      <c r="FE145" s="174"/>
      <c r="FF145" s="174"/>
      <c r="FG145" s="174"/>
      <c r="FH145" s="174"/>
      <c r="FI145" s="174"/>
      <c r="FJ145" s="174"/>
      <c r="FK145" s="174"/>
      <c r="FL145" s="174"/>
      <c r="FM145" s="174"/>
      <c r="FN145" s="174"/>
      <c r="FO145" s="174"/>
      <c r="FP145" s="174"/>
      <c r="FQ145" s="174"/>
      <c r="FR145" s="174"/>
      <c r="FS145" s="174"/>
      <c r="FT145" s="174"/>
      <c r="FU145" s="174"/>
      <c r="FV145" s="174"/>
      <c r="FW145" s="174"/>
      <c r="FX145" s="174"/>
      <c r="FY145" s="174"/>
      <c r="FZ145" s="174"/>
      <c r="GA145" s="174"/>
      <c r="GB145" s="174"/>
      <c r="GC145" s="174"/>
      <c r="GD145" s="174"/>
      <c r="GE145" s="174"/>
      <c r="GF145" s="174"/>
      <c r="GG145" s="174"/>
      <c r="GH145" s="174"/>
      <c r="GI145" s="174"/>
      <c r="GJ145" s="174"/>
      <c r="GK145" s="174"/>
      <c r="GL145" s="174"/>
      <c r="GM145" s="174"/>
      <c r="GN145" s="174"/>
      <c r="GO145" s="174"/>
      <c r="GP145" s="174"/>
      <c r="GQ145" s="174"/>
      <c r="GR145" s="174"/>
      <c r="GS145" s="174"/>
      <c r="GT145" s="174"/>
      <c r="GU145" s="174"/>
      <c r="GV145" s="174"/>
      <c r="GW145" s="174"/>
      <c r="GX145" s="174"/>
      <c r="GY145" s="174"/>
      <c r="GZ145" s="174"/>
      <c r="HA145" s="174"/>
      <c r="HB145" s="174"/>
      <c r="HC145" s="174"/>
      <c r="HD145" s="174"/>
      <c r="HE145" s="174"/>
      <c r="HF145" s="174"/>
      <c r="HG145" s="174"/>
      <c r="HH145" s="174"/>
      <c r="HI145" s="174"/>
      <c r="HJ145" s="174"/>
      <c r="HK145" s="174"/>
      <c r="HL145" s="174"/>
      <c r="HM145" s="174"/>
      <c r="HN145" s="174"/>
      <c r="HO145" s="174"/>
      <c r="HP145" s="174"/>
      <c r="HQ145" s="174"/>
      <c r="HR145" s="174"/>
      <c r="HS145" s="174"/>
      <c r="HT145" s="174"/>
      <c r="HU145" s="174"/>
      <c r="HV145" s="174"/>
      <c r="HW145" s="174"/>
      <c r="HX145" s="174"/>
      <c r="HY145" s="174"/>
      <c r="HZ145" s="174"/>
      <c r="IA145" s="174"/>
      <c r="IB145" s="174"/>
      <c r="IC145" s="174"/>
      <c r="ID145" s="174"/>
      <c r="IE145" s="174"/>
      <c r="IF145" s="174"/>
      <c r="IG145" s="174"/>
      <c r="IH145" s="174"/>
      <c r="II145" s="174"/>
      <c r="IJ145" s="174"/>
      <c r="IK145" s="174"/>
      <c r="IL145" s="174"/>
      <c r="IM145" s="174"/>
      <c r="IN145" s="174"/>
      <c r="IO145" s="174"/>
      <c r="IP145" s="174"/>
      <c r="IQ145" s="174"/>
      <c r="IR145" s="174"/>
      <c r="IS145" s="174"/>
      <c r="IT145" s="174"/>
      <c r="IU145" s="75"/>
      <c r="IV145" s="75"/>
      <c r="IW145" s="75"/>
      <c r="IX145" s="75"/>
      <c r="IY145" s="75"/>
      <c r="IZ145" s="75"/>
      <c r="JA145" s="75"/>
      <c r="JB145" s="75"/>
      <c r="JC145" s="75"/>
      <c r="JD145" s="75"/>
      <c r="JF145" s="710"/>
      <c r="JG145" s="710"/>
      <c r="JH145" s="178">
        <f t="shared" si="11"/>
        <v>0</v>
      </c>
      <c r="JI145" s="174">
        <f t="shared" si="12"/>
        <v>0</v>
      </c>
    </row>
    <row r="146" spans="2:269" ht="15" customHeight="1" x14ac:dyDescent="0.25">
      <c r="B146" s="113">
        <v>143</v>
      </c>
      <c r="C146" s="353" t="str">
        <f t="shared" si="9"/>
        <v/>
      </c>
      <c r="D146" s="353" t="str">
        <f t="shared" si="10"/>
        <v/>
      </c>
      <c r="E146" s="174"/>
      <c r="F146" s="174"/>
      <c r="G146" s="174"/>
      <c r="H146" s="174"/>
      <c r="I146" s="174"/>
      <c r="J146" s="174"/>
      <c r="K146" s="174"/>
      <c r="L146" s="174"/>
      <c r="M146" s="174"/>
      <c r="N146" s="174"/>
      <c r="O146" s="174"/>
      <c r="P146" s="174"/>
      <c r="Q146" s="174"/>
      <c r="R146" s="174"/>
      <c r="S146" s="174"/>
      <c r="T146" s="174"/>
      <c r="U146" s="174"/>
      <c r="V146" s="174"/>
      <c r="W146" s="174"/>
      <c r="X146" s="174"/>
      <c r="Y146" s="174"/>
      <c r="Z146" s="174"/>
      <c r="AA146" s="174"/>
      <c r="AB146" s="174"/>
      <c r="AC146" s="174"/>
      <c r="AD146" s="174"/>
      <c r="AE146" s="174"/>
      <c r="AF146" s="174"/>
      <c r="AG146" s="174"/>
      <c r="AH146" s="174"/>
      <c r="AI146" s="174"/>
      <c r="AJ146" s="174"/>
      <c r="AK146" s="174"/>
      <c r="AL146" s="174"/>
      <c r="AM146" s="174"/>
      <c r="AN146" s="174"/>
      <c r="AO146" s="174"/>
      <c r="AP146" s="174"/>
      <c r="AQ146" s="174"/>
      <c r="AR146" s="174"/>
      <c r="AS146" s="174"/>
      <c r="AT146" s="174"/>
      <c r="AU146" s="174"/>
      <c r="AV146" s="174"/>
      <c r="AW146" s="174"/>
      <c r="AX146" s="174"/>
      <c r="AY146" s="174"/>
      <c r="AZ146" s="174"/>
      <c r="BA146" s="174"/>
      <c r="BB146" s="174"/>
      <c r="BC146" s="174"/>
      <c r="BD146" s="174"/>
      <c r="BE146" s="174"/>
      <c r="BF146" s="174"/>
      <c r="BG146" s="174"/>
      <c r="BH146" s="174"/>
      <c r="BI146" s="174"/>
      <c r="BJ146" s="174"/>
      <c r="BK146" s="174"/>
      <c r="BL146" s="174"/>
      <c r="BM146" s="174"/>
      <c r="BN146" s="174"/>
      <c r="BO146" s="174"/>
      <c r="BP146" s="174"/>
      <c r="BQ146" s="174"/>
      <c r="BR146" s="174"/>
      <c r="BS146" s="174"/>
      <c r="BT146" s="174"/>
      <c r="BU146" s="174"/>
      <c r="BV146" s="174"/>
      <c r="BW146" s="174"/>
      <c r="BX146" s="174"/>
      <c r="BY146" s="174"/>
      <c r="BZ146" s="174"/>
      <c r="CA146" s="174"/>
      <c r="CB146" s="174"/>
      <c r="CC146" s="174"/>
      <c r="CD146" s="174"/>
      <c r="CE146" s="174"/>
      <c r="CF146" s="174"/>
      <c r="CG146" s="174"/>
      <c r="CH146" s="174"/>
      <c r="CI146" s="174"/>
      <c r="CJ146" s="174"/>
      <c r="CK146" s="174"/>
      <c r="CL146" s="174"/>
      <c r="CM146" s="174"/>
      <c r="CN146" s="174"/>
      <c r="CO146" s="174"/>
      <c r="CP146" s="174"/>
      <c r="CQ146" s="174"/>
      <c r="CR146" s="174"/>
      <c r="CS146" s="174"/>
      <c r="CT146" s="174"/>
      <c r="CU146" s="174"/>
      <c r="CV146" s="174"/>
      <c r="CW146" s="174"/>
      <c r="CX146" s="174"/>
      <c r="CY146" s="174"/>
      <c r="CZ146" s="174"/>
      <c r="DA146" s="174"/>
      <c r="DB146" s="174"/>
      <c r="DC146" s="174"/>
      <c r="DD146" s="174"/>
      <c r="DE146" s="174"/>
      <c r="DF146" s="174"/>
      <c r="DG146" s="174"/>
      <c r="DH146" s="174"/>
      <c r="DI146" s="174"/>
      <c r="DJ146" s="174"/>
      <c r="DK146" s="174"/>
      <c r="DL146" s="174"/>
      <c r="DM146" s="174"/>
      <c r="DN146" s="174"/>
      <c r="DO146" s="174"/>
      <c r="DP146" s="174"/>
      <c r="DQ146" s="174"/>
      <c r="DR146" s="174"/>
      <c r="DS146" s="174"/>
      <c r="DT146" s="174"/>
      <c r="DU146" s="174"/>
      <c r="DV146" s="174"/>
      <c r="DW146" s="174"/>
      <c r="DX146" s="174"/>
      <c r="DY146" s="174"/>
      <c r="DZ146" s="174"/>
      <c r="EA146" s="174"/>
      <c r="EB146" s="174"/>
      <c r="EC146" s="174"/>
      <c r="ED146" s="174"/>
      <c r="EE146" s="174"/>
      <c r="EF146" s="174"/>
      <c r="EG146" s="174"/>
      <c r="EH146" s="174"/>
      <c r="EI146" s="174"/>
      <c r="EJ146" s="174"/>
      <c r="EK146" s="174"/>
      <c r="EL146" s="174"/>
      <c r="EM146" s="174"/>
      <c r="EN146" s="174"/>
      <c r="EO146" s="174"/>
      <c r="EP146" s="174"/>
      <c r="EQ146" s="174"/>
      <c r="ER146" s="174"/>
      <c r="ES146" s="174"/>
      <c r="ET146" s="174"/>
      <c r="EU146" s="174"/>
      <c r="EV146" s="174"/>
      <c r="EW146" s="174"/>
      <c r="EX146" s="174"/>
      <c r="EY146" s="174"/>
      <c r="EZ146" s="174"/>
      <c r="FA146" s="174"/>
      <c r="FB146" s="174"/>
      <c r="FC146" s="174"/>
      <c r="FD146" s="174"/>
      <c r="FE146" s="174"/>
      <c r="FF146" s="174"/>
      <c r="FG146" s="174"/>
      <c r="FH146" s="174"/>
      <c r="FI146" s="174"/>
      <c r="FJ146" s="174"/>
      <c r="FK146" s="174"/>
      <c r="FL146" s="174"/>
      <c r="FM146" s="174"/>
      <c r="FN146" s="174"/>
      <c r="FO146" s="174"/>
      <c r="FP146" s="174"/>
      <c r="FQ146" s="174"/>
      <c r="FR146" s="174"/>
      <c r="FS146" s="174"/>
      <c r="FT146" s="174"/>
      <c r="FU146" s="174"/>
      <c r="FV146" s="174"/>
      <c r="FW146" s="174"/>
      <c r="FX146" s="174"/>
      <c r="FY146" s="174"/>
      <c r="FZ146" s="174"/>
      <c r="GA146" s="174"/>
      <c r="GB146" s="174"/>
      <c r="GC146" s="174"/>
      <c r="GD146" s="174"/>
      <c r="GE146" s="174"/>
      <c r="GF146" s="174"/>
      <c r="GG146" s="174"/>
      <c r="GH146" s="174"/>
      <c r="GI146" s="174"/>
      <c r="GJ146" s="174"/>
      <c r="GK146" s="174"/>
      <c r="GL146" s="174"/>
      <c r="GM146" s="174"/>
      <c r="GN146" s="174"/>
      <c r="GO146" s="174"/>
      <c r="GP146" s="174"/>
      <c r="GQ146" s="174"/>
      <c r="GR146" s="174"/>
      <c r="GS146" s="174"/>
      <c r="GT146" s="174"/>
      <c r="GU146" s="174"/>
      <c r="GV146" s="174"/>
      <c r="GW146" s="174"/>
      <c r="GX146" s="174"/>
      <c r="GY146" s="174"/>
      <c r="GZ146" s="174"/>
      <c r="HA146" s="174"/>
      <c r="HB146" s="174"/>
      <c r="HC146" s="174"/>
      <c r="HD146" s="174"/>
      <c r="HE146" s="174"/>
      <c r="HF146" s="174"/>
      <c r="HG146" s="174"/>
      <c r="HH146" s="174"/>
      <c r="HI146" s="174"/>
      <c r="HJ146" s="174"/>
      <c r="HK146" s="174"/>
      <c r="HL146" s="174"/>
      <c r="HM146" s="174"/>
      <c r="HN146" s="174"/>
      <c r="HO146" s="174"/>
      <c r="HP146" s="174"/>
      <c r="HQ146" s="174"/>
      <c r="HR146" s="174"/>
      <c r="HS146" s="174"/>
      <c r="HT146" s="174"/>
      <c r="HU146" s="174"/>
      <c r="HV146" s="174"/>
      <c r="HW146" s="174"/>
      <c r="HX146" s="174"/>
      <c r="HY146" s="174"/>
      <c r="HZ146" s="174"/>
      <c r="IA146" s="174"/>
      <c r="IB146" s="174"/>
      <c r="IC146" s="174"/>
      <c r="ID146" s="174"/>
      <c r="IE146" s="174"/>
      <c r="IF146" s="174"/>
      <c r="IG146" s="174"/>
      <c r="IH146" s="174"/>
      <c r="II146" s="174"/>
      <c r="IJ146" s="174"/>
      <c r="IK146" s="174"/>
      <c r="IL146" s="174"/>
      <c r="IM146" s="174"/>
      <c r="IN146" s="174"/>
      <c r="IO146" s="174"/>
      <c r="IP146" s="174"/>
      <c r="IQ146" s="174"/>
      <c r="IR146" s="174"/>
      <c r="IS146" s="174"/>
      <c r="IT146" s="174"/>
      <c r="IU146" s="75"/>
      <c r="IV146" s="75"/>
      <c r="IW146" s="75"/>
      <c r="IX146" s="75"/>
      <c r="IY146" s="75"/>
      <c r="IZ146" s="75"/>
      <c r="JA146" s="75"/>
      <c r="JB146" s="75"/>
      <c r="JC146" s="75"/>
      <c r="JD146" s="75"/>
      <c r="JF146" s="710"/>
      <c r="JG146" s="710"/>
      <c r="JH146" s="178">
        <f t="shared" si="11"/>
        <v>0</v>
      </c>
      <c r="JI146" s="174">
        <f t="shared" si="12"/>
        <v>0</v>
      </c>
    </row>
    <row r="147" spans="2:269" ht="15" customHeight="1" x14ac:dyDescent="0.25">
      <c r="B147" s="113">
        <v>144</v>
      </c>
      <c r="C147" s="353" t="str">
        <f t="shared" si="9"/>
        <v/>
      </c>
      <c r="D147" s="353" t="str">
        <f t="shared" si="10"/>
        <v/>
      </c>
      <c r="E147" s="174"/>
      <c r="F147" s="174"/>
      <c r="G147" s="174"/>
      <c r="H147" s="174"/>
      <c r="I147" s="174"/>
      <c r="J147" s="174"/>
      <c r="K147" s="174"/>
      <c r="L147" s="174"/>
      <c r="M147" s="174"/>
      <c r="N147" s="174"/>
      <c r="O147" s="174"/>
      <c r="P147" s="174"/>
      <c r="Q147" s="174"/>
      <c r="R147" s="174"/>
      <c r="S147" s="174"/>
      <c r="T147" s="174"/>
      <c r="U147" s="174"/>
      <c r="V147" s="174"/>
      <c r="W147" s="174"/>
      <c r="X147" s="174"/>
      <c r="Y147" s="174"/>
      <c r="Z147" s="174"/>
      <c r="AA147" s="174"/>
      <c r="AB147" s="174"/>
      <c r="AC147" s="174"/>
      <c r="AD147" s="174"/>
      <c r="AE147" s="174"/>
      <c r="AF147" s="174"/>
      <c r="AG147" s="174"/>
      <c r="AH147" s="174"/>
      <c r="AI147" s="174"/>
      <c r="AJ147" s="174"/>
      <c r="AK147" s="174"/>
      <c r="AL147" s="174"/>
      <c r="AM147" s="174"/>
      <c r="AN147" s="174"/>
      <c r="AO147" s="174"/>
      <c r="AP147" s="174"/>
      <c r="AQ147" s="174"/>
      <c r="AR147" s="174"/>
      <c r="AS147" s="174"/>
      <c r="AT147" s="174"/>
      <c r="AU147" s="174"/>
      <c r="AV147" s="174"/>
      <c r="AW147" s="174"/>
      <c r="AX147" s="174"/>
      <c r="AY147" s="174"/>
      <c r="AZ147" s="174"/>
      <c r="BA147" s="174"/>
      <c r="BB147" s="174"/>
      <c r="BC147" s="174"/>
      <c r="BD147" s="174"/>
      <c r="BE147" s="174"/>
      <c r="BF147" s="174"/>
      <c r="BG147" s="174"/>
      <c r="BH147" s="174"/>
      <c r="BI147" s="174"/>
      <c r="BJ147" s="174"/>
      <c r="BK147" s="174"/>
      <c r="BL147" s="174"/>
      <c r="BM147" s="174"/>
      <c r="BN147" s="174"/>
      <c r="BO147" s="174"/>
      <c r="BP147" s="174"/>
      <c r="BQ147" s="174"/>
      <c r="BR147" s="174"/>
      <c r="BS147" s="174"/>
      <c r="BT147" s="174"/>
      <c r="BU147" s="174"/>
      <c r="BV147" s="174"/>
      <c r="BW147" s="174"/>
      <c r="BX147" s="174"/>
      <c r="BY147" s="174"/>
      <c r="BZ147" s="174"/>
      <c r="CA147" s="174"/>
      <c r="CB147" s="174"/>
      <c r="CC147" s="174"/>
      <c r="CD147" s="174"/>
      <c r="CE147" s="174"/>
      <c r="CF147" s="174"/>
      <c r="CG147" s="174"/>
      <c r="CH147" s="174"/>
      <c r="CI147" s="174"/>
      <c r="CJ147" s="174"/>
      <c r="CK147" s="174"/>
      <c r="CL147" s="174"/>
      <c r="CM147" s="174"/>
      <c r="CN147" s="174"/>
      <c r="CO147" s="174"/>
      <c r="CP147" s="174"/>
      <c r="CQ147" s="174"/>
      <c r="CR147" s="174"/>
      <c r="CS147" s="174"/>
      <c r="CT147" s="174"/>
      <c r="CU147" s="174"/>
      <c r="CV147" s="174"/>
      <c r="CW147" s="174"/>
      <c r="CX147" s="174"/>
      <c r="CY147" s="174"/>
      <c r="CZ147" s="174"/>
      <c r="DA147" s="174"/>
      <c r="DB147" s="174"/>
      <c r="DC147" s="174"/>
      <c r="DD147" s="174"/>
      <c r="DE147" s="174"/>
      <c r="DF147" s="174"/>
      <c r="DG147" s="174"/>
      <c r="DH147" s="174"/>
      <c r="DI147" s="174"/>
      <c r="DJ147" s="174"/>
      <c r="DK147" s="174"/>
      <c r="DL147" s="174"/>
      <c r="DM147" s="174"/>
      <c r="DN147" s="174"/>
      <c r="DO147" s="174"/>
      <c r="DP147" s="174"/>
      <c r="DQ147" s="174"/>
      <c r="DR147" s="174"/>
      <c r="DS147" s="174"/>
      <c r="DT147" s="174"/>
      <c r="DU147" s="174"/>
      <c r="DV147" s="174"/>
      <c r="DW147" s="174"/>
      <c r="DX147" s="174"/>
      <c r="DY147" s="174"/>
      <c r="DZ147" s="174"/>
      <c r="EA147" s="174"/>
      <c r="EB147" s="174"/>
      <c r="EC147" s="174"/>
      <c r="ED147" s="174"/>
      <c r="EE147" s="174"/>
      <c r="EF147" s="174"/>
      <c r="EG147" s="174"/>
      <c r="EH147" s="174"/>
      <c r="EI147" s="174"/>
      <c r="EJ147" s="174"/>
      <c r="EK147" s="174"/>
      <c r="EL147" s="174"/>
      <c r="EM147" s="174"/>
      <c r="EN147" s="174"/>
      <c r="EO147" s="174"/>
      <c r="EP147" s="174"/>
      <c r="EQ147" s="174"/>
      <c r="ER147" s="174"/>
      <c r="ES147" s="174"/>
      <c r="ET147" s="174"/>
      <c r="EU147" s="174"/>
      <c r="EV147" s="174"/>
      <c r="EW147" s="174"/>
      <c r="EX147" s="174"/>
      <c r="EY147" s="174"/>
      <c r="EZ147" s="174"/>
      <c r="FA147" s="174"/>
      <c r="FB147" s="174"/>
      <c r="FC147" s="174"/>
      <c r="FD147" s="174"/>
      <c r="FE147" s="174"/>
      <c r="FF147" s="174"/>
      <c r="FG147" s="174"/>
      <c r="FH147" s="174"/>
      <c r="FI147" s="174"/>
      <c r="FJ147" s="174"/>
      <c r="FK147" s="174"/>
      <c r="FL147" s="174"/>
      <c r="FM147" s="174"/>
      <c r="FN147" s="174"/>
      <c r="FO147" s="174"/>
      <c r="FP147" s="174"/>
      <c r="FQ147" s="174"/>
      <c r="FR147" s="174"/>
      <c r="FS147" s="174"/>
      <c r="FT147" s="174"/>
      <c r="FU147" s="174"/>
      <c r="FV147" s="174"/>
      <c r="FW147" s="174"/>
      <c r="FX147" s="174"/>
      <c r="FY147" s="174"/>
      <c r="FZ147" s="174"/>
      <c r="GA147" s="174"/>
      <c r="GB147" s="174"/>
      <c r="GC147" s="174"/>
      <c r="GD147" s="174"/>
      <c r="GE147" s="174"/>
      <c r="GF147" s="174"/>
      <c r="GG147" s="174"/>
      <c r="GH147" s="174"/>
      <c r="GI147" s="174"/>
      <c r="GJ147" s="174"/>
      <c r="GK147" s="174"/>
      <c r="GL147" s="174"/>
      <c r="GM147" s="174"/>
      <c r="GN147" s="174"/>
      <c r="GO147" s="174"/>
      <c r="GP147" s="174"/>
      <c r="GQ147" s="174"/>
      <c r="GR147" s="174"/>
      <c r="GS147" s="174"/>
      <c r="GT147" s="174"/>
      <c r="GU147" s="174"/>
      <c r="GV147" s="174"/>
      <c r="GW147" s="174"/>
      <c r="GX147" s="174"/>
      <c r="GY147" s="174"/>
      <c r="GZ147" s="174"/>
      <c r="HA147" s="174"/>
      <c r="HB147" s="174"/>
      <c r="HC147" s="174"/>
      <c r="HD147" s="174"/>
      <c r="HE147" s="174"/>
      <c r="HF147" s="174"/>
      <c r="HG147" s="174"/>
      <c r="HH147" s="174"/>
      <c r="HI147" s="174"/>
      <c r="HJ147" s="174"/>
      <c r="HK147" s="174"/>
      <c r="HL147" s="174"/>
      <c r="HM147" s="174"/>
      <c r="HN147" s="174"/>
      <c r="HO147" s="174"/>
      <c r="HP147" s="174"/>
      <c r="HQ147" s="174"/>
      <c r="HR147" s="174"/>
      <c r="HS147" s="174"/>
      <c r="HT147" s="174"/>
      <c r="HU147" s="174"/>
      <c r="HV147" s="174"/>
      <c r="HW147" s="174"/>
      <c r="HX147" s="174"/>
      <c r="HY147" s="174"/>
      <c r="HZ147" s="174"/>
      <c r="IA147" s="174"/>
      <c r="IB147" s="174"/>
      <c r="IC147" s="174"/>
      <c r="ID147" s="174"/>
      <c r="IE147" s="174"/>
      <c r="IF147" s="174"/>
      <c r="IG147" s="174"/>
      <c r="IH147" s="174"/>
      <c r="II147" s="174"/>
      <c r="IJ147" s="174"/>
      <c r="IK147" s="174"/>
      <c r="IL147" s="174"/>
      <c r="IM147" s="174"/>
      <c r="IN147" s="174"/>
      <c r="IO147" s="174"/>
      <c r="IP147" s="174"/>
      <c r="IQ147" s="174"/>
      <c r="IR147" s="174"/>
      <c r="IS147" s="174"/>
      <c r="IT147" s="174"/>
      <c r="IU147" s="75"/>
      <c r="IV147" s="75"/>
      <c r="IW147" s="75"/>
      <c r="IX147" s="75"/>
      <c r="IY147" s="75"/>
      <c r="IZ147" s="75"/>
      <c r="JA147" s="75"/>
      <c r="JB147" s="75"/>
      <c r="JC147" s="75"/>
      <c r="JD147" s="75"/>
      <c r="JF147" s="710"/>
      <c r="JG147" s="710"/>
      <c r="JH147" s="178">
        <f t="shared" si="11"/>
        <v>0</v>
      </c>
      <c r="JI147" s="174">
        <f t="shared" si="12"/>
        <v>0</v>
      </c>
    </row>
    <row r="148" spans="2:269" ht="15" customHeight="1" x14ac:dyDescent="0.25">
      <c r="B148" s="113">
        <v>145</v>
      </c>
      <c r="C148" s="353" t="str">
        <f t="shared" si="9"/>
        <v/>
      </c>
      <c r="D148" s="353" t="str">
        <f t="shared" si="10"/>
        <v/>
      </c>
      <c r="E148" s="174"/>
      <c r="F148" s="174"/>
      <c r="G148" s="174"/>
      <c r="H148" s="174"/>
      <c r="I148" s="174"/>
      <c r="J148" s="174"/>
      <c r="K148" s="174"/>
      <c r="L148" s="174"/>
      <c r="M148" s="174"/>
      <c r="N148" s="174"/>
      <c r="O148" s="174"/>
      <c r="P148" s="174"/>
      <c r="Q148" s="174"/>
      <c r="R148" s="174"/>
      <c r="S148" s="174"/>
      <c r="T148" s="174"/>
      <c r="U148" s="174"/>
      <c r="V148" s="174"/>
      <c r="W148" s="174"/>
      <c r="X148" s="174"/>
      <c r="Y148" s="174"/>
      <c r="Z148" s="174"/>
      <c r="AA148" s="174"/>
      <c r="AB148" s="174"/>
      <c r="AC148" s="174"/>
      <c r="AD148" s="174"/>
      <c r="AE148" s="174"/>
      <c r="AF148" s="174"/>
      <c r="AG148" s="174"/>
      <c r="AH148" s="174"/>
      <c r="AI148" s="174"/>
      <c r="AJ148" s="174"/>
      <c r="AK148" s="174"/>
      <c r="AL148" s="174"/>
      <c r="AM148" s="174"/>
      <c r="AN148" s="174"/>
      <c r="AO148" s="174"/>
      <c r="AP148" s="174"/>
      <c r="AQ148" s="174"/>
      <c r="AR148" s="174"/>
      <c r="AS148" s="174"/>
      <c r="AT148" s="174"/>
      <c r="AU148" s="174"/>
      <c r="AV148" s="174"/>
      <c r="AW148" s="174"/>
      <c r="AX148" s="174"/>
      <c r="AY148" s="174"/>
      <c r="AZ148" s="174"/>
      <c r="BA148" s="174"/>
      <c r="BB148" s="174"/>
      <c r="BC148" s="174"/>
      <c r="BD148" s="174"/>
      <c r="BE148" s="174"/>
      <c r="BF148" s="174"/>
      <c r="BG148" s="174"/>
      <c r="BH148" s="174"/>
      <c r="BI148" s="174"/>
      <c r="BJ148" s="174"/>
      <c r="BK148" s="174"/>
      <c r="BL148" s="174"/>
      <c r="BM148" s="174"/>
      <c r="BN148" s="174"/>
      <c r="BO148" s="174"/>
      <c r="BP148" s="174"/>
      <c r="BQ148" s="174"/>
      <c r="BR148" s="174"/>
      <c r="BS148" s="174"/>
      <c r="BT148" s="174"/>
      <c r="BU148" s="174"/>
      <c r="BV148" s="174"/>
      <c r="BW148" s="174"/>
      <c r="BX148" s="174"/>
      <c r="BY148" s="174"/>
      <c r="BZ148" s="174"/>
      <c r="CA148" s="174"/>
      <c r="CB148" s="174"/>
      <c r="CC148" s="174"/>
      <c r="CD148" s="174"/>
      <c r="CE148" s="174"/>
      <c r="CF148" s="174"/>
      <c r="CG148" s="174"/>
      <c r="CH148" s="174"/>
      <c r="CI148" s="174"/>
      <c r="CJ148" s="174"/>
      <c r="CK148" s="174"/>
      <c r="CL148" s="174"/>
      <c r="CM148" s="174"/>
      <c r="CN148" s="174"/>
      <c r="CO148" s="174"/>
      <c r="CP148" s="174"/>
      <c r="CQ148" s="174"/>
      <c r="CR148" s="174"/>
      <c r="CS148" s="174"/>
      <c r="CT148" s="174"/>
      <c r="CU148" s="174"/>
      <c r="CV148" s="174"/>
      <c r="CW148" s="174"/>
      <c r="CX148" s="174"/>
      <c r="CY148" s="174"/>
      <c r="CZ148" s="174"/>
      <c r="DA148" s="174"/>
      <c r="DB148" s="174"/>
      <c r="DC148" s="174"/>
      <c r="DD148" s="174"/>
      <c r="DE148" s="174"/>
      <c r="DF148" s="174"/>
      <c r="DG148" s="174"/>
      <c r="DH148" s="174"/>
      <c r="DI148" s="174"/>
      <c r="DJ148" s="174"/>
      <c r="DK148" s="174"/>
      <c r="DL148" s="174"/>
      <c r="DM148" s="174"/>
      <c r="DN148" s="174"/>
      <c r="DO148" s="174"/>
      <c r="DP148" s="174"/>
      <c r="DQ148" s="174"/>
      <c r="DR148" s="174"/>
      <c r="DS148" s="174"/>
      <c r="DT148" s="174"/>
      <c r="DU148" s="174"/>
      <c r="DV148" s="174"/>
      <c r="DW148" s="174"/>
      <c r="DX148" s="174"/>
      <c r="DY148" s="174"/>
      <c r="DZ148" s="174"/>
      <c r="EA148" s="174"/>
      <c r="EB148" s="174"/>
      <c r="EC148" s="174"/>
      <c r="ED148" s="174"/>
      <c r="EE148" s="174"/>
      <c r="EF148" s="174"/>
      <c r="EG148" s="174"/>
      <c r="EH148" s="174"/>
      <c r="EI148" s="174"/>
      <c r="EJ148" s="174"/>
      <c r="EK148" s="174"/>
      <c r="EL148" s="174"/>
      <c r="EM148" s="174"/>
      <c r="EN148" s="174"/>
      <c r="EO148" s="174"/>
      <c r="EP148" s="174"/>
      <c r="EQ148" s="174"/>
      <c r="ER148" s="174"/>
      <c r="ES148" s="174"/>
      <c r="ET148" s="174"/>
      <c r="EU148" s="174"/>
      <c r="EV148" s="174"/>
      <c r="EW148" s="174"/>
      <c r="EX148" s="174"/>
      <c r="EY148" s="174"/>
      <c r="EZ148" s="174"/>
      <c r="FA148" s="174"/>
      <c r="FB148" s="174"/>
      <c r="FC148" s="174"/>
      <c r="FD148" s="174"/>
      <c r="FE148" s="174"/>
      <c r="FF148" s="174"/>
      <c r="FG148" s="174"/>
      <c r="FH148" s="174"/>
      <c r="FI148" s="174"/>
      <c r="FJ148" s="174"/>
      <c r="FK148" s="174"/>
      <c r="FL148" s="174"/>
      <c r="FM148" s="174"/>
      <c r="FN148" s="174"/>
      <c r="FO148" s="174"/>
      <c r="FP148" s="174"/>
      <c r="FQ148" s="174"/>
      <c r="FR148" s="174"/>
      <c r="FS148" s="174"/>
      <c r="FT148" s="174"/>
      <c r="FU148" s="174"/>
      <c r="FV148" s="174"/>
      <c r="FW148" s="174"/>
      <c r="FX148" s="174"/>
      <c r="FY148" s="174"/>
      <c r="FZ148" s="174"/>
      <c r="GA148" s="174"/>
      <c r="GB148" s="174"/>
      <c r="GC148" s="174"/>
      <c r="GD148" s="174"/>
      <c r="GE148" s="174"/>
      <c r="GF148" s="174"/>
      <c r="GG148" s="174"/>
      <c r="GH148" s="174"/>
      <c r="GI148" s="174"/>
      <c r="GJ148" s="174"/>
      <c r="GK148" s="174"/>
      <c r="GL148" s="174"/>
      <c r="GM148" s="174"/>
      <c r="GN148" s="174"/>
      <c r="GO148" s="174"/>
      <c r="GP148" s="174"/>
      <c r="GQ148" s="174"/>
      <c r="GR148" s="174"/>
      <c r="GS148" s="174"/>
      <c r="GT148" s="174"/>
      <c r="GU148" s="174"/>
      <c r="GV148" s="174"/>
      <c r="GW148" s="174"/>
      <c r="GX148" s="174"/>
      <c r="GY148" s="174"/>
      <c r="GZ148" s="174"/>
      <c r="HA148" s="174"/>
      <c r="HB148" s="174"/>
      <c r="HC148" s="174"/>
      <c r="HD148" s="174"/>
      <c r="HE148" s="174"/>
      <c r="HF148" s="174"/>
      <c r="HG148" s="174"/>
      <c r="HH148" s="174"/>
      <c r="HI148" s="174"/>
      <c r="HJ148" s="174"/>
      <c r="HK148" s="174"/>
      <c r="HL148" s="174"/>
      <c r="HM148" s="174"/>
      <c r="HN148" s="174"/>
      <c r="HO148" s="174"/>
      <c r="HP148" s="174"/>
      <c r="HQ148" s="174"/>
      <c r="HR148" s="174"/>
      <c r="HS148" s="174"/>
      <c r="HT148" s="174"/>
      <c r="HU148" s="174"/>
      <c r="HV148" s="174"/>
      <c r="HW148" s="174"/>
      <c r="HX148" s="174"/>
      <c r="HY148" s="174"/>
      <c r="HZ148" s="174"/>
      <c r="IA148" s="174"/>
      <c r="IB148" s="174"/>
      <c r="IC148" s="174"/>
      <c r="ID148" s="174"/>
      <c r="IE148" s="174"/>
      <c r="IF148" s="174"/>
      <c r="IG148" s="174"/>
      <c r="IH148" s="174"/>
      <c r="II148" s="174"/>
      <c r="IJ148" s="174"/>
      <c r="IK148" s="174"/>
      <c r="IL148" s="174"/>
      <c r="IM148" s="174"/>
      <c r="IN148" s="174"/>
      <c r="IO148" s="174"/>
      <c r="IP148" s="174"/>
      <c r="IQ148" s="174"/>
      <c r="IR148" s="174"/>
      <c r="IS148" s="174"/>
      <c r="IT148" s="174"/>
      <c r="IU148" s="75"/>
      <c r="IV148" s="75"/>
      <c r="IW148" s="75"/>
      <c r="IX148" s="75"/>
      <c r="IY148" s="75"/>
      <c r="IZ148" s="75"/>
      <c r="JA148" s="75"/>
      <c r="JB148" s="75"/>
      <c r="JC148" s="75"/>
      <c r="JD148" s="75"/>
      <c r="JF148" s="710"/>
      <c r="JG148" s="710"/>
      <c r="JH148" s="178">
        <f t="shared" si="11"/>
        <v>0</v>
      </c>
      <c r="JI148" s="174">
        <f t="shared" si="12"/>
        <v>0</v>
      </c>
    </row>
    <row r="149" spans="2:269" ht="15" customHeight="1" x14ac:dyDescent="0.25">
      <c r="B149" s="113">
        <v>146</v>
      </c>
      <c r="C149" s="353" t="str">
        <f t="shared" si="9"/>
        <v/>
      </c>
      <c r="D149" s="353" t="str">
        <f t="shared" si="10"/>
        <v/>
      </c>
      <c r="E149" s="174"/>
      <c r="F149" s="174"/>
      <c r="G149" s="174"/>
      <c r="H149" s="174"/>
      <c r="I149" s="174"/>
      <c r="J149" s="174"/>
      <c r="K149" s="174"/>
      <c r="L149" s="174"/>
      <c r="M149" s="174"/>
      <c r="N149" s="174"/>
      <c r="O149" s="174"/>
      <c r="P149" s="174"/>
      <c r="Q149" s="174"/>
      <c r="R149" s="174"/>
      <c r="S149" s="174"/>
      <c r="T149" s="174"/>
      <c r="U149" s="174"/>
      <c r="V149" s="174"/>
      <c r="W149" s="174"/>
      <c r="X149" s="174"/>
      <c r="Y149" s="174"/>
      <c r="Z149" s="174"/>
      <c r="AA149" s="174"/>
      <c r="AB149" s="174"/>
      <c r="AC149" s="174"/>
      <c r="AD149" s="174"/>
      <c r="AE149" s="174"/>
      <c r="AF149" s="174"/>
      <c r="AG149" s="174"/>
      <c r="AH149" s="174"/>
      <c r="AI149" s="174"/>
      <c r="AJ149" s="174"/>
      <c r="AK149" s="174"/>
      <c r="AL149" s="174"/>
      <c r="AM149" s="174"/>
      <c r="AN149" s="174"/>
      <c r="AO149" s="174"/>
      <c r="AP149" s="174"/>
      <c r="AQ149" s="174"/>
      <c r="AR149" s="174"/>
      <c r="AS149" s="174"/>
      <c r="AT149" s="174"/>
      <c r="AU149" s="174"/>
      <c r="AV149" s="174"/>
      <c r="AW149" s="174"/>
      <c r="AX149" s="174"/>
      <c r="AY149" s="174"/>
      <c r="AZ149" s="174"/>
      <c r="BA149" s="174"/>
      <c r="BB149" s="174"/>
      <c r="BC149" s="174"/>
      <c r="BD149" s="174"/>
      <c r="BE149" s="174"/>
      <c r="BF149" s="174"/>
      <c r="BG149" s="174"/>
      <c r="BH149" s="174"/>
      <c r="BI149" s="174"/>
      <c r="BJ149" s="174"/>
      <c r="BK149" s="174"/>
      <c r="BL149" s="174"/>
      <c r="BM149" s="174"/>
      <c r="BN149" s="174"/>
      <c r="BO149" s="174"/>
      <c r="BP149" s="174"/>
      <c r="BQ149" s="174"/>
      <c r="BR149" s="174"/>
      <c r="BS149" s="174"/>
      <c r="BT149" s="174"/>
      <c r="BU149" s="174"/>
      <c r="BV149" s="174"/>
      <c r="BW149" s="174"/>
      <c r="BX149" s="174"/>
      <c r="BY149" s="174"/>
      <c r="BZ149" s="174"/>
      <c r="CA149" s="174"/>
      <c r="CB149" s="174"/>
      <c r="CC149" s="174"/>
      <c r="CD149" s="174"/>
      <c r="CE149" s="174"/>
      <c r="CF149" s="174"/>
      <c r="CG149" s="174"/>
      <c r="CH149" s="174"/>
      <c r="CI149" s="174"/>
      <c r="CJ149" s="174"/>
      <c r="CK149" s="174"/>
      <c r="CL149" s="174"/>
      <c r="CM149" s="174"/>
      <c r="CN149" s="174"/>
      <c r="CO149" s="174"/>
      <c r="CP149" s="174"/>
      <c r="CQ149" s="174"/>
      <c r="CR149" s="174"/>
      <c r="CS149" s="174"/>
      <c r="CT149" s="174"/>
      <c r="CU149" s="174"/>
      <c r="CV149" s="174"/>
      <c r="CW149" s="174"/>
      <c r="CX149" s="174"/>
      <c r="CY149" s="174"/>
      <c r="CZ149" s="174"/>
      <c r="DA149" s="174"/>
      <c r="DB149" s="174"/>
      <c r="DC149" s="174"/>
      <c r="DD149" s="174"/>
      <c r="DE149" s="174"/>
      <c r="DF149" s="174"/>
      <c r="DG149" s="174"/>
      <c r="DH149" s="174"/>
      <c r="DI149" s="174"/>
      <c r="DJ149" s="174"/>
      <c r="DK149" s="174"/>
      <c r="DL149" s="174"/>
      <c r="DM149" s="174"/>
      <c r="DN149" s="174"/>
      <c r="DO149" s="174"/>
      <c r="DP149" s="174"/>
      <c r="DQ149" s="174"/>
      <c r="DR149" s="174"/>
      <c r="DS149" s="174"/>
      <c r="DT149" s="174"/>
      <c r="DU149" s="174"/>
      <c r="DV149" s="174"/>
      <c r="DW149" s="174"/>
      <c r="DX149" s="174"/>
      <c r="DY149" s="174"/>
      <c r="DZ149" s="174"/>
      <c r="EA149" s="174"/>
      <c r="EB149" s="174"/>
      <c r="EC149" s="174"/>
      <c r="ED149" s="174"/>
      <c r="EE149" s="174"/>
      <c r="EF149" s="174"/>
      <c r="EG149" s="174"/>
      <c r="EH149" s="174"/>
      <c r="EI149" s="174"/>
      <c r="EJ149" s="174"/>
      <c r="EK149" s="174"/>
      <c r="EL149" s="174"/>
      <c r="EM149" s="174"/>
      <c r="EN149" s="174"/>
      <c r="EO149" s="174"/>
      <c r="EP149" s="174"/>
      <c r="EQ149" s="174"/>
      <c r="ER149" s="174"/>
      <c r="ES149" s="174"/>
      <c r="ET149" s="174"/>
      <c r="EU149" s="174"/>
      <c r="EV149" s="174"/>
      <c r="EW149" s="174"/>
      <c r="EX149" s="174"/>
      <c r="EY149" s="174"/>
      <c r="EZ149" s="174"/>
      <c r="FA149" s="174"/>
      <c r="FB149" s="174"/>
      <c r="FC149" s="174"/>
      <c r="FD149" s="174"/>
      <c r="FE149" s="174"/>
      <c r="FF149" s="174"/>
      <c r="FG149" s="174"/>
      <c r="FH149" s="174"/>
      <c r="FI149" s="174"/>
      <c r="FJ149" s="174"/>
      <c r="FK149" s="174"/>
      <c r="FL149" s="174"/>
      <c r="FM149" s="174"/>
      <c r="FN149" s="174"/>
      <c r="FO149" s="174"/>
      <c r="FP149" s="174"/>
      <c r="FQ149" s="174"/>
      <c r="FR149" s="174"/>
      <c r="FS149" s="174"/>
      <c r="FT149" s="174"/>
      <c r="FU149" s="174"/>
      <c r="FV149" s="174"/>
      <c r="FW149" s="174"/>
      <c r="FX149" s="174"/>
      <c r="FY149" s="174"/>
      <c r="FZ149" s="174"/>
      <c r="GA149" s="174"/>
      <c r="GB149" s="174"/>
      <c r="GC149" s="174"/>
      <c r="GD149" s="174"/>
      <c r="GE149" s="174"/>
      <c r="GF149" s="174"/>
      <c r="GG149" s="174"/>
      <c r="GH149" s="174"/>
      <c r="GI149" s="174"/>
      <c r="GJ149" s="174"/>
      <c r="GK149" s="174"/>
      <c r="GL149" s="174"/>
      <c r="GM149" s="174"/>
      <c r="GN149" s="174"/>
      <c r="GO149" s="174"/>
      <c r="GP149" s="174"/>
      <c r="GQ149" s="174"/>
      <c r="GR149" s="174"/>
      <c r="GS149" s="174"/>
      <c r="GT149" s="174"/>
      <c r="GU149" s="174"/>
      <c r="GV149" s="174"/>
      <c r="GW149" s="174"/>
      <c r="GX149" s="174"/>
      <c r="GY149" s="174"/>
      <c r="GZ149" s="174"/>
      <c r="HA149" s="174"/>
      <c r="HB149" s="174"/>
      <c r="HC149" s="174"/>
      <c r="HD149" s="174"/>
      <c r="HE149" s="174"/>
      <c r="HF149" s="174"/>
      <c r="HG149" s="174"/>
      <c r="HH149" s="174"/>
      <c r="HI149" s="174"/>
      <c r="HJ149" s="174"/>
      <c r="HK149" s="174"/>
      <c r="HL149" s="174"/>
      <c r="HM149" s="174"/>
      <c r="HN149" s="174"/>
      <c r="HO149" s="174"/>
      <c r="HP149" s="174"/>
      <c r="HQ149" s="174"/>
      <c r="HR149" s="174"/>
      <c r="HS149" s="174"/>
      <c r="HT149" s="174"/>
      <c r="HU149" s="174"/>
      <c r="HV149" s="174"/>
      <c r="HW149" s="174"/>
      <c r="HX149" s="174"/>
      <c r="HY149" s="174"/>
      <c r="HZ149" s="174"/>
      <c r="IA149" s="174"/>
      <c r="IB149" s="174"/>
      <c r="IC149" s="174"/>
      <c r="ID149" s="174"/>
      <c r="IE149" s="174"/>
      <c r="IF149" s="174"/>
      <c r="IG149" s="174"/>
      <c r="IH149" s="174"/>
      <c r="II149" s="174"/>
      <c r="IJ149" s="174"/>
      <c r="IK149" s="174"/>
      <c r="IL149" s="174"/>
      <c r="IM149" s="174"/>
      <c r="IN149" s="174"/>
      <c r="IO149" s="174"/>
      <c r="IP149" s="174"/>
      <c r="IQ149" s="174"/>
      <c r="IR149" s="174"/>
      <c r="IS149" s="174"/>
      <c r="IT149" s="174"/>
      <c r="IU149" s="75"/>
      <c r="IV149" s="75"/>
      <c r="IW149" s="75"/>
      <c r="IX149" s="75"/>
      <c r="IY149" s="75"/>
      <c r="IZ149" s="75"/>
      <c r="JA149" s="75"/>
      <c r="JB149" s="75"/>
      <c r="JC149" s="75"/>
      <c r="JD149" s="75"/>
      <c r="JF149" s="710"/>
      <c r="JG149" s="710"/>
      <c r="JH149" s="178">
        <f t="shared" si="11"/>
        <v>0</v>
      </c>
      <c r="JI149" s="174">
        <f t="shared" si="12"/>
        <v>0</v>
      </c>
    </row>
    <row r="150" spans="2:269" ht="15" customHeight="1" x14ac:dyDescent="0.25">
      <c r="B150" s="113">
        <v>147</v>
      </c>
      <c r="C150" s="353" t="str">
        <f t="shared" si="9"/>
        <v/>
      </c>
      <c r="D150" s="353" t="str">
        <f t="shared" si="10"/>
        <v/>
      </c>
      <c r="E150" s="174"/>
      <c r="F150" s="174"/>
      <c r="G150" s="174"/>
      <c r="H150" s="174"/>
      <c r="I150" s="174"/>
      <c r="J150" s="174"/>
      <c r="K150" s="174"/>
      <c r="L150" s="174"/>
      <c r="M150" s="174"/>
      <c r="N150" s="174"/>
      <c r="O150" s="174"/>
      <c r="P150" s="174"/>
      <c r="Q150" s="174"/>
      <c r="R150" s="174"/>
      <c r="S150" s="174"/>
      <c r="T150" s="174"/>
      <c r="U150" s="174"/>
      <c r="V150" s="174"/>
      <c r="W150" s="174"/>
      <c r="X150" s="174"/>
      <c r="Y150" s="174"/>
      <c r="Z150" s="174"/>
      <c r="AA150" s="174"/>
      <c r="AB150" s="174"/>
      <c r="AC150" s="174"/>
      <c r="AD150" s="174"/>
      <c r="AE150" s="174"/>
      <c r="AF150" s="174"/>
      <c r="AG150" s="174"/>
      <c r="AH150" s="174"/>
      <c r="AI150" s="174"/>
      <c r="AJ150" s="174"/>
      <c r="AK150" s="174"/>
      <c r="AL150" s="174"/>
      <c r="AM150" s="174"/>
      <c r="AN150" s="174"/>
      <c r="AO150" s="174"/>
      <c r="AP150" s="174"/>
      <c r="AQ150" s="174"/>
      <c r="AR150" s="174"/>
      <c r="AS150" s="174"/>
      <c r="AT150" s="174"/>
      <c r="AU150" s="174"/>
      <c r="AV150" s="174"/>
      <c r="AW150" s="174"/>
      <c r="AX150" s="174"/>
      <c r="AY150" s="174"/>
      <c r="AZ150" s="174"/>
      <c r="BA150" s="174"/>
      <c r="BB150" s="174"/>
      <c r="BC150" s="174"/>
      <c r="BD150" s="174"/>
      <c r="BE150" s="174"/>
      <c r="BF150" s="174"/>
      <c r="BG150" s="174"/>
      <c r="BH150" s="174"/>
      <c r="BI150" s="174"/>
      <c r="BJ150" s="174"/>
      <c r="BK150" s="174"/>
      <c r="BL150" s="174"/>
      <c r="BM150" s="174"/>
      <c r="BN150" s="174"/>
      <c r="BO150" s="174"/>
      <c r="BP150" s="174"/>
      <c r="BQ150" s="174"/>
      <c r="BR150" s="174"/>
      <c r="BS150" s="174"/>
      <c r="BT150" s="174"/>
      <c r="BU150" s="174"/>
      <c r="BV150" s="174"/>
      <c r="BW150" s="174"/>
      <c r="BX150" s="174"/>
      <c r="BY150" s="174"/>
      <c r="BZ150" s="174"/>
      <c r="CA150" s="174"/>
      <c r="CB150" s="174"/>
      <c r="CC150" s="174"/>
      <c r="CD150" s="174"/>
      <c r="CE150" s="174"/>
      <c r="CF150" s="174"/>
      <c r="CG150" s="174"/>
      <c r="CH150" s="174"/>
      <c r="CI150" s="174"/>
      <c r="CJ150" s="174"/>
      <c r="CK150" s="174"/>
      <c r="CL150" s="174"/>
      <c r="CM150" s="174"/>
      <c r="CN150" s="174"/>
      <c r="CO150" s="174"/>
      <c r="CP150" s="174"/>
      <c r="CQ150" s="174"/>
      <c r="CR150" s="174"/>
      <c r="CS150" s="174"/>
      <c r="CT150" s="174"/>
      <c r="CU150" s="174"/>
      <c r="CV150" s="174"/>
      <c r="CW150" s="174"/>
      <c r="CX150" s="174"/>
      <c r="CY150" s="174"/>
      <c r="CZ150" s="174"/>
      <c r="DA150" s="174"/>
      <c r="DB150" s="174"/>
      <c r="DC150" s="174"/>
      <c r="DD150" s="174"/>
      <c r="DE150" s="174"/>
      <c r="DF150" s="174"/>
      <c r="DG150" s="174"/>
      <c r="DH150" s="174"/>
      <c r="DI150" s="174"/>
      <c r="DJ150" s="174"/>
      <c r="DK150" s="174"/>
      <c r="DL150" s="174"/>
      <c r="DM150" s="174"/>
      <c r="DN150" s="174"/>
      <c r="DO150" s="174"/>
      <c r="DP150" s="174"/>
      <c r="DQ150" s="174"/>
      <c r="DR150" s="174"/>
      <c r="DS150" s="174"/>
      <c r="DT150" s="174"/>
      <c r="DU150" s="174"/>
      <c r="DV150" s="174"/>
      <c r="DW150" s="174"/>
      <c r="DX150" s="174"/>
      <c r="DY150" s="174"/>
      <c r="DZ150" s="174"/>
      <c r="EA150" s="174"/>
      <c r="EB150" s="174"/>
      <c r="EC150" s="174"/>
      <c r="ED150" s="174"/>
      <c r="EE150" s="174"/>
      <c r="EF150" s="174"/>
      <c r="EG150" s="174"/>
      <c r="EH150" s="174"/>
      <c r="EI150" s="174"/>
      <c r="EJ150" s="174"/>
      <c r="EK150" s="174"/>
      <c r="EL150" s="174"/>
      <c r="EM150" s="174"/>
      <c r="EN150" s="174"/>
      <c r="EO150" s="174"/>
      <c r="EP150" s="174"/>
      <c r="EQ150" s="174"/>
      <c r="ER150" s="174"/>
      <c r="ES150" s="174"/>
      <c r="ET150" s="174"/>
      <c r="EU150" s="174"/>
      <c r="EV150" s="174"/>
      <c r="EW150" s="174"/>
      <c r="EX150" s="174"/>
      <c r="EY150" s="174"/>
      <c r="EZ150" s="174"/>
      <c r="FA150" s="174"/>
      <c r="FB150" s="174"/>
      <c r="FC150" s="174"/>
      <c r="FD150" s="174"/>
      <c r="FE150" s="174"/>
      <c r="FF150" s="174"/>
      <c r="FG150" s="174"/>
      <c r="FH150" s="174"/>
      <c r="FI150" s="174"/>
      <c r="FJ150" s="174"/>
      <c r="FK150" s="174"/>
      <c r="FL150" s="174"/>
      <c r="FM150" s="174"/>
      <c r="FN150" s="174"/>
      <c r="FO150" s="174"/>
      <c r="FP150" s="174"/>
      <c r="FQ150" s="174"/>
      <c r="FR150" s="174"/>
      <c r="FS150" s="174"/>
      <c r="FT150" s="174"/>
      <c r="FU150" s="174"/>
      <c r="FV150" s="174"/>
      <c r="FW150" s="174"/>
      <c r="FX150" s="174"/>
      <c r="FY150" s="174"/>
      <c r="FZ150" s="174"/>
      <c r="GA150" s="174"/>
      <c r="GB150" s="174"/>
      <c r="GC150" s="174"/>
      <c r="GD150" s="174"/>
      <c r="GE150" s="174"/>
      <c r="GF150" s="174"/>
      <c r="GG150" s="174"/>
      <c r="GH150" s="174"/>
      <c r="GI150" s="174"/>
      <c r="GJ150" s="174"/>
      <c r="GK150" s="174"/>
      <c r="GL150" s="174"/>
      <c r="GM150" s="174"/>
      <c r="GN150" s="174"/>
      <c r="GO150" s="174"/>
      <c r="GP150" s="174"/>
      <c r="GQ150" s="174"/>
      <c r="GR150" s="174"/>
      <c r="GS150" s="174"/>
      <c r="GT150" s="174"/>
      <c r="GU150" s="174"/>
      <c r="GV150" s="174"/>
      <c r="GW150" s="174"/>
      <c r="GX150" s="174"/>
      <c r="GY150" s="174"/>
      <c r="GZ150" s="174"/>
      <c r="HA150" s="174"/>
      <c r="HB150" s="174"/>
      <c r="HC150" s="174"/>
      <c r="HD150" s="174"/>
      <c r="HE150" s="174"/>
      <c r="HF150" s="174"/>
      <c r="HG150" s="174"/>
      <c r="HH150" s="174"/>
      <c r="HI150" s="174"/>
      <c r="HJ150" s="174"/>
      <c r="HK150" s="174"/>
      <c r="HL150" s="174"/>
      <c r="HM150" s="174"/>
      <c r="HN150" s="174"/>
      <c r="HO150" s="174"/>
      <c r="HP150" s="174"/>
      <c r="HQ150" s="174"/>
      <c r="HR150" s="174"/>
      <c r="HS150" s="174"/>
      <c r="HT150" s="174"/>
      <c r="HU150" s="174"/>
      <c r="HV150" s="174"/>
      <c r="HW150" s="174"/>
      <c r="HX150" s="174"/>
      <c r="HY150" s="174"/>
      <c r="HZ150" s="174"/>
      <c r="IA150" s="174"/>
      <c r="IB150" s="174"/>
      <c r="IC150" s="174"/>
      <c r="ID150" s="174"/>
      <c r="IE150" s="174"/>
      <c r="IF150" s="174"/>
      <c r="IG150" s="174"/>
      <c r="IH150" s="174"/>
      <c r="II150" s="174"/>
      <c r="IJ150" s="174"/>
      <c r="IK150" s="174"/>
      <c r="IL150" s="174"/>
      <c r="IM150" s="174"/>
      <c r="IN150" s="174"/>
      <c r="IO150" s="174"/>
      <c r="IP150" s="174"/>
      <c r="IQ150" s="174"/>
      <c r="IR150" s="174"/>
      <c r="IS150" s="174"/>
      <c r="IT150" s="174"/>
      <c r="IU150" s="75"/>
      <c r="IV150" s="75"/>
      <c r="IW150" s="75"/>
      <c r="IX150" s="75"/>
      <c r="IY150" s="75"/>
      <c r="IZ150" s="75"/>
      <c r="JA150" s="75"/>
      <c r="JB150" s="75"/>
      <c r="JC150" s="75"/>
      <c r="JD150" s="75"/>
      <c r="JF150" s="710"/>
      <c r="JG150" s="710"/>
      <c r="JH150" s="178">
        <f t="shared" si="11"/>
        <v>0</v>
      </c>
      <c r="JI150" s="174">
        <f t="shared" si="12"/>
        <v>0</v>
      </c>
    </row>
    <row r="151" spans="2:269" ht="15" customHeight="1" x14ac:dyDescent="0.25">
      <c r="B151" s="113">
        <v>148</v>
      </c>
      <c r="C151" s="353" t="str">
        <f t="shared" ref="C151:C199" si="13">IF(JF151&lt;&gt;"",JF151,"")</f>
        <v/>
      </c>
      <c r="D151" s="353" t="str">
        <f t="shared" ref="D151:D199" si="14">IF(JG151&lt;&gt;"",JG151,"")</f>
        <v/>
      </c>
      <c r="E151" s="174"/>
      <c r="F151" s="174"/>
      <c r="G151" s="174"/>
      <c r="H151" s="174"/>
      <c r="I151" s="174"/>
      <c r="J151" s="174"/>
      <c r="K151" s="174"/>
      <c r="L151" s="174"/>
      <c r="M151" s="174"/>
      <c r="N151" s="174"/>
      <c r="O151" s="174"/>
      <c r="P151" s="174"/>
      <c r="Q151" s="174"/>
      <c r="R151" s="174"/>
      <c r="S151" s="174"/>
      <c r="T151" s="174"/>
      <c r="U151" s="174"/>
      <c r="V151" s="174"/>
      <c r="W151" s="174"/>
      <c r="X151" s="174"/>
      <c r="Y151" s="174"/>
      <c r="Z151" s="174"/>
      <c r="AA151" s="174"/>
      <c r="AB151" s="174"/>
      <c r="AC151" s="174"/>
      <c r="AD151" s="174"/>
      <c r="AE151" s="174"/>
      <c r="AF151" s="174"/>
      <c r="AG151" s="174"/>
      <c r="AH151" s="174"/>
      <c r="AI151" s="174"/>
      <c r="AJ151" s="174"/>
      <c r="AK151" s="174"/>
      <c r="AL151" s="174"/>
      <c r="AM151" s="174"/>
      <c r="AN151" s="174"/>
      <c r="AO151" s="174"/>
      <c r="AP151" s="174"/>
      <c r="AQ151" s="174"/>
      <c r="AR151" s="174"/>
      <c r="AS151" s="174"/>
      <c r="AT151" s="174"/>
      <c r="AU151" s="174"/>
      <c r="AV151" s="174"/>
      <c r="AW151" s="174"/>
      <c r="AX151" s="174"/>
      <c r="AY151" s="174"/>
      <c r="AZ151" s="174"/>
      <c r="BA151" s="174"/>
      <c r="BB151" s="174"/>
      <c r="BC151" s="174"/>
      <c r="BD151" s="174"/>
      <c r="BE151" s="174"/>
      <c r="BF151" s="174"/>
      <c r="BG151" s="174"/>
      <c r="BH151" s="174"/>
      <c r="BI151" s="174"/>
      <c r="BJ151" s="174"/>
      <c r="BK151" s="174"/>
      <c r="BL151" s="174"/>
      <c r="BM151" s="174"/>
      <c r="BN151" s="174"/>
      <c r="BO151" s="174"/>
      <c r="BP151" s="174"/>
      <c r="BQ151" s="174"/>
      <c r="BR151" s="174"/>
      <c r="BS151" s="174"/>
      <c r="BT151" s="174"/>
      <c r="BU151" s="174"/>
      <c r="BV151" s="174"/>
      <c r="BW151" s="174"/>
      <c r="BX151" s="174"/>
      <c r="BY151" s="174"/>
      <c r="BZ151" s="174"/>
      <c r="CA151" s="174"/>
      <c r="CB151" s="174"/>
      <c r="CC151" s="174"/>
      <c r="CD151" s="174"/>
      <c r="CE151" s="174"/>
      <c r="CF151" s="174"/>
      <c r="CG151" s="174"/>
      <c r="CH151" s="174"/>
      <c r="CI151" s="174"/>
      <c r="CJ151" s="174"/>
      <c r="CK151" s="174"/>
      <c r="CL151" s="174"/>
      <c r="CM151" s="174"/>
      <c r="CN151" s="174"/>
      <c r="CO151" s="174"/>
      <c r="CP151" s="174"/>
      <c r="CQ151" s="174"/>
      <c r="CR151" s="174"/>
      <c r="CS151" s="174"/>
      <c r="CT151" s="174"/>
      <c r="CU151" s="174"/>
      <c r="CV151" s="174"/>
      <c r="CW151" s="174"/>
      <c r="CX151" s="174"/>
      <c r="CY151" s="174"/>
      <c r="CZ151" s="174"/>
      <c r="DA151" s="174"/>
      <c r="DB151" s="174"/>
      <c r="DC151" s="174"/>
      <c r="DD151" s="174"/>
      <c r="DE151" s="174"/>
      <c r="DF151" s="174"/>
      <c r="DG151" s="174"/>
      <c r="DH151" s="174"/>
      <c r="DI151" s="174"/>
      <c r="DJ151" s="174"/>
      <c r="DK151" s="174"/>
      <c r="DL151" s="174"/>
      <c r="DM151" s="174"/>
      <c r="DN151" s="174"/>
      <c r="DO151" s="174"/>
      <c r="DP151" s="174"/>
      <c r="DQ151" s="174"/>
      <c r="DR151" s="174"/>
      <c r="DS151" s="174"/>
      <c r="DT151" s="174"/>
      <c r="DU151" s="174"/>
      <c r="DV151" s="174"/>
      <c r="DW151" s="174"/>
      <c r="DX151" s="174"/>
      <c r="DY151" s="174"/>
      <c r="DZ151" s="174"/>
      <c r="EA151" s="174"/>
      <c r="EB151" s="174"/>
      <c r="EC151" s="174"/>
      <c r="ED151" s="174"/>
      <c r="EE151" s="174"/>
      <c r="EF151" s="174"/>
      <c r="EG151" s="174"/>
      <c r="EH151" s="174"/>
      <c r="EI151" s="174"/>
      <c r="EJ151" s="174"/>
      <c r="EK151" s="174"/>
      <c r="EL151" s="174"/>
      <c r="EM151" s="174"/>
      <c r="EN151" s="174"/>
      <c r="EO151" s="174"/>
      <c r="EP151" s="174"/>
      <c r="EQ151" s="174"/>
      <c r="ER151" s="174"/>
      <c r="ES151" s="174"/>
      <c r="ET151" s="174"/>
      <c r="EU151" s="174"/>
      <c r="EV151" s="174"/>
      <c r="EW151" s="174"/>
      <c r="EX151" s="174"/>
      <c r="EY151" s="174"/>
      <c r="EZ151" s="174"/>
      <c r="FA151" s="174"/>
      <c r="FB151" s="174"/>
      <c r="FC151" s="174"/>
      <c r="FD151" s="174"/>
      <c r="FE151" s="174"/>
      <c r="FF151" s="174"/>
      <c r="FG151" s="174"/>
      <c r="FH151" s="174"/>
      <c r="FI151" s="174"/>
      <c r="FJ151" s="174"/>
      <c r="FK151" s="174"/>
      <c r="FL151" s="174"/>
      <c r="FM151" s="174"/>
      <c r="FN151" s="174"/>
      <c r="FO151" s="174"/>
      <c r="FP151" s="174"/>
      <c r="FQ151" s="174"/>
      <c r="FR151" s="174"/>
      <c r="FS151" s="174"/>
      <c r="FT151" s="174"/>
      <c r="FU151" s="174"/>
      <c r="FV151" s="174"/>
      <c r="FW151" s="174"/>
      <c r="FX151" s="174"/>
      <c r="FY151" s="174"/>
      <c r="FZ151" s="174"/>
      <c r="GA151" s="174"/>
      <c r="GB151" s="174"/>
      <c r="GC151" s="174"/>
      <c r="GD151" s="174"/>
      <c r="GE151" s="174"/>
      <c r="GF151" s="174"/>
      <c r="GG151" s="174"/>
      <c r="GH151" s="174"/>
      <c r="GI151" s="174"/>
      <c r="GJ151" s="174"/>
      <c r="GK151" s="174"/>
      <c r="GL151" s="174"/>
      <c r="GM151" s="174"/>
      <c r="GN151" s="174"/>
      <c r="GO151" s="174"/>
      <c r="GP151" s="174"/>
      <c r="GQ151" s="174"/>
      <c r="GR151" s="174"/>
      <c r="GS151" s="174"/>
      <c r="GT151" s="174"/>
      <c r="GU151" s="174"/>
      <c r="GV151" s="174"/>
      <c r="GW151" s="174"/>
      <c r="GX151" s="174"/>
      <c r="GY151" s="174"/>
      <c r="GZ151" s="174"/>
      <c r="HA151" s="174"/>
      <c r="HB151" s="174"/>
      <c r="HC151" s="174"/>
      <c r="HD151" s="174"/>
      <c r="HE151" s="174"/>
      <c r="HF151" s="174"/>
      <c r="HG151" s="174"/>
      <c r="HH151" s="174"/>
      <c r="HI151" s="174"/>
      <c r="HJ151" s="174"/>
      <c r="HK151" s="174"/>
      <c r="HL151" s="174"/>
      <c r="HM151" s="174"/>
      <c r="HN151" s="174"/>
      <c r="HO151" s="174"/>
      <c r="HP151" s="174"/>
      <c r="HQ151" s="174"/>
      <c r="HR151" s="174"/>
      <c r="HS151" s="174"/>
      <c r="HT151" s="174"/>
      <c r="HU151" s="174"/>
      <c r="HV151" s="174"/>
      <c r="HW151" s="174"/>
      <c r="HX151" s="174"/>
      <c r="HY151" s="174"/>
      <c r="HZ151" s="174"/>
      <c r="IA151" s="174"/>
      <c r="IB151" s="174"/>
      <c r="IC151" s="174"/>
      <c r="ID151" s="174"/>
      <c r="IE151" s="174"/>
      <c r="IF151" s="174"/>
      <c r="IG151" s="174"/>
      <c r="IH151" s="174"/>
      <c r="II151" s="174"/>
      <c r="IJ151" s="174"/>
      <c r="IK151" s="174"/>
      <c r="IL151" s="174"/>
      <c r="IM151" s="174"/>
      <c r="IN151" s="174"/>
      <c r="IO151" s="174"/>
      <c r="IP151" s="174"/>
      <c r="IQ151" s="174"/>
      <c r="IR151" s="174"/>
      <c r="IS151" s="174"/>
      <c r="IT151" s="174"/>
      <c r="IU151" s="75"/>
      <c r="IV151" s="75"/>
      <c r="IW151" s="75"/>
      <c r="IX151" s="75"/>
      <c r="IY151" s="75"/>
      <c r="IZ151" s="75"/>
      <c r="JA151" s="75"/>
      <c r="JB151" s="75"/>
      <c r="JC151" s="75"/>
      <c r="JD151" s="75"/>
      <c r="JF151" s="710"/>
      <c r="JG151" s="710"/>
      <c r="JH151" s="178">
        <f t="shared" si="11"/>
        <v>0</v>
      </c>
      <c r="JI151" s="174">
        <f t="shared" si="12"/>
        <v>0</v>
      </c>
    </row>
    <row r="152" spans="2:269" ht="15" customHeight="1" x14ac:dyDescent="0.25">
      <c r="B152" s="113">
        <v>149</v>
      </c>
      <c r="C152" s="353" t="str">
        <f t="shared" si="13"/>
        <v/>
      </c>
      <c r="D152" s="353" t="str">
        <f t="shared" si="14"/>
        <v/>
      </c>
      <c r="E152" s="174"/>
      <c r="F152" s="174"/>
      <c r="G152" s="174"/>
      <c r="H152" s="174"/>
      <c r="I152" s="174"/>
      <c r="J152" s="174"/>
      <c r="K152" s="174"/>
      <c r="L152" s="174"/>
      <c r="M152" s="174"/>
      <c r="N152" s="174"/>
      <c r="O152" s="174"/>
      <c r="P152" s="174"/>
      <c r="Q152" s="174"/>
      <c r="R152" s="174"/>
      <c r="S152" s="174"/>
      <c r="T152" s="174"/>
      <c r="U152" s="174"/>
      <c r="V152" s="174"/>
      <c r="W152" s="174"/>
      <c r="X152" s="174"/>
      <c r="Y152" s="174"/>
      <c r="Z152" s="174"/>
      <c r="AA152" s="174"/>
      <c r="AB152" s="174"/>
      <c r="AC152" s="174"/>
      <c r="AD152" s="174"/>
      <c r="AE152" s="174"/>
      <c r="AF152" s="174"/>
      <c r="AG152" s="174"/>
      <c r="AH152" s="174"/>
      <c r="AI152" s="174"/>
      <c r="AJ152" s="174"/>
      <c r="AK152" s="174"/>
      <c r="AL152" s="174"/>
      <c r="AM152" s="174"/>
      <c r="AN152" s="174"/>
      <c r="AO152" s="174"/>
      <c r="AP152" s="174"/>
      <c r="AQ152" s="174"/>
      <c r="AR152" s="174"/>
      <c r="AS152" s="174"/>
      <c r="AT152" s="174"/>
      <c r="AU152" s="174"/>
      <c r="AV152" s="174"/>
      <c r="AW152" s="174"/>
      <c r="AX152" s="174"/>
      <c r="AY152" s="174"/>
      <c r="AZ152" s="174"/>
      <c r="BA152" s="174"/>
      <c r="BB152" s="174"/>
      <c r="BC152" s="174"/>
      <c r="BD152" s="174"/>
      <c r="BE152" s="174"/>
      <c r="BF152" s="174"/>
      <c r="BG152" s="174"/>
      <c r="BH152" s="174"/>
      <c r="BI152" s="174"/>
      <c r="BJ152" s="174"/>
      <c r="BK152" s="174"/>
      <c r="BL152" s="174"/>
      <c r="BM152" s="174"/>
      <c r="BN152" s="174"/>
      <c r="BO152" s="174"/>
      <c r="BP152" s="174"/>
      <c r="BQ152" s="174"/>
      <c r="BR152" s="174"/>
      <c r="BS152" s="174"/>
      <c r="BT152" s="174"/>
      <c r="BU152" s="174"/>
      <c r="BV152" s="174"/>
      <c r="BW152" s="174"/>
      <c r="BX152" s="174"/>
      <c r="BY152" s="174"/>
      <c r="BZ152" s="174"/>
      <c r="CA152" s="174"/>
      <c r="CB152" s="174"/>
      <c r="CC152" s="174"/>
      <c r="CD152" s="174"/>
      <c r="CE152" s="174"/>
      <c r="CF152" s="174"/>
      <c r="CG152" s="174"/>
      <c r="CH152" s="174"/>
      <c r="CI152" s="174"/>
      <c r="CJ152" s="174"/>
      <c r="CK152" s="174"/>
      <c r="CL152" s="174"/>
      <c r="CM152" s="174"/>
      <c r="CN152" s="174"/>
      <c r="CO152" s="174"/>
      <c r="CP152" s="174"/>
      <c r="CQ152" s="174"/>
      <c r="CR152" s="174"/>
      <c r="CS152" s="174"/>
      <c r="CT152" s="174"/>
      <c r="CU152" s="174"/>
      <c r="CV152" s="174"/>
      <c r="CW152" s="174"/>
      <c r="CX152" s="174"/>
      <c r="CY152" s="174"/>
      <c r="CZ152" s="174"/>
      <c r="DA152" s="174"/>
      <c r="DB152" s="174"/>
      <c r="DC152" s="174"/>
      <c r="DD152" s="174"/>
      <c r="DE152" s="174"/>
      <c r="DF152" s="174"/>
      <c r="DG152" s="174"/>
      <c r="DH152" s="174"/>
      <c r="DI152" s="174"/>
      <c r="DJ152" s="174"/>
      <c r="DK152" s="174"/>
      <c r="DL152" s="174"/>
      <c r="DM152" s="174"/>
      <c r="DN152" s="174"/>
      <c r="DO152" s="174"/>
      <c r="DP152" s="174"/>
      <c r="DQ152" s="174"/>
      <c r="DR152" s="174"/>
      <c r="DS152" s="174"/>
      <c r="DT152" s="174"/>
      <c r="DU152" s="174"/>
      <c r="DV152" s="174"/>
      <c r="DW152" s="174"/>
      <c r="DX152" s="174"/>
      <c r="DY152" s="174"/>
      <c r="DZ152" s="174"/>
      <c r="EA152" s="174"/>
      <c r="EB152" s="174"/>
      <c r="EC152" s="174"/>
      <c r="ED152" s="174"/>
      <c r="EE152" s="174"/>
      <c r="EF152" s="174"/>
      <c r="EG152" s="174"/>
      <c r="EH152" s="174"/>
      <c r="EI152" s="174"/>
      <c r="EJ152" s="174"/>
      <c r="EK152" s="174"/>
      <c r="EL152" s="174"/>
      <c r="EM152" s="174"/>
      <c r="EN152" s="174"/>
      <c r="EO152" s="174"/>
      <c r="EP152" s="174"/>
      <c r="EQ152" s="174"/>
      <c r="ER152" s="174"/>
      <c r="ES152" s="174"/>
      <c r="ET152" s="174"/>
      <c r="EU152" s="174"/>
      <c r="EV152" s="174"/>
      <c r="EW152" s="174"/>
      <c r="EX152" s="174"/>
      <c r="EY152" s="174"/>
      <c r="EZ152" s="174"/>
      <c r="FA152" s="174"/>
      <c r="FB152" s="174"/>
      <c r="FC152" s="174"/>
      <c r="FD152" s="174"/>
      <c r="FE152" s="174"/>
      <c r="FF152" s="174"/>
      <c r="FG152" s="174"/>
      <c r="FH152" s="174"/>
      <c r="FI152" s="174"/>
      <c r="FJ152" s="174"/>
      <c r="FK152" s="174"/>
      <c r="FL152" s="174"/>
      <c r="FM152" s="174"/>
      <c r="FN152" s="174"/>
      <c r="FO152" s="174"/>
      <c r="FP152" s="174"/>
      <c r="FQ152" s="174"/>
      <c r="FR152" s="174"/>
      <c r="FS152" s="174"/>
      <c r="FT152" s="174"/>
      <c r="FU152" s="174"/>
      <c r="FV152" s="174"/>
      <c r="FW152" s="174"/>
      <c r="FX152" s="174"/>
      <c r="FY152" s="174"/>
      <c r="FZ152" s="174"/>
      <c r="GA152" s="174"/>
      <c r="GB152" s="174"/>
      <c r="GC152" s="174"/>
      <c r="GD152" s="174"/>
      <c r="GE152" s="174"/>
      <c r="GF152" s="174"/>
      <c r="GG152" s="174"/>
      <c r="GH152" s="174"/>
      <c r="GI152" s="174"/>
      <c r="GJ152" s="174"/>
      <c r="GK152" s="174"/>
      <c r="GL152" s="174"/>
      <c r="GM152" s="174"/>
      <c r="GN152" s="174"/>
      <c r="GO152" s="174"/>
      <c r="GP152" s="174"/>
      <c r="GQ152" s="174"/>
      <c r="GR152" s="174"/>
      <c r="GS152" s="174"/>
      <c r="GT152" s="174"/>
      <c r="GU152" s="174"/>
      <c r="GV152" s="174"/>
      <c r="GW152" s="174"/>
      <c r="GX152" s="174"/>
      <c r="GY152" s="174"/>
      <c r="GZ152" s="174"/>
      <c r="HA152" s="174"/>
      <c r="HB152" s="174"/>
      <c r="HC152" s="174"/>
      <c r="HD152" s="174"/>
      <c r="HE152" s="174"/>
      <c r="HF152" s="174"/>
      <c r="HG152" s="174"/>
      <c r="HH152" s="174"/>
      <c r="HI152" s="174"/>
      <c r="HJ152" s="174"/>
      <c r="HK152" s="174"/>
      <c r="HL152" s="174"/>
      <c r="HM152" s="174"/>
      <c r="HN152" s="174"/>
      <c r="HO152" s="174"/>
      <c r="HP152" s="174"/>
      <c r="HQ152" s="174"/>
      <c r="HR152" s="174"/>
      <c r="HS152" s="174"/>
      <c r="HT152" s="174"/>
      <c r="HU152" s="174"/>
      <c r="HV152" s="174"/>
      <c r="HW152" s="174"/>
      <c r="HX152" s="174"/>
      <c r="HY152" s="174"/>
      <c r="HZ152" s="174"/>
      <c r="IA152" s="174"/>
      <c r="IB152" s="174"/>
      <c r="IC152" s="174"/>
      <c r="ID152" s="174"/>
      <c r="IE152" s="174"/>
      <c r="IF152" s="174"/>
      <c r="IG152" s="174"/>
      <c r="IH152" s="174"/>
      <c r="II152" s="174"/>
      <c r="IJ152" s="174"/>
      <c r="IK152" s="174"/>
      <c r="IL152" s="174"/>
      <c r="IM152" s="174"/>
      <c r="IN152" s="174"/>
      <c r="IO152" s="174"/>
      <c r="IP152" s="174"/>
      <c r="IQ152" s="174"/>
      <c r="IR152" s="174"/>
      <c r="IS152" s="174"/>
      <c r="IT152" s="174"/>
      <c r="IU152" s="75"/>
      <c r="IV152" s="75"/>
      <c r="IW152" s="75"/>
      <c r="IX152" s="75"/>
      <c r="IY152" s="75"/>
      <c r="IZ152" s="75"/>
      <c r="JA152" s="75"/>
      <c r="JB152" s="75"/>
      <c r="JC152" s="75"/>
      <c r="JD152" s="75"/>
      <c r="JF152" s="710"/>
      <c r="JG152" s="710"/>
      <c r="JH152" s="178">
        <f t="shared" si="11"/>
        <v>0</v>
      </c>
      <c r="JI152" s="174">
        <f t="shared" si="12"/>
        <v>0</v>
      </c>
    </row>
    <row r="153" spans="2:269" ht="15" customHeight="1" x14ac:dyDescent="0.25">
      <c r="B153" s="113">
        <v>150</v>
      </c>
      <c r="C153" s="353" t="str">
        <f t="shared" si="13"/>
        <v/>
      </c>
      <c r="D153" s="353" t="str">
        <f t="shared" si="14"/>
        <v/>
      </c>
      <c r="E153" s="174"/>
      <c r="F153" s="174"/>
      <c r="G153" s="174"/>
      <c r="H153" s="174"/>
      <c r="I153" s="174"/>
      <c r="J153" s="174"/>
      <c r="K153" s="174"/>
      <c r="L153" s="174"/>
      <c r="M153" s="174"/>
      <c r="N153" s="174"/>
      <c r="O153" s="174"/>
      <c r="P153" s="174"/>
      <c r="Q153" s="174"/>
      <c r="R153" s="174"/>
      <c r="S153" s="174"/>
      <c r="T153" s="174"/>
      <c r="U153" s="174"/>
      <c r="V153" s="174"/>
      <c r="W153" s="174"/>
      <c r="X153" s="174"/>
      <c r="Y153" s="174"/>
      <c r="Z153" s="174"/>
      <c r="AA153" s="174"/>
      <c r="AB153" s="174"/>
      <c r="AC153" s="174"/>
      <c r="AD153" s="174"/>
      <c r="AE153" s="174"/>
      <c r="AF153" s="174"/>
      <c r="AG153" s="174"/>
      <c r="AH153" s="174"/>
      <c r="AI153" s="174"/>
      <c r="AJ153" s="174"/>
      <c r="AK153" s="174"/>
      <c r="AL153" s="174"/>
      <c r="AM153" s="174"/>
      <c r="AN153" s="174"/>
      <c r="AO153" s="174"/>
      <c r="AP153" s="174"/>
      <c r="AQ153" s="174"/>
      <c r="AR153" s="174"/>
      <c r="AS153" s="174"/>
      <c r="AT153" s="174"/>
      <c r="AU153" s="174"/>
      <c r="AV153" s="174"/>
      <c r="AW153" s="174"/>
      <c r="AX153" s="174"/>
      <c r="AY153" s="174"/>
      <c r="AZ153" s="174"/>
      <c r="BA153" s="174"/>
      <c r="BB153" s="174"/>
      <c r="BC153" s="174"/>
      <c r="BD153" s="174"/>
      <c r="BE153" s="174"/>
      <c r="BF153" s="174"/>
      <c r="BG153" s="174"/>
      <c r="BH153" s="174"/>
      <c r="BI153" s="174"/>
      <c r="BJ153" s="174"/>
      <c r="BK153" s="174"/>
      <c r="BL153" s="174"/>
      <c r="BM153" s="174"/>
      <c r="BN153" s="174"/>
      <c r="BO153" s="174"/>
      <c r="BP153" s="174"/>
      <c r="BQ153" s="174"/>
      <c r="BR153" s="174"/>
      <c r="BS153" s="174"/>
      <c r="BT153" s="174"/>
      <c r="BU153" s="174"/>
      <c r="BV153" s="174"/>
      <c r="BW153" s="174"/>
      <c r="BX153" s="174"/>
      <c r="BY153" s="174"/>
      <c r="BZ153" s="174"/>
      <c r="CA153" s="174"/>
      <c r="CB153" s="174"/>
      <c r="CC153" s="174"/>
      <c r="CD153" s="174"/>
      <c r="CE153" s="174"/>
      <c r="CF153" s="174"/>
      <c r="CG153" s="174"/>
      <c r="CH153" s="174"/>
      <c r="CI153" s="174"/>
      <c r="CJ153" s="174"/>
      <c r="CK153" s="174"/>
      <c r="CL153" s="174"/>
      <c r="CM153" s="174"/>
      <c r="CN153" s="174"/>
      <c r="CO153" s="174"/>
      <c r="CP153" s="174"/>
      <c r="CQ153" s="174"/>
      <c r="CR153" s="174"/>
      <c r="CS153" s="174"/>
      <c r="CT153" s="174"/>
      <c r="CU153" s="174"/>
      <c r="CV153" s="174"/>
      <c r="CW153" s="174"/>
      <c r="CX153" s="174"/>
      <c r="CY153" s="174"/>
      <c r="CZ153" s="174"/>
      <c r="DA153" s="174"/>
      <c r="DB153" s="174"/>
      <c r="DC153" s="174"/>
      <c r="DD153" s="174"/>
      <c r="DE153" s="174"/>
      <c r="DF153" s="174"/>
      <c r="DG153" s="174"/>
      <c r="DH153" s="174"/>
      <c r="DI153" s="174"/>
      <c r="DJ153" s="174"/>
      <c r="DK153" s="174"/>
      <c r="DL153" s="174"/>
      <c r="DM153" s="174"/>
      <c r="DN153" s="174"/>
      <c r="DO153" s="174"/>
      <c r="DP153" s="174"/>
      <c r="DQ153" s="174"/>
      <c r="DR153" s="174"/>
      <c r="DS153" s="174"/>
      <c r="DT153" s="174"/>
      <c r="DU153" s="174"/>
      <c r="DV153" s="174"/>
      <c r="DW153" s="174"/>
      <c r="DX153" s="174"/>
      <c r="DY153" s="174"/>
      <c r="DZ153" s="174"/>
      <c r="EA153" s="174"/>
      <c r="EB153" s="174"/>
      <c r="EC153" s="174"/>
      <c r="ED153" s="174"/>
      <c r="EE153" s="174"/>
      <c r="EF153" s="174"/>
      <c r="EG153" s="174"/>
      <c r="EH153" s="174"/>
      <c r="EI153" s="174"/>
      <c r="EJ153" s="174"/>
      <c r="EK153" s="174"/>
      <c r="EL153" s="174"/>
      <c r="EM153" s="174"/>
      <c r="EN153" s="174"/>
      <c r="EO153" s="174"/>
      <c r="EP153" s="174"/>
      <c r="EQ153" s="174"/>
      <c r="ER153" s="174"/>
      <c r="ES153" s="174"/>
      <c r="ET153" s="174"/>
      <c r="EU153" s="174"/>
      <c r="EV153" s="174"/>
      <c r="EW153" s="174"/>
      <c r="EX153" s="174"/>
      <c r="EY153" s="174"/>
      <c r="EZ153" s="174"/>
      <c r="FA153" s="174"/>
      <c r="FB153" s="174"/>
      <c r="FC153" s="174"/>
      <c r="FD153" s="174"/>
      <c r="FE153" s="174"/>
      <c r="FF153" s="174"/>
      <c r="FG153" s="174"/>
      <c r="FH153" s="174"/>
      <c r="FI153" s="174"/>
      <c r="FJ153" s="174"/>
      <c r="FK153" s="174"/>
      <c r="FL153" s="174"/>
      <c r="FM153" s="174"/>
      <c r="FN153" s="174"/>
      <c r="FO153" s="174"/>
      <c r="FP153" s="174"/>
      <c r="FQ153" s="174"/>
      <c r="FR153" s="174"/>
      <c r="FS153" s="174"/>
      <c r="FT153" s="174"/>
      <c r="FU153" s="174"/>
      <c r="FV153" s="174"/>
      <c r="FW153" s="174"/>
      <c r="FX153" s="174"/>
      <c r="FY153" s="174"/>
      <c r="FZ153" s="174"/>
      <c r="GA153" s="174"/>
      <c r="GB153" s="174"/>
      <c r="GC153" s="174"/>
      <c r="GD153" s="174"/>
      <c r="GE153" s="174"/>
      <c r="GF153" s="174"/>
      <c r="GG153" s="174"/>
      <c r="GH153" s="174"/>
      <c r="GI153" s="174"/>
      <c r="GJ153" s="174"/>
      <c r="GK153" s="174"/>
      <c r="GL153" s="174"/>
      <c r="GM153" s="174"/>
      <c r="GN153" s="174"/>
      <c r="GO153" s="174"/>
      <c r="GP153" s="174"/>
      <c r="GQ153" s="174"/>
      <c r="GR153" s="174"/>
      <c r="GS153" s="174"/>
      <c r="GT153" s="174"/>
      <c r="GU153" s="174"/>
      <c r="GV153" s="174"/>
      <c r="GW153" s="174"/>
      <c r="GX153" s="174"/>
      <c r="GY153" s="174"/>
      <c r="GZ153" s="174"/>
      <c r="HA153" s="174"/>
      <c r="HB153" s="174"/>
      <c r="HC153" s="174"/>
      <c r="HD153" s="174"/>
      <c r="HE153" s="174"/>
      <c r="HF153" s="174"/>
      <c r="HG153" s="174"/>
      <c r="HH153" s="174"/>
      <c r="HI153" s="174"/>
      <c r="HJ153" s="174"/>
      <c r="HK153" s="174"/>
      <c r="HL153" s="174"/>
      <c r="HM153" s="174"/>
      <c r="HN153" s="174"/>
      <c r="HO153" s="174"/>
      <c r="HP153" s="174"/>
      <c r="HQ153" s="174"/>
      <c r="HR153" s="174"/>
      <c r="HS153" s="174"/>
      <c r="HT153" s="174"/>
      <c r="HU153" s="174"/>
      <c r="HV153" s="174"/>
      <c r="HW153" s="174"/>
      <c r="HX153" s="174"/>
      <c r="HY153" s="174"/>
      <c r="HZ153" s="174"/>
      <c r="IA153" s="174"/>
      <c r="IB153" s="174"/>
      <c r="IC153" s="174"/>
      <c r="ID153" s="174"/>
      <c r="IE153" s="174"/>
      <c r="IF153" s="174"/>
      <c r="IG153" s="174"/>
      <c r="IH153" s="174"/>
      <c r="II153" s="174"/>
      <c r="IJ153" s="174"/>
      <c r="IK153" s="174"/>
      <c r="IL153" s="174"/>
      <c r="IM153" s="174"/>
      <c r="IN153" s="174"/>
      <c r="IO153" s="174"/>
      <c r="IP153" s="174"/>
      <c r="IQ153" s="174"/>
      <c r="IR153" s="174"/>
      <c r="IS153" s="174"/>
      <c r="IT153" s="174"/>
      <c r="IU153" s="75"/>
      <c r="IV153" s="75"/>
      <c r="IW153" s="75"/>
      <c r="IX153" s="75"/>
      <c r="IY153" s="75"/>
      <c r="IZ153" s="75"/>
      <c r="JA153" s="75"/>
      <c r="JB153" s="75"/>
      <c r="JC153" s="75"/>
      <c r="JD153" s="75"/>
      <c r="JF153" s="710"/>
      <c r="JG153" s="710"/>
      <c r="JH153" s="178">
        <f t="shared" si="11"/>
        <v>0</v>
      </c>
      <c r="JI153" s="174">
        <f t="shared" si="12"/>
        <v>0</v>
      </c>
    </row>
    <row r="154" spans="2:269" ht="15" customHeight="1" x14ac:dyDescent="0.25">
      <c r="B154" s="113">
        <v>151</v>
      </c>
      <c r="C154" s="353" t="str">
        <f t="shared" si="13"/>
        <v/>
      </c>
      <c r="D154" s="353" t="str">
        <f t="shared" si="14"/>
        <v/>
      </c>
      <c r="E154" s="174"/>
      <c r="F154" s="174"/>
      <c r="G154" s="174"/>
      <c r="H154" s="174"/>
      <c r="I154" s="174"/>
      <c r="J154" s="174"/>
      <c r="K154" s="174"/>
      <c r="L154" s="174"/>
      <c r="M154" s="174"/>
      <c r="N154" s="174"/>
      <c r="O154" s="174"/>
      <c r="P154" s="174"/>
      <c r="Q154" s="174"/>
      <c r="R154" s="174"/>
      <c r="S154" s="174"/>
      <c r="T154" s="174"/>
      <c r="U154" s="174"/>
      <c r="V154" s="174"/>
      <c r="W154" s="174"/>
      <c r="X154" s="174"/>
      <c r="Y154" s="174"/>
      <c r="Z154" s="174"/>
      <c r="AA154" s="174"/>
      <c r="AB154" s="174"/>
      <c r="AC154" s="174"/>
      <c r="AD154" s="174"/>
      <c r="AE154" s="174"/>
      <c r="AF154" s="174"/>
      <c r="AG154" s="174"/>
      <c r="AH154" s="174"/>
      <c r="AI154" s="174"/>
      <c r="AJ154" s="174"/>
      <c r="AK154" s="174"/>
      <c r="AL154" s="174"/>
      <c r="AM154" s="174"/>
      <c r="AN154" s="174"/>
      <c r="AO154" s="174"/>
      <c r="AP154" s="174"/>
      <c r="AQ154" s="174"/>
      <c r="AR154" s="174"/>
      <c r="AS154" s="174"/>
      <c r="AT154" s="174"/>
      <c r="AU154" s="174"/>
      <c r="AV154" s="174"/>
      <c r="AW154" s="174"/>
      <c r="AX154" s="174"/>
      <c r="AY154" s="174"/>
      <c r="AZ154" s="174"/>
      <c r="BA154" s="174"/>
      <c r="BB154" s="174"/>
      <c r="BC154" s="174"/>
      <c r="BD154" s="174"/>
      <c r="BE154" s="174"/>
      <c r="BF154" s="174"/>
      <c r="BG154" s="174"/>
      <c r="BH154" s="174"/>
      <c r="BI154" s="174"/>
      <c r="BJ154" s="174"/>
      <c r="BK154" s="174"/>
      <c r="BL154" s="174"/>
      <c r="BM154" s="174"/>
      <c r="BN154" s="174"/>
      <c r="BO154" s="174"/>
      <c r="BP154" s="174"/>
      <c r="BQ154" s="174"/>
      <c r="BR154" s="174"/>
      <c r="BS154" s="174"/>
      <c r="BT154" s="174"/>
      <c r="BU154" s="174"/>
      <c r="BV154" s="174"/>
      <c r="BW154" s="174"/>
      <c r="BX154" s="174"/>
      <c r="BY154" s="174"/>
      <c r="BZ154" s="174"/>
      <c r="CA154" s="174"/>
      <c r="CB154" s="174"/>
      <c r="CC154" s="174"/>
      <c r="CD154" s="174"/>
      <c r="CE154" s="174"/>
      <c r="CF154" s="174"/>
      <c r="CG154" s="174"/>
      <c r="CH154" s="174"/>
      <c r="CI154" s="174"/>
      <c r="CJ154" s="174"/>
      <c r="CK154" s="174"/>
      <c r="CL154" s="174"/>
      <c r="CM154" s="174"/>
      <c r="CN154" s="174"/>
      <c r="CO154" s="174"/>
      <c r="CP154" s="174"/>
      <c r="CQ154" s="174"/>
      <c r="CR154" s="174"/>
      <c r="CS154" s="174"/>
      <c r="CT154" s="174"/>
      <c r="CU154" s="174"/>
      <c r="CV154" s="174"/>
      <c r="CW154" s="174"/>
      <c r="CX154" s="174"/>
      <c r="CY154" s="174"/>
      <c r="CZ154" s="174"/>
      <c r="DA154" s="174"/>
      <c r="DB154" s="174"/>
      <c r="DC154" s="174"/>
      <c r="DD154" s="174"/>
      <c r="DE154" s="174"/>
      <c r="DF154" s="174"/>
      <c r="DG154" s="174"/>
      <c r="DH154" s="174"/>
      <c r="DI154" s="174"/>
      <c r="DJ154" s="174"/>
      <c r="DK154" s="174"/>
      <c r="DL154" s="174"/>
      <c r="DM154" s="174"/>
      <c r="DN154" s="174"/>
      <c r="DO154" s="174"/>
      <c r="DP154" s="174"/>
      <c r="DQ154" s="174"/>
      <c r="DR154" s="174"/>
      <c r="DS154" s="174"/>
      <c r="DT154" s="174"/>
      <c r="DU154" s="174"/>
      <c r="DV154" s="174"/>
      <c r="DW154" s="174"/>
      <c r="DX154" s="174"/>
      <c r="DY154" s="174"/>
      <c r="DZ154" s="174"/>
      <c r="EA154" s="174"/>
      <c r="EB154" s="174"/>
      <c r="EC154" s="174"/>
      <c r="ED154" s="174"/>
      <c r="EE154" s="174"/>
      <c r="EF154" s="174"/>
      <c r="EG154" s="174"/>
      <c r="EH154" s="174"/>
      <c r="EI154" s="174"/>
      <c r="EJ154" s="174"/>
      <c r="EK154" s="174"/>
      <c r="EL154" s="174"/>
      <c r="EM154" s="174"/>
      <c r="EN154" s="174"/>
      <c r="EO154" s="174"/>
      <c r="EP154" s="174"/>
      <c r="EQ154" s="174"/>
      <c r="ER154" s="174"/>
      <c r="ES154" s="174"/>
      <c r="ET154" s="174"/>
      <c r="EU154" s="174"/>
      <c r="EV154" s="174"/>
      <c r="EW154" s="174"/>
      <c r="EX154" s="174"/>
      <c r="EY154" s="174"/>
      <c r="EZ154" s="174"/>
      <c r="FA154" s="174"/>
      <c r="FB154" s="174"/>
      <c r="FC154" s="174"/>
      <c r="FD154" s="174"/>
      <c r="FE154" s="174"/>
      <c r="FF154" s="174"/>
      <c r="FG154" s="174"/>
      <c r="FH154" s="174"/>
      <c r="FI154" s="174"/>
      <c r="FJ154" s="174"/>
      <c r="FK154" s="174"/>
      <c r="FL154" s="174"/>
      <c r="FM154" s="174"/>
      <c r="FN154" s="174"/>
      <c r="FO154" s="174"/>
      <c r="FP154" s="174"/>
      <c r="FQ154" s="174"/>
      <c r="FR154" s="174"/>
      <c r="FS154" s="174"/>
      <c r="FT154" s="174"/>
      <c r="FU154" s="174"/>
      <c r="FV154" s="174"/>
      <c r="FW154" s="174"/>
      <c r="FX154" s="174"/>
      <c r="FY154" s="174"/>
      <c r="FZ154" s="174"/>
      <c r="GA154" s="174"/>
      <c r="GB154" s="174"/>
      <c r="GC154" s="174"/>
      <c r="GD154" s="174"/>
      <c r="GE154" s="174"/>
      <c r="GF154" s="174"/>
      <c r="GG154" s="174"/>
      <c r="GH154" s="174"/>
      <c r="GI154" s="174"/>
      <c r="GJ154" s="174"/>
      <c r="GK154" s="174"/>
      <c r="GL154" s="174"/>
      <c r="GM154" s="174"/>
      <c r="GN154" s="174"/>
      <c r="GO154" s="174"/>
      <c r="GP154" s="174"/>
      <c r="GQ154" s="174"/>
      <c r="GR154" s="174"/>
      <c r="GS154" s="174"/>
      <c r="GT154" s="174"/>
      <c r="GU154" s="174"/>
      <c r="GV154" s="174"/>
      <c r="GW154" s="174"/>
      <c r="GX154" s="174"/>
      <c r="GY154" s="174"/>
      <c r="GZ154" s="174"/>
      <c r="HA154" s="174"/>
      <c r="HB154" s="174"/>
      <c r="HC154" s="174"/>
      <c r="HD154" s="174"/>
      <c r="HE154" s="174"/>
      <c r="HF154" s="174"/>
      <c r="HG154" s="174"/>
      <c r="HH154" s="174"/>
      <c r="HI154" s="174"/>
      <c r="HJ154" s="174"/>
      <c r="HK154" s="174"/>
      <c r="HL154" s="174"/>
      <c r="HM154" s="174"/>
      <c r="HN154" s="174"/>
      <c r="HO154" s="174"/>
      <c r="HP154" s="174"/>
      <c r="HQ154" s="174"/>
      <c r="HR154" s="174"/>
      <c r="HS154" s="174"/>
      <c r="HT154" s="174"/>
      <c r="HU154" s="174"/>
      <c r="HV154" s="174"/>
      <c r="HW154" s="174"/>
      <c r="HX154" s="174"/>
      <c r="HY154" s="174"/>
      <c r="HZ154" s="174"/>
      <c r="IA154" s="174"/>
      <c r="IB154" s="174"/>
      <c r="IC154" s="174"/>
      <c r="ID154" s="174"/>
      <c r="IE154" s="174"/>
      <c r="IF154" s="174"/>
      <c r="IG154" s="174"/>
      <c r="IH154" s="174"/>
      <c r="II154" s="174"/>
      <c r="IJ154" s="174"/>
      <c r="IK154" s="174"/>
      <c r="IL154" s="174"/>
      <c r="IM154" s="174"/>
      <c r="IN154" s="174"/>
      <c r="IO154" s="174"/>
      <c r="IP154" s="174"/>
      <c r="IQ154" s="174"/>
      <c r="IR154" s="174"/>
      <c r="IS154" s="174"/>
      <c r="IT154" s="174"/>
      <c r="IU154" s="75"/>
      <c r="IV154" s="75"/>
      <c r="IW154" s="75"/>
      <c r="IX154" s="75"/>
      <c r="IY154" s="75"/>
      <c r="IZ154" s="75"/>
      <c r="JA154" s="75"/>
      <c r="JB154" s="75"/>
      <c r="JC154" s="75"/>
      <c r="JD154" s="75"/>
      <c r="JF154" s="710"/>
      <c r="JG154" s="710"/>
      <c r="JH154" s="178">
        <f t="shared" si="11"/>
        <v>0</v>
      </c>
      <c r="JI154" s="174">
        <f t="shared" si="12"/>
        <v>0</v>
      </c>
    </row>
    <row r="155" spans="2:269" ht="15" customHeight="1" x14ac:dyDescent="0.25">
      <c r="B155" s="113">
        <v>152</v>
      </c>
      <c r="C155" s="353" t="str">
        <f t="shared" si="13"/>
        <v/>
      </c>
      <c r="D155" s="353" t="str">
        <f t="shared" si="14"/>
        <v/>
      </c>
      <c r="E155" s="174"/>
      <c r="F155" s="174"/>
      <c r="G155" s="174"/>
      <c r="H155" s="174"/>
      <c r="I155" s="174"/>
      <c r="J155" s="174"/>
      <c r="K155" s="174"/>
      <c r="L155" s="174"/>
      <c r="M155" s="174"/>
      <c r="N155" s="174"/>
      <c r="O155" s="174"/>
      <c r="P155" s="174"/>
      <c r="Q155" s="174"/>
      <c r="R155" s="174"/>
      <c r="S155" s="174"/>
      <c r="T155" s="174"/>
      <c r="U155" s="174"/>
      <c r="V155" s="174"/>
      <c r="W155" s="174"/>
      <c r="X155" s="174"/>
      <c r="Y155" s="174"/>
      <c r="Z155" s="174"/>
      <c r="AA155" s="174"/>
      <c r="AB155" s="174"/>
      <c r="AC155" s="174"/>
      <c r="AD155" s="174"/>
      <c r="AE155" s="174"/>
      <c r="AF155" s="174"/>
      <c r="AG155" s="174"/>
      <c r="AH155" s="174"/>
      <c r="AI155" s="174"/>
      <c r="AJ155" s="174"/>
      <c r="AK155" s="174"/>
      <c r="AL155" s="174"/>
      <c r="AM155" s="174"/>
      <c r="AN155" s="174"/>
      <c r="AO155" s="174"/>
      <c r="AP155" s="174"/>
      <c r="AQ155" s="174"/>
      <c r="AR155" s="174"/>
      <c r="AS155" s="174"/>
      <c r="AT155" s="174"/>
      <c r="AU155" s="174"/>
      <c r="AV155" s="174"/>
      <c r="AW155" s="174"/>
      <c r="AX155" s="174"/>
      <c r="AY155" s="174"/>
      <c r="AZ155" s="174"/>
      <c r="BA155" s="174"/>
      <c r="BB155" s="174"/>
      <c r="BC155" s="174"/>
      <c r="BD155" s="174"/>
      <c r="BE155" s="174"/>
      <c r="BF155" s="174"/>
      <c r="BG155" s="174"/>
      <c r="BH155" s="174"/>
      <c r="BI155" s="174"/>
      <c r="BJ155" s="174"/>
      <c r="BK155" s="174"/>
      <c r="BL155" s="174"/>
      <c r="BM155" s="174"/>
      <c r="BN155" s="174"/>
      <c r="BO155" s="174"/>
      <c r="BP155" s="174"/>
      <c r="BQ155" s="174"/>
      <c r="BR155" s="174"/>
      <c r="BS155" s="174"/>
      <c r="BT155" s="174"/>
      <c r="BU155" s="174"/>
      <c r="BV155" s="174"/>
      <c r="BW155" s="174"/>
      <c r="BX155" s="174"/>
      <c r="BY155" s="174"/>
      <c r="BZ155" s="174"/>
      <c r="CA155" s="174"/>
      <c r="CB155" s="174"/>
      <c r="CC155" s="174"/>
      <c r="CD155" s="174"/>
      <c r="CE155" s="174"/>
      <c r="CF155" s="174"/>
      <c r="CG155" s="174"/>
      <c r="CH155" s="174"/>
      <c r="CI155" s="174"/>
      <c r="CJ155" s="174"/>
      <c r="CK155" s="174"/>
      <c r="CL155" s="174"/>
      <c r="CM155" s="174"/>
      <c r="CN155" s="174"/>
      <c r="CO155" s="174"/>
      <c r="CP155" s="174"/>
      <c r="CQ155" s="174"/>
      <c r="CR155" s="174"/>
      <c r="CS155" s="174"/>
      <c r="CT155" s="174"/>
      <c r="CU155" s="174"/>
      <c r="CV155" s="174"/>
      <c r="CW155" s="174"/>
      <c r="CX155" s="174"/>
      <c r="CY155" s="174"/>
      <c r="CZ155" s="174"/>
      <c r="DA155" s="174"/>
      <c r="DB155" s="174"/>
      <c r="DC155" s="174"/>
      <c r="DD155" s="174"/>
      <c r="DE155" s="174"/>
      <c r="DF155" s="174"/>
      <c r="DG155" s="174"/>
      <c r="DH155" s="174"/>
      <c r="DI155" s="174"/>
      <c r="DJ155" s="174"/>
      <c r="DK155" s="174"/>
      <c r="DL155" s="174"/>
      <c r="DM155" s="174"/>
      <c r="DN155" s="174"/>
      <c r="DO155" s="174"/>
      <c r="DP155" s="174"/>
      <c r="DQ155" s="174"/>
      <c r="DR155" s="174"/>
      <c r="DS155" s="174"/>
      <c r="DT155" s="174"/>
      <c r="DU155" s="174"/>
      <c r="DV155" s="174"/>
      <c r="DW155" s="174"/>
      <c r="DX155" s="174"/>
      <c r="DY155" s="174"/>
      <c r="DZ155" s="174"/>
      <c r="EA155" s="174"/>
      <c r="EB155" s="174"/>
      <c r="EC155" s="174"/>
      <c r="ED155" s="174"/>
      <c r="EE155" s="174"/>
      <c r="EF155" s="174"/>
      <c r="EG155" s="174"/>
      <c r="EH155" s="174"/>
      <c r="EI155" s="174"/>
      <c r="EJ155" s="174"/>
      <c r="EK155" s="174"/>
      <c r="EL155" s="174"/>
      <c r="EM155" s="174"/>
      <c r="EN155" s="174"/>
      <c r="EO155" s="174"/>
      <c r="EP155" s="174"/>
      <c r="EQ155" s="174"/>
      <c r="ER155" s="174"/>
      <c r="ES155" s="174"/>
      <c r="ET155" s="174"/>
      <c r="EU155" s="174"/>
      <c r="EV155" s="174"/>
      <c r="EW155" s="174"/>
      <c r="EX155" s="174"/>
      <c r="EY155" s="174"/>
      <c r="EZ155" s="174"/>
      <c r="FA155" s="174"/>
      <c r="FB155" s="174"/>
      <c r="FC155" s="174"/>
      <c r="FD155" s="174"/>
      <c r="FE155" s="174"/>
      <c r="FF155" s="174"/>
      <c r="FG155" s="174"/>
      <c r="FH155" s="174"/>
      <c r="FI155" s="174"/>
      <c r="FJ155" s="174"/>
      <c r="FK155" s="174"/>
      <c r="FL155" s="174"/>
      <c r="FM155" s="174"/>
      <c r="FN155" s="174"/>
      <c r="FO155" s="174"/>
      <c r="FP155" s="174"/>
      <c r="FQ155" s="174"/>
      <c r="FR155" s="174"/>
      <c r="FS155" s="174"/>
      <c r="FT155" s="174"/>
      <c r="FU155" s="174"/>
      <c r="FV155" s="174"/>
      <c r="FW155" s="174"/>
      <c r="FX155" s="174"/>
      <c r="FY155" s="174"/>
      <c r="FZ155" s="174"/>
      <c r="GA155" s="174"/>
      <c r="GB155" s="174"/>
      <c r="GC155" s="174"/>
      <c r="GD155" s="174"/>
      <c r="GE155" s="174"/>
      <c r="GF155" s="174"/>
      <c r="GG155" s="174"/>
      <c r="GH155" s="174"/>
      <c r="GI155" s="174"/>
      <c r="GJ155" s="174"/>
      <c r="GK155" s="174"/>
      <c r="GL155" s="174"/>
      <c r="GM155" s="174"/>
      <c r="GN155" s="174"/>
      <c r="GO155" s="174"/>
      <c r="GP155" s="174"/>
      <c r="GQ155" s="174"/>
      <c r="GR155" s="174"/>
      <c r="GS155" s="174"/>
      <c r="GT155" s="174"/>
      <c r="GU155" s="174"/>
      <c r="GV155" s="174"/>
      <c r="GW155" s="174"/>
      <c r="GX155" s="174"/>
      <c r="GY155" s="174"/>
      <c r="GZ155" s="174"/>
      <c r="HA155" s="174"/>
      <c r="HB155" s="174"/>
      <c r="HC155" s="174"/>
      <c r="HD155" s="174"/>
      <c r="HE155" s="174"/>
      <c r="HF155" s="174"/>
      <c r="HG155" s="174"/>
      <c r="HH155" s="174"/>
      <c r="HI155" s="174"/>
      <c r="HJ155" s="174"/>
      <c r="HK155" s="174"/>
      <c r="HL155" s="174"/>
      <c r="HM155" s="174"/>
      <c r="HN155" s="174"/>
      <c r="HO155" s="174"/>
      <c r="HP155" s="174"/>
      <c r="HQ155" s="174"/>
      <c r="HR155" s="174"/>
      <c r="HS155" s="174"/>
      <c r="HT155" s="174"/>
      <c r="HU155" s="174"/>
      <c r="HV155" s="174"/>
      <c r="HW155" s="174"/>
      <c r="HX155" s="174"/>
      <c r="HY155" s="174"/>
      <c r="HZ155" s="174"/>
      <c r="IA155" s="174"/>
      <c r="IB155" s="174"/>
      <c r="IC155" s="174"/>
      <c r="ID155" s="174"/>
      <c r="IE155" s="174"/>
      <c r="IF155" s="174"/>
      <c r="IG155" s="174"/>
      <c r="IH155" s="174"/>
      <c r="II155" s="174"/>
      <c r="IJ155" s="174"/>
      <c r="IK155" s="174"/>
      <c r="IL155" s="174"/>
      <c r="IM155" s="174"/>
      <c r="IN155" s="174"/>
      <c r="IO155" s="174"/>
      <c r="IP155" s="174"/>
      <c r="IQ155" s="174"/>
      <c r="IR155" s="174"/>
      <c r="IS155" s="174"/>
      <c r="IT155" s="174"/>
      <c r="IU155" s="75"/>
      <c r="IV155" s="75"/>
      <c r="IW155" s="75"/>
      <c r="IX155" s="75"/>
      <c r="IY155" s="75"/>
      <c r="IZ155" s="75"/>
      <c r="JA155" s="75"/>
      <c r="JB155" s="75"/>
      <c r="JC155" s="75"/>
      <c r="JD155" s="75"/>
      <c r="JF155" s="710"/>
      <c r="JG155" s="710"/>
      <c r="JH155" s="178">
        <f t="shared" si="11"/>
        <v>0</v>
      </c>
      <c r="JI155" s="174">
        <f t="shared" si="12"/>
        <v>0</v>
      </c>
    </row>
    <row r="156" spans="2:269" ht="15" customHeight="1" x14ac:dyDescent="0.25">
      <c r="B156" s="113">
        <v>153</v>
      </c>
      <c r="C156" s="353" t="str">
        <f t="shared" si="13"/>
        <v/>
      </c>
      <c r="D156" s="353" t="str">
        <f t="shared" si="14"/>
        <v/>
      </c>
      <c r="E156" s="174"/>
      <c r="F156" s="174"/>
      <c r="G156" s="174"/>
      <c r="H156" s="174"/>
      <c r="I156" s="174"/>
      <c r="J156" s="174"/>
      <c r="K156" s="174"/>
      <c r="L156" s="174"/>
      <c r="M156" s="174"/>
      <c r="N156" s="174"/>
      <c r="O156" s="174"/>
      <c r="P156" s="174"/>
      <c r="Q156" s="174"/>
      <c r="R156" s="174"/>
      <c r="S156" s="174"/>
      <c r="T156" s="174"/>
      <c r="U156" s="174"/>
      <c r="V156" s="174"/>
      <c r="W156" s="174"/>
      <c r="X156" s="174"/>
      <c r="Y156" s="174"/>
      <c r="Z156" s="174"/>
      <c r="AA156" s="174"/>
      <c r="AB156" s="174"/>
      <c r="AC156" s="174"/>
      <c r="AD156" s="174"/>
      <c r="AE156" s="174"/>
      <c r="AF156" s="174"/>
      <c r="AG156" s="174"/>
      <c r="AH156" s="174"/>
      <c r="AI156" s="174"/>
      <c r="AJ156" s="174"/>
      <c r="AK156" s="174"/>
      <c r="AL156" s="174"/>
      <c r="AM156" s="174"/>
      <c r="AN156" s="174"/>
      <c r="AO156" s="174"/>
      <c r="AP156" s="174"/>
      <c r="AQ156" s="174"/>
      <c r="AR156" s="174"/>
      <c r="AS156" s="174"/>
      <c r="AT156" s="174"/>
      <c r="AU156" s="174"/>
      <c r="AV156" s="174"/>
      <c r="AW156" s="174"/>
      <c r="AX156" s="174"/>
      <c r="AY156" s="174"/>
      <c r="AZ156" s="174"/>
      <c r="BA156" s="174"/>
      <c r="BB156" s="174"/>
      <c r="BC156" s="174"/>
      <c r="BD156" s="174"/>
      <c r="BE156" s="174"/>
      <c r="BF156" s="174"/>
      <c r="BG156" s="174"/>
      <c r="BH156" s="174"/>
      <c r="BI156" s="174"/>
      <c r="BJ156" s="174"/>
      <c r="BK156" s="174"/>
      <c r="BL156" s="174"/>
      <c r="BM156" s="174"/>
      <c r="BN156" s="174"/>
      <c r="BO156" s="174"/>
      <c r="BP156" s="174"/>
      <c r="BQ156" s="174"/>
      <c r="BR156" s="174"/>
      <c r="BS156" s="174"/>
      <c r="BT156" s="174"/>
      <c r="BU156" s="174"/>
      <c r="BV156" s="174"/>
      <c r="BW156" s="174"/>
      <c r="BX156" s="174"/>
      <c r="BY156" s="174"/>
      <c r="BZ156" s="174"/>
      <c r="CA156" s="174"/>
      <c r="CB156" s="174"/>
      <c r="CC156" s="174"/>
      <c r="CD156" s="174"/>
      <c r="CE156" s="174"/>
      <c r="CF156" s="174"/>
      <c r="CG156" s="174"/>
      <c r="CH156" s="174"/>
      <c r="CI156" s="174"/>
      <c r="CJ156" s="174"/>
      <c r="CK156" s="174"/>
      <c r="CL156" s="174"/>
      <c r="CM156" s="174"/>
      <c r="CN156" s="174"/>
      <c r="CO156" s="174"/>
      <c r="CP156" s="174"/>
      <c r="CQ156" s="174"/>
      <c r="CR156" s="174"/>
      <c r="CS156" s="174"/>
      <c r="CT156" s="174"/>
      <c r="CU156" s="174"/>
      <c r="CV156" s="174"/>
      <c r="CW156" s="174"/>
      <c r="CX156" s="174"/>
      <c r="CY156" s="174"/>
      <c r="CZ156" s="174"/>
      <c r="DA156" s="174"/>
      <c r="DB156" s="174"/>
      <c r="DC156" s="174"/>
      <c r="DD156" s="174"/>
      <c r="DE156" s="174"/>
      <c r="DF156" s="174"/>
      <c r="DG156" s="174"/>
      <c r="DH156" s="174"/>
      <c r="DI156" s="174"/>
      <c r="DJ156" s="174"/>
      <c r="DK156" s="174"/>
      <c r="DL156" s="174"/>
      <c r="DM156" s="174"/>
      <c r="DN156" s="174"/>
      <c r="DO156" s="174"/>
      <c r="DP156" s="174"/>
      <c r="DQ156" s="174"/>
      <c r="DR156" s="174"/>
      <c r="DS156" s="174"/>
      <c r="DT156" s="174"/>
      <c r="DU156" s="174"/>
      <c r="DV156" s="174"/>
      <c r="DW156" s="174"/>
      <c r="DX156" s="174"/>
      <c r="DY156" s="174"/>
      <c r="DZ156" s="174"/>
      <c r="EA156" s="174"/>
      <c r="EB156" s="174"/>
      <c r="EC156" s="174"/>
      <c r="ED156" s="174"/>
      <c r="EE156" s="174"/>
      <c r="EF156" s="174"/>
      <c r="EG156" s="174"/>
      <c r="EH156" s="174"/>
      <c r="EI156" s="174"/>
      <c r="EJ156" s="174"/>
      <c r="EK156" s="174"/>
      <c r="EL156" s="174"/>
      <c r="EM156" s="174"/>
      <c r="EN156" s="174"/>
      <c r="EO156" s="174"/>
      <c r="EP156" s="174"/>
      <c r="EQ156" s="174"/>
      <c r="ER156" s="174"/>
      <c r="ES156" s="174"/>
      <c r="ET156" s="174"/>
      <c r="EU156" s="174"/>
      <c r="EV156" s="174"/>
      <c r="EW156" s="174"/>
      <c r="EX156" s="174"/>
      <c r="EY156" s="174"/>
      <c r="EZ156" s="174"/>
      <c r="FA156" s="174"/>
      <c r="FB156" s="174"/>
      <c r="FC156" s="174"/>
      <c r="FD156" s="174"/>
      <c r="FE156" s="174"/>
      <c r="FF156" s="174"/>
      <c r="FG156" s="174"/>
      <c r="FH156" s="174"/>
      <c r="FI156" s="174"/>
      <c r="FJ156" s="174"/>
      <c r="FK156" s="174"/>
      <c r="FL156" s="174"/>
      <c r="FM156" s="174"/>
      <c r="FN156" s="174"/>
      <c r="FO156" s="174"/>
      <c r="FP156" s="174"/>
      <c r="FQ156" s="174"/>
      <c r="FR156" s="174"/>
      <c r="FS156" s="174"/>
      <c r="FT156" s="174"/>
      <c r="FU156" s="174"/>
      <c r="FV156" s="174"/>
      <c r="FW156" s="174"/>
      <c r="FX156" s="174"/>
      <c r="FY156" s="174"/>
      <c r="FZ156" s="174"/>
      <c r="GA156" s="174"/>
      <c r="GB156" s="174"/>
      <c r="GC156" s="174"/>
      <c r="GD156" s="174"/>
      <c r="GE156" s="174"/>
      <c r="GF156" s="174"/>
      <c r="GG156" s="174"/>
      <c r="GH156" s="174"/>
      <c r="GI156" s="174"/>
      <c r="GJ156" s="174"/>
      <c r="GK156" s="174"/>
      <c r="GL156" s="174"/>
      <c r="GM156" s="174"/>
      <c r="GN156" s="174"/>
      <c r="GO156" s="174"/>
      <c r="GP156" s="174"/>
      <c r="GQ156" s="174"/>
      <c r="GR156" s="174"/>
      <c r="GS156" s="174"/>
      <c r="GT156" s="174"/>
      <c r="GU156" s="174"/>
      <c r="GV156" s="174"/>
      <c r="GW156" s="174"/>
      <c r="GX156" s="174"/>
      <c r="GY156" s="174"/>
      <c r="GZ156" s="174"/>
      <c r="HA156" s="174"/>
      <c r="HB156" s="174"/>
      <c r="HC156" s="174"/>
      <c r="HD156" s="174"/>
      <c r="HE156" s="174"/>
      <c r="HF156" s="174"/>
      <c r="HG156" s="174"/>
      <c r="HH156" s="174"/>
      <c r="HI156" s="174"/>
      <c r="HJ156" s="174"/>
      <c r="HK156" s="174"/>
      <c r="HL156" s="174"/>
      <c r="HM156" s="174"/>
      <c r="HN156" s="174"/>
      <c r="HO156" s="174"/>
      <c r="HP156" s="174"/>
      <c r="HQ156" s="174"/>
      <c r="HR156" s="174"/>
      <c r="HS156" s="174"/>
      <c r="HT156" s="174"/>
      <c r="HU156" s="174"/>
      <c r="HV156" s="174"/>
      <c r="HW156" s="174"/>
      <c r="HX156" s="174"/>
      <c r="HY156" s="174"/>
      <c r="HZ156" s="174"/>
      <c r="IA156" s="174"/>
      <c r="IB156" s="174"/>
      <c r="IC156" s="174"/>
      <c r="ID156" s="174"/>
      <c r="IE156" s="174"/>
      <c r="IF156" s="174"/>
      <c r="IG156" s="174"/>
      <c r="IH156" s="174"/>
      <c r="II156" s="174"/>
      <c r="IJ156" s="174"/>
      <c r="IK156" s="174"/>
      <c r="IL156" s="174"/>
      <c r="IM156" s="174"/>
      <c r="IN156" s="174"/>
      <c r="IO156" s="174"/>
      <c r="IP156" s="174"/>
      <c r="IQ156" s="174"/>
      <c r="IR156" s="174"/>
      <c r="IS156" s="174"/>
      <c r="IT156" s="174"/>
      <c r="IU156" s="75"/>
      <c r="IV156" s="75"/>
      <c r="IW156" s="75"/>
      <c r="IX156" s="75"/>
      <c r="IY156" s="75"/>
      <c r="IZ156" s="75"/>
      <c r="JA156" s="75"/>
      <c r="JB156" s="75"/>
      <c r="JC156" s="75"/>
      <c r="JD156" s="75"/>
      <c r="JF156" s="710"/>
      <c r="JG156" s="710"/>
      <c r="JH156" s="178">
        <f t="shared" si="11"/>
        <v>0</v>
      </c>
      <c r="JI156" s="174">
        <f t="shared" si="12"/>
        <v>0</v>
      </c>
    </row>
    <row r="157" spans="2:269" ht="15" customHeight="1" x14ac:dyDescent="0.25">
      <c r="B157" s="113">
        <v>154</v>
      </c>
      <c r="C157" s="353" t="str">
        <f t="shared" si="13"/>
        <v/>
      </c>
      <c r="D157" s="353" t="str">
        <f t="shared" si="14"/>
        <v/>
      </c>
      <c r="E157" s="174"/>
      <c r="F157" s="174"/>
      <c r="G157" s="174"/>
      <c r="H157" s="174"/>
      <c r="I157" s="174"/>
      <c r="J157" s="174"/>
      <c r="K157" s="174"/>
      <c r="L157" s="174"/>
      <c r="M157" s="174"/>
      <c r="N157" s="174"/>
      <c r="O157" s="174"/>
      <c r="P157" s="174"/>
      <c r="Q157" s="174"/>
      <c r="R157" s="174"/>
      <c r="S157" s="174"/>
      <c r="T157" s="174"/>
      <c r="U157" s="174"/>
      <c r="V157" s="174"/>
      <c r="W157" s="174"/>
      <c r="X157" s="174"/>
      <c r="Y157" s="174"/>
      <c r="Z157" s="174"/>
      <c r="AA157" s="174"/>
      <c r="AB157" s="174"/>
      <c r="AC157" s="174"/>
      <c r="AD157" s="174"/>
      <c r="AE157" s="174"/>
      <c r="AF157" s="174"/>
      <c r="AG157" s="174"/>
      <c r="AH157" s="174"/>
      <c r="AI157" s="174"/>
      <c r="AJ157" s="174"/>
      <c r="AK157" s="174"/>
      <c r="AL157" s="174"/>
      <c r="AM157" s="174"/>
      <c r="AN157" s="174"/>
      <c r="AO157" s="174"/>
      <c r="AP157" s="174"/>
      <c r="AQ157" s="174"/>
      <c r="AR157" s="174"/>
      <c r="AS157" s="174"/>
      <c r="AT157" s="174"/>
      <c r="AU157" s="174"/>
      <c r="AV157" s="174"/>
      <c r="AW157" s="174"/>
      <c r="AX157" s="174"/>
      <c r="AY157" s="174"/>
      <c r="AZ157" s="174"/>
      <c r="BA157" s="174"/>
      <c r="BB157" s="174"/>
      <c r="BC157" s="174"/>
      <c r="BD157" s="174"/>
      <c r="BE157" s="174"/>
      <c r="BF157" s="174"/>
      <c r="BG157" s="174"/>
      <c r="BH157" s="174"/>
      <c r="BI157" s="174"/>
      <c r="BJ157" s="174"/>
      <c r="BK157" s="174"/>
      <c r="BL157" s="174"/>
      <c r="BM157" s="174"/>
      <c r="BN157" s="174"/>
      <c r="BO157" s="174"/>
      <c r="BP157" s="174"/>
      <c r="BQ157" s="174"/>
      <c r="BR157" s="174"/>
      <c r="BS157" s="174"/>
      <c r="BT157" s="174"/>
      <c r="BU157" s="174"/>
      <c r="BV157" s="174"/>
      <c r="BW157" s="174"/>
      <c r="BX157" s="174"/>
      <c r="BY157" s="174"/>
      <c r="BZ157" s="174"/>
      <c r="CA157" s="174"/>
      <c r="CB157" s="174"/>
      <c r="CC157" s="174"/>
      <c r="CD157" s="174"/>
      <c r="CE157" s="174"/>
      <c r="CF157" s="174"/>
      <c r="CG157" s="174"/>
      <c r="CH157" s="174"/>
      <c r="CI157" s="174"/>
      <c r="CJ157" s="174"/>
      <c r="CK157" s="174"/>
      <c r="CL157" s="174"/>
      <c r="CM157" s="174"/>
      <c r="CN157" s="174"/>
      <c r="CO157" s="174"/>
      <c r="CP157" s="174"/>
      <c r="CQ157" s="174"/>
      <c r="CR157" s="174"/>
      <c r="CS157" s="174"/>
      <c r="CT157" s="174"/>
      <c r="CU157" s="174"/>
      <c r="CV157" s="174"/>
      <c r="CW157" s="174"/>
      <c r="CX157" s="174"/>
      <c r="CY157" s="174"/>
      <c r="CZ157" s="174"/>
      <c r="DA157" s="174"/>
      <c r="DB157" s="174"/>
      <c r="DC157" s="174"/>
      <c r="DD157" s="174"/>
      <c r="DE157" s="174"/>
      <c r="DF157" s="174"/>
      <c r="DG157" s="174"/>
      <c r="DH157" s="174"/>
      <c r="DI157" s="174"/>
      <c r="DJ157" s="174"/>
      <c r="DK157" s="174"/>
      <c r="DL157" s="174"/>
      <c r="DM157" s="174"/>
      <c r="DN157" s="174"/>
      <c r="DO157" s="174"/>
      <c r="DP157" s="174"/>
      <c r="DQ157" s="174"/>
      <c r="DR157" s="174"/>
      <c r="DS157" s="174"/>
      <c r="DT157" s="174"/>
      <c r="DU157" s="174"/>
      <c r="DV157" s="174"/>
      <c r="DW157" s="174"/>
      <c r="DX157" s="174"/>
      <c r="DY157" s="174"/>
      <c r="DZ157" s="174"/>
      <c r="EA157" s="174"/>
      <c r="EB157" s="174"/>
      <c r="EC157" s="174"/>
      <c r="ED157" s="174"/>
      <c r="EE157" s="174"/>
      <c r="EF157" s="174"/>
      <c r="EG157" s="174"/>
      <c r="EH157" s="174"/>
      <c r="EI157" s="174"/>
      <c r="EJ157" s="174"/>
      <c r="EK157" s="174"/>
      <c r="EL157" s="174"/>
      <c r="EM157" s="174"/>
      <c r="EN157" s="174"/>
      <c r="EO157" s="174"/>
      <c r="EP157" s="174"/>
      <c r="EQ157" s="174"/>
      <c r="ER157" s="174"/>
      <c r="ES157" s="174"/>
      <c r="ET157" s="174"/>
      <c r="EU157" s="174"/>
      <c r="EV157" s="174"/>
      <c r="EW157" s="174"/>
      <c r="EX157" s="174"/>
      <c r="EY157" s="174"/>
      <c r="EZ157" s="174"/>
      <c r="FA157" s="174"/>
      <c r="FB157" s="174"/>
      <c r="FC157" s="174"/>
      <c r="FD157" s="174"/>
      <c r="FE157" s="174"/>
      <c r="FF157" s="174"/>
      <c r="FG157" s="174"/>
      <c r="FH157" s="174"/>
      <c r="FI157" s="174"/>
      <c r="FJ157" s="174"/>
      <c r="FK157" s="174"/>
      <c r="FL157" s="174"/>
      <c r="FM157" s="174"/>
      <c r="FN157" s="174"/>
      <c r="FO157" s="174"/>
      <c r="FP157" s="174"/>
      <c r="FQ157" s="174"/>
      <c r="FR157" s="174"/>
      <c r="FS157" s="174"/>
      <c r="FT157" s="174"/>
      <c r="FU157" s="174"/>
      <c r="FV157" s="174"/>
      <c r="FW157" s="174"/>
      <c r="FX157" s="174"/>
      <c r="FY157" s="174"/>
      <c r="FZ157" s="174"/>
      <c r="GA157" s="174"/>
      <c r="GB157" s="174"/>
      <c r="GC157" s="174"/>
      <c r="GD157" s="174"/>
      <c r="GE157" s="174"/>
      <c r="GF157" s="174"/>
      <c r="GG157" s="174"/>
      <c r="GH157" s="174"/>
      <c r="GI157" s="174"/>
      <c r="GJ157" s="174"/>
      <c r="GK157" s="174"/>
      <c r="GL157" s="174"/>
      <c r="GM157" s="174"/>
      <c r="GN157" s="174"/>
      <c r="GO157" s="174"/>
      <c r="GP157" s="174"/>
      <c r="GQ157" s="174"/>
      <c r="GR157" s="174"/>
      <c r="GS157" s="174"/>
      <c r="GT157" s="174"/>
      <c r="GU157" s="174"/>
      <c r="GV157" s="174"/>
      <c r="GW157" s="174"/>
      <c r="GX157" s="174"/>
      <c r="GY157" s="174"/>
      <c r="GZ157" s="174"/>
      <c r="HA157" s="174"/>
      <c r="HB157" s="174"/>
      <c r="HC157" s="174"/>
      <c r="HD157" s="174"/>
      <c r="HE157" s="174"/>
      <c r="HF157" s="174"/>
      <c r="HG157" s="174"/>
      <c r="HH157" s="174"/>
      <c r="HI157" s="174"/>
      <c r="HJ157" s="174"/>
      <c r="HK157" s="174"/>
      <c r="HL157" s="174"/>
      <c r="HM157" s="174"/>
      <c r="HN157" s="174"/>
      <c r="HO157" s="174"/>
      <c r="HP157" s="174"/>
      <c r="HQ157" s="174"/>
      <c r="HR157" s="174"/>
      <c r="HS157" s="174"/>
      <c r="HT157" s="174"/>
      <c r="HU157" s="174"/>
      <c r="HV157" s="174"/>
      <c r="HW157" s="174"/>
      <c r="HX157" s="174"/>
      <c r="HY157" s="174"/>
      <c r="HZ157" s="174"/>
      <c r="IA157" s="174"/>
      <c r="IB157" s="174"/>
      <c r="IC157" s="174"/>
      <c r="ID157" s="174"/>
      <c r="IE157" s="174"/>
      <c r="IF157" s="174"/>
      <c r="IG157" s="174"/>
      <c r="IH157" s="174"/>
      <c r="II157" s="174"/>
      <c r="IJ157" s="174"/>
      <c r="IK157" s="174"/>
      <c r="IL157" s="174"/>
      <c r="IM157" s="174"/>
      <c r="IN157" s="174"/>
      <c r="IO157" s="174"/>
      <c r="IP157" s="174"/>
      <c r="IQ157" s="174"/>
      <c r="IR157" s="174"/>
      <c r="IS157" s="174"/>
      <c r="IT157" s="174"/>
      <c r="IU157" s="75"/>
      <c r="IV157" s="75"/>
      <c r="IW157" s="75"/>
      <c r="IX157" s="75"/>
      <c r="IY157" s="75"/>
      <c r="IZ157" s="75"/>
      <c r="JA157" s="75"/>
      <c r="JB157" s="75"/>
      <c r="JC157" s="75"/>
      <c r="JD157" s="75"/>
      <c r="JF157" s="710"/>
      <c r="JG157" s="710"/>
      <c r="JH157" s="178">
        <f t="shared" si="11"/>
        <v>0</v>
      </c>
      <c r="JI157" s="174">
        <f t="shared" si="12"/>
        <v>0</v>
      </c>
    </row>
    <row r="158" spans="2:269" ht="15" customHeight="1" x14ac:dyDescent="0.25">
      <c r="B158" s="113">
        <v>155</v>
      </c>
      <c r="C158" s="353" t="str">
        <f t="shared" si="13"/>
        <v/>
      </c>
      <c r="D158" s="353" t="str">
        <f t="shared" si="14"/>
        <v/>
      </c>
      <c r="E158" s="174"/>
      <c r="F158" s="174"/>
      <c r="G158" s="174"/>
      <c r="H158" s="174"/>
      <c r="I158" s="174"/>
      <c r="J158" s="174"/>
      <c r="K158" s="174"/>
      <c r="L158" s="174"/>
      <c r="M158" s="174"/>
      <c r="N158" s="174"/>
      <c r="O158" s="174"/>
      <c r="P158" s="174"/>
      <c r="Q158" s="174"/>
      <c r="R158" s="174"/>
      <c r="S158" s="174"/>
      <c r="T158" s="174"/>
      <c r="U158" s="174"/>
      <c r="V158" s="174"/>
      <c r="W158" s="174"/>
      <c r="X158" s="174"/>
      <c r="Y158" s="174"/>
      <c r="Z158" s="174"/>
      <c r="AA158" s="174"/>
      <c r="AB158" s="174"/>
      <c r="AC158" s="174"/>
      <c r="AD158" s="174"/>
      <c r="AE158" s="174"/>
      <c r="AF158" s="174"/>
      <c r="AG158" s="174"/>
      <c r="AH158" s="174"/>
      <c r="AI158" s="174"/>
      <c r="AJ158" s="174"/>
      <c r="AK158" s="174"/>
      <c r="AL158" s="174"/>
      <c r="AM158" s="174"/>
      <c r="AN158" s="174"/>
      <c r="AO158" s="174"/>
      <c r="AP158" s="174"/>
      <c r="AQ158" s="174"/>
      <c r="AR158" s="174"/>
      <c r="AS158" s="174"/>
      <c r="AT158" s="174"/>
      <c r="AU158" s="174"/>
      <c r="AV158" s="174"/>
      <c r="AW158" s="174"/>
      <c r="AX158" s="174"/>
      <c r="AY158" s="174"/>
      <c r="AZ158" s="174"/>
      <c r="BA158" s="174"/>
      <c r="BB158" s="174"/>
      <c r="BC158" s="174"/>
      <c r="BD158" s="174"/>
      <c r="BE158" s="174"/>
      <c r="BF158" s="174"/>
      <c r="BG158" s="174"/>
      <c r="BH158" s="174"/>
      <c r="BI158" s="174"/>
      <c r="BJ158" s="174"/>
      <c r="BK158" s="174"/>
      <c r="BL158" s="174"/>
      <c r="BM158" s="174"/>
      <c r="BN158" s="174"/>
      <c r="BO158" s="174"/>
      <c r="BP158" s="174"/>
      <c r="BQ158" s="174"/>
      <c r="BR158" s="174"/>
      <c r="BS158" s="174"/>
      <c r="BT158" s="174"/>
      <c r="BU158" s="174"/>
      <c r="BV158" s="174"/>
      <c r="BW158" s="174"/>
      <c r="BX158" s="174"/>
      <c r="BY158" s="174"/>
      <c r="BZ158" s="174"/>
      <c r="CA158" s="174"/>
      <c r="CB158" s="174"/>
      <c r="CC158" s="174"/>
      <c r="CD158" s="174"/>
      <c r="CE158" s="174"/>
      <c r="CF158" s="174"/>
      <c r="CG158" s="174"/>
      <c r="CH158" s="174"/>
      <c r="CI158" s="174"/>
      <c r="CJ158" s="174"/>
      <c r="CK158" s="174"/>
      <c r="CL158" s="174"/>
      <c r="CM158" s="174"/>
      <c r="CN158" s="174"/>
      <c r="CO158" s="174"/>
      <c r="CP158" s="174"/>
      <c r="CQ158" s="174"/>
      <c r="CR158" s="174"/>
      <c r="CS158" s="174"/>
      <c r="CT158" s="174"/>
      <c r="CU158" s="174"/>
      <c r="CV158" s="174"/>
      <c r="CW158" s="174"/>
      <c r="CX158" s="174"/>
      <c r="CY158" s="174"/>
      <c r="CZ158" s="174"/>
      <c r="DA158" s="174"/>
      <c r="DB158" s="174"/>
      <c r="DC158" s="174"/>
      <c r="DD158" s="174"/>
      <c r="DE158" s="174"/>
      <c r="DF158" s="174"/>
      <c r="DG158" s="174"/>
      <c r="DH158" s="174"/>
      <c r="DI158" s="174"/>
      <c r="DJ158" s="174"/>
      <c r="DK158" s="174"/>
      <c r="DL158" s="174"/>
      <c r="DM158" s="174"/>
      <c r="DN158" s="174"/>
      <c r="DO158" s="174"/>
      <c r="DP158" s="174"/>
      <c r="DQ158" s="174"/>
      <c r="DR158" s="174"/>
      <c r="DS158" s="174"/>
      <c r="DT158" s="174"/>
      <c r="DU158" s="174"/>
      <c r="DV158" s="174"/>
      <c r="DW158" s="174"/>
      <c r="DX158" s="174"/>
      <c r="DY158" s="174"/>
      <c r="DZ158" s="174"/>
      <c r="EA158" s="174"/>
      <c r="EB158" s="174"/>
      <c r="EC158" s="174"/>
      <c r="ED158" s="174"/>
      <c r="EE158" s="174"/>
      <c r="EF158" s="174"/>
      <c r="EG158" s="174"/>
      <c r="EH158" s="174"/>
      <c r="EI158" s="174"/>
      <c r="EJ158" s="174"/>
      <c r="EK158" s="174"/>
      <c r="EL158" s="174"/>
      <c r="EM158" s="174"/>
      <c r="EN158" s="174"/>
      <c r="EO158" s="174"/>
      <c r="EP158" s="174"/>
      <c r="EQ158" s="174"/>
      <c r="ER158" s="174"/>
      <c r="ES158" s="174"/>
      <c r="ET158" s="174"/>
      <c r="EU158" s="174"/>
      <c r="EV158" s="174"/>
      <c r="EW158" s="174"/>
      <c r="EX158" s="174"/>
      <c r="EY158" s="174"/>
      <c r="EZ158" s="174"/>
      <c r="FA158" s="174"/>
      <c r="FB158" s="174"/>
      <c r="FC158" s="174"/>
      <c r="FD158" s="174"/>
      <c r="FE158" s="174"/>
      <c r="FF158" s="174"/>
      <c r="FG158" s="174"/>
      <c r="FH158" s="174"/>
      <c r="FI158" s="174"/>
      <c r="FJ158" s="174"/>
      <c r="FK158" s="174"/>
      <c r="FL158" s="174"/>
      <c r="FM158" s="174"/>
      <c r="FN158" s="174"/>
      <c r="FO158" s="174"/>
      <c r="FP158" s="174"/>
      <c r="FQ158" s="174"/>
      <c r="FR158" s="174"/>
      <c r="FS158" s="174"/>
      <c r="FT158" s="174"/>
      <c r="FU158" s="174"/>
      <c r="FV158" s="174"/>
      <c r="FW158" s="174"/>
      <c r="FX158" s="174"/>
      <c r="FY158" s="174"/>
      <c r="FZ158" s="174"/>
      <c r="GA158" s="174"/>
      <c r="GB158" s="174"/>
      <c r="GC158" s="174"/>
      <c r="GD158" s="174"/>
      <c r="GE158" s="174"/>
      <c r="GF158" s="174"/>
      <c r="GG158" s="174"/>
      <c r="GH158" s="174"/>
      <c r="GI158" s="174"/>
      <c r="GJ158" s="174"/>
      <c r="GK158" s="174"/>
      <c r="GL158" s="174"/>
      <c r="GM158" s="174"/>
      <c r="GN158" s="174"/>
      <c r="GO158" s="174"/>
      <c r="GP158" s="174"/>
      <c r="GQ158" s="174"/>
      <c r="GR158" s="174"/>
      <c r="GS158" s="174"/>
      <c r="GT158" s="174"/>
      <c r="GU158" s="174"/>
      <c r="GV158" s="174"/>
      <c r="GW158" s="174"/>
      <c r="GX158" s="174"/>
      <c r="GY158" s="174"/>
      <c r="GZ158" s="174"/>
      <c r="HA158" s="174"/>
      <c r="HB158" s="174"/>
      <c r="HC158" s="174"/>
      <c r="HD158" s="174"/>
      <c r="HE158" s="174"/>
      <c r="HF158" s="174"/>
      <c r="HG158" s="174"/>
      <c r="HH158" s="174"/>
      <c r="HI158" s="174"/>
      <c r="HJ158" s="174"/>
      <c r="HK158" s="174"/>
      <c r="HL158" s="174"/>
      <c r="HM158" s="174"/>
      <c r="HN158" s="174"/>
      <c r="HO158" s="174"/>
      <c r="HP158" s="174"/>
      <c r="HQ158" s="174"/>
      <c r="HR158" s="174"/>
      <c r="HS158" s="174"/>
      <c r="HT158" s="174"/>
      <c r="HU158" s="174"/>
      <c r="HV158" s="174"/>
      <c r="HW158" s="174"/>
      <c r="HX158" s="174"/>
      <c r="HY158" s="174"/>
      <c r="HZ158" s="174"/>
      <c r="IA158" s="174"/>
      <c r="IB158" s="174"/>
      <c r="IC158" s="174"/>
      <c r="ID158" s="174"/>
      <c r="IE158" s="174"/>
      <c r="IF158" s="174"/>
      <c r="IG158" s="174"/>
      <c r="IH158" s="174"/>
      <c r="II158" s="174"/>
      <c r="IJ158" s="174"/>
      <c r="IK158" s="174"/>
      <c r="IL158" s="174"/>
      <c r="IM158" s="174"/>
      <c r="IN158" s="174"/>
      <c r="IO158" s="174"/>
      <c r="IP158" s="174"/>
      <c r="IQ158" s="174"/>
      <c r="IR158" s="174"/>
      <c r="IS158" s="174"/>
      <c r="IT158" s="174"/>
      <c r="IU158" s="75"/>
      <c r="IV158" s="75"/>
      <c r="IW158" s="75"/>
      <c r="IX158" s="75"/>
      <c r="IY158" s="75"/>
      <c r="IZ158" s="75"/>
      <c r="JA158" s="75"/>
      <c r="JB158" s="75"/>
      <c r="JC158" s="75"/>
      <c r="JD158" s="75"/>
      <c r="JF158" s="710"/>
      <c r="JG158" s="710"/>
      <c r="JH158" s="178">
        <f t="shared" si="11"/>
        <v>0</v>
      </c>
      <c r="JI158" s="174">
        <f t="shared" si="12"/>
        <v>0</v>
      </c>
    </row>
    <row r="159" spans="2:269" ht="15" customHeight="1" x14ac:dyDescent="0.25">
      <c r="B159" s="113">
        <v>156</v>
      </c>
      <c r="C159" s="353" t="str">
        <f t="shared" si="13"/>
        <v/>
      </c>
      <c r="D159" s="353" t="str">
        <f t="shared" si="14"/>
        <v/>
      </c>
      <c r="E159" s="174"/>
      <c r="F159" s="174"/>
      <c r="G159" s="174"/>
      <c r="H159" s="174"/>
      <c r="I159" s="174"/>
      <c r="J159" s="174"/>
      <c r="K159" s="174"/>
      <c r="L159" s="174"/>
      <c r="M159" s="174"/>
      <c r="N159" s="174"/>
      <c r="O159" s="174"/>
      <c r="P159" s="174"/>
      <c r="Q159" s="174"/>
      <c r="R159" s="174"/>
      <c r="S159" s="174"/>
      <c r="T159" s="174"/>
      <c r="U159" s="174"/>
      <c r="V159" s="174"/>
      <c r="W159" s="174"/>
      <c r="X159" s="174"/>
      <c r="Y159" s="174"/>
      <c r="Z159" s="174"/>
      <c r="AA159" s="174"/>
      <c r="AB159" s="174"/>
      <c r="AC159" s="174"/>
      <c r="AD159" s="174"/>
      <c r="AE159" s="174"/>
      <c r="AF159" s="174"/>
      <c r="AG159" s="174"/>
      <c r="AH159" s="174"/>
      <c r="AI159" s="174"/>
      <c r="AJ159" s="174"/>
      <c r="AK159" s="174"/>
      <c r="AL159" s="174"/>
      <c r="AM159" s="174"/>
      <c r="AN159" s="174"/>
      <c r="AO159" s="174"/>
      <c r="AP159" s="174"/>
      <c r="AQ159" s="174"/>
      <c r="AR159" s="174"/>
      <c r="AS159" s="174"/>
      <c r="AT159" s="174"/>
      <c r="AU159" s="174"/>
      <c r="AV159" s="174"/>
      <c r="AW159" s="174"/>
      <c r="AX159" s="174"/>
      <c r="AY159" s="174"/>
      <c r="AZ159" s="174"/>
      <c r="BA159" s="174"/>
      <c r="BB159" s="174"/>
      <c r="BC159" s="174"/>
      <c r="BD159" s="174"/>
      <c r="BE159" s="174"/>
      <c r="BF159" s="174"/>
      <c r="BG159" s="174"/>
      <c r="BH159" s="174"/>
      <c r="BI159" s="174"/>
      <c r="BJ159" s="174"/>
      <c r="BK159" s="174"/>
      <c r="BL159" s="174"/>
      <c r="BM159" s="174"/>
      <c r="BN159" s="174"/>
      <c r="BO159" s="174"/>
      <c r="BP159" s="174"/>
      <c r="BQ159" s="174"/>
      <c r="BR159" s="174"/>
      <c r="BS159" s="174"/>
      <c r="BT159" s="174"/>
      <c r="BU159" s="174"/>
      <c r="BV159" s="174"/>
      <c r="BW159" s="174"/>
      <c r="BX159" s="174"/>
      <c r="BY159" s="174"/>
      <c r="BZ159" s="174"/>
      <c r="CA159" s="174"/>
      <c r="CB159" s="174"/>
      <c r="CC159" s="174"/>
      <c r="CD159" s="174"/>
      <c r="CE159" s="174"/>
      <c r="CF159" s="174"/>
      <c r="CG159" s="174"/>
      <c r="CH159" s="174"/>
      <c r="CI159" s="174"/>
      <c r="CJ159" s="174"/>
      <c r="CK159" s="174"/>
      <c r="CL159" s="174"/>
      <c r="CM159" s="174"/>
      <c r="CN159" s="174"/>
      <c r="CO159" s="174"/>
      <c r="CP159" s="174"/>
      <c r="CQ159" s="174"/>
      <c r="CR159" s="174"/>
      <c r="CS159" s="174"/>
      <c r="CT159" s="174"/>
      <c r="CU159" s="174"/>
      <c r="CV159" s="174"/>
      <c r="CW159" s="174"/>
      <c r="CX159" s="174"/>
      <c r="CY159" s="174"/>
      <c r="CZ159" s="174"/>
      <c r="DA159" s="174"/>
      <c r="DB159" s="174"/>
      <c r="DC159" s="174"/>
      <c r="DD159" s="174"/>
      <c r="DE159" s="174"/>
      <c r="DF159" s="174"/>
      <c r="DG159" s="174"/>
      <c r="DH159" s="174"/>
      <c r="DI159" s="174"/>
      <c r="DJ159" s="174"/>
      <c r="DK159" s="174"/>
      <c r="DL159" s="174"/>
      <c r="DM159" s="174"/>
      <c r="DN159" s="174"/>
      <c r="DO159" s="174"/>
      <c r="DP159" s="174"/>
      <c r="DQ159" s="174"/>
      <c r="DR159" s="174"/>
      <c r="DS159" s="174"/>
      <c r="DT159" s="174"/>
      <c r="DU159" s="174"/>
      <c r="DV159" s="174"/>
      <c r="DW159" s="174"/>
      <c r="DX159" s="174"/>
      <c r="DY159" s="174"/>
      <c r="DZ159" s="174"/>
      <c r="EA159" s="174"/>
      <c r="EB159" s="174"/>
      <c r="EC159" s="174"/>
      <c r="ED159" s="174"/>
      <c r="EE159" s="174"/>
      <c r="EF159" s="174"/>
      <c r="EG159" s="174"/>
      <c r="EH159" s="174"/>
      <c r="EI159" s="174"/>
      <c r="EJ159" s="174"/>
      <c r="EK159" s="174"/>
      <c r="EL159" s="174"/>
      <c r="EM159" s="174"/>
      <c r="EN159" s="174"/>
      <c r="EO159" s="174"/>
      <c r="EP159" s="174"/>
      <c r="EQ159" s="174"/>
      <c r="ER159" s="174"/>
      <c r="ES159" s="174"/>
      <c r="ET159" s="174"/>
      <c r="EU159" s="174"/>
      <c r="EV159" s="174"/>
      <c r="EW159" s="174"/>
      <c r="EX159" s="174"/>
      <c r="EY159" s="174"/>
      <c r="EZ159" s="174"/>
      <c r="FA159" s="174"/>
      <c r="FB159" s="174"/>
      <c r="FC159" s="174"/>
      <c r="FD159" s="174"/>
      <c r="FE159" s="174"/>
      <c r="FF159" s="174"/>
      <c r="FG159" s="174"/>
      <c r="FH159" s="174"/>
      <c r="FI159" s="174"/>
      <c r="FJ159" s="174"/>
      <c r="FK159" s="174"/>
      <c r="FL159" s="174"/>
      <c r="FM159" s="174"/>
      <c r="FN159" s="174"/>
      <c r="FO159" s="174"/>
      <c r="FP159" s="174"/>
      <c r="FQ159" s="174"/>
      <c r="FR159" s="174"/>
      <c r="FS159" s="174"/>
      <c r="FT159" s="174"/>
      <c r="FU159" s="174"/>
      <c r="FV159" s="174"/>
      <c r="FW159" s="174"/>
      <c r="FX159" s="174"/>
      <c r="FY159" s="174"/>
      <c r="FZ159" s="174"/>
      <c r="GA159" s="174"/>
      <c r="GB159" s="174"/>
      <c r="GC159" s="174"/>
      <c r="GD159" s="174"/>
      <c r="GE159" s="174"/>
      <c r="GF159" s="174"/>
      <c r="GG159" s="174"/>
      <c r="GH159" s="174"/>
      <c r="GI159" s="174"/>
      <c r="GJ159" s="174"/>
      <c r="GK159" s="174"/>
      <c r="GL159" s="174"/>
      <c r="GM159" s="174"/>
      <c r="GN159" s="174"/>
      <c r="GO159" s="174"/>
      <c r="GP159" s="174"/>
      <c r="GQ159" s="174"/>
      <c r="GR159" s="174"/>
      <c r="GS159" s="174"/>
      <c r="GT159" s="174"/>
      <c r="GU159" s="174"/>
      <c r="GV159" s="174"/>
      <c r="GW159" s="174"/>
      <c r="GX159" s="174"/>
      <c r="GY159" s="174"/>
      <c r="GZ159" s="174"/>
      <c r="HA159" s="174"/>
      <c r="HB159" s="174"/>
      <c r="HC159" s="174"/>
      <c r="HD159" s="174"/>
      <c r="HE159" s="174"/>
      <c r="HF159" s="174"/>
      <c r="HG159" s="174"/>
      <c r="HH159" s="174"/>
      <c r="HI159" s="174"/>
      <c r="HJ159" s="174"/>
      <c r="HK159" s="174"/>
      <c r="HL159" s="174"/>
      <c r="HM159" s="174"/>
      <c r="HN159" s="174"/>
      <c r="HO159" s="174"/>
      <c r="HP159" s="174"/>
      <c r="HQ159" s="174"/>
      <c r="HR159" s="174"/>
      <c r="HS159" s="174"/>
      <c r="HT159" s="174"/>
      <c r="HU159" s="174"/>
      <c r="HV159" s="174"/>
      <c r="HW159" s="174"/>
      <c r="HX159" s="174"/>
      <c r="HY159" s="174"/>
      <c r="HZ159" s="174"/>
      <c r="IA159" s="174"/>
      <c r="IB159" s="174"/>
      <c r="IC159" s="174"/>
      <c r="ID159" s="174"/>
      <c r="IE159" s="174"/>
      <c r="IF159" s="174"/>
      <c r="IG159" s="174"/>
      <c r="IH159" s="174"/>
      <c r="II159" s="174"/>
      <c r="IJ159" s="174"/>
      <c r="IK159" s="174"/>
      <c r="IL159" s="174"/>
      <c r="IM159" s="174"/>
      <c r="IN159" s="174"/>
      <c r="IO159" s="174"/>
      <c r="IP159" s="174"/>
      <c r="IQ159" s="174"/>
      <c r="IR159" s="174"/>
      <c r="IS159" s="174"/>
      <c r="IT159" s="174"/>
      <c r="IU159" s="75"/>
      <c r="IV159" s="75"/>
      <c r="IW159" s="75"/>
      <c r="IX159" s="75"/>
      <c r="IY159" s="75"/>
      <c r="IZ159" s="75"/>
      <c r="JA159" s="75"/>
      <c r="JB159" s="75"/>
      <c r="JC159" s="75"/>
      <c r="JD159" s="75"/>
      <c r="JF159" s="710"/>
      <c r="JG159" s="710"/>
      <c r="JH159" s="178">
        <f t="shared" si="11"/>
        <v>0</v>
      </c>
      <c r="JI159" s="174">
        <f t="shared" si="12"/>
        <v>0</v>
      </c>
    </row>
    <row r="160" spans="2:269" ht="15" customHeight="1" x14ac:dyDescent="0.25">
      <c r="B160" s="113">
        <v>157</v>
      </c>
      <c r="C160" s="353" t="str">
        <f t="shared" si="13"/>
        <v/>
      </c>
      <c r="D160" s="353" t="str">
        <f t="shared" si="14"/>
        <v/>
      </c>
      <c r="E160" s="174"/>
      <c r="F160" s="174"/>
      <c r="G160" s="174"/>
      <c r="H160" s="174"/>
      <c r="I160" s="174"/>
      <c r="J160" s="174"/>
      <c r="K160" s="174"/>
      <c r="L160" s="174"/>
      <c r="M160" s="174"/>
      <c r="N160" s="174"/>
      <c r="O160" s="174"/>
      <c r="P160" s="174"/>
      <c r="Q160" s="174"/>
      <c r="R160" s="174"/>
      <c r="S160" s="174"/>
      <c r="T160" s="174"/>
      <c r="U160" s="174"/>
      <c r="V160" s="174"/>
      <c r="W160" s="174"/>
      <c r="X160" s="174"/>
      <c r="Y160" s="174"/>
      <c r="Z160" s="174"/>
      <c r="AA160" s="174"/>
      <c r="AB160" s="174"/>
      <c r="AC160" s="174"/>
      <c r="AD160" s="174"/>
      <c r="AE160" s="174"/>
      <c r="AF160" s="174"/>
      <c r="AG160" s="174"/>
      <c r="AH160" s="174"/>
      <c r="AI160" s="174"/>
      <c r="AJ160" s="174"/>
      <c r="AK160" s="174"/>
      <c r="AL160" s="174"/>
      <c r="AM160" s="174"/>
      <c r="AN160" s="174"/>
      <c r="AO160" s="174"/>
      <c r="AP160" s="174"/>
      <c r="AQ160" s="174"/>
      <c r="AR160" s="174"/>
      <c r="AS160" s="174"/>
      <c r="AT160" s="174"/>
      <c r="AU160" s="174"/>
      <c r="AV160" s="174"/>
      <c r="AW160" s="174"/>
      <c r="AX160" s="174"/>
      <c r="AY160" s="174"/>
      <c r="AZ160" s="174"/>
      <c r="BA160" s="174"/>
      <c r="BB160" s="174"/>
      <c r="BC160" s="174"/>
      <c r="BD160" s="174"/>
      <c r="BE160" s="174"/>
      <c r="BF160" s="174"/>
      <c r="BG160" s="174"/>
      <c r="BH160" s="174"/>
      <c r="BI160" s="174"/>
      <c r="BJ160" s="174"/>
      <c r="BK160" s="174"/>
      <c r="BL160" s="174"/>
      <c r="BM160" s="174"/>
      <c r="BN160" s="174"/>
      <c r="BO160" s="174"/>
      <c r="BP160" s="174"/>
      <c r="BQ160" s="174"/>
      <c r="BR160" s="174"/>
      <c r="BS160" s="174"/>
      <c r="BT160" s="174"/>
      <c r="BU160" s="174"/>
      <c r="BV160" s="174"/>
      <c r="BW160" s="174"/>
      <c r="BX160" s="174"/>
      <c r="BY160" s="174"/>
      <c r="BZ160" s="174"/>
      <c r="CA160" s="174"/>
      <c r="CB160" s="174"/>
      <c r="CC160" s="174"/>
      <c r="CD160" s="174"/>
      <c r="CE160" s="174"/>
      <c r="CF160" s="174"/>
      <c r="CG160" s="174"/>
      <c r="CH160" s="174"/>
      <c r="CI160" s="174"/>
      <c r="CJ160" s="174"/>
      <c r="CK160" s="174"/>
      <c r="CL160" s="174"/>
      <c r="CM160" s="174"/>
      <c r="CN160" s="174"/>
      <c r="CO160" s="174"/>
      <c r="CP160" s="174"/>
      <c r="CQ160" s="174"/>
      <c r="CR160" s="174"/>
      <c r="CS160" s="174"/>
      <c r="CT160" s="174"/>
      <c r="CU160" s="174"/>
      <c r="CV160" s="174"/>
      <c r="CW160" s="174"/>
      <c r="CX160" s="174"/>
      <c r="CY160" s="174"/>
      <c r="CZ160" s="174"/>
      <c r="DA160" s="174"/>
      <c r="DB160" s="174"/>
      <c r="DC160" s="174"/>
      <c r="DD160" s="174"/>
      <c r="DE160" s="174"/>
      <c r="DF160" s="174"/>
      <c r="DG160" s="174"/>
      <c r="DH160" s="174"/>
      <c r="DI160" s="174"/>
      <c r="DJ160" s="174"/>
      <c r="DK160" s="174"/>
      <c r="DL160" s="174"/>
      <c r="DM160" s="174"/>
      <c r="DN160" s="174"/>
      <c r="DO160" s="174"/>
      <c r="DP160" s="174"/>
      <c r="DQ160" s="174"/>
      <c r="DR160" s="174"/>
      <c r="DS160" s="174"/>
      <c r="DT160" s="174"/>
      <c r="DU160" s="174"/>
      <c r="DV160" s="174"/>
      <c r="DW160" s="174"/>
      <c r="DX160" s="174"/>
      <c r="DY160" s="174"/>
      <c r="DZ160" s="174"/>
      <c r="EA160" s="174"/>
      <c r="EB160" s="174"/>
      <c r="EC160" s="174"/>
      <c r="ED160" s="174"/>
      <c r="EE160" s="174"/>
      <c r="EF160" s="174"/>
      <c r="EG160" s="174"/>
      <c r="EH160" s="174"/>
      <c r="EI160" s="174"/>
      <c r="EJ160" s="174"/>
      <c r="EK160" s="174"/>
      <c r="EL160" s="174"/>
      <c r="EM160" s="174"/>
      <c r="EN160" s="174"/>
      <c r="EO160" s="174"/>
      <c r="EP160" s="174"/>
      <c r="EQ160" s="174"/>
      <c r="ER160" s="174"/>
      <c r="ES160" s="174"/>
      <c r="ET160" s="174"/>
      <c r="EU160" s="174"/>
      <c r="EV160" s="174"/>
      <c r="EW160" s="174"/>
      <c r="EX160" s="174"/>
      <c r="EY160" s="174"/>
      <c r="EZ160" s="174"/>
      <c r="FA160" s="174"/>
      <c r="FB160" s="174"/>
      <c r="FC160" s="174"/>
      <c r="FD160" s="174"/>
      <c r="FE160" s="174"/>
      <c r="FF160" s="174"/>
      <c r="FG160" s="174"/>
      <c r="FH160" s="174"/>
      <c r="FI160" s="174"/>
      <c r="FJ160" s="174"/>
      <c r="FK160" s="174"/>
      <c r="FL160" s="174"/>
      <c r="FM160" s="174"/>
      <c r="FN160" s="174"/>
      <c r="FO160" s="174"/>
      <c r="FP160" s="174"/>
      <c r="FQ160" s="174"/>
      <c r="FR160" s="174"/>
      <c r="FS160" s="174"/>
      <c r="FT160" s="174"/>
      <c r="FU160" s="174"/>
      <c r="FV160" s="174"/>
      <c r="FW160" s="174"/>
      <c r="FX160" s="174"/>
      <c r="FY160" s="174"/>
      <c r="FZ160" s="174"/>
      <c r="GA160" s="174"/>
      <c r="GB160" s="174"/>
      <c r="GC160" s="174"/>
      <c r="GD160" s="174"/>
      <c r="GE160" s="174"/>
      <c r="GF160" s="174"/>
      <c r="GG160" s="174"/>
      <c r="GH160" s="174"/>
      <c r="GI160" s="174"/>
      <c r="GJ160" s="174"/>
      <c r="GK160" s="174"/>
      <c r="GL160" s="174"/>
      <c r="GM160" s="174"/>
      <c r="GN160" s="174"/>
      <c r="GO160" s="174"/>
      <c r="GP160" s="174"/>
      <c r="GQ160" s="174"/>
      <c r="GR160" s="174"/>
      <c r="GS160" s="174"/>
      <c r="GT160" s="174"/>
      <c r="GU160" s="174"/>
      <c r="GV160" s="174"/>
      <c r="GW160" s="174"/>
      <c r="GX160" s="174"/>
      <c r="GY160" s="174"/>
      <c r="GZ160" s="174"/>
      <c r="HA160" s="174"/>
      <c r="HB160" s="174"/>
      <c r="HC160" s="174"/>
      <c r="HD160" s="174"/>
      <c r="HE160" s="174"/>
      <c r="HF160" s="174"/>
      <c r="HG160" s="174"/>
      <c r="HH160" s="174"/>
      <c r="HI160" s="174"/>
      <c r="HJ160" s="174"/>
      <c r="HK160" s="174"/>
      <c r="HL160" s="174"/>
      <c r="HM160" s="174"/>
      <c r="HN160" s="174"/>
      <c r="HO160" s="174"/>
      <c r="HP160" s="174"/>
      <c r="HQ160" s="174"/>
      <c r="HR160" s="174"/>
      <c r="HS160" s="174"/>
      <c r="HT160" s="174"/>
      <c r="HU160" s="174"/>
      <c r="HV160" s="174"/>
      <c r="HW160" s="174"/>
      <c r="HX160" s="174"/>
      <c r="HY160" s="174"/>
      <c r="HZ160" s="174"/>
      <c r="IA160" s="174"/>
      <c r="IB160" s="174"/>
      <c r="IC160" s="174"/>
      <c r="ID160" s="174"/>
      <c r="IE160" s="174"/>
      <c r="IF160" s="174"/>
      <c r="IG160" s="174"/>
      <c r="IH160" s="174"/>
      <c r="II160" s="174"/>
      <c r="IJ160" s="174"/>
      <c r="IK160" s="174"/>
      <c r="IL160" s="174"/>
      <c r="IM160" s="174"/>
      <c r="IN160" s="174"/>
      <c r="IO160" s="174"/>
      <c r="IP160" s="174"/>
      <c r="IQ160" s="174"/>
      <c r="IR160" s="174"/>
      <c r="IS160" s="174"/>
      <c r="IT160" s="174"/>
      <c r="IU160" s="75"/>
      <c r="IV160" s="75"/>
      <c r="IW160" s="75"/>
      <c r="IX160" s="75"/>
      <c r="IY160" s="75"/>
      <c r="IZ160" s="75"/>
      <c r="JA160" s="75"/>
      <c r="JB160" s="75"/>
      <c r="JC160" s="75"/>
      <c r="JD160" s="75"/>
      <c r="JF160" s="710"/>
      <c r="JG160" s="710"/>
      <c r="JH160" s="178">
        <f t="shared" si="11"/>
        <v>0</v>
      </c>
      <c r="JI160" s="174">
        <f t="shared" si="12"/>
        <v>0</v>
      </c>
    </row>
    <row r="161" spans="2:269" ht="15" customHeight="1" x14ac:dyDescent="0.25">
      <c r="B161" s="113">
        <v>158</v>
      </c>
      <c r="C161" s="353" t="str">
        <f t="shared" si="13"/>
        <v/>
      </c>
      <c r="D161" s="353" t="str">
        <f t="shared" si="14"/>
        <v/>
      </c>
      <c r="E161" s="174"/>
      <c r="F161" s="174"/>
      <c r="G161" s="174"/>
      <c r="H161" s="174"/>
      <c r="I161" s="174"/>
      <c r="J161" s="174"/>
      <c r="K161" s="174"/>
      <c r="L161" s="174"/>
      <c r="M161" s="174"/>
      <c r="N161" s="174"/>
      <c r="O161" s="174"/>
      <c r="P161" s="174"/>
      <c r="Q161" s="174"/>
      <c r="R161" s="174"/>
      <c r="S161" s="174"/>
      <c r="T161" s="174"/>
      <c r="U161" s="174"/>
      <c r="V161" s="174"/>
      <c r="W161" s="174"/>
      <c r="X161" s="174"/>
      <c r="Y161" s="174"/>
      <c r="Z161" s="174"/>
      <c r="AA161" s="174"/>
      <c r="AB161" s="174"/>
      <c r="AC161" s="174"/>
      <c r="AD161" s="174"/>
      <c r="AE161" s="174"/>
      <c r="AF161" s="174"/>
      <c r="AG161" s="174"/>
      <c r="AH161" s="174"/>
      <c r="AI161" s="174"/>
      <c r="AJ161" s="174"/>
      <c r="AK161" s="174"/>
      <c r="AL161" s="174"/>
      <c r="AM161" s="174"/>
      <c r="AN161" s="174"/>
      <c r="AO161" s="174"/>
      <c r="AP161" s="174"/>
      <c r="AQ161" s="174"/>
      <c r="AR161" s="174"/>
      <c r="AS161" s="174"/>
      <c r="AT161" s="174"/>
      <c r="AU161" s="174"/>
      <c r="AV161" s="174"/>
      <c r="AW161" s="174"/>
      <c r="AX161" s="174"/>
      <c r="AY161" s="174"/>
      <c r="AZ161" s="174"/>
      <c r="BA161" s="174"/>
      <c r="BB161" s="174"/>
      <c r="BC161" s="174"/>
      <c r="BD161" s="174"/>
      <c r="BE161" s="174"/>
      <c r="BF161" s="174"/>
      <c r="BG161" s="174"/>
      <c r="BH161" s="174"/>
      <c r="BI161" s="174"/>
      <c r="BJ161" s="174"/>
      <c r="BK161" s="174"/>
      <c r="BL161" s="174"/>
      <c r="BM161" s="174"/>
      <c r="BN161" s="174"/>
      <c r="BO161" s="174"/>
      <c r="BP161" s="174"/>
      <c r="BQ161" s="174"/>
      <c r="BR161" s="174"/>
      <c r="BS161" s="174"/>
      <c r="BT161" s="174"/>
      <c r="BU161" s="174"/>
      <c r="BV161" s="174"/>
      <c r="BW161" s="174"/>
      <c r="BX161" s="174"/>
      <c r="BY161" s="174"/>
      <c r="BZ161" s="174"/>
      <c r="CA161" s="174"/>
      <c r="CB161" s="174"/>
      <c r="CC161" s="174"/>
      <c r="CD161" s="174"/>
      <c r="CE161" s="174"/>
      <c r="CF161" s="174"/>
      <c r="CG161" s="174"/>
      <c r="CH161" s="174"/>
      <c r="CI161" s="174"/>
      <c r="CJ161" s="174"/>
      <c r="CK161" s="174"/>
      <c r="CL161" s="174"/>
      <c r="CM161" s="174"/>
      <c r="CN161" s="174"/>
      <c r="CO161" s="174"/>
      <c r="CP161" s="174"/>
      <c r="CQ161" s="174"/>
      <c r="CR161" s="174"/>
      <c r="CS161" s="174"/>
      <c r="CT161" s="174"/>
      <c r="CU161" s="174"/>
      <c r="CV161" s="174"/>
      <c r="CW161" s="174"/>
      <c r="CX161" s="174"/>
      <c r="CY161" s="174"/>
      <c r="CZ161" s="174"/>
      <c r="DA161" s="174"/>
      <c r="DB161" s="174"/>
      <c r="DC161" s="174"/>
      <c r="DD161" s="174"/>
      <c r="DE161" s="174"/>
      <c r="DF161" s="174"/>
      <c r="DG161" s="174"/>
      <c r="DH161" s="174"/>
      <c r="DI161" s="174"/>
      <c r="DJ161" s="174"/>
      <c r="DK161" s="174"/>
      <c r="DL161" s="174"/>
      <c r="DM161" s="174"/>
      <c r="DN161" s="174"/>
      <c r="DO161" s="174"/>
      <c r="DP161" s="174"/>
      <c r="DQ161" s="174"/>
      <c r="DR161" s="174"/>
      <c r="DS161" s="174"/>
      <c r="DT161" s="174"/>
      <c r="DU161" s="174"/>
      <c r="DV161" s="174"/>
      <c r="DW161" s="174"/>
      <c r="DX161" s="174"/>
      <c r="DY161" s="174"/>
      <c r="DZ161" s="174"/>
      <c r="EA161" s="174"/>
      <c r="EB161" s="174"/>
      <c r="EC161" s="174"/>
      <c r="ED161" s="174"/>
      <c r="EE161" s="174"/>
      <c r="EF161" s="174"/>
      <c r="EG161" s="174"/>
      <c r="EH161" s="174"/>
      <c r="EI161" s="174"/>
      <c r="EJ161" s="174"/>
      <c r="EK161" s="174"/>
      <c r="EL161" s="174"/>
      <c r="EM161" s="174"/>
      <c r="EN161" s="174"/>
      <c r="EO161" s="174"/>
      <c r="EP161" s="174"/>
      <c r="EQ161" s="174"/>
      <c r="ER161" s="174"/>
      <c r="ES161" s="174"/>
      <c r="ET161" s="174"/>
      <c r="EU161" s="174"/>
      <c r="EV161" s="174"/>
      <c r="EW161" s="174"/>
      <c r="EX161" s="174"/>
      <c r="EY161" s="174"/>
      <c r="EZ161" s="174"/>
      <c r="FA161" s="174"/>
      <c r="FB161" s="174"/>
      <c r="FC161" s="174"/>
      <c r="FD161" s="174"/>
      <c r="FE161" s="174"/>
      <c r="FF161" s="174"/>
      <c r="FG161" s="174"/>
      <c r="FH161" s="174"/>
      <c r="FI161" s="174"/>
      <c r="FJ161" s="174"/>
      <c r="FK161" s="174"/>
      <c r="FL161" s="174"/>
      <c r="FM161" s="174"/>
      <c r="FN161" s="174"/>
      <c r="FO161" s="174"/>
      <c r="FP161" s="174"/>
      <c r="FQ161" s="174"/>
      <c r="FR161" s="174"/>
      <c r="FS161" s="174"/>
      <c r="FT161" s="174"/>
      <c r="FU161" s="174"/>
      <c r="FV161" s="174"/>
      <c r="FW161" s="174"/>
      <c r="FX161" s="174"/>
      <c r="FY161" s="174"/>
      <c r="FZ161" s="174"/>
      <c r="GA161" s="174"/>
      <c r="GB161" s="174"/>
      <c r="GC161" s="174"/>
      <c r="GD161" s="174"/>
      <c r="GE161" s="174"/>
      <c r="GF161" s="174"/>
      <c r="GG161" s="174"/>
      <c r="GH161" s="174"/>
      <c r="GI161" s="174"/>
      <c r="GJ161" s="174"/>
      <c r="GK161" s="174"/>
      <c r="GL161" s="174"/>
      <c r="GM161" s="174"/>
      <c r="GN161" s="174"/>
      <c r="GO161" s="174"/>
      <c r="GP161" s="174"/>
      <c r="GQ161" s="174"/>
      <c r="GR161" s="174"/>
      <c r="GS161" s="174"/>
      <c r="GT161" s="174"/>
      <c r="GU161" s="174"/>
      <c r="GV161" s="174"/>
      <c r="GW161" s="174"/>
      <c r="GX161" s="174"/>
      <c r="GY161" s="174"/>
      <c r="GZ161" s="174"/>
      <c r="HA161" s="174"/>
      <c r="HB161" s="174"/>
      <c r="HC161" s="174"/>
      <c r="HD161" s="174"/>
      <c r="HE161" s="174"/>
      <c r="HF161" s="174"/>
      <c r="HG161" s="174"/>
      <c r="HH161" s="174"/>
      <c r="HI161" s="174"/>
      <c r="HJ161" s="174"/>
      <c r="HK161" s="174"/>
      <c r="HL161" s="174"/>
      <c r="HM161" s="174"/>
      <c r="HN161" s="174"/>
      <c r="HO161" s="174"/>
      <c r="HP161" s="174"/>
      <c r="HQ161" s="174"/>
      <c r="HR161" s="174"/>
      <c r="HS161" s="174"/>
      <c r="HT161" s="174"/>
      <c r="HU161" s="174"/>
      <c r="HV161" s="174"/>
      <c r="HW161" s="174"/>
      <c r="HX161" s="174"/>
      <c r="HY161" s="174"/>
      <c r="HZ161" s="174"/>
      <c r="IA161" s="174"/>
      <c r="IB161" s="174"/>
      <c r="IC161" s="174"/>
      <c r="ID161" s="174"/>
      <c r="IE161" s="174"/>
      <c r="IF161" s="174"/>
      <c r="IG161" s="174"/>
      <c r="IH161" s="174"/>
      <c r="II161" s="174"/>
      <c r="IJ161" s="174"/>
      <c r="IK161" s="174"/>
      <c r="IL161" s="174"/>
      <c r="IM161" s="174"/>
      <c r="IN161" s="174"/>
      <c r="IO161" s="174"/>
      <c r="IP161" s="174"/>
      <c r="IQ161" s="174"/>
      <c r="IR161" s="174"/>
      <c r="IS161" s="174"/>
      <c r="IT161" s="174"/>
      <c r="IU161" s="75"/>
      <c r="IV161" s="75"/>
      <c r="IW161" s="75"/>
      <c r="IX161" s="75"/>
      <c r="IY161" s="75"/>
      <c r="IZ161" s="75"/>
      <c r="JA161" s="75"/>
      <c r="JB161" s="75"/>
      <c r="JC161" s="75"/>
      <c r="JD161" s="75"/>
      <c r="JF161" s="710"/>
      <c r="JG161" s="710"/>
      <c r="JH161" s="178">
        <f t="shared" si="11"/>
        <v>0</v>
      </c>
      <c r="JI161" s="174">
        <f t="shared" si="12"/>
        <v>0</v>
      </c>
    </row>
    <row r="162" spans="2:269" ht="15" customHeight="1" x14ac:dyDescent="0.25">
      <c r="B162" s="113">
        <v>159</v>
      </c>
      <c r="C162" s="353" t="str">
        <f t="shared" si="13"/>
        <v/>
      </c>
      <c r="D162" s="353" t="str">
        <f t="shared" si="14"/>
        <v/>
      </c>
      <c r="E162" s="174"/>
      <c r="F162" s="174"/>
      <c r="G162" s="174"/>
      <c r="H162" s="174"/>
      <c r="I162" s="174"/>
      <c r="J162" s="174"/>
      <c r="K162" s="174"/>
      <c r="L162" s="174"/>
      <c r="M162" s="174"/>
      <c r="N162" s="174"/>
      <c r="O162" s="174"/>
      <c r="P162" s="174"/>
      <c r="Q162" s="174"/>
      <c r="R162" s="174"/>
      <c r="S162" s="174"/>
      <c r="T162" s="174"/>
      <c r="U162" s="174"/>
      <c r="V162" s="174"/>
      <c r="W162" s="174"/>
      <c r="X162" s="174"/>
      <c r="Y162" s="174"/>
      <c r="Z162" s="174"/>
      <c r="AA162" s="174"/>
      <c r="AB162" s="174"/>
      <c r="AC162" s="174"/>
      <c r="AD162" s="174"/>
      <c r="AE162" s="174"/>
      <c r="AF162" s="174"/>
      <c r="AG162" s="174"/>
      <c r="AH162" s="174"/>
      <c r="AI162" s="174"/>
      <c r="AJ162" s="174"/>
      <c r="AK162" s="174"/>
      <c r="AL162" s="174"/>
      <c r="AM162" s="174"/>
      <c r="AN162" s="174"/>
      <c r="AO162" s="174"/>
      <c r="AP162" s="174"/>
      <c r="AQ162" s="174"/>
      <c r="AR162" s="174"/>
      <c r="AS162" s="174"/>
      <c r="AT162" s="174"/>
      <c r="AU162" s="174"/>
      <c r="AV162" s="174"/>
      <c r="AW162" s="174"/>
      <c r="AX162" s="174"/>
      <c r="AY162" s="174"/>
      <c r="AZ162" s="174"/>
      <c r="BA162" s="174"/>
      <c r="BB162" s="174"/>
      <c r="BC162" s="174"/>
      <c r="BD162" s="174"/>
      <c r="BE162" s="174"/>
      <c r="BF162" s="174"/>
      <c r="BG162" s="174"/>
      <c r="BH162" s="174"/>
      <c r="BI162" s="174"/>
      <c r="BJ162" s="174"/>
      <c r="BK162" s="174"/>
      <c r="BL162" s="174"/>
      <c r="BM162" s="174"/>
      <c r="BN162" s="174"/>
      <c r="BO162" s="174"/>
      <c r="BP162" s="174"/>
      <c r="BQ162" s="174"/>
      <c r="BR162" s="174"/>
      <c r="BS162" s="174"/>
      <c r="BT162" s="174"/>
      <c r="BU162" s="174"/>
      <c r="BV162" s="174"/>
      <c r="BW162" s="174"/>
      <c r="BX162" s="174"/>
      <c r="BY162" s="174"/>
      <c r="BZ162" s="174"/>
      <c r="CA162" s="174"/>
      <c r="CB162" s="174"/>
      <c r="CC162" s="174"/>
      <c r="CD162" s="174"/>
      <c r="CE162" s="174"/>
      <c r="CF162" s="174"/>
      <c r="CG162" s="174"/>
      <c r="CH162" s="174"/>
      <c r="CI162" s="174"/>
      <c r="CJ162" s="174"/>
      <c r="CK162" s="174"/>
      <c r="CL162" s="174"/>
      <c r="CM162" s="174"/>
      <c r="CN162" s="174"/>
      <c r="CO162" s="174"/>
      <c r="CP162" s="174"/>
      <c r="CQ162" s="174"/>
      <c r="CR162" s="174"/>
      <c r="CS162" s="174"/>
      <c r="CT162" s="174"/>
      <c r="CU162" s="174"/>
      <c r="CV162" s="174"/>
      <c r="CW162" s="174"/>
      <c r="CX162" s="174"/>
      <c r="CY162" s="174"/>
      <c r="CZ162" s="174"/>
      <c r="DA162" s="174"/>
      <c r="DB162" s="174"/>
      <c r="DC162" s="174"/>
      <c r="DD162" s="174"/>
      <c r="DE162" s="174"/>
      <c r="DF162" s="174"/>
      <c r="DG162" s="174"/>
      <c r="DH162" s="174"/>
      <c r="DI162" s="174"/>
      <c r="DJ162" s="174"/>
      <c r="DK162" s="174"/>
      <c r="DL162" s="174"/>
      <c r="DM162" s="174"/>
      <c r="DN162" s="174"/>
      <c r="DO162" s="174"/>
      <c r="DP162" s="174"/>
      <c r="DQ162" s="174"/>
      <c r="DR162" s="174"/>
      <c r="DS162" s="174"/>
      <c r="DT162" s="174"/>
      <c r="DU162" s="174"/>
      <c r="DV162" s="174"/>
      <c r="DW162" s="174"/>
      <c r="DX162" s="174"/>
      <c r="DY162" s="174"/>
      <c r="DZ162" s="174"/>
      <c r="EA162" s="174"/>
      <c r="EB162" s="174"/>
      <c r="EC162" s="174"/>
      <c r="ED162" s="174"/>
      <c r="EE162" s="174"/>
      <c r="EF162" s="174"/>
      <c r="EG162" s="174"/>
      <c r="EH162" s="174"/>
      <c r="EI162" s="174"/>
      <c r="EJ162" s="174"/>
      <c r="EK162" s="174"/>
      <c r="EL162" s="174"/>
      <c r="EM162" s="174"/>
      <c r="EN162" s="174"/>
      <c r="EO162" s="174"/>
      <c r="EP162" s="174"/>
      <c r="EQ162" s="174"/>
      <c r="ER162" s="174"/>
      <c r="ES162" s="174"/>
      <c r="ET162" s="174"/>
      <c r="EU162" s="174"/>
      <c r="EV162" s="174"/>
      <c r="EW162" s="174"/>
      <c r="EX162" s="174"/>
      <c r="EY162" s="174"/>
      <c r="EZ162" s="174"/>
      <c r="FA162" s="174"/>
      <c r="FB162" s="174"/>
      <c r="FC162" s="174"/>
      <c r="FD162" s="174"/>
      <c r="FE162" s="174"/>
      <c r="FF162" s="174"/>
      <c r="FG162" s="174"/>
      <c r="FH162" s="174"/>
      <c r="FI162" s="174"/>
      <c r="FJ162" s="174"/>
      <c r="FK162" s="174"/>
      <c r="FL162" s="174"/>
      <c r="FM162" s="174"/>
      <c r="FN162" s="174"/>
      <c r="FO162" s="174"/>
      <c r="FP162" s="174"/>
      <c r="FQ162" s="174"/>
      <c r="FR162" s="174"/>
      <c r="FS162" s="174"/>
      <c r="FT162" s="174"/>
      <c r="FU162" s="174"/>
      <c r="FV162" s="174"/>
      <c r="FW162" s="174"/>
      <c r="FX162" s="174"/>
      <c r="FY162" s="174"/>
      <c r="FZ162" s="174"/>
      <c r="GA162" s="174"/>
      <c r="GB162" s="174"/>
      <c r="GC162" s="174"/>
      <c r="GD162" s="174"/>
      <c r="GE162" s="174"/>
      <c r="GF162" s="174"/>
      <c r="GG162" s="174"/>
      <c r="GH162" s="174"/>
      <c r="GI162" s="174"/>
      <c r="GJ162" s="174"/>
      <c r="GK162" s="174"/>
      <c r="GL162" s="174"/>
      <c r="GM162" s="174"/>
      <c r="GN162" s="174"/>
      <c r="GO162" s="174"/>
      <c r="GP162" s="174"/>
      <c r="GQ162" s="174"/>
      <c r="GR162" s="174"/>
      <c r="GS162" s="174"/>
      <c r="GT162" s="174"/>
      <c r="GU162" s="174"/>
      <c r="GV162" s="174"/>
      <c r="GW162" s="174"/>
      <c r="GX162" s="174"/>
      <c r="GY162" s="174"/>
      <c r="GZ162" s="174"/>
      <c r="HA162" s="174"/>
      <c r="HB162" s="174"/>
      <c r="HC162" s="174"/>
      <c r="HD162" s="174"/>
      <c r="HE162" s="174"/>
      <c r="HF162" s="174"/>
      <c r="HG162" s="174"/>
      <c r="HH162" s="174"/>
      <c r="HI162" s="174"/>
      <c r="HJ162" s="174"/>
      <c r="HK162" s="174"/>
      <c r="HL162" s="174"/>
      <c r="HM162" s="174"/>
      <c r="HN162" s="174"/>
      <c r="HO162" s="174"/>
      <c r="HP162" s="174"/>
      <c r="HQ162" s="174"/>
      <c r="HR162" s="174"/>
      <c r="HS162" s="174"/>
      <c r="HT162" s="174"/>
      <c r="HU162" s="174"/>
      <c r="HV162" s="174"/>
      <c r="HW162" s="174"/>
      <c r="HX162" s="174"/>
      <c r="HY162" s="174"/>
      <c r="HZ162" s="174"/>
      <c r="IA162" s="174"/>
      <c r="IB162" s="174"/>
      <c r="IC162" s="174"/>
      <c r="ID162" s="174"/>
      <c r="IE162" s="174"/>
      <c r="IF162" s="174"/>
      <c r="IG162" s="174"/>
      <c r="IH162" s="174"/>
      <c r="II162" s="174"/>
      <c r="IJ162" s="174"/>
      <c r="IK162" s="174"/>
      <c r="IL162" s="174"/>
      <c r="IM162" s="174"/>
      <c r="IN162" s="174"/>
      <c r="IO162" s="174"/>
      <c r="IP162" s="174"/>
      <c r="IQ162" s="174"/>
      <c r="IR162" s="174"/>
      <c r="IS162" s="174"/>
      <c r="IT162" s="174"/>
      <c r="IU162" s="75"/>
      <c r="IV162" s="75"/>
      <c r="IW162" s="75"/>
      <c r="IX162" s="75"/>
      <c r="IY162" s="75"/>
      <c r="IZ162" s="75"/>
      <c r="JA162" s="75"/>
      <c r="JB162" s="75"/>
      <c r="JC162" s="75"/>
      <c r="JD162" s="75"/>
      <c r="JF162" s="710"/>
      <c r="JG162" s="710"/>
      <c r="JH162" s="178">
        <f t="shared" si="11"/>
        <v>0</v>
      </c>
      <c r="JI162" s="174">
        <f t="shared" si="12"/>
        <v>0</v>
      </c>
    </row>
    <row r="163" spans="2:269" ht="15" customHeight="1" x14ac:dyDescent="0.25">
      <c r="B163" s="113">
        <v>160</v>
      </c>
      <c r="C163" s="353" t="str">
        <f t="shared" si="13"/>
        <v/>
      </c>
      <c r="D163" s="353" t="str">
        <f t="shared" si="14"/>
        <v/>
      </c>
      <c r="E163" s="174"/>
      <c r="F163" s="174"/>
      <c r="G163" s="174"/>
      <c r="H163" s="174"/>
      <c r="I163" s="174"/>
      <c r="J163" s="174"/>
      <c r="K163" s="174"/>
      <c r="L163" s="174"/>
      <c r="M163" s="174"/>
      <c r="N163" s="174"/>
      <c r="O163" s="174"/>
      <c r="P163" s="174"/>
      <c r="Q163" s="174"/>
      <c r="R163" s="174"/>
      <c r="S163" s="174"/>
      <c r="T163" s="174"/>
      <c r="U163" s="174"/>
      <c r="V163" s="174"/>
      <c r="W163" s="174"/>
      <c r="X163" s="174"/>
      <c r="Y163" s="174"/>
      <c r="Z163" s="174"/>
      <c r="AA163" s="174"/>
      <c r="AB163" s="174"/>
      <c r="AC163" s="174"/>
      <c r="AD163" s="174"/>
      <c r="AE163" s="174"/>
      <c r="AF163" s="174"/>
      <c r="AG163" s="174"/>
      <c r="AH163" s="174"/>
      <c r="AI163" s="174"/>
      <c r="AJ163" s="174"/>
      <c r="AK163" s="174"/>
      <c r="AL163" s="174"/>
      <c r="AM163" s="174"/>
      <c r="AN163" s="174"/>
      <c r="AO163" s="174"/>
      <c r="AP163" s="174"/>
      <c r="AQ163" s="174"/>
      <c r="AR163" s="174"/>
      <c r="AS163" s="174"/>
      <c r="AT163" s="174"/>
      <c r="AU163" s="174"/>
      <c r="AV163" s="174"/>
      <c r="AW163" s="174"/>
      <c r="AX163" s="174"/>
      <c r="AY163" s="174"/>
      <c r="AZ163" s="174"/>
      <c r="BA163" s="174"/>
      <c r="BB163" s="174"/>
      <c r="BC163" s="174"/>
      <c r="BD163" s="174"/>
      <c r="BE163" s="174"/>
      <c r="BF163" s="174"/>
      <c r="BG163" s="174"/>
      <c r="BH163" s="174"/>
      <c r="BI163" s="174"/>
      <c r="BJ163" s="174"/>
      <c r="BK163" s="174"/>
      <c r="BL163" s="174"/>
      <c r="BM163" s="174"/>
      <c r="BN163" s="174"/>
      <c r="BO163" s="174"/>
      <c r="BP163" s="174"/>
      <c r="BQ163" s="174"/>
      <c r="BR163" s="174"/>
      <c r="BS163" s="174"/>
      <c r="BT163" s="174"/>
      <c r="BU163" s="174"/>
      <c r="BV163" s="174"/>
      <c r="BW163" s="174"/>
      <c r="BX163" s="174"/>
      <c r="BY163" s="174"/>
      <c r="BZ163" s="174"/>
      <c r="CA163" s="174"/>
      <c r="CB163" s="174"/>
      <c r="CC163" s="174"/>
      <c r="CD163" s="174"/>
      <c r="CE163" s="174"/>
      <c r="CF163" s="174"/>
      <c r="CG163" s="174"/>
      <c r="CH163" s="174"/>
      <c r="CI163" s="174"/>
      <c r="CJ163" s="174"/>
      <c r="CK163" s="174"/>
      <c r="CL163" s="174"/>
      <c r="CM163" s="174"/>
      <c r="CN163" s="174"/>
      <c r="CO163" s="174"/>
      <c r="CP163" s="174"/>
      <c r="CQ163" s="174"/>
      <c r="CR163" s="174"/>
      <c r="CS163" s="174"/>
      <c r="CT163" s="174"/>
      <c r="CU163" s="174"/>
      <c r="CV163" s="174"/>
      <c r="CW163" s="174"/>
      <c r="CX163" s="174"/>
      <c r="CY163" s="174"/>
      <c r="CZ163" s="174"/>
      <c r="DA163" s="174"/>
      <c r="DB163" s="174"/>
      <c r="DC163" s="174"/>
      <c r="DD163" s="174"/>
      <c r="DE163" s="174"/>
      <c r="DF163" s="174"/>
      <c r="DG163" s="174"/>
      <c r="DH163" s="174"/>
      <c r="DI163" s="174"/>
      <c r="DJ163" s="174"/>
      <c r="DK163" s="174"/>
      <c r="DL163" s="174"/>
      <c r="DM163" s="174"/>
      <c r="DN163" s="174"/>
      <c r="DO163" s="174"/>
      <c r="DP163" s="174"/>
      <c r="DQ163" s="174"/>
      <c r="DR163" s="174"/>
      <c r="DS163" s="174"/>
      <c r="DT163" s="174"/>
      <c r="DU163" s="174"/>
      <c r="DV163" s="174"/>
      <c r="DW163" s="174"/>
      <c r="DX163" s="174"/>
      <c r="DY163" s="174"/>
      <c r="DZ163" s="174"/>
      <c r="EA163" s="174"/>
      <c r="EB163" s="174"/>
      <c r="EC163" s="174"/>
      <c r="ED163" s="174"/>
      <c r="EE163" s="174"/>
      <c r="EF163" s="174"/>
      <c r="EG163" s="174"/>
      <c r="EH163" s="174"/>
      <c r="EI163" s="174"/>
      <c r="EJ163" s="174"/>
      <c r="EK163" s="174"/>
      <c r="EL163" s="174"/>
      <c r="EM163" s="174"/>
      <c r="EN163" s="174"/>
      <c r="EO163" s="174"/>
      <c r="EP163" s="174"/>
      <c r="EQ163" s="174"/>
      <c r="ER163" s="174"/>
      <c r="ES163" s="174"/>
      <c r="ET163" s="174"/>
      <c r="EU163" s="174"/>
      <c r="EV163" s="174"/>
      <c r="EW163" s="174"/>
      <c r="EX163" s="174"/>
      <c r="EY163" s="174"/>
      <c r="EZ163" s="174"/>
      <c r="FA163" s="174"/>
      <c r="FB163" s="174"/>
      <c r="FC163" s="174"/>
      <c r="FD163" s="174"/>
      <c r="FE163" s="174"/>
      <c r="FF163" s="174"/>
      <c r="FG163" s="174"/>
      <c r="FH163" s="174"/>
      <c r="FI163" s="174"/>
      <c r="FJ163" s="174"/>
      <c r="FK163" s="174"/>
      <c r="FL163" s="174"/>
      <c r="FM163" s="174"/>
      <c r="FN163" s="174"/>
      <c r="FO163" s="174"/>
      <c r="FP163" s="174"/>
      <c r="FQ163" s="174"/>
      <c r="FR163" s="174"/>
      <c r="FS163" s="174"/>
      <c r="FT163" s="174"/>
      <c r="FU163" s="174"/>
      <c r="FV163" s="174"/>
      <c r="FW163" s="174"/>
      <c r="FX163" s="174"/>
      <c r="FY163" s="174"/>
      <c r="FZ163" s="174"/>
      <c r="GA163" s="174"/>
      <c r="GB163" s="174"/>
      <c r="GC163" s="174"/>
      <c r="GD163" s="174"/>
      <c r="GE163" s="174"/>
      <c r="GF163" s="174"/>
      <c r="GG163" s="174"/>
      <c r="GH163" s="174"/>
      <c r="GI163" s="174"/>
      <c r="GJ163" s="174"/>
      <c r="GK163" s="174"/>
      <c r="GL163" s="174"/>
      <c r="GM163" s="174"/>
      <c r="GN163" s="174"/>
      <c r="GO163" s="174"/>
      <c r="GP163" s="174"/>
      <c r="GQ163" s="174"/>
      <c r="GR163" s="174"/>
      <c r="GS163" s="174"/>
      <c r="GT163" s="174"/>
      <c r="GU163" s="174"/>
      <c r="GV163" s="174"/>
      <c r="GW163" s="174"/>
      <c r="GX163" s="174"/>
      <c r="GY163" s="174"/>
      <c r="GZ163" s="174"/>
      <c r="HA163" s="174"/>
      <c r="HB163" s="174"/>
      <c r="HC163" s="174"/>
      <c r="HD163" s="174"/>
      <c r="HE163" s="174"/>
      <c r="HF163" s="174"/>
      <c r="HG163" s="174"/>
      <c r="HH163" s="174"/>
      <c r="HI163" s="174"/>
      <c r="HJ163" s="174"/>
      <c r="HK163" s="174"/>
      <c r="HL163" s="174"/>
      <c r="HM163" s="174"/>
      <c r="HN163" s="174"/>
      <c r="HO163" s="174"/>
      <c r="HP163" s="174"/>
      <c r="HQ163" s="174"/>
      <c r="HR163" s="174"/>
      <c r="HS163" s="174"/>
      <c r="HT163" s="174"/>
      <c r="HU163" s="174"/>
      <c r="HV163" s="174"/>
      <c r="HW163" s="174"/>
      <c r="HX163" s="174"/>
      <c r="HY163" s="174"/>
      <c r="HZ163" s="174"/>
      <c r="IA163" s="174"/>
      <c r="IB163" s="174"/>
      <c r="IC163" s="174"/>
      <c r="ID163" s="174"/>
      <c r="IE163" s="174"/>
      <c r="IF163" s="174"/>
      <c r="IG163" s="174"/>
      <c r="IH163" s="174"/>
      <c r="II163" s="174"/>
      <c r="IJ163" s="174"/>
      <c r="IK163" s="174"/>
      <c r="IL163" s="174"/>
      <c r="IM163" s="174"/>
      <c r="IN163" s="174"/>
      <c r="IO163" s="174"/>
      <c r="IP163" s="174"/>
      <c r="IQ163" s="174"/>
      <c r="IR163" s="174"/>
      <c r="IS163" s="174"/>
      <c r="IT163" s="174"/>
      <c r="IU163" s="75"/>
      <c r="IV163" s="75"/>
      <c r="IW163" s="75"/>
      <c r="IX163" s="75"/>
      <c r="IY163" s="75"/>
      <c r="IZ163" s="75"/>
      <c r="JA163" s="75"/>
      <c r="JB163" s="75"/>
      <c r="JC163" s="75"/>
      <c r="JD163" s="75"/>
      <c r="JF163" s="710"/>
      <c r="JG163" s="710"/>
      <c r="JH163" s="178">
        <f t="shared" si="11"/>
        <v>0</v>
      </c>
      <c r="JI163" s="174">
        <f t="shared" si="12"/>
        <v>0</v>
      </c>
    </row>
    <row r="164" spans="2:269" ht="15" customHeight="1" x14ac:dyDescent="0.25">
      <c r="B164" s="113">
        <v>161</v>
      </c>
      <c r="C164" s="353" t="str">
        <f t="shared" si="13"/>
        <v/>
      </c>
      <c r="D164" s="353" t="str">
        <f t="shared" si="14"/>
        <v/>
      </c>
      <c r="E164" s="174"/>
      <c r="F164" s="174"/>
      <c r="G164" s="174"/>
      <c r="H164" s="174"/>
      <c r="I164" s="174"/>
      <c r="J164" s="174"/>
      <c r="K164" s="174"/>
      <c r="L164" s="174"/>
      <c r="M164" s="174"/>
      <c r="N164" s="174"/>
      <c r="O164" s="174"/>
      <c r="P164" s="174"/>
      <c r="Q164" s="174"/>
      <c r="R164" s="174"/>
      <c r="S164" s="174"/>
      <c r="T164" s="174"/>
      <c r="U164" s="174"/>
      <c r="V164" s="174"/>
      <c r="W164" s="174"/>
      <c r="X164" s="174"/>
      <c r="Y164" s="174"/>
      <c r="Z164" s="174"/>
      <c r="AA164" s="174"/>
      <c r="AB164" s="174"/>
      <c r="AC164" s="174"/>
      <c r="AD164" s="174"/>
      <c r="AE164" s="174"/>
      <c r="AF164" s="174"/>
      <c r="AG164" s="174"/>
      <c r="AH164" s="174"/>
      <c r="AI164" s="174"/>
      <c r="AJ164" s="174"/>
      <c r="AK164" s="174"/>
      <c r="AL164" s="174"/>
      <c r="AM164" s="174"/>
      <c r="AN164" s="174"/>
      <c r="AO164" s="174"/>
      <c r="AP164" s="174"/>
      <c r="AQ164" s="174"/>
      <c r="AR164" s="174"/>
      <c r="AS164" s="174"/>
      <c r="AT164" s="174"/>
      <c r="AU164" s="174"/>
      <c r="AV164" s="174"/>
      <c r="AW164" s="174"/>
      <c r="AX164" s="174"/>
      <c r="AY164" s="174"/>
      <c r="AZ164" s="174"/>
      <c r="BA164" s="174"/>
      <c r="BB164" s="174"/>
      <c r="BC164" s="174"/>
      <c r="BD164" s="174"/>
      <c r="BE164" s="174"/>
      <c r="BF164" s="174"/>
      <c r="BG164" s="174"/>
      <c r="BH164" s="174"/>
      <c r="BI164" s="174"/>
      <c r="BJ164" s="174"/>
      <c r="BK164" s="174"/>
      <c r="BL164" s="174"/>
      <c r="BM164" s="174"/>
      <c r="BN164" s="174"/>
      <c r="BO164" s="174"/>
      <c r="BP164" s="174"/>
      <c r="BQ164" s="174"/>
      <c r="BR164" s="174"/>
      <c r="BS164" s="174"/>
      <c r="BT164" s="174"/>
      <c r="BU164" s="174"/>
      <c r="BV164" s="174"/>
      <c r="BW164" s="174"/>
      <c r="BX164" s="174"/>
      <c r="BY164" s="174"/>
      <c r="BZ164" s="174"/>
      <c r="CA164" s="174"/>
      <c r="CB164" s="174"/>
      <c r="CC164" s="174"/>
      <c r="CD164" s="174"/>
      <c r="CE164" s="174"/>
      <c r="CF164" s="174"/>
      <c r="CG164" s="174"/>
      <c r="CH164" s="174"/>
      <c r="CI164" s="174"/>
      <c r="CJ164" s="174"/>
      <c r="CK164" s="174"/>
      <c r="CL164" s="174"/>
      <c r="CM164" s="174"/>
      <c r="CN164" s="174"/>
      <c r="CO164" s="174"/>
      <c r="CP164" s="174"/>
      <c r="CQ164" s="174"/>
      <c r="CR164" s="174"/>
      <c r="CS164" s="174"/>
      <c r="CT164" s="174"/>
      <c r="CU164" s="174"/>
      <c r="CV164" s="174"/>
      <c r="CW164" s="174"/>
      <c r="CX164" s="174"/>
      <c r="CY164" s="174"/>
      <c r="CZ164" s="174"/>
      <c r="DA164" s="174"/>
      <c r="DB164" s="174"/>
      <c r="DC164" s="174"/>
      <c r="DD164" s="174"/>
      <c r="DE164" s="174"/>
      <c r="DF164" s="174"/>
      <c r="DG164" s="174"/>
      <c r="DH164" s="174"/>
      <c r="DI164" s="174"/>
      <c r="DJ164" s="174"/>
      <c r="DK164" s="174"/>
      <c r="DL164" s="174"/>
      <c r="DM164" s="174"/>
      <c r="DN164" s="174"/>
      <c r="DO164" s="174"/>
      <c r="DP164" s="174"/>
      <c r="DQ164" s="174"/>
      <c r="DR164" s="174"/>
      <c r="DS164" s="174"/>
      <c r="DT164" s="174"/>
      <c r="DU164" s="174"/>
      <c r="DV164" s="174"/>
      <c r="DW164" s="174"/>
      <c r="DX164" s="174"/>
      <c r="DY164" s="174"/>
      <c r="DZ164" s="174"/>
      <c r="EA164" s="174"/>
      <c r="EB164" s="174"/>
      <c r="EC164" s="174"/>
      <c r="ED164" s="174"/>
      <c r="EE164" s="174"/>
      <c r="EF164" s="174"/>
      <c r="EG164" s="174"/>
      <c r="EH164" s="174"/>
      <c r="EI164" s="174"/>
      <c r="EJ164" s="174"/>
      <c r="EK164" s="174"/>
      <c r="EL164" s="174"/>
      <c r="EM164" s="174"/>
      <c r="EN164" s="174"/>
      <c r="EO164" s="174"/>
      <c r="EP164" s="174"/>
      <c r="EQ164" s="174"/>
      <c r="ER164" s="174"/>
      <c r="ES164" s="174"/>
      <c r="ET164" s="174"/>
      <c r="EU164" s="174"/>
      <c r="EV164" s="174"/>
      <c r="EW164" s="174"/>
      <c r="EX164" s="174"/>
      <c r="EY164" s="174"/>
      <c r="EZ164" s="174"/>
      <c r="FA164" s="174"/>
      <c r="FB164" s="174"/>
      <c r="FC164" s="174"/>
      <c r="FD164" s="174"/>
      <c r="FE164" s="174"/>
      <c r="FF164" s="174"/>
      <c r="FG164" s="174"/>
      <c r="FH164" s="174"/>
      <c r="FI164" s="174"/>
      <c r="FJ164" s="174"/>
      <c r="FK164" s="174"/>
      <c r="FL164" s="174"/>
      <c r="FM164" s="174"/>
      <c r="FN164" s="174"/>
      <c r="FO164" s="174"/>
      <c r="FP164" s="174"/>
      <c r="FQ164" s="174"/>
      <c r="FR164" s="174"/>
      <c r="FS164" s="174"/>
      <c r="FT164" s="174"/>
      <c r="FU164" s="174"/>
      <c r="FV164" s="174"/>
      <c r="FW164" s="174"/>
      <c r="FX164" s="174"/>
      <c r="FY164" s="174"/>
      <c r="FZ164" s="174"/>
      <c r="GA164" s="174"/>
      <c r="GB164" s="174"/>
      <c r="GC164" s="174"/>
      <c r="GD164" s="174"/>
      <c r="GE164" s="174"/>
      <c r="GF164" s="174"/>
      <c r="GG164" s="174"/>
      <c r="GH164" s="174"/>
      <c r="GI164" s="174"/>
      <c r="GJ164" s="174"/>
      <c r="GK164" s="174"/>
      <c r="GL164" s="174"/>
      <c r="GM164" s="174"/>
      <c r="GN164" s="174"/>
      <c r="GO164" s="174"/>
      <c r="GP164" s="174"/>
      <c r="GQ164" s="174"/>
      <c r="GR164" s="174"/>
      <c r="GS164" s="174"/>
      <c r="GT164" s="174"/>
      <c r="GU164" s="174"/>
      <c r="GV164" s="174"/>
      <c r="GW164" s="174"/>
      <c r="GX164" s="174"/>
      <c r="GY164" s="174"/>
      <c r="GZ164" s="174"/>
      <c r="HA164" s="174"/>
      <c r="HB164" s="174"/>
      <c r="HC164" s="174"/>
      <c r="HD164" s="174"/>
      <c r="HE164" s="174"/>
      <c r="HF164" s="174"/>
      <c r="HG164" s="174"/>
      <c r="HH164" s="174"/>
      <c r="HI164" s="174"/>
      <c r="HJ164" s="174"/>
      <c r="HK164" s="174"/>
      <c r="HL164" s="174"/>
      <c r="HM164" s="174"/>
      <c r="HN164" s="174"/>
      <c r="HO164" s="174"/>
      <c r="HP164" s="174"/>
      <c r="HQ164" s="174"/>
      <c r="HR164" s="174"/>
      <c r="HS164" s="174"/>
      <c r="HT164" s="174"/>
      <c r="HU164" s="174"/>
      <c r="HV164" s="174"/>
      <c r="HW164" s="174"/>
      <c r="HX164" s="174"/>
      <c r="HY164" s="174"/>
      <c r="HZ164" s="174"/>
      <c r="IA164" s="174"/>
      <c r="IB164" s="174"/>
      <c r="IC164" s="174"/>
      <c r="ID164" s="174"/>
      <c r="IE164" s="174"/>
      <c r="IF164" s="174"/>
      <c r="IG164" s="174"/>
      <c r="IH164" s="174"/>
      <c r="II164" s="174"/>
      <c r="IJ164" s="174"/>
      <c r="IK164" s="174"/>
      <c r="IL164" s="174"/>
      <c r="IM164" s="174"/>
      <c r="IN164" s="174"/>
      <c r="IO164" s="174"/>
      <c r="IP164" s="174"/>
      <c r="IQ164" s="174"/>
      <c r="IR164" s="174"/>
      <c r="IS164" s="174"/>
      <c r="IT164" s="174"/>
      <c r="IU164" s="75"/>
      <c r="IV164" s="75"/>
      <c r="IW164" s="75"/>
      <c r="IX164" s="75"/>
      <c r="IY164" s="75"/>
      <c r="IZ164" s="75"/>
      <c r="JA164" s="75"/>
      <c r="JB164" s="75"/>
      <c r="JC164" s="75"/>
      <c r="JD164" s="75"/>
      <c r="JF164" s="710"/>
      <c r="JG164" s="710"/>
      <c r="JH164" s="178">
        <f t="shared" si="11"/>
        <v>0</v>
      </c>
      <c r="JI164" s="174">
        <f t="shared" si="12"/>
        <v>0</v>
      </c>
    </row>
    <row r="165" spans="2:269" ht="15" customHeight="1" x14ac:dyDescent="0.25">
      <c r="B165" s="113">
        <v>162</v>
      </c>
      <c r="C165" s="353" t="str">
        <f t="shared" si="13"/>
        <v/>
      </c>
      <c r="D165" s="353" t="str">
        <f t="shared" si="14"/>
        <v/>
      </c>
      <c r="E165" s="174"/>
      <c r="F165" s="174"/>
      <c r="G165" s="174"/>
      <c r="H165" s="174"/>
      <c r="I165" s="174"/>
      <c r="J165" s="174"/>
      <c r="K165" s="174"/>
      <c r="L165" s="174"/>
      <c r="M165" s="174"/>
      <c r="N165" s="174"/>
      <c r="O165" s="174"/>
      <c r="P165" s="174"/>
      <c r="Q165" s="174"/>
      <c r="R165" s="174"/>
      <c r="S165" s="174"/>
      <c r="T165" s="174"/>
      <c r="U165" s="174"/>
      <c r="V165" s="174"/>
      <c r="W165" s="174"/>
      <c r="X165" s="174"/>
      <c r="Y165" s="174"/>
      <c r="Z165" s="174"/>
      <c r="AA165" s="174"/>
      <c r="AB165" s="174"/>
      <c r="AC165" s="174"/>
      <c r="AD165" s="174"/>
      <c r="AE165" s="174"/>
      <c r="AF165" s="174"/>
      <c r="AG165" s="174"/>
      <c r="AH165" s="174"/>
      <c r="AI165" s="174"/>
      <c r="AJ165" s="174"/>
      <c r="AK165" s="174"/>
      <c r="AL165" s="174"/>
      <c r="AM165" s="174"/>
      <c r="AN165" s="174"/>
      <c r="AO165" s="174"/>
      <c r="AP165" s="174"/>
      <c r="AQ165" s="174"/>
      <c r="AR165" s="174"/>
      <c r="AS165" s="174"/>
      <c r="AT165" s="174"/>
      <c r="AU165" s="174"/>
      <c r="AV165" s="174"/>
      <c r="AW165" s="174"/>
      <c r="AX165" s="174"/>
      <c r="AY165" s="174"/>
      <c r="AZ165" s="174"/>
      <c r="BA165" s="174"/>
      <c r="BB165" s="174"/>
      <c r="BC165" s="174"/>
      <c r="BD165" s="174"/>
      <c r="BE165" s="174"/>
      <c r="BF165" s="174"/>
      <c r="BG165" s="174"/>
      <c r="BH165" s="174"/>
      <c r="BI165" s="174"/>
      <c r="BJ165" s="174"/>
      <c r="BK165" s="174"/>
      <c r="BL165" s="174"/>
      <c r="BM165" s="174"/>
      <c r="BN165" s="174"/>
      <c r="BO165" s="174"/>
      <c r="BP165" s="174"/>
      <c r="BQ165" s="174"/>
      <c r="BR165" s="174"/>
      <c r="BS165" s="174"/>
      <c r="BT165" s="174"/>
      <c r="BU165" s="174"/>
      <c r="BV165" s="174"/>
      <c r="BW165" s="174"/>
      <c r="BX165" s="174"/>
      <c r="BY165" s="174"/>
      <c r="BZ165" s="174"/>
      <c r="CA165" s="174"/>
      <c r="CB165" s="174"/>
      <c r="CC165" s="174"/>
      <c r="CD165" s="174"/>
      <c r="CE165" s="174"/>
      <c r="CF165" s="174"/>
      <c r="CG165" s="174"/>
      <c r="CH165" s="174"/>
      <c r="CI165" s="174"/>
      <c r="CJ165" s="174"/>
      <c r="CK165" s="174"/>
      <c r="CL165" s="174"/>
      <c r="CM165" s="174"/>
      <c r="CN165" s="174"/>
      <c r="CO165" s="174"/>
      <c r="CP165" s="174"/>
      <c r="CQ165" s="174"/>
      <c r="CR165" s="174"/>
      <c r="CS165" s="174"/>
      <c r="CT165" s="174"/>
      <c r="CU165" s="174"/>
      <c r="CV165" s="174"/>
      <c r="CW165" s="174"/>
      <c r="CX165" s="174"/>
      <c r="CY165" s="174"/>
      <c r="CZ165" s="174"/>
      <c r="DA165" s="174"/>
      <c r="DB165" s="174"/>
      <c r="DC165" s="174"/>
      <c r="DD165" s="174"/>
      <c r="DE165" s="174"/>
      <c r="DF165" s="174"/>
      <c r="DG165" s="174"/>
      <c r="DH165" s="174"/>
      <c r="DI165" s="174"/>
      <c r="DJ165" s="174"/>
      <c r="DK165" s="174"/>
      <c r="DL165" s="174"/>
      <c r="DM165" s="174"/>
      <c r="DN165" s="174"/>
      <c r="DO165" s="174"/>
      <c r="DP165" s="174"/>
      <c r="DQ165" s="174"/>
      <c r="DR165" s="174"/>
      <c r="DS165" s="174"/>
      <c r="DT165" s="174"/>
      <c r="DU165" s="174"/>
      <c r="DV165" s="174"/>
      <c r="DW165" s="174"/>
      <c r="DX165" s="174"/>
      <c r="DY165" s="174"/>
      <c r="DZ165" s="174"/>
      <c r="EA165" s="174"/>
      <c r="EB165" s="174"/>
      <c r="EC165" s="174"/>
      <c r="ED165" s="174"/>
      <c r="EE165" s="174"/>
      <c r="EF165" s="174"/>
      <c r="EG165" s="174"/>
      <c r="EH165" s="174"/>
      <c r="EI165" s="174"/>
      <c r="EJ165" s="174"/>
      <c r="EK165" s="174"/>
      <c r="EL165" s="174"/>
      <c r="EM165" s="174"/>
      <c r="EN165" s="174"/>
      <c r="EO165" s="174"/>
      <c r="EP165" s="174"/>
      <c r="EQ165" s="174"/>
      <c r="ER165" s="174"/>
      <c r="ES165" s="174"/>
      <c r="ET165" s="174"/>
      <c r="EU165" s="174"/>
      <c r="EV165" s="174"/>
      <c r="EW165" s="174"/>
      <c r="EX165" s="174"/>
      <c r="EY165" s="174"/>
      <c r="EZ165" s="174"/>
      <c r="FA165" s="174"/>
      <c r="FB165" s="174"/>
      <c r="FC165" s="174"/>
      <c r="FD165" s="174"/>
      <c r="FE165" s="174"/>
      <c r="FF165" s="174"/>
      <c r="FG165" s="174"/>
      <c r="FH165" s="174"/>
      <c r="FI165" s="174"/>
      <c r="FJ165" s="174"/>
      <c r="FK165" s="174"/>
      <c r="FL165" s="174"/>
      <c r="FM165" s="174"/>
      <c r="FN165" s="174"/>
      <c r="FO165" s="174"/>
      <c r="FP165" s="174"/>
      <c r="FQ165" s="174"/>
      <c r="FR165" s="174"/>
      <c r="FS165" s="174"/>
      <c r="FT165" s="174"/>
      <c r="FU165" s="174"/>
      <c r="FV165" s="174"/>
      <c r="FW165" s="174"/>
      <c r="FX165" s="174"/>
      <c r="FY165" s="174"/>
      <c r="FZ165" s="174"/>
      <c r="GA165" s="174"/>
      <c r="GB165" s="174"/>
      <c r="GC165" s="174"/>
      <c r="GD165" s="174"/>
      <c r="GE165" s="174"/>
      <c r="GF165" s="174"/>
      <c r="GG165" s="174"/>
      <c r="GH165" s="174"/>
      <c r="GI165" s="174"/>
      <c r="GJ165" s="174"/>
      <c r="GK165" s="174"/>
      <c r="GL165" s="174"/>
      <c r="GM165" s="174"/>
      <c r="GN165" s="174"/>
      <c r="GO165" s="174"/>
      <c r="GP165" s="174"/>
      <c r="GQ165" s="174"/>
      <c r="GR165" s="174"/>
      <c r="GS165" s="174"/>
      <c r="GT165" s="174"/>
      <c r="GU165" s="174"/>
      <c r="GV165" s="174"/>
      <c r="GW165" s="174"/>
      <c r="GX165" s="174"/>
      <c r="GY165" s="174"/>
      <c r="GZ165" s="174"/>
      <c r="HA165" s="174"/>
      <c r="HB165" s="174"/>
      <c r="HC165" s="174"/>
      <c r="HD165" s="174"/>
      <c r="HE165" s="174"/>
      <c r="HF165" s="174"/>
      <c r="HG165" s="174"/>
      <c r="HH165" s="174"/>
      <c r="HI165" s="174"/>
      <c r="HJ165" s="174"/>
      <c r="HK165" s="174"/>
      <c r="HL165" s="174"/>
      <c r="HM165" s="174"/>
      <c r="HN165" s="174"/>
      <c r="HO165" s="174"/>
      <c r="HP165" s="174"/>
      <c r="HQ165" s="174"/>
      <c r="HR165" s="174"/>
      <c r="HS165" s="174"/>
      <c r="HT165" s="174"/>
      <c r="HU165" s="174"/>
      <c r="HV165" s="174"/>
      <c r="HW165" s="174"/>
      <c r="HX165" s="174"/>
      <c r="HY165" s="174"/>
      <c r="HZ165" s="174"/>
      <c r="IA165" s="174"/>
      <c r="IB165" s="174"/>
      <c r="IC165" s="174"/>
      <c r="ID165" s="174"/>
      <c r="IE165" s="174"/>
      <c r="IF165" s="174"/>
      <c r="IG165" s="174"/>
      <c r="IH165" s="174"/>
      <c r="II165" s="174"/>
      <c r="IJ165" s="174"/>
      <c r="IK165" s="174"/>
      <c r="IL165" s="174"/>
      <c r="IM165" s="174"/>
      <c r="IN165" s="174"/>
      <c r="IO165" s="174"/>
      <c r="IP165" s="174"/>
      <c r="IQ165" s="174"/>
      <c r="IR165" s="174"/>
      <c r="IS165" s="174"/>
      <c r="IT165" s="174"/>
      <c r="IU165" s="75"/>
      <c r="IV165" s="75"/>
      <c r="IW165" s="75"/>
      <c r="IX165" s="75"/>
      <c r="IY165" s="75"/>
      <c r="IZ165" s="75"/>
      <c r="JA165" s="75"/>
      <c r="JB165" s="75"/>
      <c r="JC165" s="75"/>
      <c r="JD165" s="75"/>
      <c r="JF165" s="710"/>
      <c r="JG165" s="710"/>
      <c r="JH165" s="178">
        <f t="shared" si="11"/>
        <v>0</v>
      </c>
      <c r="JI165" s="174">
        <f t="shared" si="12"/>
        <v>0</v>
      </c>
    </row>
    <row r="166" spans="2:269" ht="15" customHeight="1" x14ac:dyDescent="0.25">
      <c r="B166" s="113">
        <v>163</v>
      </c>
      <c r="C166" s="353" t="str">
        <f t="shared" si="13"/>
        <v/>
      </c>
      <c r="D166" s="353" t="str">
        <f t="shared" si="14"/>
        <v/>
      </c>
      <c r="E166" s="174"/>
      <c r="F166" s="174"/>
      <c r="G166" s="174"/>
      <c r="H166" s="174"/>
      <c r="I166" s="174"/>
      <c r="J166" s="174"/>
      <c r="K166" s="174"/>
      <c r="L166" s="174"/>
      <c r="M166" s="174"/>
      <c r="N166" s="174"/>
      <c r="O166" s="174"/>
      <c r="P166" s="174"/>
      <c r="Q166" s="174"/>
      <c r="R166" s="174"/>
      <c r="S166" s="174"/>
      <c r="T166" s="174"/>
      <c r="U166" s="174"/>
      <c r="V166" s="174"/>
      <c r="W166" s="174"/>
      <c r="X166" s="174"/>
      <c r="Y166" s="174"/>
      <c r="Z166" s="174"/>
      <c r="AA166" s="174"/>
      <c r="AB166" s="174"/>
      <c r="AC166" s="174"/>
      <c r="AD166" s="174"/>
      <c r="AE166" s="174"/>
      <c r="AF166" s="174"/>
      <c r="AG166" s="174"/>
      <c r="AH166" s="174"/>
      <c r="AI166" s="174"/>
      <c r="AJ166" s="174"/>
      <c r="AK166" s="174"/>
      <c r="AL166" s="174"/>
      <c r="AM166" s="174"/>
      <c r="AN166" s="174"/>
      <c r="AO166" s="174"/>
      <c r="AP166" s="174"/>
      <c r="AQ166" s="174"/>
      <c r="AR166" s="174"/>
      <c r="AS166" s="174"/>
      <c r="AT166" s="174"/>
      <c r="AU166" s="174"/>
      <c r="AV166" s="174"/>
      <c r="AW166" s="174"/>
      <c r="AX166" s="174"/>
      <c r="AY166" s="174"/>
      <c r="AZ166" s="174"/>
      <c r="BA166" s="174"/>
      <c r="BB166" s="174"/>
      <c r="BC166" s="174"/>
      <c r="BD166" s="174"/>
      <c r="BE166" s="174"/>
      <c r="BF166" s="174"/>
      <c r="BG166" s="174"/>
      <c r="BH166" s="174"/>
      <c r="BI166" s="174"/>
      <c r="BJ166" s="174"/>
      <c r="BK166" s="174"/>
      <c r="BL166" s="174"/>
      <c r="BM166" s="174"/>
      <c r="BN166" s="174"/>
      <c r="BO166" s="174"/>
      <c r="BP166" s="174"/>
      <c r="BQ166" s="174"/>
      <c r="BR166" s="174"/>
      <c r="BS166" s="174"/>
      <c r="BT166" s="174"/>
      <c r="BU166" s="174"/>
      <c r="BV166" s="174"/>
      <c r="BW166" s="174"/>
      <c r="BX166" s="174"/>
      <c r="BY166" s="174"/>
      <c r="BZ166" s="174"/>
      <c r="CA166" s="174"/>
      <c r="CB166" s="174"/>
      <c r="CC166" s="174"/>
      <c r="CD166" s="174"/>
      <c r="CE166" s="174"/>
      <c r="CF166" s="174"/>
      <c r="CG166" s="174"/>
      <c r="CH166" s="174"/>
      <c r="CI166" s="174"/>
      <c r="CJ166" s="174"/>
      <c r="CK166" s="174"/>
      <c r="CL166" s="174"/>
      <c r="CM166" s="174"/>
      <c r="CN166" s="174"/>
      <c r="CO166" s="174"/>
      <c r="CP166" s="174"/>
      <c r="CQ166" s="174"/>
      <c r="CR166" s="174"/>
      <c r="CS166" s="174"/>
      <c r="CT166" s="174"/>
      <c r="CU166" s="174"/>
      <c r="CV166" s="174"/>
      <c r="CW166" s="174"/>
      <c r="CX166" s="174"/>
      <c r="CY166" s="174"/>
      <c r="CZ166" s="174"/>
      <c r="DA166" s="174"/>
      <c r="DB166" s="174"/>
      <c r="DC166" s="174"/>
      <c r="DD166" s="174"/>
      <c r="DE166" s="174"/>
      <c r="DF166" s="174"/>
      <c r="DG166" s="174"/>
      <c r="DH166" s="174"/>
      <c r="DI166" s="174"/>
      <c r="DJ166" s="174"/>
      <c r="DK166" s="174"/>
      <c r="DL166" s="174"/>
      <c r="DM166" s="174"/>
      <c r="DN166" s="174"/>
      <c r="DO166" s="174"/>
      <c r="DP166" s="174"/>
      <c r="DQ166" s="174"/>
      <c r="DR166" s="174"/>
      <c r="DS166" s="174"/>
      <c r="DT166" s="174"/>
      <c r="DU166" s="174"/>
      <c r="DV166" s="174"/>
      <c r="DW166" s="174"/>
      <c r="DX166" s="174"/>
      <c r="DY166" s="174"/>
      <c r="DZ166" s="174"/>
      <c r="EA166" s="174"/>
      <c r="EB166" s="174"/>
      <c r="EC166" s="174"/>
      <c r="ED166" s="174"/>
      <c r="EE166" s="174"/>
      <c r="EF166" s="174"/>
      <c r="EG166" s="174"/>
      <c r="EH166" s="174"/>
      <c r="EI166" s="174"/>
      <c r="EJ166" s="174"/>
      <c r="EK166" s="174"/>
      <c r="EL166" s="174"/>
      <c r="EM166" s="174"/>
      <c r="EN166" s="174"/>
      <c r="EO166" s="174"/>
      <c r="EP166" s="174"/>
      <c r="EQ166" s="174"/>
      <c r="ER166" s="174"/>
      <c r="ES166" s="174"/>
      <c r="ET166" s="174"/>
      <c r="EU166" s="174"/>
      <c r="EV166" s="174"/>
      <c r="EW166" s="174"/>
      <c r="EX166" s="174"/>
      <c r="EY166" s="174"/>
      <c r="EZ166" s="174"/>
      <c r="FA166" s="174"/>
      <c r="FB166" s="174"/>
      <c r="FC166" s="174"/>
      <c r="FD166" s="174"/>
      <c r="FE166" s="174"/>
      <c r="FF166" s="174"/>
      <c r="FG166" s="174"/>
      <c r="FH166" s="174"/>
      <c r="FI166" s="174"/>
      <c r="FJ166" s="174"/>
      <c r="FK166" s="174"/>
      <c r="FL166" s="174"/>
      <c r="FM166" s="174"/>
      <c r="FN166" s="174"/>
      <c r="FO166" s="174"/>
      <c r="FP166" s="174"/>
      <c r="FQ166" s="174"/>
      <c r="FR166" s="174"/>
      <c r="FS166" s="174"/>
      <c r="FT166" s="174"/>
      <c r="FU166" s="174"/>
      <c r="FV166" s="174"/>
      <c r="FW166" s="174"/>
      <c r="FX166" s="174"/>
      <c r="FY166" s="174"/>
      <c r="FZ166" s="174"/>
      <c r="GA166" s="174"/>
      <c r="GB166" s="174"/>
      <c r="GC166" s="174"/>
      <c r="GD166" s="174"/>
      <c r="GE166" s="174"/>
      <c r="GF166" s="174"/>
      <c r="GG166" s="174"/>
      <c r="GH166" s="174"/>
      <c r="GI166" s="174"/>
      <c r="GJ166" s="174"/>
      <c r="GK166" s="174"/>
      <c r="GL166" s="174"/>
      <c r="GM166" s="174"/>
      <c r="GN166" s="174"/>
      <c r="GO166" s="174"/>
      <c r="GP166" s="174"/>
      <c r="GQ166" s="174"/>
      <c r="GR166" s="174"/>
      <c r="GS166" s="174"/>
      <c r="GT166" s="174"/>
      <c r="GU166" s="174"/>
      <c r="GV166" s="174"/>
      <c r="GW166" s="174"/>
      <c r="GX166" s="174"/>
      <c r="GY166" s="174"/>
      <c r="GZ166" s="174"/>
      <c r="HA166" s="174"/>
      <c r="HB166" s="174"/>
      <c r="HC166" s="174"/>
      <c r="HD166" s="174"/>
      <c r="HE166" s="174"/>
      <c r="HF166" s="174"/>
      <c r="HG166" s="174"/>
      <c r="HH166" s="174"/>
      <c r="HI166" s="174"/>
      <c r="HJ166" s="174"/>
      <c r="HK166" s="174"/>
      <c r="HL166" s="174"/>
      <c r="HM166" s="174"/>
      <c r="HN166" s="174"/>
      <c r="HO166" s="174"/>
      <c r="HP166" s="174"/>
      <c r="HQ166" s="174"/>
      <c r="HR166" s="174"/>
      <c r="HS166" s="174"/>
      <c r="HT166" s="174"/>
      <c r="HU166" s="174"/>
      <c r="HV166" s="174"/>
      <c r="HW166" s="174"/>
      <c r="HX166" s="174"/>
      <c r="HY166" s="174"/>
      <c r="HZ166" s="174"/>
      <c r="IA166" s="174"/>
      <c r="IB166" s="174"/>
      <c r="IC166" s="174"/>
      <c r="ID166" s="174"/>
      <c r="IE166" s="174"/>
      <c r="IF166" s="174"/>
      <c r="IG166" s="174"/>
      <c r="IH166" s="174"/>
      <c r="II166" s="174"/>
      <c r="IJ166" s="174"/>
      <c r="IK166" s="174"/>
      <c r="IL166" s="174"/>
      <c r="IM166" s="174"/>
      <c r="IN166" s="174"/>
      <c r="IO166" s="174"/>
      <c r="IP166" s="174"/>
      <c r="IQ166" s="174"/>
      <c r="IR166" s="174"/>
      <c r="IS166" s="174"/>
      <c r="IT166" s="174"/>
      <c r="IU166" s="75"/>
      <c r="IV166" s="75"/>
      <c r="IW166" s="75"/>
      <c r="IX166" s="75"/>
      <c r="IY166" s="75"/>
      <c r="IZ166" s="75"/>
      <c r="JA166" s="75"/>
      <c r="JB166" s="75"/>
      <c r="JC166" s="75"/>
      <c r="JD166" s="75"/>
      <c r="JF166" s="710"/>
      <c r="JG166" s="710"/>
      <c r="JH166" s="178">
        <f t="shared" si="11"/>
        <v>0</v>
      </c>
      <c r="JI166" s="174">
        <f t="shared" si="12"/>
        <v>0</v>
      </c>
    </row>
    <row r="167" spans="2:269" ht="15" customHeight="1" x14ac:dyDescent="0.25">
      <c r="B167" s="113">
        <v>164</v>
      </c>
      <c r="C167" s="353" t="str">
        <f t="shared" si="13"/>
        <v/>
      </c>
      <c r="D167" s="353" t="str">
        <f t="shared" si="14"/>
        <v/>
      </c>
      <c r="E167" s="174"/>
      <c r="F167" s="174"/>
      <c r="G167" s="174"/>
      <c r="H167" s="174"/>
      <c r="I167" s="174"/>
      <c r="J167" s="174"/>
      <c r="K167" s="174"/>
      <c r="L167" s="174"/>
      <c r="M167" s="174"/>
      <c r="N167" s="174"/>
      <c r="O167" s="174"/>
      <c r="P167" s="174"/>
      <c r="Q167" s="174"/>
      <c r="R167" s="174"/>
      <c r="S167" s="174"/>
      <c r="T167" s="174"/>
      <c r="U167" s="174"/>
      <c r="V167" s="174"/>
      <c r="W167" s="174"/>
      <c r="X167" s="174"/>
      <c r="Y167" s="174"/>
      <c r="Z167" s="174"/>
      <c r="AA167" s="174"/>
      <c r="AB167" s="174"/>
      <c r="AC167" s="174"/>
      <c r="AD167" s="174"/>
      <c r="AE167" s="174"/>
      <c r="AF167" s="174"/>
      <c r="AG167" s="174"/>
      <c r="AH167" s="174"/>
      <c r="AI167" s="174"/>
      <c r="AJ167" s="174"/>
      <c r="AK167" s="174"/>
      <c r="AL167" s="174"/>
      <c r="AM167" s="174"/>
      <c r="AN167" s="174"/>
      <c r="AO167" s="174"/>
      <c r="AP167" s="174"/>
      <c r="AQ167" s="174"/>
      <c r="AR167" s="174"/>
      <c r="AS167" s="174"/>
      <c r="AT167" s="174"/>
      <c r="AU167" s="174"/>
      <c r="AV167" s="174"/>
      <c r="AW167" s="174"/>
      <c r="AX167" s="174"/>
      <c r="AY167" s="174"/>
      <c r="AZ167" s="174"/>
      <c r="BA167" s="174"/>
      <c r="BB167" s="174"/>
      <c r="BC167" s="174"/>
      <c r="BD167" s="174"/>
      <c r="BE167" s="174"/>
      <c r="BF167" s="174"/>
      <c r="BG167" s="174"/>
      <c r="BH167" s="174"/>
      <c r="BI167" s="174"/>
      <c r="BJ167" s="174"/>
      <c r="BK167" s="174"/>
      <c r="BL167" s="174"/>
      <c r="BM167" s="174"/>
      <c r="BN167" s="174"/>
      <c r="BO167" s="174"/>
      <c r="BP167" s="174"/>
      <c r="BQ167" s="174"/>
      <c r="BR167" s="174"/>
      <c r="BS167" s="174"/>
      <c r="BT167" s="174"/>
      <c r="BU167" s="174"/>
      <c r="BV167" s="174"/>
      <c r="BW167" s="174"/>
      <c r="BX167" s="174"/>
      <c r="BY167" s="174"/>
      <c r="BZ167" s="174"/>
      <c r="CA167" s="174"/>
      <c r="CB167" s="174"/>
      <c r="CC167" s="174"/>
      <c r="CD167" s="174"/>
      <c r="CE167" s="174"/>
      <c r="CF167" s="174"/>
      <c r="CG167" s="174"/>
      <c r="CH167" s="174"/>
      <c r="CI167" s="174"/>
      <c r="CJ167" s="174"/>
      <c r="CK167" s="174"/>
      <c r="CL167" s="174"/>
      <c r="CM167" s="174"/>
      <c r="CN167" s="174"/>
      <c r="CO167" s="174"/>
      <c r="CP167" s="174"/>
      <c r="CQ167" s="174"/>
      <c r="CR167" s="174"/>
      <c r="CS167" s="174"/>
      <c r="CT167" s="174"/>
      <c r="CU167" s="174"/>
      <c r="CV167" s="174"/>
      <c r="CW167" s="174"/>
      <c r="CX167" s="174"/>
      <c r="CY167" s="174"/>
      <c r="CZ167" s="174"/>
      <c r="DA167" s="174"/>
      <c r="DB167" s="174"/>
      <c r="DC167" s="174"/>
      <c r="DD167" s="174"/>
      <c r="DE167" s="174"/>
      <c r="DF167" s="174"/>
      <c r="DG167" s="174"/>
      <c r="DH167" s="174"/>
      <c r="DI167" s="174"/>
      <c r="DJ167" s="174"/>
      <c r="DK167" s="174"/>
      <c r="DL167" s="174"/>
      <c r="DM167" s="174"/>
      <c r="DN167" s="174"/>
      <c r="DO167" s="174"/>
      <c r="DP167" s="174"/>
      <c r="DQ167" s="174"/>
      <c r="DR167" s="174"/>
      <c r="DS167" s="174"/>
      <c r="DT167" s="174"/>
      <c r="DU167" s="174"/>
      <c r="DV167" s="174"/>
      <c r="DW167" s="174"/>
      <c r="DX167" s="174"/>
      <c r="DY167" s="174"/>
      <c r="DZ167" s="174"/>
      <c r="EA167" s="174"/>
      <c r="EB167" s="174"/>
      <c r="EC167" s="174"/>
      <c r="ED167" s="174"/>
      <c r="EE167" s="174"/>
      <c r="EF167" s="174"/>
      <c r="EG167" s="174"/>
      <c r="EH167" s="174"/>
      <c r="EI167" s="174"/>
      <c r="EJ167" s="174"/>
      <c r="EK167" s="174"/>
      <c r="EL167" s="174"/>
      <c r="EM167" s="174"/>
      <c r="EN167" s="174"/>
      <c r="EO167" s="174"/>
      <c r="EP167" s="174"/>
      <c r="EQ167" s="174"/>
      <c r="ER167" s="174"/>
      <c r="ES167" s="174"/>
      <c r="ET167" s="174"/>
      <c r="EU167" s="174"/>
      <c r="EV167" s="174"/>
      <c r="EW167" s="174"/>
      <c r="EX167" s="174"/>
      <c r="EY167" s="174"/>
      <c r="EZ167" s="174"/>
      <c r="FA167" s="174"/>
      <c r="FB167" s="174"/>
      <c r="FC167" s="174"/>
      <c r="FD167" s="174"/>
      <c r="FE167" s="174"/>
      <c r="FF167" s="174"/>
      <c r="FG167" s="174"/>
      <c r="FH167" s="174"/>
      <c r="FI167" s="174"/>
      <c r="FJ167" s="174"/>
      <c r="FK167" s="174"/>
      <c r="FL167" s="174"/>
      <c r="FM167" s="174"/>
      <c r="FN167" s="174"/>
      <c r="FO167" s="174"/>
      <c r="FP167" s="174"/>
      <c r="FQ167" s="174"/>
      <c r="FR167" s="174"/>
      <c r="FS167" s="174"/>
      <c r="FT167" s="174"/>
      <c r="FU167" s="174"/>
      <c r="FV167" s="174"/>
      <c r="FW167" s="174"/>
      <c r="FX167" s="174"/>
      <c r="FY167" s="174"/>
      <c r="FZ167" s="174"/>
      <c r="GA167" s="174"/>
      <c r="GB167" s="174"/>
      <c r="GC167" s="174"/>
      <c r="GD167" s="174"/>
      <c r="GE167" s="174"/>
      <c r="GF167" s="174"/>
      <c r="GG167" s="174"/>
      <c r="GH167" s="174"/>
      <c r="GI167" s="174"/>
      <c r="GJ167" s="174"/>
      <c r="GK167" s="174"/>
      <c r="GL167" s="174"/>
      <c r="GM167" s="174"/>
      <c r="GN167" s="174"/>
      <c r="GO167" s="174"/>
      <c r="GP167" s="174"/>
      <c r="GQ167" s="174"/>
      <c r="GR167" s="174"/>
      <c r="GS167" s="174"/>
      <c r="GT167" s="174"/>
      <c r="GU167" s="174"/>
      <c r="GV167" s="174"/>
      <c r="GW167" s="174"/>
      <c r="GX167" s="174"/>
      <c r="GY167" s="174"/>
      <c r="GZ167" s="174"/>
      <c r="HA167" s="174"/>
      <c r="HB167" s="174"/>
      <c r="HC167" s="174"/>
      <c r="HD167" s="174"/>
      <c r="HE167" s="174"/>
      <c r="HF167" s="174"/>
      <c r="HG167" s="174"/>
      <c r="HH167" s="174"/>
      <c r="HI167" s="174"/>
      <c r="HJ167" s="174"/>
      <c r="HK167" s="174"/>
      <c r="HL167" s="174"/>
      <c r="HM167" s="174"/>
      <c r="HN167" s="174"/>
      <c r="HO167" s="174"/>
      <c r="HP167" s="174"/>
      <c r="HQ167" s="174"/>
      <c r="HR167" s="174"/>
      <c r="HS167" s="174"/>
      <c r="HT167" s="174"/>
      <c r="HU167" s="174"/>
      <c r="HV167" s="174"/>
      <c r="HW167" s="174"/>
      <c r="HX167" s="174"/>
      <c r="HY167" s="174"/>
      <c r="HZ167" s="174"/>
      <c r="IA167" s="174"/>
      <c r="IB167" s="174"/>
      <c r="IC167" s="174"/>
      <c r="ID167" s="174"/>
      <c r="IE167" s="174"/>
      <c r="IF167" s="174"/>
      <c r="IG167" s="174"/>
      <c r="IH167" s="174"/>
      <c r="II167" s="174"/>
      <c r="IJ167" s="174"/>
      <c r="IK167" s="174"/>
      <c r="IL167" s="174"/>
      <c r="IM167" s="174"/>
      <c r="IN167" s="174"/>
      <c r="IO167" s="174"/>
      <c r="IP167" s="174"/>
      <c r="IQ167" s="174"/>
      <c r="IR167" s="174"/>
      <c r="IS167" s="174"/>
      <c r="IT167" s="174"/>
      <c r="IU167" s="75"/>
      <c r="IV167" s="75"/>
      <c r="IW167" s="75"/>
      <c r="IX167" s="75"/>
      <c r="IY167" s="75"/>
      <c r="IZ167" s="75"/>
      <c r="JA167" s="75"/>
      <c r="JB167" s="75"/>
      <c r="JC167" s="75"/>
      <c r="JD167" s="75"/>
      <c r="JF167" s="710"/>
      <c r="JG167" s="710"/>
      <c r="JH167" s="178">
        <f t="shared" si="11"/>
        <v>0</v>
      </c>
      <c r="JI167" s="174">
        <f t="shared" si="12"/>
        <v>0</v>
      </c>
    </row>
    <row r="168" spans="2:269" ht="15" customHeight="1" x14ac:dyDescent="0.25">
      <c r="B168" s="113">
        <v>165</v>
      </c>
      <c r="C168" s="353" t="str">
        <f t="shared" si="13"/>
        <v/>
      </c>
      <c r="D168" s="353" t="str">
        <f t="shared" si="14"/>
        <v/>
      </c>
      <c r="E168" s="174"/>
      <c r="F168" s="174"/>
      <c r="G168" s="174"/>
      <c r="H168" s="174"/>
      <c r="I168" s="174"/>
      <c r="J168" s="174"/>
      <c r="K168" s="174"/>
      <c r="L168" s="174"/>
      <c r="M168" s="174"/>
      <c r="N168" s="174"/>
      <c r="O168" s="174"/>
      <c r="P168" s="174"/>
      <c r="Q168" s="174"/>
      <c r="R168" s="174"/>
      <c r="S168" s="174"/>
      <c r="T168" s="174"/>
      <c r="U168" s="174"/>
      <c r="V168" s="174"/>
      <c r="W168" s="174"/>
      <c r="X168" s="174"/>
      <c r="Y168" s="174"/>
      <c r="Z168" s="174"/>
      <c r="AA168" s="174"/>
      <c r="AB168" s="174"/>
      <c r="AC168" s="174"/>
      <c r="AD168" s="174"/>
      <c r="AE168" s="174"/>
      <c r="AF168" s="174"/>
      <c r="AG168" s="174"/>
      <c r="AH168" s="174"/>
      <c r="AI168" s="174"/>
      <c r="AJ168" s="174"/>
      <c r="AK168" s="174"/>
      <c r="AL168" s="174"/>
      <c r="AM168" s="174"/>
      <c r="AN168" s="174"/>
      <c r="AO168" s="174"/>
      <c r="AP168" s="174"/>
      <c r="AQ168" s="174"/>
      <c r="AR168" s="174"/>
      <c r="AS168" s="174"/>
      <c r="AT168" s="174"/>
      <c r="AU168" s="174"/>
      <c r="AV168" s="174"/>
      <c r="AW168" s="174"/>
      <c r="AX168" s="174"/>
      <c r="AY168" s="174"/>
      <c r="AZ168" s="174"/>
      <c r="BA168" s="174"/>
      <c r="BB168" s="174"/>
      <c r="BC168" s="174"/>
      <c r="BD168" s="174"/>
      <c r="BE168" s="174"/>
      <c r="BF168" s="174"/>
      <c r="BG168" s="174"/>
      <c r="BH168" s="174"/>
      <c r="BI168" s="174"/>
      <c r="BJ168" s="174"/>
      <c r="BK168" s="174"/>
      <c r="BL168" s="174"/>
      <c r="BM168" s="174"/>
      <c r="BN168" s="174"/>
      <c r="BO168" s="174"/>
      <c r="BP168" s="174"/>
      <c r="BQ168" s="174"/>
      <c r="BR168" s="174"/>
      <c r="BS168" s="174"/>
      <c r="BT168" s="174"/>
      <c r="BU168" s="174"/>
      <c r="BV168" s="174"/>
      <c r="BW168" s="174"/>
      <c r="BX168" s="174"/>
      <c r="BY168" s="174"/>
      <c r="BZ168" s="174"/>
      <c r="CA168" s="174"/>
      <c r="CB168" s="174"/>
      <c r="CC168" s="174"/>
      <c r="CD168" s="174"/>
      <c r="CE168" s="174"/>
      <c r="CF168" s="174"/>
      <c r="CG168" s="174"/>
      <c r="CH168" s="174"/>
      <c r="CI168" s="174"/>
      <c r="CJ168" s="174"/>
      <c r="CK168" s="174"/>
      <c r="CL168" s="174"/>
      <c r="CM168" s="174"/>
      <c r="CN168" s="174"/>
      <c r="CO168" s="174"/>
      <c r="CP168" s="174"/>
      <c r="CQ168" s="174"/>
      <c r="CR168" s="174"/>
      <c r="CS168" s="174"/>
      <c r="CT168" s="174"/>
      <c r="CU168" s="174"/>
      <c r="CV168" s="174"/>
      <c r="CW168" s="174"/>
      <c r="CX168" s="174"/>
      <c r="CY168" s="174"/>
      <c r="CZ168" s="174"/>
      <c r="DA168" s="174"/>
      <c r="DB168" s="174"/>
      <c r="DC168" s="174"/>
      <c r="DD168" s="174"/>
      <c r="DE168" s="174"/>
      <c r="DF168" s="174"/>
      <c r="DG168" s="174"/>
      <c r="DH168" s="174"/>
      <c r="DI168" s="174"/>
      <c r="DJ168" s="174"/>
      <c r="DK168" s="174"/>
      <c r="DL168" s="174"/>
      <c r="DM168" s="174"/>
      <c r="DN168" s="174"/>
      <c r="DO168" s="174"/>
      <c r="DP168" s="174"/>
      <c r="DQ168" s="174"/>
      <c r="DR168" s="174"/>
      <c r="DS168" s="174"/>
      <c r="DT168" s="174"/>
      <c r="DU168" s="174"/>
      <c r="DV168" s="174"/>
      <c r="DW168" s="174"/>
      <c r="DX168" s="174"/>
      <c r="DY168" s="174"/>
      <c r="DZ168" s="174"/>
      <c r="EA168" s="174"/>
      <c r="EB168" s="174"/>
      <c r="EC168" s="174"/>
      <c r="ED168" s="174"/>
      <c r="EE168" s="174"/>
      <c r="EF168" s="174"/>
      <c r="EG168" s="174"/>
      <c r="EH168" s="174"/>
      <c r="EI168" s="174"/>
      <c r="EJ168" s="174"/>
      <c r="EK168" s="174"/>
      <c r="EL168" s="174"/>
      <c r="EM168" s="174"/>
      <c r="EN168" s="174"/>
      <c r="EO168" s="174"/>
      <c r="EP168" s="174"/>
      <c r="EQ168" s="174"/>
      <c r="ER168" s="174"/>
      <c r="ES168" s="174"/>
      <c r="ET168" s="174"/>
      <c r="EU168" s="174"/>
      <c r="EV168" s="174"/>
      <c r="EW168" s="174"/>
      <c r="EX168" s="174"/>
      <c r="EY168" s="174"/>
      <c r="EZ168" s="174"/>
      <c r="FA168" s="174"/>
      <c r="FB168" s="174"/>
      <c r="FC168" s="174"/>
      <c r="FD168" s="174"/>
      <c r="FE168" s="174"/>
      <c r="FF168" s="174"/>
      <c r="FG168" s="174"/>
      <c r="FH168" s="174"/>
      <c r="FI168" s="174"/>
      <c r="FJ168" s="174"/>
      <c r="FK168" s="174"/>
      <c r="FL168" s="174"/>
      <c r="FM168" s="174"/>
      <c r="FN168" s="174"/>
      <c r="FO168" s="174"/>
      <c r="FP168" s="174"/>
      <c r="FQ168" s="174"/>
      <c r="FR168" s="174"/>
      <c r="FS168" s="174"/>
      <c r="FT168" s="174"/>
      <c r="FU168" s="174"/>
      <c r="FV168" s="174"/>
      <c r="FW168" s="174"/>
      <c r="FX168" s="174"/>
      <c r="FY168" s="174"/>
      <c r="FZ168" s="174"/>
      <c r="GA168" s="174"/>
      <c r="GB168" s="174"/>
      <c r="GC168" s="174"/>
      <c r="GD168" s="174"/>
      <c r="GE168" s="174"/>
      <c r="GF168" s="174"/>
      <c r="GG168" s="174"/>
      <c r="GH168" s="174"/>
      <c r="GI168" s="174"/>
      <c r="GJ168" s="174"/>
      <c r="GK168" s="174"/>
      <c r="GL168" s="174"/>
      <c r="GM168" s="174"/>
      <c r="GN168" s="174"/>
      <c r="GO168" s="174"/>
      <c r="GP168" s="174"/>
      <c r="GQ168" s="174"/>
      <c r="GR168" s="174"/>
      <c r="GS168" s="174"/>
      <c r="GT168" s="174"/>
      <c r="GU168" s="174"/>
      <c r="GV168" s="174"/>
      <c r="GW168" s="174"/>
      <c r="GX168" s="174"/>
      <c r="GY168" s="174"/>
      <c r="GZ168" s="174"/>
      <c r="HA168" s="174"/>
      <c r="HB168" s="174"/>
      <c r="HC168" s="174"/>
      <c r="HD168" s="174"/>
      <c r="HE168" s="174"/>
      <c r="HF168" s="174"/>
      <c r="HG168" s="174"/>
      <c r="HH168" s="174"/>
      <c r="HI168" s="174"/>
      <c r="HJ168" s="174"/>
      <c r="HK168" s="174"/>
      <c r="HL168" s="174"/>
      <c r="HM168" s="174"/>
      <c r="HN168" s="174"/>
      <c r="HO168" s="174"/>
      <c r="HP168" s="174"/>
      <c r="HQ168" s="174"/>
      <c r="HR168" s="174"/>
      <c r="HS168" s="174"/>
      <c r="HT168" s="174"/>
      <c r="HU168" s="174"/>
      <c r="HV168" s="174"/>
      <c r="HW168" s="174"/>
      <c r="HX168" s="174"/>
      <c r="HY168" s="174"/>
      <c r="HZ168" s="174"/>
      <c r="IA168" s="174"/>
      <c r="IB168" s="174"/>
      <c r="IC168" s="174"/>
      <c r="ID168" s="174"/>
      <c r="IE168" s="174"/>
      <c r="IF168" s="174"/>
      <c r="IG168" s="174"/>
      <c r="IH168" s="174"/>
      <c r="II168" s="174"/>
      <c r="IJ168" s="174"/>
      <c r="IK168" s="174"/>
      <c r="IL168" s="174"/>
      <c r="IM168" s="174"/>
      <c r="IN168" s="174"/>
      <c r="IO168" s="174"/>
      <c r="IP168" s="174"/>
      <c r="IQ168" s="174"/>
      <c r="IR168" s="174"/>
      <c r="IS168" s="174"/>
      <c r="IT168" s="174"/>
      <c r="IU168" s="75"/>
      <c r="IV168" s="75"/>
      <c r="IW168" s="75"/>
      <c r="IX168" s="75"/>
      <c r="IY168" s="75"/>
      <c r="IZ168" s="75"/>
      <c r="JA168" s="75"/>
      <c r="JB168" s="75"/>
      <c r="JC168" s="75"/>
      <c r="JD168" s="75"/>
      <c r="JF168" s="710"/>
      <c r="JG168" s="710"/>
      <c r="JH168" s="178">
        <f t="shared" si="11"/>
        <v>0</v>
      </c>
      <c r="JI168" s="174">
        <f t="shared" si="12"/>
        <v>0</v>
      </c>
    </row>
    <row r="169" spans="2:269" ht="15" customHeight="1" x14ac:dyDescent="0.25">
      <c r="B169" s="113">
        <v>166</v>
      </c>
      <c r="C169" s="353" t="str">
        <f t="shared" si="13"/>
        <v/>
      </c>
      <c r="D169" s="353" t="str">
        <f t="shared" si="14"/>
        <v/>
      </c>
      <c r="E169" s="174"/>
      <c r="F169" s="174"/>
      <c r="G169" s="174"/>
      <c r="H169" s="174"/>
      <c r="I169" s="174"/>
      <c r="J169" s="174"/>
      <c r="K169" s="174"/>
      <c r="L169" s="174"/>
      <c r="M169" s="174"/>
      <c r="N169" s="174"/>
      <c r="O169" s="174"/>
      <c r="P169" s="174"/>
      <c r="Q169" s="174"/>
      <c r="R169" s="174"/>
      <c r="S169" s="174"/>
      <c r="T169" s="174"/>
      <c r="U169" s="174"/>
      <c r="V169" s="174"/>
      <c r="W169" s="174"/>
      <c r="X169" s="174"/>
      <c r="Y169" s="174"/>
      <c r="Z169" s="174"/>
      <c r="AA169" s="174"/>
      <c r="AB169" s="174"/>
      <c r="AC169" s="174"/>
      <c r="AD169" s="174"/>
      <c r="AE169" s="174"/>
      <c r="AF169" s="174"/>
      <c r="AG169" s="174"/>
      <c r="AH169" s="174"/>
      <c r="AI169" s="174"/>
      <c r="AJ169" s="174"/>
      <c r="AK169" s="174"/>
      <c r="AL169" s="174"/>
      <c r="AM169" s="174"/>
      <c r="AN169" s="174"/>
      <c r="AO169" s="174"/>
      <c r="AP169" s="174"/>
      <c r="AQ169" s="174"/>
      <c r="AR169" s="174"/>
      <c r="AS169" s="174"/>
      <c r="AT169" s="174"/>
      <c r="AU169" s="174"/>
      <c r="AV169" s="174"/>
      <c r="AW169" s="174"/>
      <c r="AX169" s="174"/>
      <c r="AY169" s="174"/>
      <c r="AZ169" s="174"/>
      <c r="BA169" s="174"/>
      <c r="BB169" s="174"/>
      <c r="BC169" s="174"/>
      <c r="BD169" s="174"/>
      <c r="BE169" s="174"/>
      <c r="BF169" s="174"/>
      <c r="BG169" s="174"/>
      <c r="BH169" s="174"/>
      <c r="BI169" s="174"/>
      <c r="BJ169" s="174"/>
      <c r="BK169" s="174"/>
      <c r="BL169" s="174"/>
      <c r="BM169" s="174"/>
      <c r="BN169" s="174"/>
      <c r="BO169" s="174"/>
      <c r="BP169" s="174"/>
      <c r="BQ169" s="174"/>
      <c r="BR169" s="174"/>
      <c r="BS169" s="174"/>
      <c r="BT169" s="174"/>
      <c r="BU169" s="174"/>
      <c r="BV169" s="174"/>
      <c r="BW169" s="174"/>
      <c r="BX169" s="174"/>
      <c r="BY169" s="174"/>
      <c r="BZ169" s="174"/>
      <c r="CA169" s="174"/>
      <c r="CB169" s="174"/>
      <c r="CC169" s="174"/>
      <c r="CD169" s="174"/>
      <c r="CE169" s="174"/>
      <c r="CF169" s="174"/>
      <c r="CG169" s="174"/>
      <c r="CH169" s="174"/>
      <c r="CI169" s="174"/>
      <c r="CJ169" s="174"/>
      <c r="CK169" s="174"/>
      <c r="CL169" s="174"/>
      <c r="CM169" s="174"/>
      <c r="CN169" s="174"/>
      <c r="CO169" s="174"/>
      <c r="CP169" s="174"/>
      <c r="CQ169" s="174"/>
      <c r="CR169" s="174"/>
      <c r="CS169" s="174"/>
      <c r="CT169" s="174"/>
      <c r="CU169" s="174"/>
      <c r="CV169" s="174"/>
      <c r="CW169" s="174"/>
      <c r="CX169" s="174"/>
      <c r="CY169" s="174"/>
      <c r="CZ169" s="174"/>
      <c r="DA169" s="174"/>
      <c r="DB169" s="174"/>
      <c r="DC169" s="174"/>
      <c r="DD169" s="174"/>
      <c r="DE169" s="174"/>
      <c r="DF169" s="174"/>
      <c r="DG169" s="174"/>
      <c r="DH169" s="174"/>
      <c r="DI169" s="174"/>
      <c r="DJ169" s="174"/>
      <c r="DK169" s="174"/>
      <c r="DL169" s="174"/>
      <c r="DM169" s="174"/>
      <c r="DN169" s="174"/>
      <c r="DO169" s="174"/>
      <c r="DP169" s="174"/>
      <c r="DQ169" s="174"/>
      <c r="DR169" s="174"/>
      <c r="DS169" s="174"/>
      <c r="DT169" s="174"/>
      <c r="DU169" s="174"/>
      <c r="DV169" s="174"/>
      <c r="DW169" s="174"/>
      <c r="DX169" s="174"/>
      <c r="DY169" s="174"/>
      <c r="DZ169" s="174"/>
      <c r="EA169" s="174"/>
      <c r="EB169" s="174"/>
      <c r="EC169" s="174"/>
      <c r="ED169" s="174"/>
      <c r="EE169" s="174"/>
      <c r="EF169" s="174"/>
      <c r="EG169" s="174"/>
      <c r="EH169" s="174"/>
      <c r="EI169" s="174"/>
      <c r="EJ169" s="174"/>
      <c r="EK169" s="174"/>
      <c r="EL169" s="174"/>
      <c r="EM169" s="174"/>
      <c r="EN169" s="174"/>
      <c r="EO169" s="174"/>
      <c r="EP169" s="174"/>
      <c r="EQ169" s="174"/>
      <c r="ER169" s="174"/>
      <c r="ES169" s="174"/>
      <c r="ET169" s="174"/>
      <c r="EU169" s="174"/>
      <c r="EV169" s="174"/>
      <c r="EW169" s="174"/>
      <c r="EX169" s="174"/>
      <c r="EY169" s="174"/>
      <c r="EZ169" s="174"/>
      <c r="FA169" s="174"/>
      <c r="FB169" s="174"/>
      <c r="FC169" s="174"/>
      <c r="FD169" s="174"/>
      <c r="FE169" s="174"/>
      <c r="FF169" s="174"/>
      <c r="FG169" s="174"/>
      <c r="FH169" s="174"/>
      <c r="FI169" s="174"/>
      <c r="FJ169" s="174"/>
      <c r="FK169" s="174"/>
      <c r="FL169" s="174"/>
      <c r="FM169" s="174"/>
      <c r="FN169" s="174"/>
      <c r="FO169" s="174"/>
      <c r="FP169" s="174"/>
      <c r="FQ169" s="174"/>
      <c r="FR169" s="174"/>
      <c r="FS169" s="174"/>
      <c r="FT169" s="174"/>
      <c r="FU169" s="174"/>
      <c r="FV169" s="174"/>
      <c r="FW169" s="174"/>
      <c r="FX169" s="174"/>
      <c r="FY169" s="174"/>
      <c r="FZ169" s="174"/>
      <c r="GA169" s="174"/>
      <c r="GB169" s="174"/>
      <c r="GC169" s="174"/>
      <c r="GD169" s="174"/>
      <c r="GE169" s="174"/>
      <c r="GF169" s="174"/>
      <c r="GG169" s="174"/>
      <c r="GH169" s="174"/>
      <c r="GI169" s="174"/>
      <c r="GJ169" s="174"/>
      <c r="GK169" s="174"/>
      <c r="GL169" s="174"/>
      <c r="GM169" s="174"/>
      <c r="GN169" s="174"/>
      <c r="GO169" s="174"/>
      <c r="GP169" s="174"/>
      <c r="GQ169" s="174"/>
      <c r="GR169" s="174"/>
      <c r="GS169" s="174"/>
      <c r="GT169" s="174"/>
      <c r="GU169" s="174"/>
      <c r="GV169" s="174"/>
      <c r="GW169" s="174"/>
      <c r="GX169" s="174"/>
      <c r="GY169" s="174"/>
      <c r="GZ169" s="174"/>
      <c r="HA169" s="174"/>
      <c r="HB169" s="174"/>
      <c r="HC169" s="174"/>
      <c r="HD169" s="174"/>
      <c r="HE169" s="174"/>
      <c r="HF169" s="174"/>
      <c r="HG169" s="174"/>
      <c r="HH169" s="174"/>
      <c r="HI169" s="174"/>
      <c r="HJ169" s="174"/>
      <c r="HK169" s="174"/>
      <c r="HL169" s="174"/>
      <c r="HM169" s="174"/>
      <c r="HN169" s="174"/>
      <c r="HO169" s="174"/>
      <c r="HP169" s="174"/>
      <c r="HQ169" s="174"/>
      <c r="HR169" s="174"/>
      <c r="HS169" s="174"/>
      <c r="HT169" s="174"/>
      <c r="HU169" s="174"/>
      <c r="HV169" s="174"/>
      <c r="HW169" s="174"/>
      <c r="HX169" s="174"/>
      <c r="HY169" s="174"/>
      <c r="HZ169" s="174"/>
      <c r="IA169" s="174"/>
      <c r="IB169" s="174"/>
      <c r="IC169" s="174"/>
      <c r="ID169" s="174"/>
      <c r="IE169" s="174"/>
      <c r="IF169" s="174"/>
      <c r="IG169" s="174"/>
      <c r="IH169" s="174"/>
      <c r="II169" s="174"/>
      <c r="IJ169" s="174"/>
      <c r="IK169" s="174"/>
      <c r="IL169" s="174"/>
      <c r="IM169" s="174"/>
      <c r="IN169" s="174"/>
      <c r="IO169" s="174"/>
      <c r="IP169" s="174"/>
      <c r="IQ169" s="174"/>
      <c r="IR169" s="174"/>
      <c r="IS169" s="174"/>
      <c r="IT169" s="174"/>
      <c r="IU169" s="75"/>
      <c r="IV169" s="75"/>
      <c r="IW169" s="75"/>
      <c r="IX169" s="75"/>
      <c r="IY169" s="75"/>
      <c r="IZ169" s="75"/>
      <c r="JA169" s="75"/>
      <c r="JB169" s="75"/>
      <c r="JC169" s="75"/>
      <c r="JD169" s="75"/>
      <c r="JF169" s="710"/>
      <c r="JG169" s="710"/>
      <c r="JH169" s="178">
        <f t="shared" si="11"/>
        <v>0</v>
      </c>
      <c r="JI169" s="174">
        <f t="shared" si="12"/>
        <v>0</v>
      </c>
    </row>
    <row r="170" spans="2:269" ht="15" customHeight="1" x14ac:dyDescent="0.25">
      <c r="B170" s="113">
        <v>167</v>
      </c>
      <c r="C170" s="353" t="str">
        <f t="shared" si="13"/>
        <v/>
      </c>
      <c r="D170" s="353" t="str">
        <f t="shared" si="14"/>
        <v/>
      </c>
      <c r="E170" s="174"/>
      <c r="F170" s="174"/>
      <c r="G170" s="174"/>
      <c r="H170" s="174"/>
      <c r="I170" s="174"/>
      <c r="J170" s="174"/>
      <c r="K170" s="174"/>
      <c r="L170" s="174"/>
      <c r="M170" s="174"/>
      <c r="N170" s="174"/>
      <c r="O170" s="174"/>
      <c r="P170" s="174"/>
      <c r="Q170" s="174"/>
      <c r="R170" s="174"/>
      <c r="S170" s="174"/>
      <c r="T170" s="174"/>
      <c r="U170" s="174"/>
      <c r="V170" s="174"/>
      <c r="W170" s="174"/>
      <c r="X170" s="174"/>
      <c r="Y170" s="174"/>
      <c r="Z170" s="174"/>
      <c r="AA170" s="174"/>
      <c r="AB170" s="174"/>
      <c r="AC170" s="174"/>
      <c r="AD170" s="174"/>
      <c r="AE170" s="174"/>
      <c r="AF170" s="174"/>
      <c r="AG170" s="174"/>
      <c r="AH170" s="174"/>
      <c r="AI170" s="174"/>
      <c r="AJ170" s="174"/>
      <c r="AK170" s="174"/>
      <c r="AL170" s="174"/>
      <c r="AM170" s="174"/>
      <c r="AN170" s="174"/>
      <c r="AO170" s="174"/>
      <c r="AP170" s="174"/>
      <c r="AQ170" s="174"/>
      <c r="AR170" s="174"/>
      <c r="AS170" s="174"/>
      <c r="AT170" s="174"/>
      <c r="AU170" s="174"/>
      <c r="AV170" s="174"/>
      <c r="AW170" s="174"/>
      <c r="AX170" s="174"/>
      <c r="AY170" s="174"/>
      <c r="AZ170" s="174"/>
      <c r="BA170" s="174"/>
      <c r="BB170" s="174"/>
      <c r="BC170" s="174"/>
      <c r="BD170" s="174"/>
      <c r="BE170" s="174"/>
      <c r="BF170" s="174"/>
      <c r="BG170" s="174"/>
      <c r="BH170" s="174"/>
      <c r="BI170" s="174"/>
      <c r="BJ170" s="174"/>
      <c r="BK170" s="174"/>
      <c r="BL170" s="174"/>
      <c r="BM170" s="174"/>
      <c r="BN170" s="174"/>
      <c r="BO170" s="174"/>
      <c r="BP170" s="174"/>
      <c r="BQ170" s="174"/>
      <c r="BR170" s="174"/>
      <c r="BS170" s="174"/>
      <c r="BT170" s="174"/>
      <c r="BU170" s="174"/>
      <c r="BV170" s="174"/>
      <c r="BW170" s="174"/>
      <c r="BX170" s="174"/>
      <c r="BY170" s="174"/>
      <c r="BZ170" s="174"/>
      <c r="CA170" s="174"/>
      <c r="CB170" s="174"/>
      <c r="CC170" s="174"/>
      <c r="CD170" s="174"/>
      <c r="CE170" s="174"/>
      <c r="CF170" s="174"/>
      <c r="CG170" s="174"/>
      <c r="CH170" s="174"/>
      <c r="CI170" s="174"/>
      <c r="CJ170" s="174"/>
      <c r="CK170" s="174"/>
      <c r="CL170" s="174"/>
      <c r="CM170" s="174"/>
      <c r="CN170" s="174"/>
      <c r="CO170" s="174"/>
      <c r="CP170" s="174"/>
      <c r="CQ170" s="174"/>
      <c r="CR170" s="174"/>
      <c r="CS170" s="174"/>
      <c r="CT170" s="174"/>
      <c r="CU170" s="174"/>
      <c r="CV170" s="174"/>
      <c r="CW170" s="174"/>
      <c r="CX170" s="174"/>
      <c r="CY170" s="174"/>
      <c r="CZ170" s="174"/>
      <c r="DA170" s="174"/>
      <c r="DB170" s="174"/>
      <c r="DC170" s="174"/>
      <c r="DD170" s="174"/>
      <c r="DE170" s="174"/>
      <c r="DF170" s="174"/>
      <c r="DG170" s="174"/>
      <c r="DH170" s="174"/>
      <c r="DI170" s="174"/>
      <c r="DJ170" s="174"/>
      <c r="DK170" s="174"/>
      <c r="DL170" s="174"/>
      <c r="DM170" s="174"/>
      <c r="DN170" s="174"/>
      <c r="DO170" s="174"/>
      <c r="DP170" s="174"/>
      <c r="DQ170" s="174"/>
      <c r="DR170" s="174"/>
      <c r="DS170" s="174"/>
      <c r="DT170" s="174"/>
      <c r="DU170" s="174"/>
      <c r="DV170" s="174"/>
      <c r="DW170" s="174"/>
      <c r="DX170" s="174"/>
      <c r="DY170" s="174"/>
      <c r="DZ170" s="174"/>
      <c r="EA170" s="174"/>
      <c r="EB170" s="174"/>
      <c r="EC170" s="174"/>
      <c r="ED170" s="174"/>
      <c r="EE170" s="174"/>
      <c r="EF170" s="174"/>
      <c r="EG170" s="174"/>
      <c r="EH170" s="174"/>
      <c r="EI170" s="174"/>
      <c r="EJ170" s="174"/>
      <c r="EK170" s="174"/>
      <c r="EL170" s="174"/>
      <c r="EM170" s="174"/>
      <c r="EN170" s="174"/>
      <c r="EO170" s="174"/>
      <c r="EP170" s="174"/>
      <c r="EQ170" s="174"/>
      <c r="ER170" s="174"/>
      <c r="ES170" s="174"/>
      <c r="ET170" s="174"/>
      <c r="EU170" s="174"/>
      <c r="EV170" s="174"/>
      <c r="EW170" s="174"/>
      <c r="EX170" s="174"/>
      <c r="EY170" s="174"/>
      <c r="EZ170" s="174"/>
      <c r="FA170" s="174"/>
      <c r="FB170" s="174"/>
      <c r="FC170" s="174"/>
      <c r="FD170" s="174"/>
      <c r="FE170" s="174"/>
      <c r="FF170" s="174"/>
      <c r="FG170" s="174"/>
      <c r="FH170" s="174"/>
      <c r="FI170" s="174"/>
      <c r="FJ170" s="174"/>
      <c r="FK170" s="174"/>
      <c r="FL170" s="174"/>
      <c r="FM170" s="174"/>
      <c r="FN170" s="174"/>
      <c r="FO170" s="174"/>
      <c r="FP170" s="174"/>
      <c r="FQ170" s="174"/>
      <c r="FR170" s="174"/>
      <c r="FS170" s="174"/>
      <c r="FT170" s="174"/>
      <c r="FU170" s="174"/>
      <c r="FV170" s="174"/>
      <c r="FW170" s="174"/>
      <c r="FX170" s="174"/>
      <c r="FY170" s="174"/>
      <c r="FZ170" s="174"/>
      <c r="GA170" s="174"/>
      <c r="GB170" s="174"/>
      <c r="GC170" s="174"/>
      <c r="GD170" s="174"/>
      <c r="GE170" s="174"/>
      <c r="GF170" s="174"/>
      <c r="GG170" s="174"/>
      <c r="GH170" s="174"/>
      <c r="GI170" s="174"/>
      <c r="GJ170" s="174"/>
      <c r="GK170" s="174"/>
      <c r="GL170" s="174"/>
      <c r="GM170" s="174"/>
      <c r="GN170" s="174"/>
      <c r="GO170" s="174"/>
      <c r="GP170" s="174"/>
      <c r="GQ170" s="174"/>
      <c r="GR170" s="174"/>
      <c r="GS170" s="174"/>
      <c r="GT170" s="174"/>
      <c r="GU170" s="174"/>
      <c r="GV170" s="174"/>
      <c r="GW170" s="174"/>
      <c r="GX170" s="174"/>
      <c r="GY170" s="174"/>
      <c r="GZ170" s="174"/>
      <c r="HA170" s="174"/>
      <c r="HB170" s="174"/>
      <c r="HC170" s="174"/>
      <c r="HD170" s="174"/>
      <c r="HE170" s="174"/>
      <c r="HF170" s="174"/>
      <c r="HG170" s="174"/>
      <c r="HH170" s="174"/>
      <c r="HI170" s="174"/>
      <c r="HJ170" s="174"/>
      <c r="HK170" s="174"/>
      <c r="HL170" s="174"/>
      <c r="HM170" s="174"/>
      <c r="HN170" s="174"/>
      <c r="HO170" s="174"/>
      <c r="HP170" s="174"/>
      <c r="HQ170" s="174"/>
      <c r="HR170" s="174"/>
      <c r="HS170" s="174"/>
      <c r="HT170" s="174"/>
      <c r="HU170" s="174"/>
      <c r="HV170" s="174"/>
      <c r="HW170" s="174"/>
      <c r="HX170" s="174"/>
      <c r="HY170" s="174"/>
      <c r="HZ170" s="174"/>
      <c r="IA170" s="174"/>
      <c r="IB170" s="174"/>
      <c r="IC170" s="174"/>
      <c r="ID170" s="174"/>
      <c r="IE170" s="174"/>
      <c r="IF170" s="174"/>
      <c r="IG170" s="174"/>
      <c r="IH170" s="174"/>
      <c r="II170" s="174"/>
      <c r="IJ170" s="174"/>
      <c r="IK170" s="174"/>
      <c r="IL170" s="174"/>
      <c r="IM170" s="174"/>
      <c r="IN170" s="174"/>
      <c r="IO170" s="174"/>
      <c r="IP170" s="174"/>
      <c r="IQ170" s="174"/>
      <c r="IR170" s="174"/>
      <c r="IS170" s="174"/>
      <c r="IT170" s="174"/>
      <c r="IU170" s="75"/>
      <c r="IV170" s="75"/>
      <c r="IW170" s="75"/>
      <c r="IX170" s="75"/>
      <c r="IY170" s="75"/>
      <c r="IZ170" s="75"/>
      <c r="JA170" s="75"/>
      <c r="JB170" s="75"/>
      <c r="JC170" s="75"/>
      <c r="JD170" s="75"/>
      <c r="JF170" s="710"/>
      <c r="JG170" s="710"/>
      <c r="JH170" s="178">
        <f t="shared" si="11"/>
        <v>0</v>
      </c>
      <c r="JI170" s="174">
        <f t="shared" si="12"/>
        <v>0</v>
      </c>
    </row>
    <row r="171" spans="2:269" ht="15" customHeight="1" x14ac:dyDescent="0.25">
      <c r="B171" s="113">
        <v>168</v>
      </c>
      <c r="C171" s="353" t="str">
        <f t="shared" ref="C171:C184" si="15">IF(JF171&lt;&gt;"",JF171,"")</f>
        <v/>
      </c>
      <c r="D171" s="353" t="str">
        <f t="shared" ref="D171:D184" si="16">IF(JG171&lt;&gt;"",JG171,"")</f>
        <v/>
      </c>
      <c r="E171" s="174"/>
      <c r="F171" s="174"/>
      <c r="G171" s="174"/>
      <c r="H171" s="174"/>
      <c r="I171" s="174"/>
      <c r="J171" s="174"/>
      <c r="K171" s="174"/>
      <c r="L171" s="174"/>
      <c r="M171" s="174"/>
      <c r="N171" s="174"/>
      <c r="O171" s="174"/>
      <c r="P171" s="174"/>
      <c r="Q171" s="174"/>
      <c r="R171" s="174"/>
      <c r="S171" s="174"/>
      <c r="T171" s="174"/>
      <c r="U171" s="174"/>
      <c r="V171" s="174"/>
      <c r="W171" s="174"/>
      <c r="X171" s="174"/>
      <c r="Y171" s="174"/>
      <c r="Z171" s="174"/>
      <c r="AA171" s="174"/>
      <c r="AB171" s="174"/>
      <c r="AC171" s="174"/>
      <c r="AD171" s="174"/>
      <c r="AE171" s="174"/>
      <c r="AF171" s="174"/>
      <c r="AG171" s="174"/>
      <c r="AH171" s="174"/>
      <c r="AI171" s="174"/>
      <c r="AJ171" s="174"/>
      <c r="AK171" s="174"/>
      <c r="AL171" s="174"/>
      <c r="AM171" s="174"/>
      <c r="AN171" s="174"/>
      <c r="AO171" s="174"/>
      <c r="AP171" s="174"/>
      <c r="AQ171" s="174"/>
      <c r="AR171" s="174"/>
      <c r="AS171" s="174"/>
      <c r="AT171" s="174"/>
      <c r="AU171" s="174"/>
      <c r="AV171" s="174"/>
      <c r="AW171" s="174"/>
      <c r="AX171" s="174"/>
      <c r="AY171" s="174"/>
      <c r="AZ171" s="174"/>
      <c r="BA171" s="174"/>
      <c r="BB171" s="174"/>
      <c r="BC171" s="174"/>
      <c r="BD171" s="174"/>
      <c r="BE171" s="174"/>
      <c r="BF171" s="174"/>
      <c r="BG171" s="174"/>
      <c r="BH171" s="174"/>
      <c r="BI171" s="174"/>
      <c r="BJ171" s="174"/>
      <c r="BK171" s="174"/>
      <c r="BL171" s="174"/>
      <c r="BM171" s="174"/>
      <c r="BN171" s="174"/>
      <c r="BO171" s="174"/>
      <c r="BP171" s="174"/>
      <c r="BQ171" s="174"/>
      <c r="BR171" s="174"/>
      <c r="BS171" s="174"/>
      <c r="BT171" s="174"/>
      <c r="BU171" s="174"/>
      <c r="BV171" s="174"/>
      <c r="BW171" s="174"/>
      <c r="BX171" s="174"/>
      <c r="BY171" s="174"/>
      <c r="BZ171" s="174"/>
      <c r="CA171" s="174"/>
      <c r="CB171" s="174"/>
      <c r="CC171" s="174"/>
      <c r="CD171" s="174"/>
      <c r="CE171" s="174"/>
      <c r="CF171" s="174"/>
      <c r="CG171" s="174"/>
      <c r="CH171" s="174"/>
      <c r="CI171" s="174"/>
      <c r="CJ171" s="174"/>
      <c r="CK171" s="174"/>
      <c r="CL171" s="174"/>
      <c r="CM171" s="174"/>
      <c r="CN171" s="174"/>
      <c r="CO171" s="174"/>
      <c r="CP171" s="174"/>
      <c r="CQ171" s="174"/>
      <c r="CR171" s="174"/>
      <c r="CS171" s="174"/>
      <c r="CT171" s="174"/>
      <c r="CU171" s="174"/>
      <c r="CV171" s="174"/>
      <c r="CW171" s="174"/>
      <c r="CX171" s="174"/>
      <c r="CY171" s="174"/>
      <c r="CZ171" s="174"/>
      <c r="DA171" s="174"/>
      <c r="DB171" s="174"/>
      <c r="DC171" s="174"/>
      <c r="DD171" s="174"/>
      <c r="DE171" s="174"/>
      <c r="DF171" s="174"/>
      <c r="DG171" s="174"/>
      <c r="DH171" s="174"/>
      <c r="DI171" s="174"/>
      <c r="DJ171" s="174"/>
      <c r="DK171" s="174"/>
      <c r="DL171" s="174"/>
      <c r="DM171" s="174"/>
      <c r="DN171" s="174"/>
      <c r="DO171" s="174"/>
      <c r="DP171" s="174"/>
      <c r="DQ171" s="174"/>
      <c r="DR171" s="174"/>
      <c r="DS171" s="174"/>
      <c r="DT171" s="174"/>
      <c r="DU171" s="174"/>
      <c r="DV171" s="174"/>
      <c r="DW171" s="174"/>
      <c r="DX171" s="174"/>
      <c r="DY171" s="174"/>
      <c r="DZ171" s="174"/>
      <c r="EA171" s="174"/>
      <c r="EB171" s="174"/>
      <c r="EC171" s="174"/>
      <c r="ED171" s="174"/>
      <c r="EE171" s="174"/>
      <c r="EF171" s="174"/>
      <c r="EG171" s="174"/>
      <c r="EH171" s="174"/>
      <c r="EI171" s="174"/>
      <c r="EJ171" s="174"/>
      <c r="EK171" s="174"/>
      <c r="EL171" s="174"/>
      <c r="EM171" s="174"/>
      <c r="EN171" s="174"/>
      <c r="EO171" s="174"/>
      <c r="EP171" s="174"/>
      <c r="EQ171" s="174"/>
      <c r="ER171" s="174"/>
      <c r="ES171" s="174"/>
      <c r="ET171" s="174"/>
      <c r="EU171" s="174"/>
      <c r="EV171" s="174"/>
      <c r="EW171" s="174"/>
      <c r="EX171" s="174"/>
      <c r="EY171" s="174"/>
      <c r="EZ171" s="174"/>
      <c r="FA171" s="174"/>
      <c r="FB171" s="174"/>
      <c r="FC171" s="174"/>
      <c r="FD171" s="174"/>
      <c r="FE171" s="174"/>
      <c r="FF171" s="174"/>
      <c r="FG171" s="174"/>
      <c r="FH171" s="174"/>
      <c r="FI171" s="174"/>
      <c r="FJ171" s="174"/>
      <c r="FK171" s="174"/>
      <c r="FL171" s="174"/>
      <c r="FM171" s="174"/>
      <c r="FN171" s="174"/>
      <c r="FO171" s="174"/>
      <c r="FP171" s="174"/>
      <c r="FQ171" s="174"/>
      <c r="FR171" s="174"/>
      <c r="FS171" s="174"/>
      <c r="FT171" s="174"/>
      <c r="FU171" s="174"/>
      <c r="FV171" s="174"/>
      <c r="FW171" s="174"/>
      <c r="FX171" s="174"/>
      <c r="FY171" s="174"/>
      <c r="FZ171" s="174"/>
      <c r="GA171" s="174"/>
      <c r="GB171" s="174"/>
      <c r="GC171" s="174"/>
      <c r="GD171" s="174"/>
      <c r="GE171" s="174"/>
      <c r="GF171" s="174"/>
      <c r="GG171" s="174"/>
      <c r="GH171" s="174"/>
      <c r="GI171" s="174"/>
      <c r="GJ171" s="174"/>
      <c r="GK171" s="174"/>
      <c r="GL171" s="174"/>
      <c r="GM171" s="174"/>
      <c r="GN171" s="174"/>
      <c r="GO171" s="174"/>
      <c r="GP171" s="174"/>
      <c r="GQ171" s="174"/>
      <c r="GR171" s="174"/>
      <c r="GS171" s="174"/>
      <c r="GT171" s="174"/>
      <c r="GU171" s="174"/>
      <c r="GV171" s="174"/>
      <c r="GW171" s="174"/>
      <c r="GX171" s="174"/>
      <c r="GY171" s="174"/>
      <c r="GZ171" s="174"/>
      <c r="HA171" s="174"/>
      <c r="HB171" s="174"/>
      <c r="HC171" s="174"/>
      <c r="HD171" s="174"/>
      <c r="HE171" s="174"/>
      <c r="HF171" s="174"/>
      <c r="HG171" s="174"/>
      <c r="HH171" s="174"/>
      <c r="HI171" s="174"/>
      <c r="HJ171" s="174"/>
      <c r="HK171" s="174"/>
      <c r="HL171" s="174"/>
      <c r="HM171" s="174"/>
      <c r="HN171" s="174"/>
      <c r="HO171" s="174"/>
      <c r="HP171" s="174"/>
      <c r="HQ171" s="174"/>
      <c r="HR171" s="174"/>
      <c r="HS171" s="174"/>
      <c r="HT171" s="174"/>
      <c r="HU171" s="174"/>
      <c r="HV171" s="174"/>
      <c r="HW171" s="174"/>
      <c r="HX171" s="174"/>
      <c r="HY171" s="174"/>
      <c r="HZ171" s="174"/>
      <c r="IA171" s="174"/>
      <c r="IB171" s="174"/>
      <c r="IC171" s="174"/>
      <c r="ID171" s="174"/>
      <c r="IE171" s="174"/>
      <c r="IF171" s="174"/>
      <c r="IG171" s="174"/>
      <c r="IH171" s="174"/>
      <c r="II171" s="174"/>
      <c r="IJ171" s="174"/>
      <c r="IK171" s="174"/>
      <c r="IL171" s="174"/>
      <c r="IM171" s="174"/>
      <c r="IN171" s="174"/>
      <c r="IO171" s="174"/>
      <c r="IP171" s="174"/>
      <c r="IQ171" s="174"/>
      <c r="IR171" s="174"/>
      <c r="IS171" s="174"/>
      <c r="IT171" s="174"/>
      <c r="IU171" s="75"/>
      <c r="IV171" s="75"/>
      <c r="IW171" s="75"/>
      <c r="IX171" s="75"/>
      <c r="IY171" s="75"/>
      <c r="IZ171" s="75"/>
      <c r="JA171" s="75"/>
      <c r="JB171" s="75"/>
      <c r="JC171" s="75"/>
      <c r="JD171" s="75"/>
      <c r="JF171" s="710"/>
      <c r="JG171" s="710"/>
      <c r="JH171" s="178">
        <f t="shared" si="11"/>
        <v>0</v>
      </c>
      <c r="JI171" s="174">
        <f t="shared" si="12"/>
        <v>0</v>
      </c>
    </row>
    <row r="172" spans="2:269" ht="15" customHeight="1" x14ac:dyDescent="0.25">
      <c r="B172" s="113">
        <v>169</v>
      </c>
      <c r="C172" s="353" t="str">
        <f t="shared" si="15"/>
        <v/>
      </c>
      <c r="D172" s="353" t="str">
        <f t="shared" si="16"/>
        <v/>
      </c>
      <c r="E172" s="174"/>
      <c r="F172" s="174"/>
      <c r="G172" s="174"/>
      <c r="H172" s="174"/>
      <c r="I172" s="174"/>
      <c r="J172" s="174"/>
      <c r="K172" s="174"/>
      <c r="L172" s="174"/>
      <c r="M172" s="174"/>
      <c r="N172" s="174"/>
      <c r="O172" s="174"/>
      <c r="P172" s="174"/>
      <c r="Q172" s="174"/>
      <c r="R172" s="174"/>
      <c r="S172" s="174"/>
      <c r="T172" s="174"/>
      <c r="U172" s="174"/>
      <c r="V172" s="174"/>
      <c r="W172" s="174"/>
      <c r="X172" s="174"/>
      <c r="Y172" s="174"/>
      <c r="Z172" s="174"/>
      <c r="AA172" s="174"/>
      <c r="AB172" s="174"/>
      <c r="AC172" s="174"/>
      <c r="AD172" s="174"/>
      <c r="AE172" s="174"/>
      <c r="AF172" s="174"/>
      <c r="AG172" s="174"/>
      <c r="AH172" s="174"/>
      <c r="AI172" s="174"/>
      <c r="AJ172" s="174"/>
      <c r="AK172" s="174"/>
      <c r="AL172" s="174"/>
      <c r="AM172" s="174"/>
      <c r="AN172" s="174"/>
      <c r="AO172" s="174"/>
      <c r="AP172" s="174"/>
      <c r="AQ172" s="174"/>
      <c r="AR172" s="174"/>
      <c r="AS172" s="174"/>
      <c r="AT172" s="174"/>
      <c r="AU172" s="174"/>
      <c r="AV172" s="174"/>
      <c r="AW172" s="174"/>
      <c r="AX172" s="174"/>
      <c r="AY172" s="174"/>
      <c r="AZ172" s="174"/>
      <c r="BA172" s="174"/>
      <c r="BB172" s="174"/>
      <c r="BC172" s="174"/>
      <c r="BD172" s="174"/>
      <c r="BE172" s="174"/>
      <c r="BF172" s="174"/>
      <c r="BG172" s="174"/>
      <c r="BH172" s="174"/>
      <c r="BI172" s="174"/>
      <c r="BJ172" s="174"/>
      <c r="BK172" s="174"/>
      <c r="BL172" s="174"/>
      <c r="BM172" s="174"/>
      <c r="BN172" s="174"/>
      <c r="BO172" s="174"/>
      <c r="BP172" s="174"/>
      <c r="BQ172" s="174"/>
      <c r="BR172" s="174"/>
      <c r="BS172" s="174"/>
      <c r="BT172" s="174"/>
      <c r="BU172" s="174"/>
      <c r="BV172" s="174"/>
      <c r="BW172" s="174"/>
      <c r="BX172" s="174"/>
      <c r="BY172" s="174"/>
      <c r="BZ172" s="174"/>
      <c r="CA172" s="174"/>
      <c r="CB172" s="174"/>
      <c r="CC172" s="174"/>
      <c r="CD172" s="174"/>
      <c r="CE172" s="174"/>
      <c r="CF172" s="174"/>
      <c r="CG172" s="174"/>
      <c r="CH172" s="174"/>
      <c r="CI172" s="174"/>
      <c r="CJ172" s="174"/>
      <c r="CK172" s="174"/>
      <c r="CL172" s="174"/>
      <c r="CM172" s="174"/>
      <c r="CN172" s="174"/>
      <c r="CO172" s="174"/>
      <c r="CP172" s="174"/>
      <c r="CQ172" s="174"/>
      <c r="CR172" s="174"/>
      <c r="CS172" s="174"/>
      <c r="CT172" s="174"/>
      <c r="CU172" s="174"/>
      <c r="CV172" s="174"/>
      <c r="CW172" s="174"/>
      <c r="CX172" s="174"/>
      <c r="CY172" s="174"/>
      <c r="CZ172" s="174"/>
      <c r="DA172" s="174"/>
      <c r="DB172" s="174"/>
      <c r="DC172" s="174"/>
      <c r="DD172" s="174"/>
      <c r="DE172" s="174"/>
      <c r="DF172" s="174"/>
      <c r="DG172" s="174"/>
      <c r="DH172" s="174"/>
      <c r="DI172" s="174"/>
      <c r="DJ172" s="174"/>
      <c r="DK172" s="174"/>
      <c r="DL172" s="174"/>
      <c r="DM172" s="174"/>
      <c r="DN172" s="174"/>
      <c r="DO172" s="174"/>
      <c r="DP172" s="174"/>
      <c r="DQ172" s="174"/>
      <c r="DR172" s="174"/>
      <c r="DS172" s="174"/>
      <c r="DT172" s="174"/>
      <c r="DU172" s="174"/>
      <c r="DV172" s="174"/>
      <c r="DW172" s="174"/>
      <c r="DX172" s="174"/>
      <c r="DY172" s="174"/>
      <c r="DZ172" s="174"/>
      <c r="EA172" s="174"/>
      <c r="EB172" s="174"/>
      <c r="EC172" s="174"/>
      <c r="ED172" s="174"/>
      <c r="EE172" s="174"/>
      <c r="EF172" s="174"/>
      <c r="EG172" s="174"/>
      <c r="EH172" s="174"/>
      <c r="EI172" s="174"/>
      <c r="EJ172" s="174"/>
      <c r="EK172" s="174"/>
      <c r="EL172" s="174"/>
      <c r="EM172" s="174"/>
      <c r="EN172" s="174"/>
      <c r="EO172" s="174"/>
      <c r="EP172" s="174"/>
      <c r="EQ172" s="174"/>
      <c r="ER172" s="174"/>
      <c r="ES172" s="174"/>
      <c r="ET172" s="174"/>
      <c r="EU172" s="174"/>
      <c r="EV172" s="174"/>
      <c r="EW172" s="174"/>
      <c r="EX172" s="174"/>
      <c r="EY172" s="174"/>
      <c r="EZ172" s="174"/>
      <c r="FA172" s="174"/>
      <c r="FB172" s="174"/>
      <c r="FC172" s="174"/>
      <c r="FD172" s="174"/>
      <c r="FE172" s="174"/>
      <c r="FF172" s="174"/>
      <c r="FG172" s="174"/>
      <c r="FH172" s="174"/>
      <c r="FI172" s="174"/>
      <c r="FJ172" s="174"/>
      <c r="FK172" s="174"/>
      <c r="FL172" s="174"/>
      <c r="FM172" s="174"/>
      <c r="FN172" s="174"/>
      <c r="FO172" s="174"/>
      <c r="FP172" s="174"/>
      <c r="FQ172" s="174"/>
      <c r="FR172" s="174"/>
      <c r="FS172" s="174"/>
      <c r="FT172" s="174"/>
      <c r="FU172" s="174"/>
      <c r="FV172" s="174"/>
      <c r="FW172" s="174"/>
      <c r="FX172" s="174"/>
      <c r="FY172" s="174"/>
      <c r="FZ172" s="174"/>
      <c r="GA172" s="174"/>
      <c r="GB172" s="174"/>
      <c r="GC172" s="174"/>
      <c r="GD172" s="174"/>
      <c r="GE172" s="174"/>
      <c r="GF172" s="174"/>
      <c r="GG172" s="174"/>
      <c r="GH172" s="174"/>
      <c r="GI172" s="174"/>
      <c r="GJ172" s="174"/>
      <c r="GK172" s="174"/>
      <c r="GL172" s="174"/>
      <c r="GM172" s="174"/>
      <c r="GN172" s="174"/>
      <c r="GO172" s="174"/>
      <c r="GP172" s="174"/>
      <c r="GQ172" s="174"/>
      <c r="GR172" s="174"/>
      <c r="GS172" s="174"/>
      <c r="GT172" s="174"/>
      <c r="GU172" s="174"/>
      <c r="GV172" s="174"/>
      <c r="GW172" s="174"/>
      <c r="GX172" s="174"/>
      <c r="GY172" s="174"/>
      <c r="GZ172" s="174"/>
      <c r="HA172" s="174"/>
      <c r="HB172" s="174"/>
      <c r="HC172" s="174"/>
      <c r="HD172" s="174"/>
      <c r="HE172" s="174"/>
      <c r="HF172" s="174"/>
      <c r="HG172" s="174"/>
      <c r="HH172" s="174"/>
      <c r="HI172" s="174"/>
      <c r="HJ172" s="174"/>
      <c r="HK172" s="174"/>
      <c r="HL172" s="174"/>
      <c r="HM172" s="174"/>
      <c r="HN172" s="174"/>
      <c r="HO172" s="174"/>
      <c r="HP172" s="174"/>
      <c r="HQ172" s="174"/>
      <c r="HR172" s="174"/>
      <c r="HS172" s="174"/>
      <c r="HT172" s="174"/>
      <c r="HU172" s="174"/>
      <c r="HV172" s="174"/>
      <c r="HW172" s="174"/>
      <c r="HX172" s="174"/>
      <c r="HY172" s="174"/>
      <c r="HZ172" s="174"/>
      <c r="IA172" s="174"/>
      <c r="IB172" s="174"/>
      <c r="IC172" s="174"/>
      <c r="ID172" s="174"/>
      <c r="IE172" s="174"/>
      <c r="IF172" s="174"/>
      <c r="IG172" s="174"/>
      <c r="IH172" s="174"/>
      <c r="II172" s="174"/>
      <c r="IJ172" s="174"/>
      <c r="IK172" s="174"/>
      <c r="IL172" s="174"/>
      <c r="IM172" s="174"/>
      <c r="IN172" s="174"/>
      <c r="IO172" s="174"/>
      <c r="IP172" s="174"/>
      <c r="IQ172" s="174"/>
      <c r="IR172" s="174"/>
      <c r="IS172" s="174"/>
      <c r="IT172" s="174"/>
      <c r="IU172" s="75"/>
      <c r="IV172" s="75"/>
      <c r="IW172" s="75"/>
      <c r="IX172" s="75"/>
      <c r="IY172" s="75"/>
      <c r="IZ172" s="75"/>
      <c r="JA172" s="75"/>
      <c r="JB172" s="75"/>
      <c r="JC172" s="75"/>
      <c r="JD172" s="75"/>
      <c r="JF172" s="710"/>
      <c r="JG172" s="710"/>
      <c r="JH172" s="178">
        <f t="shared" si="11"/>
        <v>0</v>
      </c>
      <c r="JI172" s="174">
        <f t="shared" si="12"/>
        <v>0</v>
      </c>
    </row>
    <row r="173" spans="2:269" ht="15" customHeight="1" x14ac:dyDescent="0.25">
      <c r="B173" s="113">
        <v>170</v>
      </c>
      <c r="C173" s="353" t="str">
        <f t="shared" si="15"/>
        <v/>
      </c>
      <c r="D173" s="353" t="str">
        <f t="shared" si="16"/>
        <v/>
      </c>
      <c r="E173" s="174"/>
      <c r="F173" s="174"/>
      <c r="G173" s="174"/>
      <c r="H173" s="174"/>
      <c r="I173" s="174"/>
      <c r="J173" s="174"/>
      <c r="K173" s="174"/>
      <c r="L173" s="174"/>
      <c r="M173" s="174"/>
      <c r="N173" s="174"/>
      <c r="O173" s="174"/>
      <c r="P173" s="174"/>
      <c r="Q173" s="174"/>
      <c r="R173" s="174"/>
      <c r="S173" s="174"/>
      <c r="T173" s="174"/>
      <c r="U173" s="174"/>
      <c r="V173" s="174"/>
      <c r="W173" s="174"/>
      <c r="X173" s="174"/>
      <c r="Y173" s="174"/>
      <c r="Z173" s="174"/>
      <c r="AA173" s="174"/>
      <c r="AB173" s="174"/>
      <c r="AC173" s="174"/>
      <c r="AD173" s="174"/>
      <c r="AE173" s="174"/>
      <c r="AF173" s="174"/>
      <c r="AG173" s="174"/>
      <c r="AH173" s="174"/>
      <c r="AI173" s="174"/>
      <c r="AJ173" s="174"/>
      <c r="AK173" s="174"/>
      <c r="AL173" s="174"/>
      <c r="AM173" s="174"/>
      <c r="AN173" s="174"/>
      <c r="AO173" s="174"/>
      <c r="AP173" s="174"/>
      <c r="AQ173" s="174"/>
      <c r="AR173" s="174"/>
      <c r="AS173" s="174"/>
      <c r="AT173" s="174"/>
      <c r="AU173" s="174"/>
      <c r="AV173" s="174"/>
      <c r="AW173" s="174"/>
      <c r="AX173" s="174"/>
      <c r="AY173" s="174"/>
      <c r="AZ173" s="174"/>
      <c r="BA173" s="174"/>
      <c r="BB173" s="174"/>
      <c r="BC173" s="174"/>
      <c r="BD173" s="174"/>
      <c r="BE173" s="174"/>
      <c r="BF173" s="174"/>
      <c r="BG173" s="174"/>
      <c r="BH173" s="174"/>
      <c r="BI173" s="174"/>
      <c r="BJ173" s="174"/>
      <c r="BK173" s="174"/>
      <c r="BL173" s="174"/>
      <c r="BM173" s="174"/>
      <c r="BN173" s="174"/>
      <c r="BO173" s="174"/>
      <c r="BP173" s="174"/>
      <c r="BQ173" s="174"/>
      <c r="BR173" s="174"/>
      <c r="BS173" s="174"/>
      <c r="BT173" s="174"/>
      <c r="BU173" s="174"/>
      <c r="BV173" s="174"/>
      <c r="BW173" s="174"/>
      <c r="BX173" s="174"/>
      <c r="BY173" s="174"/>
      <c r="BZ173" s="174"/>
      <c r="CA173" s="174"/>
      <c r="CB173" s="174"/>
      <c r="CC173" s="174"/>
      <c r="CD173" s="174"/>
      <c r="CE173" s="174"/>
      <c r="CF173" s="174"/>
      <c r="CG173" s="174"/>
      <c r="CH173" s="174"/>
      <c r="CI173" s="174"/>
      <c r="CJ173" s="174"/>
      <c r="CK173" s="174"/>
      <c r="CL173" s="174"/>
      <c r="CM173" s="174"/>
      <c r="CN173" s="174"/>
      <c r="CO173" s="174"/>
      <c r="CP173" s="174"/>
      <c r="CQ173" s="174"/>
      <c r="CR173" s="174"/>
      <c r="CS173" s="174"/>
      <c r="CT173" s="174"/>
      <c r="CU173" s="174"/>
      <c r="CV173" s="174"/>
      <c r="CW173" s="174"/>
      <c r="CX173" s="174"/>
      <c r="CY173" s="174"/>
      <c r="CZ173" s="174"/>
      <c r="DA173" s="174"/>
      <c r="DB173" s="174"/>
      <c r="DC173" s="174"/>
      <c r="DD173" s="174"/>
      <c r="DE173" s="174"/>
      <c r="DF173" s="174"/>
      <c r="DG173" s="174"/>
      <c r="DH173" s="174"/>
      <c r="DI173" s="174"/>
      <c r="DJ173" s="174"/>
      <c r="DK173" s="174"/>
      <c r="DL173" s="174"/>
      <c r="DM173" s="174"/>
      <c r="DN173" s="174"/>
      <c r="DO173" s="174"/>
      <c r="DP173" s="174"/>
      <c r="DQ173" s="174"/>
      <c r="DR173" s="174"/>
      <c r="DS173" s="174"/>
      <c r="DT173" s="174"/>
      <c r="DU173" s="174"/>
      <c r="DV173" s="174"/>
      <c r="DW173" s="174"/>
      <c r="DX173" s="174"/>
      <c r="DY173" s="174"/>
      <c r="DZ173" s="174"/>
      <c r="EA173" s="174"/>
      <c r="EB173" s="174"/>
      <c r="EC173" s="174"/>
      <c r="ED173" s="174"/>
      <c r="EE173" s="174"/>
      <c r="EF173" s="174"/>
      <c r="EG173" s="174"/>
      <c r="EH173" s="174"/>
      <c r="EI173" s="174"/>
      <c r="EJ173" s="174"/>
      <c r="EK173" s="174"/>
      <c r="EL173" s="174"/>
      <c r="EM173" s="174"/>
      <c r="EN173" s="174"/>
      <c r="EO173" s="174"/>
      <c r="EP173" s="174"/>
      <c r="EQ173" s="174"/>
      <c r="ER173" s="174"/>
      <c r="ES173" s="174"/>
      <c r="ET173" s="174"/>
      <c r="EU173" s="174"/>
      <c r="EV173" s="174"/>
      <c r="EW173" s="174"/>
      <c r="EX173" s="174"/>
      <c r="EY173" s="174"/>
      <c r="EZ173" s="174"/>
      <c r="FA173" s="174"/>
      <c r="FB173" s="174"/>
      <c r="FC173" s="174"/>
      <c r="FD173" s="174"/>
      <c r="FE173" s="174"/>
      <c r="FF173" s="174"/>
      <c r="FG173" s="174"/>
      <c r="FH173" s="174"/>
      <c r="FI173" s="174"/>
      <c r="FJ173" s="174"/>
      <c r="FK173" s="174"/>
      <c r="FL173" s="174"/>
      <c r="FM173" s="174"/>
      <c r="FN173" s="174"/>
      <c r="FO173" s="174"/>
      <c r="FP173" s="174"/>
      <c r="FQ173" s="174"/>
      <c r="FR173" s="174"/>
      <c r="FS173" s="174"/>
      <c r="FT173" s="174"/>
      <c r="FU173" s="174"/>
      <c r="FV173" s="174"/>
      <c r="FW173" s="174"/>
      <c r="FX173" s="174"/>
      <c r="FY173" s="174"/>
      <c r="FZ173" s="174"/>
      <c r="GA173" s="174"/>
      <c r="GB173" s="174"/>
      <c r="GC173" s="174"/>
      <c r="GD173" s="174"/>
      <c r="GE173" s="174"/>
      <c r="GF173" s="174"/>
      <c r="GG173" s="174"/>
      <c r="GH173" s="174"/>
      <c r="GI173" s="174"/>
      <c r="GJ173" s="174"/>
      <c r="GK173" s="174"/>
      <c r="GL173" s="174"/>
      <c r="GM173" s="174"/>
      <c r="GN173" s="174"/>
      <c r="GO173" s="174"/>
      <c r="GP173" s="174"/>
      <c r="GQ173" s="174"/>
      <c r="GR173" s="174"/>
      <c r="GS173" s="174"/>
      <c r="GT173" s="174"/>
      <c r="GU173" s="174"/>
      <c r="GV173" s="174"/>
      <c r="GW173" s="174"/>
      <c r="GX173" s="174"/>
      <c r="GY173" s="174"/>
      <c r="GZ173" s="174"/>
      <c r="HA173" s="174"/>
      <c r="HB173" s="174"/>
      <c r="HC173" s="174"/>
      <c r="HD173" s="174"/>
      <c r="HE173" s="174"/>
      <c r="HF173" s="174"/>
      <c r="HG173" s="174"/>
      <c r="HH173" s="174"/>
      <c r="HI173" s="174"/>
      <c r="HJ173" s="174"/>
      <c r="HK173" s="174"/>
      <c r="HL173" s="174"/>
      <c r="HM173" s="174"/>
      <c r="HN173" s="174"/>
      <c r="HO173" s="174"/>
      <c r="HP173" s="174"/>
      <c r="HQ173" s="174"/>
      <c r="HR173" s="174"/>
      <c r="HS173" s="174"/>
      <c r="HT173" s="174"/>
      <c r="HU173" s="174"/>
      <c r="HV173" s="174"/>
      <c r="HW173" s="174"/>
      <c r="HX173" s="174"/>
      <c r="HY173" s="174"/>
      <c r="HZ173" s="174"/>
      <c r="IA173" s="174"/>
      <c r="IB173" s="174"/>
      <c r="IC173" s="174"/>
      <c r="ID173" s="174"/>
      <c r="IE173" s="174"/>
      <c r="IF173" s="174"/>
      <c r="IG173" s="174"/>
      <c r="IH173" s="174"/>
      <c r="II173" s="174"/>
      <c r="IJ173" s="174"/>
      <c r="IK173" s="174"/>
      <c r="IL173" s="174"/>
      <c r="IM173" s="174"/>
      <c r="IN173" s="174"/>
      <c r="IO173" s="174"/>
      <c r="IP173" s="174"/>
      <c r="IQ173" s="174"/>
      <c r="IR173" s="174"/>
      <c r="IS173" s="174"/>
      <c r="IT173" s="174"/>
      <c r="IU173" s="75"/>
      <c r="IV173" s="75"/>
      <c r="IW173" s="75"/>
      <c r="IX173" s="75"/>
      <c r="IY173" s="75"/>
      <c r="IZ173" s="75"/>
      <c r="JA173" s="75"/>
      <c r="JB173" s="75"/>
      <c r="JC173" s="75"/>
      <c r="JD173" s="75"/>
      <c r="JF173" s="710"/>
      <c r="JG173" s="710"/>
      <c r="JH173" s="178">
        <f t="shared" si="11"/>
        <v>0</v>
      </c>
      <c r="JI173" s="174">
        <f t="shared" si="12"/>
        <v>0</v>
      </c>
    </row>
    <row r="174" spans="2:269" ht="15" customHeight="1" x14ac:dyDescent="0.25">
      <c r="B174" s="113">
        <v>171</v>
      </c>
      <c r="C174" s="353" t="str">
        <f t="shared" si="15"/>
        <v/>
      </c>
      <c r="D174" s="353" t="str">
        <f t="shared" si="16"/>
        <v/>
      </c>
      <c r="E174" s="174"/>
      <c r="F174" s="174"/>
      <c r="G174" s="174"/>
      <c r="H174" s="174"/>
      <c r="I174" s="174"/>
      <c r="J174" s="174"/>
      <c r="K174" s="174"/>
      <c r="L174" s="174"/>
      <c r="M174" s="174"/>
      <c r="N174" s="174"/>
      <c r="O174" s="174"/>
      <c r="P174" s="174"/>
      <c r="Q174" s="174"/>
      <c r="R174" s="174"/>
      <c r="S174" s="174"/>
      <c r="T174" s="174"/>
      <c r="U174" s="174"/>
      <c r="V174" s="174"/>
      <c r="W174" s="174"/>
      <c r="X174" s="174"/>
      <c r="Y174" s="174"/>
      <c r="Z174" s="174"/>
      <c r="AA174" s="174"/>
      <c r="AB174" s="174"/>
      <c r="AC174" s="174"/>
      <c r="AD174" s="174"/>
      <c r="AE174" s="174"/>
      <c r="AF174" s="174"/>
      <c r="AG174" s="174"/>
      <c r="AH174" s="174"/>
      <c r="AI174" s="174"/>
      <c r="AJ174" s="174"/>
      <c r="AK174" s="174"/>
      <c r="AL174" s="174"/>
      <c r="AM174" s="174"/>
      <c r="AN174" s="174"/>
      <c r="AO174" s="174"/>
      <c r="AP174" s="174"/>
      <c r="AQ174" s="174"/>
      <c r="AR174" s="174"/>
      <c r="AS174" s="174"/>
      <c r="AT174" s="174"/>
      <c r="AU174" s="174"/>
      <c r="AV174" s="174"/>
      <c r="AW174" s="174"/>
      <c r="AX174" s="174"/>
      <c r="AY174" s="174"/>
      <c r="AZ174" s="174"/>
      <c r="BA174" s="174"/>
      <c r="BB174" s="174"/>
      <c r="BC174" s="174"/>
      <c r="BD174" s="174"/>
      <c r="BE174" s="174"/>
      <c r="BF174" s="174"/>
      <c r="BG174" s="174"/>
      <c r="BH174" s="174"/>
      <c r="BI174" s="174"/>
      <c r="BJ174" s="174"/>
      <c r="BK174" s="174"/>
      <c r="BL174" s="174"/>
      <c r="BM174" s="174"/>
      <c r="BN174" s="174"/>
      <c r="BO174" s="174"/>
      <c r="BP174" s="174"/>
      <c r="BQ174" s="174"/>
      <c r="BR174" s="174"/>
      <c r="BS174" s="174"/>
      <c r="BT174" s="174"/>
      <c r="BU174" s="174"/>
      <c r="BV174" s="174"/>
      <c r="BW174" s="174"/>
      <c r="BX174" s="174"/>
      <c r="BY174" s="174"/>
      <c r="BZ174" s="174"/>
      <c r="CA174" s="174"/>
      <c r="CB174" s="174"/>
      <c r="CC174" s="174"/>
      <c r="CD174" s="174"/>
      <c r="CE174" s="174"/>
      <c r="CF174" s="174"/>
      <c r="CG174" s="174"/>
      <c r="CH174" s="174"/>
      <c r="CI174" s="174"/>
      <c r="CJ174" s="174"/>
      <c r="CK174" s="174"/>
      <c r="CL174" s="174"/>
      <c r="CM174" s="174"/>
      <c r="CN174" s="174"/>
      <c r="CO174" s="174"/>
      <c r="CP174" s="174"/>
      <c r="CQ174" s="174"/>
      <c r="CR174" s="174"/>
      <c r="CS174" s="174"/>
      <c r="CT174" s="174"/>
      <c r="CU174" s="174"/>
      <c r="CV174" s="174"/>
      <c r="CW174" s="174"/>
      <c r="CX174" s="174"/>
      <c r="CY174" s="174"/>
      <c r="CZ174" s="174"/>
      <c r="DA174" s="174"/>
      <c r="DB174" s="174"/>
      <c r="DC174" s="174"/>
      <c r="DD174" s="174"/>
      <c r="DE174" s="174"/>
      <c r="DF174" s="174"/>
      <c r="DG174" s="174"/>
      <c r="DH174" s="174"/>
      <c r="DI174" s="174"/>
      <c r="DJ174" s="174"/>
      <c r="DK174" s="174"/>
      <c r="DL174" s="174"/>
      <c r="DM174" s="174"/>
      <c r="DN174" s="174"/>
      <c r="DO174" s="174"/>
      <c r="DP174" s="174"/>
      <c r="DQ174" s="174"/>
      <c r="DR174" s="174"/>
      <c r="DS174" s="174"/>
      <c r="DT174" s="174"/>
      <c r="DU174" s="174"/>
      <c r="DV174" s="174"/>
      <c r="DW174" s="174"/>
      <c r="DX174" s="174"/>
      <c r="DY174" s="174"/>
      <c r="DZ174" s="174"/>
      <c r="EA174" s="174"/>
      <c r="EB174" s="174"/>
      <c r="EC174" s="174"/>
      <c r="ED174" s="174"/>
      <c r="EE174" s="174"/>
      <c r="EF174" s="174"/>
      <c r="EG174" s="174"/>
      <c r="EH174" s="174"/>
      <c r="EI174" s="174"/>
      <c r="EJ174" s="174"/>
      <c r="EK174" s="174"/>
      <c r="EL174" s="174"/>
      <c r="EM174" s="174"/>
      <c r="EN174" s="174"/>
      <c r="EO174" s="174"/>
      <c r="EP174" s="174"/>
      <c r="EQ174" s="174"/>
      <c r="ER174" s="174"/>
      <c r="ES174" s="174"/>
      <c r="ET174" s="174"/>
      <c r="EU174" s="174"/>
      <c r="EV174" s="174"/>
      <c r="EW174" s="174"/>
      <c r="EX174" s="174"/>
      <c r="EY174" s="174"/>
      <c r="EZ174" s="174"/>
      <c r="FA174" s="174"/>
      <c r="FB174" s="174"/>
      <c r="FC174" s="174"/>
      <c r="FD174" s="174"/>
      <c r="FE174" s="174"/>
      <c r="FF174" s="174"/>
      <c r="FG174" s="174"/>
      <c r="FH174" s="174"/>
      <c r="FI174" s="174"/>
      <c r="FJ174" s="174"/>
      <c r="FK174" s="174"/>
      <c r="FL174" s="174"/>
      <c r="FM174" s="174"/>
      <c r="FN174" s="174"/>
      <c r="FO174" s="174"/>
      <c r="FP174" s="174"/>
      <c r="FQ174" s="174"/>
      <c r="FR174" s="174"/>
      <c r="FS174" s="174"/>
      <c r="FT174" s="174"/>
      <c r="FU174" s="174"/>
      <c r="FV174" s="174"/>
      <c r="FW174" s="174"/>
      <c r="FX174" s="174"/>
      <c r="FY174" s="174"/>
      <c r="FZ174" s="174"/>
      <c r="GA174" s="174"/>
      <c r="GB174" s="174"/>
      <c r="GC174" s="174"/>
      <c r="GD174" s="174"/>
      <c r="GE174" s="174"/>
      <c r="GF174" s="174"/>
      <c r="GG174" s="174"/>
      <c r="GH174" s="174"/>
      <c r="GI174" s="174"/>
      <c r="GJ174" s="174"/>
      <c r="GK174" s="174"/>
      <c r="GL174" s="174"/>
      <c r="GM174" s="174"/>
      <c r="GN174" s="174"/>
      <c r="GO174" s="174"/>
      <c r="GP174" s="174"/>
      <c r="GQ174" s="174"/>
      <c r="GR174" s="174"/>
      <c r="GS174" s="174"/>
      <c r="GT174" s="174"/>
      <c r="GU174" s="174"/>
      <c r="GV174" s="174"/>
      <c r="GW174" s="174"/>
      <c r="GX174" s="174"/>
      <c r="GY174" s="174"/>
      <c r="GZ174" s="174"/>
      <c r="HA174" s="174"/>
      <c r="HB174" s="174"/>
      <c r="HC174" s="174"/>
      <c r="HD174" s="174"/>
      <c r="HE174" s="174"/>
      <c r="HF174" s="174"/>
      <c r="HG174" s="174"/>
      <c r="HH174" s="174"/>
      <c r="HI174" s="174"/>
      <c r="HJ174" s="174"/>
      <c r="HK174" s="174"/>
      <c r="HL174" s="174"/>
      <c r="HM174" s="174"/>
      <c r="HN174" s="174"/>
      <c r="HO174" s="174"/>
      <c r="HP174" s="174"/>
      <c r="HQ174" s="174"/>
      <c r="HR174" s="174"/>
      <c r="HS174" s="174"/>
      <c r="HT174" s="174"/>
      <c r="HU174" s="174"/>
      <c r="HV174" s="174"/>
      <c r="HW174" s="174"/>
      <c r="HX174" s="174"/>
      <c r="HY174" s="174"/>
      <c r="HZ174" s="174"/>
      <c r="IA174" s="174"/>
      <c r="IB174" s="174"/>
      <c r="IC174" s="174"/>
      <c r="ID174" s="174"/>
      <c r="IE174" s="174"/>
      <c r="IF174" s="174"/>
      <c r="IG174" s="174"/>
      <c r="IH174" s="174"/>
      <c r="II174" s="174"/>
      <c r="IJ174" s="174"/>
      <c r="IK174" s="174"/>
      <c r="IL174" s="174"/>
      <c r="IM174" s="174"/>
      <c r="IN174" s="174"/>
      <c r="IO174" s="174"/>
      <c r="IP174" s="174"/>
      <c r="IQ174" s="174"/>
      <c r="IR174" s="174"/>
      <c r="IS174" s="174"/>
      <c r="IT174" s="174"/>
      <c r="IU174" s="75"/>
      <c r="IV174" s="75"/>
      <c r="IW174" s="75"/>
      <c r="IX174" s="75"/>
      <c r="IY174" s="75"/>
      <c r="IZ174" s="75"/>
      <c r="JA174" s="75"/>
      <c r="JB174" s="75"/>
      <c r="JC174" s="75"/>
      <c r="JD174" s="75"/>
      <c r="JF174" s="710"/>
      <c r="JG174" s="710"/>
      <c r="JH174" s="178">
        <f t="shared" si="11"/>
        <v>0</v>
      </c>
      <c r="JI174" s="174">
        <f t="shared" si="12"/>
        <v>0</v>
      </c>
    </row>
    <row r="175" spans="2:269" ht="15" customHeight="1" x14ac:dyDescent="0.25">
      <c r="B175" s="113">
        <v>172</v>
      </c>
      <c r="C175" s="353" t="str">
        <f t="shared" si="15"/>
        <v/>
      </c>
      <c r="D175" s="353" t="str">
        <f t="shared" si="16"/>
        <v/>
      </c>
      <c r="E175" s="174"/>
      <c r="F175" s="174"/>
      <c r="G175" s="174"/>
      <c r="H175" s="174"/>
      <c r="I175" s="174"/>
      <c r="J175" s="174"/>
      <c r="K175" s="174"/>
      <c r="L175" s="174"/>
      <c r="M175" s="174"/>
      <c r="N175" s="174"/>
      <c r="O175" s="174"/>
      <c r="P175" s="174"/>
      <c r="Q175" s="174"/>
      <c r="R175" s="174"/>
      <c r="S175" s="174"/>
      <c r="T175" s="174"/>
      <c r="U175" s="174"/>
      <c r="V175" s="174"/>
      <c r="W175" s="174"/>
      <c r="X175" s="174"/>
      <c r="Y175" s="174"/>
      <c r="Z175" s="174"/>
      <c r="AA175" s="174"/>
      <c r="AB175" s="174"/>
      <c r="AC175" s="174"/>
      <c r="AD175" s="174"/>
      <c r="AE175" s="174"/>
      <c r="AF175" s="174"/>
      <c r="AG175" s="174"/>
      <c r="AH175" s="174"/>
      <c r="AI175" s="174"/>
      <c r="AJ175" s="174"/>
      <c r="AK175" s="174"/>
      <c r="AL175" s="174"/>
      <c r="AM175" s="174"/>
      <c r="AN175" s="174"/>
      <c r="AO175" s="174"/>
      <c r="AP175" s="174"/>
      <c r="AQ175" s="174"/>
      <c r="AR175" s="174"/>
      <c r="AS175" s="174"/>
      <c r="AT175" s="174"/>
      <c r="AU175" s="174"/>
      <c r="AV175" s="174"/>
      <c r="AW175" s="174"/>
      <c r="AX175" s="174"/>
      <c r="AY175" s="174"/>
      <c r="AZ175" s="174"/>
      <c r="BA175" s="174"/>
      <c r="BB175" s="174"/>
      <c r="BC175" s="174"/>
      <c r="BD175" s="174"/>
      <c r="BE175" s="174"/>
      <c r="BF175" s="174"/>
      <c r="BG175" s="174"/>
      <c r="BH175" s="174"/>
      <c r="BI175" s="174"/>
      <c r="BJ175" s="174"/>
      <c r="BK175" s="174"/>
      <c r="BL175" s="174"/>
      <c r="BM175" s="174"/>
      <c r="BN175" s="174"/>
      <c r="BO175" s="174"/>
      <c r="BP175" s="174"/>
      <c r="BQ175" s="174"/>
      <c r="BR175" s="174"/>
      <c r="BS175" s="174"/>
      <c r="BT175" s="174"/>
      <c r="BU175" s="174"/>
      <c r="BV175" s="174"/>
      <c r="BW175" s="174"/>
      <c r="BX175" s="174"/>
      <c r="BY175" s="174"/>
      <c r="BZ175" s="174"/>
      <c r="CA175" s="174"/>
      <c r="CB175" s="174"/>
      <c r="CC175" s="174"/>
      <c r="CD175" s="174"/>
      <c r="CE175" s="174"/>
      <c r="CF175" s="174"/>
      <c r="CG175" s="174"/>
      <c r="CH175" s="174"/>
      <c r="CI175" s="174"/>
      <c r="CJ175" s="174"/>
      <c r="CK175" s="174"/>
      <c r="CL175" s="174"/>
      <c r="CM175" s="174"/>
      <c r="CN175" s="174"/>
      <c r="CO175" s="174"/>
      <c r="CP175" s="174"/>
      <c r="CQ175" s="174"/>
      <c r="CR175" s="174"/>
      <c r="CS175" s="174"/>
      <c r="CT175" s="174"/>
      <c r="CU175" s="174"/>
      <c r="CV175" s="174"/>
      <c r="CW175" s="174"/>
      <c r="CX175" s="174"/>
      <c r="CY175" s="174"/>
      <c r="CZ175" s="174"/>
      <c r="DA175" s="174"/>
      <c r="DB175" s="174"/>
      <c r="DC175" s="174"/>
      <c r="DD175" s="174"/>
      <c r="DE175" s="174"/>
      <c r="DF175" s="174"/>
      <c r="DG175" s="174"/>
      <c r="DH175" s="174"/>
      <c r="DI175" s="174"/>
      <c r="DJ175" s="174"/>
      <c r="DK175" s="174"/>
      <c r="DL175" s="174"/>
      <c r="DM175" s="174"/>
      <c r="DN175" s="174"/>
      <c r="DO175" s="174"/>
      <c r="DP175" s="174"/>
      <c r="DQ175" s="174"/>
      <c r="DR175" s="174"/>
      <c r="DS175" s="174"/>
      <c r="DT175" s="174"/>
      <c r="DU175" s="174"/>
      <c r="DV175" s="174"/>
      <c r="DW175" s="174"/>
      <c r="DX175" s="174"/>
      <c r="DY175" s="174"/>
      <c r="DZ175" s="174"/>
      <c r="EA175" s="174"/>
      <c r="EB175" s="174"/>
      <c r="EC175" s="174"/>
      <c r="ED175" s="174"/>
      <c r="EE175" s="174"/>
      <c r="EF175" s="174"/>
      <c r="EG175" s="174"/>
      <c r="EH175" s="174"/>
      <c r="EI175" s="174"/>
      <c r="EJ175" s="174"/>
      <c r="EK175" s="174"/>
      <c r="EL175" s="174"/>
      <c r="EM175" s="174"/>
      <c r="EN175" s="174"/>
      <c r="EO175" s="174"/>
      <c r="EP175" s="174"/>
      <c r="EQ175" s="174"/>
      <c r="ER175" s="174"/>
      <c r="ES175" s="174"/>
      <c r="ET175" s="174"/>
      <c r="EU175" s="174"/>
      <c r="EV175" s="174"/>
      <c r="EW175" s="174"/>
      <c r="EX175" s="174"/>
      <c r="EY175" s="174"/>
      <c r="EZ175" s="174"/>
      <c r="FA175" s="174"/>
      <c r="FB175" s="174"/>
      <c r="FC175" s="174"/>
      <c r="FD175" s="174"/>
      <c r="FE175" s="174"/>
      <c r="FF175" s="174"/>
      <c r="FG175" s="174"/>
      <c r="FH175" s="174"/>
      <c r="FI175" s="174"/>
      <c r="FJ175" s="174"/>
      <c r="FK175" s="174"/>
      <c r="FL175" s="174"/>
      <c r="FM175" s="174"/>
      <c r="FN175" s="174"/>
      <c r="FO175" s="174"/>
      <c r="FP175" s="174"/>
      <c r="FQ175" s="174"/>
      <c r="FR175" s="174"/>
      <c r="FS175" s="174"/>
      <c r="FT175" s="174"/>
      <c r="FU175" s="174"/>
      <c r="FV175" s="174"/>
      <c r="FW175" s="174"/>
      <c r="FX175" s="174"/>
      <c r="FY175" s="174"/>
      <c r="FZ175" s="174"/>
      <c r="GA175" s="174"/>
      <c r="GB175" s="174"/>
      <c r="GC175" s="174"/>
      <c r="GD175" s="174"/>
      <c r="GE175" s="174"/>
      <c r="GF175" s="174"/>
      <c r="GG175" s="174"/>
      <c r="GH175" s="174"/>
      <c r="GI175" s="174"/>
      <c r="GJ175" s="174"/>
      <c r="GK175" s="174"/>
      <c r="GL175" s="174"/>
      <c r="GM175" s="174"/>
      <c r="GN175" s="174"/>
      <c r="GO175" s="174"/>
      <c r="GP175" s="174"/>
      <c r="GQ175" s="174"/>
      <c r="GR175" s="174"/>
      <c r="GS175" s="174"/>
      <c r="GT175" s="174"/>
      <c r="GU175" s="174"/>
      <c r="GV175" s="174"/>
      <c r="GW175" s="174"/>
      <c r="GX175" s="174"/>
      <c r="GY175" s="174"/>
      <c r="GZ175" s="174"/>
      <c r="HA175" s="174"/>
      <c r="HB175" s="174"/>
      <c r="HC175" s="174"/>
      <c r="HD175" s="174"/>
      <c r="HE175" s="174"/>
      <c r="HF175" s="174"/>
      <c r="HG175" s="174"/>
      <c r="HH175" s="174"/>
      <c r="HI175" s="174"/>
      <c r="HJ175" s="174"/>
      <c r="HK175" s="174"/>
      <c r="HL175" s="174"/>
      <c r="HM175" s="174"/>
      <c r="HN175" s="174"/>
      <c r="HO175" s="174"/>
      <c r="HP175" s="174"/>
      <c r="HQ175" s="174"/>
      <c r="HR175" s="174"/>
      <c r="HS175" s="174"/>
      <c r="HT175" s="174"/>
      <c r="HU175" s="174"/>
      <c r="HV175" s="174"/>
      <c r="HW175" s="174"/>
      <c r="HX175" s="174"/>
      <c r="HY175" s="174"/>
      <c r="HZ175" s="174"/>
      <c r="IA175" s="174"/>
      <c r="IB175" s="174"/>
      <c r="IC175" s="174"/>
      <c r="ID175" s="174"/>
      <c r="IE175" s="174"/>
      <c r="IF175" s="174"/>
      <c r="IG175" s="174"/>
      <c r="IH175" s="174"/>
      <c r="II175" s="174"/>
      <c r="IJ175" s="174"/>
      <c r="IK175" s="174"/>
      <c r="IL175" s="174"/>
      <c r="IM175" s="174"/>
      <c r="IN175" s="174"/>
      <c r="IO175" s="174"/>
      <c r="IP175" s="174"/>
      <c r="IQ175" s="174"/>
      <c r="IR175" s="174"/>
      <c r="IS175" s="174"/>
      <c r="IT175" s="174"/>
      <c r="IU175" s="75"/>
      <c r="IV175" s="75"/>
      <c r="IW175" s="75"/>
      <c r="IX175" s="75"/>
      <c r="IY175" s="75"/>
      <c r="IZ175" s="75"/>
      <c r="JA175" s="75"/>
      <c r="JB175" s="75"/>
      <c r="JC175" s="75"/>
      <c r="JD175" s="75"/>
      <c r="JF175" s="710"/>
      <c r="JG175" s="710"/>
      <c r="JH175" s="178">
        <f t="shared" si="11"/>
        <v>0</v>
      </c>
      <c r="JI175" s="174">
        <f t="shared" si="12"/>
        <v>0</v>
      </c>
    </row>
    <row r="176" spans="2:269" ht="15" customHeight="1" x14ac:dyDescent="0.25">
      <c r="B176" s="113">
        <v>173</v>
      </c>
      <c r="C176" s="353" t="str">
        <f t="shared" si="15"/>
        <v/>
      </c>
      <c r="D176" s="353" t="str">
        <f t="shared" si="16"/>
        <v/>
      </c>
      <c r="E176" s="174"/>
      <c r="F176" s="174"/>
      <c r="G176" s="174"/>
      <c r="H176" s="174"/>
      <c r="I176" s="174"/>
      <c r="J176" s="174"/>
      <c r="K176" s="174"/>
      <c r="L176" s="174"/>
      <c r="M176" s="174"/>
      <c r="N176" s="174"/>
      <c r="O176" s="174"/>
      <c r="P176" s="174"/>
      <c r="Q176" s="174"/>
      <c r="R176" s="174"/>
      <c r="S176" s="174"/>
      <c r="T176" s="174"/>
      <c r="U176" s="174"/>
      <c r="V176" s="174"/>
      <c r="W176" s="174"/>
      <c r="X176" s="174"/>
      <c r="Y176" s="174"/>
      <c r="Z176" s="174"/>
      <c r="AA176" s="174"/>
      <c r="AB176" s="174"/>
      <c r="AC176" s="174"/>
      <c r="AD176" s="174"/>
      <c r="AE176" s="174"/>
      <c r="AF176" s="174"/>
      <c r="AG176" s="174"/>
      <c r="AH176" s="174"/>
      <c r="AI176" s="174"/>
      <c r="AJ176" s="174"/>
      <c r="AK176" s="174"/>
      <c r="AL176" s="174"/>
      <c r="AM176" s="174"/>
      <c r="AN176" s="174"/>
      <c r="AO176" s="174"/>
      <c r="AP176" s="174"/>
      <c r="AQ176" s="174"/>
      <c r="AR176" s="174"/>
      <c r="AS176" s="174"/>
      <c r="AT176" s="174"/>
      <c r="AU176" s="174"/>
      <c r="AV176" s="174"/>
      <c r="AW176" s="174"/>
      <c r="AX176" s="174"/>
      <c r="AY176" s="174"/>
      <c r="AZ176" s="174"/>
      <c r="BA176" s="174"/>
      <c r="BB176" s="174"/>
      <c r="BC176" s="174"/>
      <c r="BD176" s="174"/>
      <c r="BE176" s="174"/>
      <c r="BF176" s="174"/>
      <c r="BG176" s="174"/>
      <c r="BH176" s="174"/>
      <c r="BI176" s="174"/>
      <c r="BJ176" s="174"/>
      <c r="BK176" s="174"/>
      <c r="BL176" s="174"/>
      <c r="BM176" s="174"/>
      <c r="BN176" s="174"/>
      <c r="BO176" s="174"/>
      <c r="BP176" s="174"/>
      <c r="BQ176" s="174"/>
      <c r="BR176" s="174"/>
      <c r="BS176" s="174"/>
      <c r="BT176" s="174"/>
      <c r="BU176" s="174"/>
      <c r="BV176" s="174"/>
      <c r="BW176" s="174"/>
      <c r="BX176" s="174"/>
      <c r="BY176" s="174"/>
      <c r="BZ176" s="174"/>
      <c r="CA176" s="174"/>
      <c r="CB176" s="174"/>
      <c r="CC176" s="174"/>
      <c r="CD176" s="174"/>
      <c r="CE176" s="174"/>
      <c r="CF176" s="174"/>
      <c r="CG176" s="174"/>
      <c r="CH176" s="174"/>
      <c r="CI176" s="174"/>
      <c r="CJ176" s="174"/>
      <c r="CK176" s="174"/>
      <c r="CL176" s="174"/>
      <c r="CM176" s="174"/>
      <c r="CN176" s="174"/>
      <c r="CO176" s="174"/>
      <c r="CP176" s="174"/>
      <c r="CQ176" s="174"/>
      <c r="CR176" s="174"/>
      <c r="CS176" s="174"/>
      <c r="CT176" s="174"/>
      <c r="CU176" s="174"/>
      <c r="CV176" s="174"/>
      <c r="CW176" s="174"/>
      <c r="CX176" s="174"/>
      <c r="CY176" s="174"/>
      <c r="CZ176" s="174"/>
      <c r="DA176" s="174"/>
      <c r="DB176" s="174"/>
      <c r="DC176" s="174"/>
      <c r="DD176" s="174"/>
      <c r="DE176" s="174"/>
      <c r="DF176" s="174"/>
      <c r="DG176" s="174"/>
      <c r="DH176" s="174"/>
      <c r="DI176" s="174"/>
      <c r="DJ176" s="174"/>
      <c r="DK176" s="174"/>
      <c r="DL176" s="174"/>
      <c r="DM176" s="174"/>
      <c r="DN176" s="174"/>
      <c r="DO176" s="174"/>
      <c r="DP176" s="174"/>
      <c r="DQ176" s="174"/>
      <c r="DR176" s="174"/>
      <c r="DS176" s="174"/>
      <c r="DT176" s="174"/>
      <c r="DU176" s="174"/>
      <c r="DV176" s="174"/>
      <c r="DW176" s="174"/>
      <c r="DX176" s="174"/>
      <c r="DY176" s="174"/>
      <c r="DZ176" s="174"/>
      <c r="EA176" s="174"/>
      <c r="EB176" s="174"/>
      <c r="EC176" s="174"/>
      <c r="ED176" s="174"/>
      <c r="EE176" s="174"/>
      <c r="EF176" s="174"/>
      <c r="EG176" s="174"/>
      <c r="EH176" s="174"/>
      <c r="EI176" s="174"/>
      <c r="EJ176" s="174"/>
      <c r="EK176" s="174"/>
      <c r="EL176" s="174"/>
      <c r="EM176" s="174"/>
      <c r="EN176" s="174"/>
      <c r="EO176" s="174"/>
      <c r="EP176" s="174"/>
      <c r="EQ176" s="174"/>
      <c r="ER176" s="174"/>
      <c r="ES176" s="174"/>
      <c r="ET176" s="174"/>
      <c r="EU176" s="174"/>
      <c r="EV176" s="174"/>
      <c r="EW176" s="174"/>
      <c r="EX176" s="174"/>
      <c r="EY176" s="174"/>
      <c r="EZ176" s="174"/>
      <c r="FA176" s="174"/>
      <c r="FB176" s="174"/>
      <c r="FC176" s="174"/>
      <c r="FD176" s="174"/>
      <c r="FE176" s="174"/>
      <c r="FF176" s="174"/>
      <c r="FG176" s="174"/>
      <c r="FH176" s="174"/>
      <c r="FI176" s="174"/>
      <c r="FJ176" s="174"/>
      <c r="FK176" s="174"/>
      <c r="FL176" s="174"/>
      <c r="FM176" s="174"/>
      <c r="FN176" s="174"/>
      <c r="FO176" s="174"/>
      <c r="FP176" s="174"/>
      <c r="FQ176" s="174"/>
      <c r="FR176" s="174"/>
      <c r="FS176" s="174"/>
      <c r="FT176" s="174"/>
      <c r="FU176" s="174"/>
      <c r="FV176" s="174"/>
      <c r="FW176" s="174"/>
      <c r="FX176" s="174"/>
      <c r="FY176" s="174"/>
      <c r="FZ176" s="174"/>
      <c r="GA176" s="174"/>
      <c r="GB176" s="174"/>
      <c r="GC176" s="174"/>
      <c r="GD176" s="174"/>
      <c r="GE176" s="174"/>
      <c r="GF176" s="174"/>
      <c r="GG176" s="174"/>
      <c r="GH176" s="174"/>
      <c r="GI176" s="174"/>
      <c r="GJ176" s="174"/>
      <c r="GK176" s="174"/>
      <c r="GL176" s="174"/>
      <c r="GM176" s="174"/>
      <c r="GN176" s="174"/>
      <c r="GO176" s="174"/>
      <c r="GP176" s="174"/>
      <c r="GQ176" s="174"/>
      <c r="GR176" s="174"/>
      <c r="GS176" s="174"/>
      <c r="GT176" s="174"/>
      <c r="GU176" s="174"/>
      <c r="GV176" s="174"/>
      <c r="GW176" s="174"/>
      <c r="GX176" s="174"/>
      <c r="GY176" s="174"/>
      <c r="GZ176" s="174"/>
      <c r="HA176" s="174"/>
      <c r="HB176" s="174"/>
      <c r="HC176" s="174"/>
      <c r="HD176" s="174"/>
      <c r="HE176" s="174"/>
      <c r="HF176" s="174"/>
      <c r="HG176" s="174"/>
      <c r="HH176" s="174"/>
      <c r="HI176" s="174"/>
      <c r="HJ176" s="174"/>
      <c r="HK176" s="174"/>
      <c r="HL176" s="174"/>
      <c r="HM176" s="174"/>
      <c r="HN176" s="174"/>
      <c r="HO176" s="174"/>
      <c r="HP176" s="174"/>
      <c r="HQ176" s="174"/>
      <c r="HR176" s="174"/>
      <c r="HS176" s="174"/>
      <c r="HT176" s="174"/>
      <c r="HU176" s="174"/>
      <c r="HV176" s="174"/>
      <c r="HW176" s="174"/>
      <c r="HX176" s="174"/>
      <c r="HY176" s="174"/>
      <c r="HZ176" s="174"/>
      <c r="IA176" s="174"/>
      <c r="IB176" s="174"/>
      <c r="IC176" s="174"/>
      <c r="ID176" s="174"/>
      <c r="IE176" s="174"/>
      <c r="IF176" s="174"/>
      <c r="IG176" s="174"/>
      <c r="IH176" s="174"/>
      <c r="II176" s="174"/>
      <c r="IJ176" s="174"/>
      <c r="IK176" s="174"/>
      <c r="IL176" s="174"/>
      <c r="IM176" s="174"/>
      <c r="IN176" s="174"/>
      <c r="IO176" s="174"/>
      <c r="IP176" s="174"/>
      <c r="IQ176" s="174"/>
      <c r="IR176" s="174"/>
      <c r="IS176" s="174"/>
      <c r="IT176" s="174"/>
      <c r="IU176" s="75"/>
      <c r="IV176" s="75"/>
      <c r="IW176" s="75"/>
      <c r="IX176" s="75"/>
      <c r="IY176" s="75"/>
      <c r="IZ176" s="75"/>
      <c r="JA176" s="75"/>
      <c r="JB176" s="75"/>
      <c r="JC176" s="75"/>
      <c r="JD176" s="75"/>
      <c r="JF176" s="710"/>
      <c r="JG176" s="710"/>
      <c r="JH176" s="178">
        <f t="shared" si="11"/>
        <v>0</v>
      </c>
      <c r="JI176" s="174">
        <f t="shared" si="12"/>
        <v>0</v>
      </c>
    </row>
    <row r="177" spans="2:269" ht="15" customHeight="1" x14ac:dyDescent="0.25">
      <c r="B177" s="113">
        <v>174</v>
      </c>
      <c r="C177" s="353" t="str">
        <f t="shared" si="15"/>
        <v/>
      </c>
      <c r="D177" s="353" t="str">
        <f t="shared" si="16"/>
        <v/>
      </c>
      <c r="E177" s="174"/>
      <c r="F177" s="174"/>
      <c r="G177" s="174"/>
      <c r="H177" s="174"/>
      <c r="I177" s="174"/>
      <c r="J177" s="174"/>
      <c r="K177" s="174"/>
      <c r="L177" s="174"/>
      <c r="M177" s="174"/>
      <c r="N177" s="174"/>
      <c r="O177" s="174"/>
      <c r="P177" s="174"/>
      <c r="Q177" s="174"/>
      <c r="R177" s="174"/>
      <c r="S177" s="174"/>
      <c r="T177" s="174"/>
      <c r="U177" s="174"/>
      <c r="V177" s="174"/>
      <c r="W177" s="174"/>
      <c r="X177" s="174"/>
      <c r="Y177" s="174"/>
      <c r="Z177" s="174"/>
      <c r="AA177" s="174"/>
      <c r="AB177" s="174"/>
      <c r="AC177" s="174"/>
      <c r="AD177" s="174"/>
      <c r="AE177" s="174"/>
      <c r="AF177" s="174"/>
      <c r="AG177" s="174"/>
      <c r="AH177" s="174"/>
      <c r="AI177" s="174"/>
      <c r="AJ177" s="174"/>
      <c r="AK177" s="174"/>
      <c r="AL177" s="174"/>
      <c r="AM177" s="174"/>
      <c r="AN177" s="174"/>
      <c r="AO177" s="174"/>
      <c r="AP177" s="174"/>
      <c r="AQ177" s="174"/>
      <c r="AR177" s="174"/>
      <c r="AS177" s="174"/>
      <c r="AT177" s="174"/>
      <c r="AU177" s="174"/>
      <c r="AV177" s="174"/>
      <c r="AW177" s="174"/>
      <c r="AX177" s="174"/>
      <c r="AY177" s="174"/>
      <c r="AZ177" s="174"/>
      <c r="BA177" s="174"/>
      <c r="BB177" s="174"/>
      <c r="BC177" s="174"/>
      <c r="BD177" s="174"/>
      <c r="BE177" s="174"/>
      <c r="BF177" s="174"/>
      <c r="BG177" s="174"/>
      <c r="BH177" s="174"/>
      <c r="BI177" s="174"/>
      <c r="BJ177" s="174"/>
      <c r="BK177" s="174"/>
      <c r="BL177" s="174"/>
      <c r="BM177" s="174"/>
      <c r="BN177" s="174"/>
      <c r="BO177" s="174"/>
      <c r="BP177" s="174"/>
      <c r="BQ177" s="174"/>
      <c r="BR177" s="174"/>
      <c r="BS177" s="174"/>
      <c r="BT177" s="174"/>
      <c r="BU177" s="174"/>
      <c r="BV177" s="174"/>
      <c r="BW177" s="174"/>
      <c r="BX177" s="174"/>
      <c r="BY177" s="174"/>
      <c r="BZ177" s="174"/>
      <c r="CA177" s="174"/>
      <c r="CB177" s="174"/>
      <c r="CC177" s="174"/>
      <c r="CD177" s="174"/>
      <c r="CE177" s="174"/>
      <c r="CF177" s="174"/>
      <c r="CG177" s="174"/>
      <c r="CH177" s="174"/>
      <c r="CI177" s="174"/>
      <c r="CJ177" s="174"/>
      <c r="CK177" s="174"/>
      <c r="CL177" s="174"/>
      <c r="CM177" s="174"/>
      <c r="CN177" s="174"/>
      <c r="CO177" s="174"/>
      <c r="CP177" s="174"/>
      <c r="CQ177" s="174"/>
      <c r="CR177" s="174"/>
      <c r="CS177" s="174"/>
      <c r="CT177" s="174"/>
      <c r="CU177" s="174"/>
      <c r="CV177" s="174"/>
      <c r="CW177" s="174"/>
      <c r="CX177" s="174"/>
      <c r="CY177" s="174"/>
      <c r="CZ177" s="174"/>
      <c r="DA177" s="174"/>
      <c r="DB177" s="174"/>
      <c r="DC177" s="174"/>
      <c r="DD177" s="174"/>
      <c r="DE177" s="174"/>
      <c r="DF177" s="174"/>
      <c r="DG177" s="174"/>
      <c r="DH177" s="174"/>
      <c r="DI177" s="174"/>
      <c r="DJ177" s="174"/>
      <c r="DK177" s="174"/>
      <c r="DL177" s="174"/>
      <c r="DM177" s="174"/>
      <c r="DN177" s="174"/>
      <c r="DO177" s="174"/>
      <c r="DP177" s="174"/>
      <c r="DQ177" s="174"/>
      <c r="DR177" s="174"/>
      <c r="DS177" s="174"/>
      <c r="DT177" s="174"/>
      <c r="DU177" s="174"/>
      <c r="DV177" s="174"/>
      <c r="DW177" s="174"/>
      <c r="DX177" s="174"/>
      <c r="DY177" s="174"/>
      <c r="DZ177" s="174"/>
      <c r="EA177" s="174"/>
      <c r="EB177" s="174"/>
      <c r="EC177" s="174"/>
      <c r="ED177" s="174"/>
      <c r="EE177" s="174"/>
      <c r="EF177" s="174"/>
      <c r="EG177" s="174"/>
      <c r="EH177" s="174"/>
      <c r="EI177" s="174"/>
      <c r="EJ177" s="174"/>
      <c r="EK177" s="174"/>
      <c r="EL177" s="174"/>
      <c r="EM177" s="174"/>
      <c r="EN177" s="174"/>
      <c r="EO177" s="174"/>
      <c r="EP177" s="174"/>
      <c r="EQ177" s="174"/>
      <c r="ER177" s="174"/>
      <c r="ES177" s="174"/>
      <c r="ET177" s="174"/>
      <c r="EU177" s="174"/>
      <c r="EV177" s="174"/>
      <c r="EW177" s="174"/>
      <c r="EX177" s="174"/>
      <c r="EY177" s="174"/>
      <c r="EZ177" s="174"/>
      <c r="FA177" s="174"/>
      <c r="FB177" s="174"/>
      <c r="FC177" s="174"/>
      <c r="FD177" s="174"/>
      <c r="FE177" s="174"/>
      <c r="FF177" s="174"/>
      <c r="FG177" s="174"/>
      <c r="FH177" s="174"/>
      <c r="FI177" s="174"/>
      <c r="FJ177" s="174"/>
      <c r="FK177" s="174"/>
      <c r="FL177" s="174"/>
      <c r="FM177" s="174"/>
      <c r="FN177" s="174"/>
      <c r="FO177" s="174"/>
      <c r="FP177" s="174"/>
      <c r="FQ177" s="174"/>
      <c r="FR177" s="174"/>
      <c r="FS177" s="174"/>
      <c r="FT177" s="174"/>
      <c r="FU177" s="174"/>
      <c r="FV177" s="174"/>
      <c r="FW177" s="174"/>
      <c r="FX177" s="174"/>
      <c r="FY177" s="174"/>
      <c r="FZ177" s="174"/>
      <c r="GA177" s="174"/>
      <c r="GB177" s="174"/>
      <c r="GC177" s="174"/>
      <c r="GD177" s="174"/>
      <c r="GE177" s="174"/>
      <c r="GF177" s="174"/>
      <c r="GG177" s="174"/>
      <c r="GH177" s="174"/>
      <c r="GI177" s="174"/>
      <c r="GJ177" s="174"/>
      <c r="GK177" s="174"/>
      <c r="GL177" s="174"/>
      <c r="GM177" s="174"/>
      <c r="GN177" s="174"/>
      <c r="GO177" s="174"/>
      <c r="GP177" s="174"/>
      <c r="GQ177" s="174"/>
      <c r="GR177" s="174"/>
      <c r="GS177" s="174"/>
      <c r="GT177" s="174"/>
      <c r="GU177" s="174"/>
      <c r="GV177" s="174"/>
      <c r="GW177" s="174"/>
      <c r="GX177" s="174"/>
      <c r="GY177" s="174"/>
      <c r="GZ177" s="174"/>
      <c r="HA177" s="174"/>
      <c r="HB177" s="174"/>
      <c r="HC177" s="174"/>
      <c r="HD177" s="174"/>
      <c r="HE177" s="174"/>
      <c r="HF177" s="174"/>
      <c r="HG177" s="174"/>
      <c r="HH177" s="174"/>
      <c r="HI177" s="174"/>
      <c r="HJ177" s="174"/>
      <c r="HK177" s="174"/>
      <c r="HL177" s="174"/>
      <c r="HM177" s="174"/>
      <c r="HN177" s="174"/>
      <c r="HO177" s="174"/>
      <c r="HP177" s="174"/>
      <c r="HQ177" s="174"/>
      <c r="HR177" s="174"/>
      <c r="HS177" s="174"/>
      <c r="HT177" s="174"/>
      <c r="HU177" s="174"/>
      <c r="HV177" s="174"/>
      <c r="HW177" s="174"/>
      <c r="HX177" s="174"/>
      <c r="HY177" s="174"/>
      <c r="HZ177" s="174"/>
      <c r="IA177" s="174"/>
      <c r="IB177" s="174"/>
      <c r="IC177" s="174"/>
      <c r="ID177" s="174"/>
      <c r="IE177" s="174"/>
      <c r="IF177" s="174"/>
      <c r="IG177" s="174"/>
      <c r="IH177" s="174"/>
      <c r="II177" s="174"/>
      <c r="IJ177" s="174"/>
      <c r="IK177" s="174"/>
      <c r="IL177" s="174"/>
      <c r="IM177" s="174"/>
      <c r="IN177" s="174"/>
      <c r="IO177" s="174"/>
      <c r="IP177" s="174"/>
      <c r="IQ177" s="174"/>
      <c r="IR177" s="174"/>
      <c r="IS177" s="174"/>
      <c r="IT177" s="174"/>
      <c r="IU177" s="75"/>
      <c r="IV177" s="75"/>
      <c r="IW177" s="75"/>
      <c r="IX177" s="75"/>
      <c r="IY177" s="75"/>
      <c r="IZ177" s="75"/>
      <c r="JA177" s="75"/>
      <c r="JB177" s="75"/>
      <c r="JC177" s="75"/>
      <c r="JD177" s="75"/>
      <c r="JF177" s="710"/>
      <c r="JG177" s="710"/>
      <c r="JH177" s="178">
        <f t="shared" si="11"/>
        <v>0</v>
      </c>
      <c r="JI177" s="174">
        <f t="shared" si="12"/>
        <v>0</v>
      </c>
    </row>
    <row r="178" spans="2:269" ht="15" customHeight="1" x14ac:dyDescent="0.25">
      <c r="B178" s="113">
        <v>175</v>
      </c>
      <c r="C178" s="353" t="str">
        <f t="shared" si="15"/>
        <v/>
      </c>
      <c r="D178" s="353" t="str">
        <f t="shared" si="16"/>
        <v/>
      </c>
      <c r="E178" s="174"/>
      <c r="F178" s="174"/>
      <c r="G178" s="174"/>
      <c r="H178" s="174"/>
      <c r="I178" s="174"/>
      <c r="J178" s="174"/>
      <c r="K178" s="174"/>
      <c r="L178" s="174"/>
      <c r="M178" s="174"/>
      <c r="N178" s="174"/>
      <c r="O178" s="174"/>
      <c r="P178" s="174"/>
      <c r="Q178" s="174"/>
      <c r="R178" s="174"/>
      <c r="S178" s="174"/>
      <c r="T178" s="174"/>
      <c r="U178" s="174"/>
      <c r="V178" s="174"/>
      <c r="W178" s="174"/>
      <c r="X178" s="174"/>
      <c r="Y178" s="174"/>
      <c r="Z178" s="174"/>
      <c r="AA178" s="174"/>
      <c r="AB178" s="174"/>
      <c r="AC178" s="174"/>
      <c r="AD178" s="174"/>
      <c r="AE178" s="174"/>
      <c r="AF178" s="174"/>
      <c r="AG178" s="174"/>
      <c r="AH178" s="174"/>
      <c r="AI178" s="174"/>
      <c r="AJ178" s="174"/>
      <c r="AK178" s="174"/>
      <c r="AL178" s="174"/>
      <c r="AM178" s="174"/>
      <c r="AN178" s="174"/>
      <c r="AO178" s="174"/>
      <c r="AP178" s="174"/>
      <c r="AQ178" s="174"/>
      <c r="AR178" s="174"/>
      <c r="AS178" s="174"/>
      <c r="AT178" s="174"/>
      <c r="AU178" s="174"/>
      <c r="AV178" s="174"/>
      <c r="AW178" s="174"/>
      <c r="AX178" s="174"/>
      <c r="AY178" s="174"/>
      <c r="AZ178" s="174"/>
      <c r="BA178" s="174"/>
      <c r="BB178" s="174"/>
      <c r="BC178" s="174"/>
      <c r="BD178" s="174"/>
      <c r="BE178" s="174"/>
      <c r="BF178" s="174"/>
      <c r="BG178" s="174"/>
      <c r="BH178" s="174"/>
      <c r="BI178" s="174"/>
      <c r="BJ178" s="174"/>
      <c r="BK178" s="174"/>
      <c r="BL178" s="174"/>
      <c r="BM178" s="174"/>
      <c r="BN178" s="174"/>
      <c r="BO178" s="174"/>
      <c r="BP178" s="174"/>
      <c r="BQ178" s="174"/>
      <c r="BR178" s="174"/>
      <c r="BS178" s="174"/>
      <c r="BT178" s="174"/>
      <c r="BU178" s="174"/>
      <c r="BV178" s="174"/>
      <c r="BW178" s="174"/>
      <c r="BX178" s="174"/>
      <c r="BY178" s="174"/>
      <c r="BZ178" s="174"/>
      <c r="CA178" s="174"/>
      <c r="CB178" s="174"/>
      <c r="CC178" s="174"/>
      <c r="CD178" s="174"/>
      <c r="CE178" s="174"/>
      <c r="CF178" s="174"/>
      <c r="CG178" s="174"/>
      <c r="CH178" s="174"/>
      <c r="CI178" s="174"/>
      <c r="CJ178" s="174"/>
      <c r="CK178" s="174"/>
      <c r="CL178" s="174"/>
      <c r="CM178" s="174"/>
      <c r="CN178" s="174"/>
      <c r="CO178" s="174"/>
      <c r="CP178" s="174"/>
      <c r="CQ178" s="174"/>
      <c r="CR178" s="174"/>
      <c r="CS178" s="174"/>
      <c r="CT178" s="174"/>
      <c r="CU178" s="174"/>
      <c r="CV178" s="174"/>
      <c r="CW178" s="174"/>
      <c r="CX178" s="174"/>
      <c r="CY178" s="174"/>
      <c r="CZ178" s="174"/>
      <c r="DA178" s="174"/>
      <c r="DB178" s="174"/>
      <c r="DC178" s="174"/>
      <c r="DD178" s="174"/>
      <c r="DE178" s="174"/>
      <c r="DF178" s="174"/>
      <c r="DG178" s="174"/>
      <c r="DH178" s="174"/>
      <c r="DI178" s="174"/>
      <c r="DJ178" s="174"/>
      <c r="DK178" s="174"/>
      <c r="DL178" s="174"/>
      <c r="DM178" s="174"/>
      <c r="DN178" s="174"/>
      <c r="DO178" s="174"/>
      <c r="DP178" s="174"/>
      <c r="DQ178" s="174"/>
      <c r="DR178" s="174"/>
      <c r="DS178" s="174"/>
      <c r="DT178" s="174"/>
      <c r="DU178" s="174"/>
      <c r="DV178" s="174"/>
      <c r="DW178" s="174"/>
      <c r="DX178" s="174"/>
      <c r="DY178" s="174"/>
      <c r="DZ178" s="174"/>
      <c r="EA178" s="174"/>
      <c r="EB178" s="174"/>
      <c r="EC178" s="174"/>
      <c r="ED178" s="174"/>
      <c r="EE178" s="174"/>
      <c r="EF178" s="174"/>
      <c r="EG178" s="174"/>
      <c r="EH178" s="174"/>
      <c r="EI178" s="174"/>
      <c r="EJ178" s="174"/>
      <c r="EK178" s="174"/>
      <c r="EL178" s="174"/>
      <c r="EM178" s="174"/>
      <c r="EN178" s="174"/>
      <c r="EO178" s="174"/>
      <c r="EP178" s="174"/>
      <c r="EQ178" s="174"/>
      <c r="ER178" s="174"/>
      <c r="ES178" s="174"/>
      <c r="ET178" s="174"/>
      <c r="EU178" s="174"/>
      <c r="EV178" s="174"/>
      <c r="EW178" s="174"/>
      <c r="EX178" s="174"/>
      <c r="EY178" s="174"/>
      <c r="EZ178" s="174"/>
      <c r="FA178" s="174"/>
      <c r="FB178" s="174"/>
      <c r="FC178" s="174"/>
      <c r="FD178" s="174"/>
      <c r="FE178" s="174"/>
      <c r="FF178" s="174"/>
      <c r="FG178" s="174"/>
      <c r="FH178" s="174"/>
      <c r="FI178" s="174"/>
      <c r="FJ178" s="174"/>
      <c r="FK178" s="174"/>
      <c r="FL178" s="174"/>
      <c r="FM178" s="174"/>
      <c r="FN178" s="174"/>
      <c r="FO178" s="174"/>
      <c r="FP178" s="174"/>
      <c r="FQ178" s="174"/>
      <c r="FR178" s="174"/>
      <c r="FS178" s="174"/>
      <c r="FT178" s="174"/>
      <c r="FU178" s="174"/>
      <c r="FV178" s="174"/>
      <c r="FW178" s="174"/>
      <c r="FX178" s="174"/>
      <c r="FY178" s="174"/>
      <c r="FZ178" s="174"/>
      <c r="GA178" s="174"/>
      <c r="GB178" s="174"/>
      <c r="GC178" s="174"/>
      <c r="GD178" s="174"/>
      <c r="GE178" s="174"/>
      <c r="GF178" s="174"/>
      <c r="GG178" s="174"/>
      <c r="GH178" s="174"/>
      <c r="GI178" s="174"/>
      <c r="GJ178" s="174"/>
      <c r="GK178" s="174"/>
      <c r="GL178" s="174"/>
      <c r="GM178" s="174"/>
      <c r="GN178" s="174"/>
      <c r="GO178" s="174"/>
      <c r="GP178" s="174"/>
      <c r="GQ178" s="174"/>
      <c r="GR178" s="174"/>
      <c r="GS178" s="174"/>
      <c r="GT178" s="174"/>
      <c r="GU178" s="174"/>
      <c r="GV178" s="174"/>
      <c r="GW178" s="174"/>
      <c r="GX178" s="174"/>
      <c r="GY178" s="174"/>
      <c r="GZ178" s="174"/>
      <c r="HA178" s="174"/>
      <c r="HB178" s="174"/>
      <c r="HC178" s="174"/>
      <c r="HD178" s="174"/>
      <c r="HE178" s="174"/>
      <c r="HF178" s="174"/>
      <c r="HG178" s="174"/>
      <c r="HH178" s="174"/>
      <c r="HI178" s="174"/>
      <c r="HJ178" s="174"/>
      <c r="HK178" s="174"/>
      <c r="HL178" s="174"/>
      <c r="HM178" s="174"/>
      <c r="HN178" s="174"/>
      <c r="HO178" s="174"/>
      <c r="HP178" s="174"/>
      <c r="HQ178" s="174"/>
      <c r="HR178" s="174"/>
      <c r="HS178" s="174"/>
      <c r="HT178" s="174"/>
      <c r="HU178" s="174"/>
      <c r="HV178" s="174"/>
      <c r="HW178" s="174"/>
      <c r="HX178" s="174"/>
      <c r="HY178" s="174"/>
      <c r="HZ178" s="174"/>
      <c r="IA178" s="174"/>
      <c r="IB178" s="174"/>
      <c r="IC178" s="174"/>
      <c r="ID178" s="174"/>
      <c r="IE178" s="174"/>
      <c r="IF178" s="174"/>
      <c r="IG178" s="174"/>
      <c r="IH178" s="174"/>
      <c r="II178" s="174"/>
      <c r="IJ178" s="174"/>
      <c r="IK178" s="174"/>
      <c r="IL178" s="174"/>
      <c r="IM178" s="174"/>
      <c r="IN178" s="174"/>
      <c r="IO178" s="174"/>
      <c r="IP178" s="174"/>
      <c r="IQ178" s="174"/>
      <c r="IR178" s="174"/>
      <c r="IS178" s="174"/>
      <c r="IT178" s="174"/>
      <c r="IU178" s="75"/>
      <c r="IV178" s="75"/>
      <c r="IW178" s="75"/>
      <c r="IX178" s="75"/>
      <c r="IY178" s="75"/>
      <c r="IZ178" s="75"/>
      <c r="JA178" s="75"/>
      <c r="JB178" s="75"/>
      <c r="JC178" s="75"/>
      <c r="JD178" s="75"/>
      <c r="JF178" s="710"/>
      <c r="JG178" s="710"/>
      <c r="JH178" s="178">
        <f t="shared" si="11"/>
        <v>0</v>
      </c>
      <c r="JI178" s="174">
        <f t="shared" si="12"/>
        <v>0</v>
      </c>
    </row>
    <row r="179" spans="2:269" ht="15" customHeight="1" x14ac:dyDescent="0.25">
      <c r="B179" s="113">
        <v>176</v>
      </c>
      <c r="C179" s="353" t="str">
        <f t="shared" si="15"/>
        <v/>
      </c>
      <c r="D179" s="353" t="str">
        <f t="shared" si="16"/>
        <v/>
      </c>
      <c r="E179" s="174"/>
      <c r="F179" s="174"/>
      <c r="G179" s="174"/>
      <c r="H179" s="174"/>
      <c r="I179" s="174"/>
      <c r="J179" s="174"/>
      <c r="K179" s="174"/>
      <c r="L179" s="174"/>
      <c r="M179" s="174"/>
      <c r="N179" s="174"/>
      <c r="O179" s="174"/>
      <c r="P179" s="174"/>
      <c r="Q179" s="174"/>
      <c r="R179" s="174"/>
      <c r="S179" s="174"/>
      <c r="T179" s="174"/>
      <c r="U179" s="174"/>
      <c r="V179" s="174"/>
      <c r="W179" s="174"/>
      <c r="X179" s="174"/>
      <c r="Y179" s="174"/>
      <c r="Z179" s="174"/>
      <c r="AA179" s="174"/>
      <c r="AB179" s="174"/>
      <c r="AC179" s="174"/>
      <c r="AD179" s="174"/>
      <c r="AE179" s="174"/>
      <c r="AF179" s="174"/>
      <c r="AG179" s="174"/>
      <c r="AH179" s="174"/>
      <c r="AI179" s="174"/>
      <c r="AJ179" s="174"/>
      <c r="AK179" s="174"/>
      <c r="AL179" s="174"/>
      <c r="AM179" s="174"/>
      <c r="AN179" s="174"/>
      <c r="AO179" s="174"/>
      <c r="AP179" s="174"/>
      <c r="AQ179" s="174"/>
      <c r="AR179" s="174"/>
      <c r="AS179" s="174"/>
      <c r="AT179" s="174"/>
      <c r="AU179" s="174"/>
      <c r="AV179" s="174"/>
      <c r="AW179" s="174"/>
      <c r="AX179" s="174"/>
      <c r="AY179" s="174"/>
      <c r="AZ179" s="174"/>
      <c r="BA179" s="174"/>
      <c r="BB179" s="174"/>
      <c r="BC179" s="174"/>
      <c r="BD179" s="174"/>
      <c r="BE179" s="174"/>
      <c r="BF179" s="174"/>
      <c r="BG179" s="174"/>
      <c r="BH179" s="174"/>
      <c r="BI179" s="174"/>
      <c r="BJ179" s="174"/>
      <c r="BK179" s="174"/>
      <c r="BL179" s="174"/>
      <c r="BM179" s="174"/>
      <c r="BN179" s="174"/>
      <c r="BO179" s="174"/>
      <c r="BP179" s="174"/>
      <c r="BQ179" s="174"/>
      <c r="BR179" s="174"/>
      <c r="BS179" s="174"/>
      <c r="BT179" s="174"/>
      <c r="BU179" s="174"/>
      <c r="BV179" s="174"/>
      <c r="BW179" s="174"/>
      <c r="BX179" s="174"/>
      <c r="BY179" s="174"/>
      <c r="BZ179" s="174"/>
      <c r="CA179" s="174"/>
      <c r="CB179" s="174"/>
      <c r="CC179" s="174"/>
      <c r="CD179" s="174"/>
      <c r="CE179" s="174"/>
      <c r="CF179" s="174"/>
      <c r="CG179" s="174"/>
      <c r="CH179" s="174"/>
      <c r="CI179" s="174"/>
      <c r="CJ179" s="174"/>
      <c r="CK179" s="174"/>
      <c r="CL179" s="174"/>
      <c r="CM179" s="174"/>
      <c r="CN179" s="174"/>
      <c r="CO179" s="174"/>
      <c r="CP179" s="174"/>
      <c r="CQ179" s="174"/>
      <c r="CR179" s="174"/>
      <c r="CS179" s="174"/>
      <c r="CT179" s="174"/>
      <c r="CU179" s="174"/>
      <c r="CV179" s="174"/>
      <c r="CW179" s="174"/>
      <c r="CX179" s="174"/>
      <c r="CY179" s="174"/>
      <c r="CZ179" s="174"/>
      <c r="DA179" s="174"/>
      <c r="DB179" s="174"/>
      <c r="DC179" s="174"/>
      <c r="DD179" s="174"/>
      <c r="DE179" s="174"/>
      <c r="DF179" s="174"/>
      <c r="DG179" s="174"/>
      <c r="DH179" s="174"/>
      <c r="DI179" s="174"/>
      <c r="DJ179" s="174"/>
      <c r="DK179" s="174"/>
      <c r="DL179" s="174"/>
      <c r="DM179" s="174"/>
      <c r="DN179" s="174"/>
      <c r="DO179" s="174"/>
      <c r="DP179" s="174"/>
      <c r="DQ179" s="174"/>
      <c r="DR179" s="174"/>
      <c r="DS179" s="174"/>
      <c r="DT179" s="174"/>
      <c r="DU179" s="174"/>
      <c r="DV179" s="174"/>
      <c r="DW179" s="174"/>
      <c r="DX179" s="174"/>
      <c r="DY179" s="174"/>
      <c r="DZ179" s="174"/>
      <c r="EA179" s="174"/>
      <c r="EB179" s="174"/>
      <c r="EC179" s="174"/>
      <c r="ED179" s="174"/>
      <c r="EE179" s="174"/>
      <c r="EF179" s="174"/>
      <c r="EG179" s="174"/>
      <c r="EH179" s="174"/>
      <c r="EI179" s="174"/>
      <c r="EJ179" s="174"/>
      <c r="EK179" s="174"/>
      <c r="EL179" s="174"/>
      <c r="EM179" s="174"/>
      <c r="EN179" s="174"/>
      <c r="EO179" s="174"/>
      <c r="EP179" s="174"/>
      <c r="EQ179" s="174"/>
      <c r="ER179" s="174"/>
      <c r="ES179" s="174"/>
      <c r="ET179" s="174"/>
      <c r="EU179" s="174"/>
      <c r="EV179" s="174"/>
      <c r="EW179" s="174"/>
      <c r="EX179" s="174"/>
      <c r="EY179" s="174"/>
      <c r="EZ179" s="174"/>
      <c r="FA179" s="174"/>
      <c r="FB179" s="174"/>
      <c r="FC179" s="174"/>
      <c r="FD179" s="174"/>
      <c r="FE179" s="174"/>
      <c r="FF179" s="174"/>
      <c r="FG179" s="174"/>
      <c r="FH179" s="174"/>
      <c r="FI179" s="174"/>
      <c r="FJ179" s="174"/>
      <c r="FK179" s="174"/>
      <c r="FL179" s="174"/>
      <c r="FM179" s="174"/>
      <c r="FN179" s="174"/>
      <c r="FO179" s="174"/>
      <c r="FP179" s="174"/>
      <c r="FQ179" s="174"/>
      <c r="FR179" s="174"/>
      <c r="FS179" s="174"/>
      <c r="FT179" s="174"/>
      <c r="FU179" s="174"/>
      <c r="FV179" s="174"/>
      <c r="FW179" s="174"/>
      <c r="FX179" s="174"/>
      <c r="FY179" s="174"/>
      <c r="FZ179" s="174"/>
      <c r="GA179" s="174"/>
      <c r="GB179" s="174"/>
      <c r="GC179" s="174"/>
      <c r="GD179" s="174"/>
      <c r="GE179" s="174"/>
      <c r="GF179" s="174"/>
      <c r="GG179" s="174"/>
      <c r="GH179" s="174"/>
      <c r="GI179" s="174"/>
      <c r="GJ179" s="174"/>
      <c r="GK179" s="174"/>
      <c r="GL179" s="174"/>
      <c r="GM179" s="174"/>
      <c r="GN179" s="174"/>
      <c r="GO179" s="174"/>
      <c r="GP179" s="174"/>
      <c r="GQ179" s="174"/>
      <c r="GR179" s="174"/>
      <c r="GS179" s="174"/>
      <c r="GT179" s="174"/>
      <c r="GU179" s="174"/>
      <c r="GV179" s="174"/>
      <c r="GW179" s="174"/>
      <c r="GX179" s="174"/>
      <c r="GY179" s="174"/>
      <c r="GZ179" s="174"/>
      <c r="HA179" s="174"/>
      <c r="HB179" s="174"/>
      <c r="HC179" s="174"/>
      <c r="HD179" s="174"/>
      <c r="HE179" s="174"/>
      <c r="HF179" s="174"/>
      <c r="HG179" s="174"/>
      <c r="HH179" s="174"/>
      <c r="HI179" s="174"/>
      <c r="HJ179" s="174"/>
      <c r="HK179" s="174"/>
      <c r="HL179" s="174"/>
      <c r="HM179" s="174"/>
      <c r="HN179" s="174"/>
      <c r="HO179" s="174"/>
      <c r="HP179" s="174"/>
      <c r="HQ179" s="174"/>
      <c r="HR179" s="174"/>
      <c r="HS179" s="174"/>
      <c r="HT179" s="174"/>
      <c r="HU179" s="174"/>
      <c r="HV179" s="174"/>
      <c r="HW179" s="174"/>
      <c r="HX179" s="174"/>
      <c r="HY179" s="174"/>
      <c r="HZ179" s="174"/>
      <c r="IA179" s="174"/>
      <c r="IB179" s="174"/>
      <c r="IC179" s="174"/>
      <c r="ID179" s="174"/>
      <c r="IE179" s="174"/>
      <c r="IF179" s="174"/>
      <c r="IG179" s="174"/>
      <c r="IH179" s="174"/>
      <c r="II179" s="174"/>
      <c r="IJ179" s="174"/>
      <c r="IK179" s="174"/>
      <c r="IL179" s="174"/>
      <c r="IM179" s="174"/>
      <c r="IN179" s="174"/>
      <c r="IO179" s="174"/>
      <c r="IP179" s="174"/>
      <c r="IQ179" s="174"/>
      <c r="IR179" s="174"/>
      <c r="IS179" s="174"/>
      <c r="IT179" s="174"/>
      <c r="IU179" s="75"/>
      <c r="IV179" s="75"/>
      <c r="IW179" s="75"/>
      <c r="IX179" s="75"/>
      <c r="IY179" s="75"/>
      <c r="IZ179" s="75"/>
      <c r="JA179" s="75"/>
      <c r="JB179" s="75"/>
      <c r="JC179" s="75"/>
      <c r="JD179" s="75"/>
      <c r="JF179" s="710"/>
      <c r="JG179" s="710"/>
      <c r="JH179" s="178">
        <f t="shared" si="11"/>
        <v>0</v>
      </c>
      <c r="JI179" s="174">
        <f t="shared" si="12"/>
        <v>0</v>
      </c>
    </row>
    <row r="180" spans="2:269" ht="15" customHeight="1" x14ac:dyDescent="0.25">
      <c r="B180" s="113">
        <v>177</v>
      </c>
      <c r="C180" s="353" t="str">
        <f t="shared" si="15"/>
        <v/>
      </c>
      <c r="D180" s="353" t="str">
        <f t="shared" si="16"/>
        <v/>
      </c>
      <c r="E180" s="174"/>
      <c r="F180" s="174"/>
      <c r="G180" s="174"/>
      <c r="H180" s="174"/>
      <c r="I180" s="174"/>
      <c r="J180" s="174"/>
      <c r="K180" s="174"/>
      <c r="L180" s="174"/>
      <c r="M180" s="174"/>
      <c r="N180" s="174"/>
      <c r="O180" s="174"/>
      <c r="P180" s="174"/>
      <c r="Q180" s="174"/>
      <c r="R180" s="174"/>
      <c r="S180" s="174"/>
      <c r="T180" s="174"/>
      <c r="U180" s="174"/>
      <c r="V180" s="174"/>
      <c r="W180" s="174"/>
      <c r="X180" s="174"/>
      <c r="Y180" s="174"/>
      <c r="Z180" s="174"/>
      <c r="AA180" s="174"/>
      <c r="AB180" s="174"/>
      <c r="AC180" s="174"/>
      <c r="AD180" s="174"/>
      <c r="AE180" s="174"/>
      <c r="AF180" s="174"/>
      <c r="AG180" s="174"/>
      <c r="AH180" s="174"/>
      <c r="AI180" s="174"/>
      <c r="AJ180" s="174"/>
      <c r="AK180" s="174"/>
      <c r="AL180" s="174"/>
      <c r="AM180" s="174"/>
      <c r="AN180" s="174"/>
      <c r="AO180" s="174"/>
      <c r="AP180" s="174"/>
      <c r="AQ180" s="174"/>
      <c r="AR180" s="174"/>
      <c r="AS180" s="174"/>
      <c r="AT180" s="174"/>
      <c r="AU180" s="174"/>
      <c r="AV180" s="174"/>
      <c r="AW180" s="174"/>
      <c r="AX180" s="174"/>
      <c r="AY180" s="174"/>
      <c r="AZ180" s="174"/>
      <c r="BA180" s="174"/>
      <c r="BB180" s="174"/>
      <c r="BC180" s="174"/>
      <c r="BD180" s="174"/>
      <c r="BE180" s="174"/>
      <c r="BF180" s="174"/>
      <c r="BG180" s="174"/>
      <c r="BH180" s="174"/>
      <c r="BI180" s="174"/>
      <c r="BJ180" s="174"/>
      <c r="BK180" s="174"/>
      <c r="BL180" s="174"/>
      <c r="BM180" s="174"/>
      <c r="BN180" s="174"/>
      <c r="BO180" s="174"/>
      <c r="BP180" s="174"/>
      <c r="BQ180" s="174"/>
      <c r="BR180" s="174"/>
      <c r="BS180" s="174"/>
      <c r="BT180" s="174"/>
      <c r="BU180" s="174"/>
      <c r="BV180" s="174"/>
      <c r="BW180" s="174"/>
      <c r="BX180" s="174"/>
      <c r="BY180" s="174"/>
      <c r="BZ180" s="174"/>
      <c r="CA180" s="174"/>
      <c r="CB180" s="174"/>
      <c r="CC180" s="174"/>
      <c r="CD180" s="174"/>
      <c r="CE180" s="174"/>
      <c r="CF180" s="174"/>
      <c r="CG180" s="174"/>
      <c r="CH180" s="174"/>
      <c r="CI180" s="174"/>
      <c r="CJ180" s="174"/>
      <c r="CK180" s="174"/>
      <c r="CL180" s="174"/>
      <c r="CM180" s="174"/>
      <c r="CN180" s="174"/>
      <c r="CO180" s="174"/>
      <c r="CP180" s="174"/>
      <c r="CQ180" s="174"/>
      <c r="CR180" s="174"/>
      <c r="CS180" s="174"/>
      <c r="CT180" s="174"/>
      <c r="CU180" s="174"/>
      <c r="CV180" s="174"/>
      <c r="CW180" s="174"/>
      <c r="CX180" s="174"/>
      <c r="CY180" s="174"/>
      <c r="CZ180" s="174"/>
      <c r="DA180" s="174"/>
      <c r="DB180" s="174"/>
      <c r="DC180" s="174"/>
      <c r="DD180" s="174"/>
      <c r="DE180" s="174"/>
      <c r="DF180" s="174"/>
      <c r="DG180" s="174"/>
      <c r="DH180" s="174"/>
      <c r="DI180" s="174"/>
      <c r="DJ180" s="174"/>
      <c r="DK180" s="174"/>
      <c r="DL180" s="174"/>
      <c r="DM180" s="174"/>
      <c r="DN180" s="174"/>
      <c r="DO180" s="174"/>
      <c r="DP180" s="174"/>
      <c r="DQ180" s="174"/>
      <c r="DR180" s="174"/>
      <c r="DS180" s="174"/>
      <c r="DT180" s="174"/>
      <c r="DU180" s="174"/>
      <c r="DV180" s="174"/>
      <c r="DW180" s="174"/>
      <c r="DX180" s="174"/>
      <c r="DY180" s="174"/>
      <c r="DZ180" s="174"/>
      <c r="EA180" s="174"/>
      <c r="EB180" s="174"/>
      <c r="EC180" s="174"/>
      <c r="ED180" s="174"/>
      <c r="EE180" s="174"/>
      <c r="EF180" s="174"/>
      <c r="EG180" s="174"/>
      <c r="EH180" s="174"/>
      <c r="EI180" s="174"/>
      <c r="EJ180" s="174"/>
      <c r="EK180" s="174"/>
      <c r="EL180" s="174"/>
      <c r="EM180" s="174"/>
      <c r="EN180" s="174"/>
      <c r="EO180" s="174"/>
      <c r="EP180" s="174"/>
      <c r="EQ180" s="174"/>
      <c r="ER180" s="174"/>
      <c r="ES180" s="174"/>
      <c r="ET180" s="174"/>
      <c r="EU180" s="174"/>
      <c r="EV180" s="174"/>
      <c r="EW180" s="174"/>
      <c r="EX180" s="174"/>
      <c r="EY180" s="174"/>
      <c r="EZ180" s="174"/>
      <c r="FA180" s="174"/>
      <c r="FB180" s="174"/>
      <c r="FC180" s="174"/>
      <c r="FD180" s="174"/>
      <c r="FE180" s="174"/>
      <c r="FF180" s="174"/>
      <c r="FG180" s="174"/>
      <c r="FH180" s="174"/>
      <c r="FI180" s="174"/>
      <c r="FJ180" s="174"/>
      <c r="FK180" s="174"/>
      <c r="FL180" s="174"/>
      <c r="FM180" s="174"/>
      <c r="FN180" s="174"/>
      <c r="FO180" s="174"/>
      <c r="FP180" s="174"/>
      <c r="FQ180" s="174"/>
      <c r="FR180" s="174"/>
      <c r="FS180" s="174"/>
      <c r="FT180" s="174"/>
      <c r="FU180" s="174"/>
      <c r="FV180" s="174"/>
      <c r="FW180" s="174"/>
      <c r="FX180" s="174"/>
      <c r="FY180" s="174"/>
      <c r="FZ180" s="174"/>
      <c r="GA180" s="174"/>
      <c r="GB180" s="174"/>
      <c r="GC180" s="174"/>
      <c r="GD180" s="174"/>
      <c r="GE180" s="174"/>
      <c r="GF180" s="174"/>
      <c r="GG180" s="174"/>
      <c r="GH180" s="174"/>
      <c r="GI180" s="174"/>
      <c r="GJ180" s="174"/>
      <c r="GK180" s="174"/>
      <c r="GL180" s="174"/>
      <c r="GM180" s="174"/>
      <c r="GN180" s="174"/>
      <c r="GO180" s="174"/>
      <c r="GP180" s="174"/>
      <c r="GQ180" s="174"/>
      <c r="GR180" s="174"/>
      <c r="GS180" s="174"/>
      <c r="GT180" s="174"/>
      <c r="GU180" s="174"/>
      <c r="GV180" s="174"/>
      <c r="GW180" s="174"/>
      <c r="GX180" s="174"/>
      <c r="GY180" s="174"/>
      <c r="GZ180" s="174"/>
      <c r="HA180" s="174"/>
      <c r="HB180" s="174"/>
      <c r="HC180" s="174"/>
      <c r="HD180" s="174"/>
      <c r="HE180" s="174"/>
      <c r="HF180" s="174"/>
      <c r="HG180" s="174"/>
      <c r="HH180" s="174"/>
      <c r="HI180" s="174"/>
      <c r="HJ180" s="174"/>
      <c r="HK180" s="174"/>
      <c r="HL180" s="174"/>
      <c r="HM180" s="174"/>
      <c r="HN180" s="174"/>
      <c r="HO180" s="174"/>
      <c r="HP180" s="174"/>
      <c r="HQ180" s="174"/>
      <c r="HR180" s="174"/>
      <c r="HS180" s="174"/>
      <c r="HT180" s="174"/>
      <c r="HU180" s="174"/>
      <c r="HV180" s="174"/>
      <c r="HW180" s="174"/>
      <c r="HX180" s="174"/>
      <c r="HY180" s="174"/>
      <c r="HZ180" s="174"/>
      <c r="IA180" s="174"/>
      <c r="IB180" s="174"/>
      <c r="IC180" s="174"/>
      <c r="ID180" s="174"/>
      <c r="IE180" s="174"/>
      <c r="IF180" s="174"/>
      <c r="IG180" s="174"/>
      <c r="IH180" s="174"/>
      <c r="II180" s="174"/>
      <c r="IJ180" s="174"/>
      <c r="IK180" s="174"/>
      <c r="IL180" s="174"/>
      <c r="IM180" s="174"/>
      <c r="IN180" s="174"/>
      <c r="IO180" s="174"/>
      <c r="IP180" s="174"/>
      <c r="IQ180" s="174"/>
      <c r="IR180" s="174"/>
      <c r="IS180" s="174"/>
      <c r="IT180" s="174"/>
      <c r="IU180" s="75"/>
      <c r="IV180" s="75"/>
      <c r="IW180" s="75"/>
      <c r="IX180" s="75"/>
      <c r="IY180" s="75"/>
      <c r="IZ180" s="75"/>
      <c r="JA180" s="75"/>
      <c r="JB180" s="75"/>
      <c r="JC180" s="75"/>
      <c r="JD180" s="75"/>
      <c r="JF180" s="710"/>
      <c r="JG180" s="710"/>
      <c r="JH180" s="178">
        <f t="shared" si="11"/>
        <v>0</v>
      </c>
      <c r="JI180" s="174">
        <f t="shared" si="12"/>
        <v>0</v>
      </c>
    </row>
    <row r="181" spans="2:269" ht="15" customHeight="1" x14ac:dyDescent="0.25">
      <c r="B181" s="113">
        <v>178</v>
      </c>
      <c r="C181" s="353" t="str">
        <f t="shared" si="15"/>
        <v/>
      </c>
      <c r="D181" s="353" t="str">
        <f t="shared" si="16"/>
        <v/>
      </c>
      <c r="E181" s="174"/>
      <c r="F181" s="174"/>
      <c r="G181" s="174"/>
      <c r="H181" s="174"/>
      <c r="I181" s="174"/>
      <c r="J181" s="174"/>
      <c r="K181" s="174"/>
      <c r="L181" s="174"/>
      <c r="M181" s="174"/>
      <c r="N181" s="174"/>
      <c r="O181" s="174"/>
      <c r="P181" s="174"/>
      <c r="Q181" s="174"/>
      <c r="R181" s="174"/>
      <c r="S181" s="174"/>
      <c r="T181" s="174"/>
      <c r="U181" s="174"/>
      <c r="V181" s="174"/>
      <c r="W181" s="174"/>
      <c r="X181" s="174"/>
      <c r="Y181" s="174"/>
      <c r="Z181" s="174"/>
      <c r="AA181" s="174"/>
      <c r="AB181" s="174"/>
      <c r="AC181" s="174"/>
      <c r="AD181" s="174"/>
      <c r="AE181" s="174"/>
      <c r="AF181" s="174"/>
      <c r="AG181" s="174"/>
      <c r="AH181" s="174"/>
      <c r="AI181" s="174"/>
      <c r="AJ181" s="174"/>
      <c r="AK181" s="174"/>
      <c r="AL181" s="174"/>
      <c r="AM181" s="174"/>
      <c r="AN181" s="174"/>
      <c r="AO181" s="174"/>
      <c r="AP181" s="174"/>
      <c r="AQ181" s="174"/>
      <c r="AR181" s="174"/>
      <c r="AS181" s="174"/>
      <c r="AT181" s="174"/>
      <c r="AU181" s="174"/>
      <c r="AV181" s="174"/>
      <c r="AW181" s="174"/>
      <c r="AX181" s="174"/>
      <c r="AY181" s="174"/>
      <c r="AZ181" s="174"/>
      <c r="BA181" s="174"/>
      <c r="BB181" s="174"/>
      <c r="BC181" s="174"/>
      <c r="BD181" s="174"/>
      <c r="BE181" s="174"/>
      <c r="BF181" s="174"/>
      <c r="BG181" s="174"/>
      <c r="BH181" s="174"/>
      <c r="BI181" s="174"/>
      <c r="BJ181" s="174"/>
      <c r="BK181" s="174"/>
      <c r="BL181" s="174"/>
      <c r="BM181" s="174"/>
      <c r="BN181" s="174"/>
      <c r="BO181" s="174"/>
      <c r="BP181" s="174"/>
      <c r="BQ181" s="174"/>
      <c r="BR181" s="174"/>
      <c r="BS181" s="174"/>
      <c r="BT181" s="174"/>
      <c r="BU181" s="174"/>
      <c r="BV181" s="174"/>
      <c r="BW181" s="174"/>
      <c r="BX181" s="174"/>
      <c r="BY181" s="174"/>
      <c r="BZ181" s="174"/>
      <c r="CA181" s="174"/>
      <c r="CB181" s="174"/>
      <c r="CC181" s="174"/>
      <c r="CD181" s="174"/>
      <c r="CE181" s="174"/>
      <c r="CF181" s="174"/>
      <c r="CG181" s="174"/>
      <c r="CH181" s="174"/>
      <c r="CI181" s="174"/>
      <c r="CJ181" s="174"/>
      <c r="CK181" s="174"/>
      <c r="CL181" s="174"/>
      <c r="CM181" s="174"/>
      <c r="CN181" s="174"/>
      <c r="CO181" s="174"/>
      <c r="CP181" s="174"/>
      <c r="CQ181" s="174"/>
      <c r="CR181" s="174"/>
      <c r="CS181" s="174"/>
      <c r="CT181" s="174"/>
      <c r="CU181" s="174"/>
      <c r="CV181" s="174"/>
      <c r="CW181" s="174"/>
      <c r="CX181" s="174"/>
      <c r="CY181" s="174"/>
      <c r="CZ181" s="174"/>
      <c r="DA181" s="174"/>
      <c r="DB181" s="174"/>
      <c r="DC181" s="174"/>
      <c r="DD181" s="174"/>
      <c r="DE181" s="174"/>
      <c r="DF181" s="174"/>
      <c r="DG181" s="174"/>
      <c r="DH181" s="174"/>
      <c r="DI181" s="174"/>
      <c r="DJ181" s="174"/>
      <c r="DK181" s="174"/>
      <c r="DL181" s="174"/>
      <c r="DM181" s="174"/>
      <c r="DN181" s="174"/>
      <c r="DO181" s="174"/>
      <c r="DP181" s="174"/>
      <c r="DQ181" s="174"/>
      <c r="DR181" s="174"/>
      <c r="DS181" s="174"/>
      <c r="DT181" s="174"/>
      <c r="DU181" s="174"/>
      <c r="DV181" s="174"/>
      <c r="DW181" s="174"/>
      <c r="DX181" s="174"/>
      <c r="DY181" s="174"/>
      <c r="DZ181" s="174"/>
      <c r="EA181" s="174"/>
      <c r="EB181" s="174"/>
      <c r="EC181" s="174"/>
      <c r="ED181" s="174"/>
      <c r="EE181" s="174"/>
      <c r="EF181" s="174"/>
      <c r="EG181" s="174"/>
      <c r="EH181" s="174"/>
      <c r="EI181" s="174"/>
      <c r="EJ181" s="174"/>
      <c r="EK181" s="174"/>
      <c r="EL181" s="174"/>
      <c r="EM181" s="174"/>
      <c r="EN181" s="174"/>
      <c r="EO181" s="174"/>
      <c r="EP181" s="174"/>
      <c r="EQ181" s="174"/>
      <c r="ER181" s="174"/>
      <c r="ES181" s="174"/>
      <c r="ET181" s="174"/>
      <c r="EU181" s="174"/>
      <c r="EV181" s="174"/>
      <c r="EW181" s="174"/>
      <c r="EX181" s="174"/>
      <c r="EY181" s="174"/>
      <c r="EZ181" s="174"/>
      <c r="FA181" s="174"/>
      <c r="FB181" s="174"/>
      <c r="FC181" s="174"/>
      <c r="FD181" s="174"/>
      <c r="FE181" s="174"/>
      <c r="FF181" s="174"/>
      <c r="FG181" s="174"/>
      <c r="FH181" s="174"/>
      <c r="FI181" s="174"/>
      <c r="FJ181" s="174"/>
      <c r="FK181" s="174"/>
      <c r="FL181" s="174"/>
      <c r="FM181" s="174"/>
      <c r="FN181" s="174"/>
      <c r="FO181" s="174"/>
      <c r="FP181" s="174"/>
      <c r="FQ181" s="174"/>
      <c r="FR181" s="174"/>
      <c r="FS181" s="174"/>
      <c r="FT181" s="174"/>
      <c r="FU181" s="174"/>
      <c r="FV181" s="174"/>
      <c r="FW181" s="174"/>
      <c r="FX181" s="174"/>
      <c r="FY181" s="174"/>
      <c r="FZ181" s="174"/>
      <c r="GA181" s="174"/>
      <c r="GB181" s="174"/>
      <c r="GC181" s="174"/>
      <c r="GD181" s="174"/>
      <c r="GE181" s="174"/>
      <c r="GF181" s="174"/>
      <c r="GG181" s="174"/>
      <c r="GH181" s="174"/>
      <c r="GI181" s="174"/>
      <c r="GJ181" s="174"/>
      <c r="GK181" s="174"/>
      <c r="GL181" s="174"/>
      <c r="GM181" s="174"/>
      <c r="GN181" s="174"/>
      <c r="GO181" s="174"/>
      <c r="GP181" s="174"/>
      <c r="GQ181" s="174"/>
      <c r="GR181" s="174"/>
      <c r="GS181" s="174"/>
      <c r="GT181" s="174"/>
      <c r="GU181" s="174"/>
      <c r="GV181" s="174"/>
      <c r="GW181" s="174"/>
      <c r="GX181" s="174"/>
      <c r="GY181" s="174"/>
      <c r="GZ181" s="174"/>
      <c r="HA181" s="174"/>
      <c r="HB181" s="174"/>
      <c r="HC181" s="174"/>
      <c r="HD181" s="174"/>
      <c r="HE181" s="174"/>
      <c r="HF181" s="174"/>
      <c r="HG181" s="174"/>
      <c r="HH181" s="174"/>
      <c r="HI181" s="174"/>
      <c r="HJ181" s="174"/>
      <c r="HK181" s="174"/>
      <c r="HL181" s="174"/>
      <c r="HM181" s="174"/>
      <c r="HN181" s="174"/>
      <c r="HO181" s="174"/>
      <c r="HP181" s="174"/>
      <c r="HQ181" s="174"/>
      <c r="HR181" s="174"/>
      <c r="HS181" s="174"/>
      <c r="HT181" s="174"/>
      <c r="HU181" s="174"/>
      <c r="HV181" s="174"/>
      <c r="HW181" s="174"/>
      <c r="HX181" s="174"/>
      <c r="HY181" s="174"/>
      <c r="HZ181" s="174"/>
      <c r="IA181" s="174"/>
      <c r="IB181" s="174"/>
      <c r="IC181" s="174"/>
      <c r="ID181" s="174"/>
      <c r="IE181" s="174"/>
      <c r="IF181" s="174"/>
      <c r="IG181" s="174"/>
      <c r="IH181" s="174"/>
      <c r="II181" s="174"/>
      <c r="IJ181" s="174"/>
      <c r="IK181" s="174"/>
      <c r="IL181" s="174"/>
      <c r="IM181" s="174"/>
      <c r="IN181" s="174"/>
      <c r="IO181" s="174"/>
      <c r="IP181" s="174"/>
      <c r="IQ181" s="174"/>
      <c r="IR181" s="174"/>
      <c r="IS181" s="174"/>
      <c r="IT181" s="174"/>
      <c r="IU181" s="75"/>
      <c r="IV181" s="75"/>
      <c r="IW181" s="75"/>
      <c r="IX181" s="75"/>
      <c r="IY181" s="75"/>
      <c r="IZ181" s="75"/>
      <c r="JA181" s="75"/>
      <c r="JB181" s="75"/>
      <c r="JC181" s="75"/>
      <c r="JD181" s="75"/>
      <c r="JF181" s="710"/>
      <c r="JG181" s="710"/>
      <c r="JH181" s="178">
        <f t="shared" si="11"/>
        <v>0</v>
      </c>
      <c r="JI181" s="174">
        <f t="shared" si="12"/>
        <v>0</v>
      </c>
    </row>
    <row r="182" spans="2:269" ht="15" customHeight="1" x14ac:dyDescent="0.25">
      <c r="B182" s="113">
        <v>179</v>
      </c>
      <c r="C182" s="353" t="str">
        <f t="shared" si="15"/>
        <v/>
      </c>
      <c r="D182" s="353" t="str">
        <f t="shared" si="16"/>
        <v/>
      </c>
      <c r="E182" s="174"/>
      <c r="F182" s="174"/>
      <c r="G182" s="174"/>
      <c r="H182" s="174"/>
      <c r="I182" s="174"/>
      <c r="J182" s="174"/>
      <c r="K182" s="174"/>
      <c r="L182" s="174"/>
      <c r="M182" s="174"/>
      <c r="N182" s="174"/>
      <c r="O182" s="174"/>
      <c r="P182" s="174"/>
      <c r="Q182" s="174"/>
      <c r="R182" s="174"/>
      <c r="S182" s="174"/>
      <c r="T182" s="174"/>
      <c r="U182" s="174"/>
      <c r="V182" s="174"/>
      <c r="W182" s="174"/>
      <c r="X182" s="174"/>
      <c r="Y182" s="174"/>
      <c r="Z182" s="174"/>
      <c r="AA182" s="174"/>
      <c r="AB182" s="174"/>
      <c r="AC182" s="174"/>
      <c r="AD182" s="174"/>
      <c r="AE182" s="174"/>
      <c r="AF182" s="174"/>
      <c r="AG182" s="174"/>
      <c r="AH182" s="174"/>
      <c r="AI182" s="174"/>
      <c r="AJ182" s="174"/>
      <c r="AK182" s="174"/>
      <c r="AL182" s="174"/>
      <c r="AM182" s="174"/>
      <c r="AN182" s="174"/>
      <c r="AO182" s="174"/>
      <c r="AP182" s="174"/>
      <c r="AQ182" s="174"/>
      <c r="AR182" s="174"/>
      <c r="AS182" s="174"/>
      <c r="AT182" s="174"/>
      <c r="AU182" s="174"/>
      <c r="AV182" s="174"/>
      <c r="AW182" s="174"/>
      <c r="AX182" s="174"/>
      <c r="AY182" s="174"/>
      <c r="AZ182" s="174"/>
      <c r="BA182" s="174"/>
      <c r="BB182" s="174"/>
      <c r="BC182" s="174"/>
      <c r="BD182" s="174"/>
      <c r="BE182" s="174"/>
      <c r="BF182" s="174"/>
      <c r="BG182" s="174"/>
      <c r="BH182" s="174"/>
      <c r="BI182" s="174"/>
      <c r="BJ182" s="174"/>
      <c r="BK182" s="174"/>
      <c r="BL182" s="174"/>
      <c r="BM182" s="174"/>
      <c r="BN182" s="174"/>
      <c r="BO182" s="174"/>
      <c r="BP182" s="174"/>
      <c r="BQ182" s="174"/>
      <c r="BR182" s="174"/>
      <c r="BS182" s="174"/>
      <c r="BT182" s="174"/>
      <c r="BU182" s="174"/>
      <c r="BV182" s="174"/>
      <c r="BW182" s="174"/>
      <c r="BX182" s="174"/>
      <c r="BY182" s="174"/>
      <c r="BZ182" s="174"/>
      <c r="CA182" s="174"/>
      <c r="CB182" s="174"/>
      <c r="CC182" s="174"/>
      <c r="CD182" s="174"/>
      <c r="CE182" s="174"/>
      <c r="CF182" s="174"/>
      <c r="CG182" s="174"/>
      <c r="CH182" s="174"/>
      <c r="CI182" s="174"/>
      <c r="CJ182" s="174"/>
      <c r="CK182" s="174"/>
      <c r="CL182" s="174"/>
      <c r="CM182" s="174"/>
      <c r="CN182" s="174"/>
      <c r="CO182" s="174"/>
      <c r="CP182" s="174"/>
      <c r="CQ182" s="174"/>
      <c r="CR182" s="174"/>
      <c r="CS182" s="174"/>
      <c r="CT182" s="174"/>
      <c r="CU182" s="174"/>
      <c r="CV182" s="174"/>
      <c r="CW182" s="174"/>
      <c r="CX182" s="174"/>
      <c r="CY182" s="174"/>
      <c r="CZ182" s="174"/>
      <c r="DA182" s="174"/>
      <c r="DB182" s="174"/>
      <c r="DC182" s="174"/>
      <c r="DD182" s="174"/>
      <c r="DE182" s="174"/>
      <c r="DF182" s="174"/>
      <c r="DG182" s="174"/>
      <c r="DH182" s="174"/>
      <c r="DI182" s="174"/>
      <c r="DJ182" s="174"/>
      <c r="DK182" s="174"/>
      <c r="DL182" s="174"/>
      <c r="DM182" s="174"/>
      <c r="DN182" s="174"/>
      <c r="DO182" s="174"/>
      <c r="DP182" s="174"/>
      <c r="DQ182" s="174"/>
      <c r="DR182" s="174"/>
      <c r="DS182" s="174"/>
      <c r="DT182" s="174"/>
      <c r="DU182" s="174"/>
      <c r="DV182" s="174"/>
      <c r="DW182" s="174"/>
      <c r="DX182" s="174"/>
      <c r="DY182" s="174"/>
      <c r="DZ182" s="174"/>
      <c r="EA182" s="174"/>
      <c r="EB182" s="174"/>
      <c r="EC182" s="174"/>
      <c r="ED182" s="174"/>
      <c r="EE182" s="174"/>
      <c r="EF182" s="174"/>
      <c r="EG182" s="174"/>
      <c r="EH182" s="174"/>
      <c r="EI182" s="174"/>
      <c r="EJ182" s="174"/>
      <c r="EK182" s="174"/>
      <c r="EL182" s="174"/>
      <c r="EM182" s="174"/>
      <c r="EN182" s="174"/>
      <c r="EO182" s="174"/>
      <c r="EP182" s="174"/>
      <c r="EQ182" s="174"/>
      <c r="ER182" s="174"/>
      <c r="ES182" s="174"/>
      <c r="ET182" s="174"/>
      <c r="EU182" s="174"/>
      <c r="EV182" s="174"/>
      <c r="EW182" s="174"/>
      <c r="EX182" s="174"/>
      <c r="EY182" s="174"/>
      <c r="EZ182" s="174"/>
      <c r="FA182" s="174"/>
      <c r="FB182" s="174"/>
      <c r="FC182" s="174"/>
      <c r="FD182" s="174"/>
      <c r="FE182" s="174"/>
      <c r="FF182" s="174"/>
      <c r="FG182" s="174"/>
      <c r="FH182" s="174"/>
      <c r="FI182" s="174"/>
      <c r="FJ182" s="174"/>
      <c r="FK182" s="174"/>
      <c r="FL182" s="174"/>
      <c r="FM182" s="174"/>
      <c r="FN182" s="174"/>
      <c r="FO182" s="174"/>
      <c r="FP182" s="174"/>
      <c r="FQ182" s="174"/>
      <c r="FR182" s="174"/>
      <c r="FS182" s="174"/>
      <c r="FT182" s="174"/>
      <c r="FU182" s="174"/>
      <c r="FV182" s="174"/>
      <c r="FW182" s="174"/>
      <c r="FX182" s="174"/>
      <c r="FY182" s="174"/>
      <c r="FZ182" s="174"/>
      <c r="GA182" s="174"/>
      <c r="GB182" s="174"/>
      <c r="GC182" s="174"/>
      <c r="GD182" s="174"/>
      <c r="GE182" s="174"/>
      <c r="GF182" s="174"/>
      <c r="GG182" s="174"/>
      <c r="GH182" s="174"/>
      <c r="GI182" s="174"/>
      <c r="GJ182" s="174"/>
      <c r="GK182" s="174"/>
      <c r="GL182" s="174"/>
      <c r="GM182" s="174"/>
      <c r="GN182" s="174"/>
      <c r="GO182" s="174"/>
      <c r="GP182" s="174"/>
      <c r="GQ182" s="174"/>
      <c r="GR182" s="174"/>
      <c r="GS182" s="174"/>
      <c r="GT182" s="174"/>
      <c r="GU182" s="174"/>
      <c r="GV182" s="174"/>
      <c r="GW182" s="174"/>
      <c r="GX182" s="174"/>
      <c r="GY182" s="174"/>
      <c r="GZ182" s="174"/>
      <c r="HA182" s="174"/>
      <c r="HB182" s="174"/>
      <c r="HC182" s="174"/>
      <c r="HD182" s="174"/>
      <c r="HE182" s="174"/>
      <c r="HF182" s="174"/>
      <c r="HG182" s="174"/>
      <c r="HH182" s="174"/>
      <c r="HI182" s="174"/>
      <c r="HJ182" s="174"/>
      <c r="HK182" s="174"/>
      <c r="HL182" s="174"/>
      <c r="HM182" s="174"/>
      <c r="HN182" s="174"/>
      <c r="HO182" s="174"/>
      <c r="HP182" s="174"/>
      <c r="HQ182" s="174"/>
      <c r="HR182" s="174"/>
      <c r="HS182" s="174"/>
      <c r="HT182" s="174"/>
      <c r="HU182" s="174"/>
      <c r="HV182" s="174"/>
      <c r="HW182" s="174"/>
      <c r="HX182" s="174"/>
      <c r="HY182" s="174"/>
      <c r="HZ182" s="174"/>
      <c r="IA182" s="174"/>
      <c r="IB182" s="174"/>
      <c r="IC182" s="174"/>
      <c r="ID182" s="174"/>
      <c r="IE182" s="174"/>
      <c r="IF182" s="174"/>
      <c r="IG182" s="174"/>
      <c r="IH182" s="174"/>
      <c r="II182" s="174"/>
      <c r="IJ182" s="174"/>
      <c r="IK182" s="174"/>
      <c r="IL182" s="174"/>
      <c r="IM182" s="174"/>
      <c r="IN182" s="174"/>
      <c r="IO182" s="174"/>
      <c r="IP182" s="174"/>
      <c r="IQ182" s="174"/>
      <c r="IR182" s="174"/>
      <c r="IS182" s="174"/>
      <c r="IT182" s="174"/>
      <c r="IU182" s="75"/>
      <c r="IV182" s="75"/>
      <c r="IW182" s="75"/>
      <c r="IX182" s="75"/>
      <c r="IY182" s="75"/>
      <c r="IZ182" s="75"/>
      <c r="JA182" s="75"/>
      <c r="JB182" s="75"/>
      <c r="JC182" s="75"/>
      <c r="JD182" s="75"/>
      <c r="JF182" s="710"/>
      <c r="JG182" s="710"/>
      <c r="JH182" s="178">
        <f t="shared" si="11"/>
        <v>0</v>
      </c>
      <c r="JI182" s="174">
        <f t="shared" si="12"/>
        <v>0</v>
      </c>
    </row>
    <row r="183" spans="2:269" ht="15" customHeight="1" x14ac:dyDescent="0.25">
      <c r="B183" s="113">
        <v>180</v>
      </c>
      <c r="C183" s="353" t="str">
        <f t="shared" si="15"/>
        <v/>
      </c>
      <c r="D183" s="353" t="str">
        <f t="shared" si="16"/>
        <v/>
      </c>
      <c r="E183" s="174"/>
      <c r="F183" s="174"/>
      <c r="G183" s="174"/>
      <c r="H183" s="174"/>
      <c r="I183" s="174"/>
      <c r="J183" s="174"/>
      <c r="K183" s="174"/>
      <c r="L183" s="174"/>
      <c r="M183" s="174"/>
      <c r="N183" s="174"/>
      <c r="O183" s="174"/>
      <c r="P183" s="174"/>
      <c r="Q183" s="174"/>
      <c r="R183" s="174"/>
      <c r="S183" s="174"/>
      <c r="T183" s="174"/>
      <c r="U183" s="174"/>
      <c r="V183" s="174"/>
      <c r="W183" s="174"/>
      <c r="X183" s="174"/>
      <c r="Y183" s="174"/>
      <c r="Z183" s="174"/>
      <c r="AA183" s="174"/>
      <c r="AB183" s="174"/>
      <c r="AC183" s="174"/>
      <c r="AD183" s="174"/>
      <c r="AE183" s="174"/>
      <c r="AF183" s="174"/>
      <c r="AG183" s="174"/>
      <c r="AH183" s="174"/>
      <c r="AI183" s="174"/>
      <c r="AJ183" s="174"/>
      <c r="AK183" s="174"/>
      <c r="AL183" s="174"/>
      <c r="AM183" s="174"/>
      <c r="AN183" s="174"/>
      <c r="AO183" s="174"/>
      <c r="AP183" s="174"/>
      <c r="AQ183" s="174"/>
      <c r="AR183" s="174"/>
      <c r="AS183" s="174"/>
      <c r="AT183" s="174"/>
      <c r="AU183" s="174"/>
      <c r="AV183" s="174"/>
      <c r="AW183" s="174"/>
      <c r="AX183" s="174"/>
      <c r="AY183" s="174"/>
      <c r="AZ183" s="174"/>
      <c r="BA183" s="174"/>
      <c r="BB183" s="174"/>
      <c r="BC183" s="174"/>
      <c r="BD183" s="174"/>
      <c r="BE183" s="174"/>
      <c r="BF183" s="174"/>
      <c r="BG183" s="174"/>
      <c r="BH183" s="174"/>
      <c r="BI183" s="174"/>
      <c r="BJ183" s="174"/>
      <c r="BK183" s="174"/>
      <c r="BL183" s="174"/>
      <c r="BM183" s="174"/>
      <c r="BN183" s="174"/>
      <c r="BO183" s="174"/>
      <c r="BP183" s="174"/>
      <c r="BQ183" s="174"/>
      <c r="BR183" s="174"/>
      <c r="BS183" s="174"/>
      <c r="BT183" s="174"/>
      <c r="BU183" s="174"/>
      <c r="BV183" s="174"/>
      <c r="BW183" s="174"/>
      <c r="BX183" s="174"/>
      <c r="BY183" s="174"/>
      <c r="BZ183" s="174"/>
      <c r="CA183" s="174"/>
      <c r="CB183" s="174"/>
      <c r="CC183" s="174"/>
      <c r="CD183" s="174"/>
      <c r="CE183" s="174"/>
      <c r="CF183" s="174"/>
      <c r="CG183" s="174"/>
      <c r="CH183" s="174"/>
      <c r="CI183" s="174"/>
      <c r="CJ183" s="174"/>
      <c r="CK183" s="174"/>
      <c r="CL183" s="174"/>
      <c r="CM183" s="174"/>
      <c r="CN183" s="174"/>
      <c r="CO183" s="174"/>
      <c r="CP183" s="174"/>
      <c r="CQ183" s="174"/>
      <c r="CR183" s="174"/>
      <c r="CS183" s="174"/>
      <c r="CT183" s="174"/>
      <c r="CU183" s="174"/>
      <c r="CV183" s="174"/>
      <c r="CW183" s="174"/>
      <c r="CX183" s="174"/>
      <c r="CY183" s="174"/>
      <c r="CZ183" s="174"/>
      <c r="DA183" s="174"/>
      <c r="DB183" s="174"/>
      <c r="DC183" s="174"/>
      <c r="DD183" s="174"/>
      <c r="DE183" s="174"/>
      <c r="DF183" s="174"/>
      <c r="DG183" s="174"/>
      <c r="DH183" s="174"/>
      <c r="DI183" s="174"/>
      <c r="DJ183" s="174"/>
      <c r="DK183" s="174"/>
      <c r="DL183" s="174"/>
      <c r="DM183" s="174"/>
      <c r="DN183" s="174"/>
      <c r="DO183" s="174"/>
      <c r="DP183" s="174"/>
      <c r="DQ183" s="174"/>
      <c r="DR183" s="174"/>
      <c r="DS183" s="174"/>
      <c r="DT183" s="174"/>
      <c r="DU183" s="174"/>
      <c r="DV183" s="174"/>
      <c r="DW183" s="174"/>
      <c r="DX183" s="174"/>
      <c r="DY183" s="174"/>
      <c r="DZ183" s="174"/>
      <c r="EA183" s="174"/>
      <c r="EB183" s="174"/>
      <c r="EC183" s="174"/>
      <c r="ED183" s="174"/>
      <c r="EE183" s="174"/>
      <c r="EF183" s="174"/>
      <c r="EG183" s="174"/>
      <c r="EH183" s="174"/>
      <c r="EI183" s="174"/>
      <c r="EJ183" s="174"/>
      <c r="EK183" s="174"/>
      <c r="EL183" s="174"/>
      <c r="EM183" s="174"/>
      <c r="EN183" s="174"/>
      <c r="EO183" s="174"/>
      <c r="EP183" s="174"/>
      <c r="EQ183" s="174"/>
      <c r="ER183" s="174"/>
      <c r="ES183" s="174"/>
      <c r="ET183" s="174"/>
      <c r="EU183" s="174"/>
      <c r="EV183" s="174"/>
      <c r="EW183" s="174"/>
      <c r="EX183" s="174"/>
      <c r="EY183" s="174"/>
      <c r="EZ183" s="174"/>
      <c r="FA183" s="174"/>
      <c r="FB183" s="174"/>
      <c r="FC183" s="174"/>
      <c r="FD183" s="174"/>
      <c r="FE183" s="174"/>
      <c r="FF183" s="174"/>
      <c r="FG183" s="174"/>
      <c r="FH183" s="174"/>
      <c r="FI183" s="174"/>
      <c r="FJ183" s="174"/>
      <c r="FK183" s="174"/>
      <c r="FL183" s="174"/>
      <c r="FM183" s="174"/>
      <c r="FN183" s="174"/>
      <c r="FO183" s="174"/>
      <c r="FP183" s="174"/>
      <c r="FQ183" s="174"/>
      <c r="FR183" s="174"/>
      <c r="FS183" s="174"/>
      <c r="FT183" s="174"/>
      <c r="FU183" s="174"/>
      <c r="FV183" s="174"/>
      <c r="FW183" s="174"/>
      <c r="FX183" s="174"/>
      <c r="FY183" s="174"/>
      <c r="FZ183" s="174"/>
      <c r="GA183" s="174"/>
      <c r="GB183" s="174"/>
      <c r="GC183" s="174"/>
      <c r="GD183" s="174"/>
      <c r="GE183" s="174"/>
      <c r="GF183" s="174"/>
      <c r="GG183" s="174"/>
      <c r="GH183" s="174"/>
      <c r="GI183" s="174"/>
      <c r="GJ183" s="174"/>
      <c r="GK183" s="174"/>
      <c r="GL183" s="174"/>
      <c r="GM183" s="174"/>
      <c r="GN183" s="174"/>
      <c r="GO183" s="174"/>
      <c r="GP183" s="174"/>
      <c r="GQ183" s="174"/>
      <c r="GR183" s="174"/>
      <c r="GS183" s="174"/>
      <c r="GT183" s="174"/>
      <c r="GU183" s="174"/>
      <c r="GV183" s="174"/>
      <c r="GW183" s="174"/>
      <c r="GX183" s="174"/>
      <c r="GY183" s="174"/>
      <c r="GZ183" s="174"/>
      <c r="HA183" s="174"/>
      <c r="HB183" s="174"/>
      <c r="HC183" s="174"/>
      <c r="HD183" s="174"/>
      <c r="HE183" s="174"/>
      <c r="HF183" s="174"/>
      <c r="HG183" s="174"/>
      <c r="HH183" s="174"/>
      <c r="HI183" s="174"/>
      <c r="HJ183" s="174"/>
      <c r="HK183" s="174"/>
      <c r="HL183" s="174"/>
      <c r="HM183" s="174"/>
      <c r="HN183" s="174"/>
      <c r="HO183" s="174"/>
      <c r="HP183" s="174"/>
      <c r="HQ183" s="174"/>
      <c r="HR183" s="174"/>
      <c r="HS183" s="174"/>
      <c r="HT183" s="174"/>
      <c r="HU183" s="174"/>
      <c r="HV183" s="174"/>
      <c r="HW183" s="174"/>
      <c r="HX183" s="174"/>
      <c r="HY183" s="174"/>
      <c r="HZ183" s="174"/>
      <c r="IA183" s="174"/>
      <c r="IB183" s="174"/>
      <c r="IC183" s="174"/>
      <c r="ID183" s="174"/>
      <c r="IE183" s="174"/>
      <c r="IF183" s="174"/>
      <c r="IG183" s="174"/>
      <c r="IH183" s="174"/>
      <c r="II183" s="174"/>
      <c r="IJ183" s="174"/>
      <c r="IK183" s="174"/>
      <c r="IL183" s="174"/>
      <c r="IM183" s="174"/>
      <c r="IN183" s="174"/>
      <c r="IO183" s="174"/>
      <c r="IP183" s="174"/>
      <c r="IQ183" s="174"/>
      <c r="IR183" s="174"/>
      <c r="IS183" s="174"/>
      <c r="IT183" s="174"/>
      <c r="IU183" s="75"/>
      <c r="IV183" s="75"/>
      <c r="IW183" s="75"/>
      <c r="IX183" s="75"/>
      <c r="IY183" s="75"/>
      <c r="IZ183" s="75"/>
      <c r="JA183" s="75"/>
      <c r="JB183" s="75"/>
      <c r="JC183" s="75"/>
      <c r="JD183" s="75"/>
      <c r="JF183" s="710"/>
      <c r="JG183" s="710"/>
      <c r="JH183" s="178">
        <f t="shared" si="11"/>
        <v>0</v>
      </c>
      <c r="JI183" s="174">
        <f t="shared" si="12"/>
        <v>0</v>
      </c>
    </row>
    <row r="184" spans="2:269" ht="15" customHeight="1" x14ac:dyDescent="0.25">
      <c r="B184" s="113">
        <v>181</v>
      </c>
      <c r="C184" s="353" t="str">
        <f t="shared" si="15"/>
        <v/>
      </c>
      <c r="D184" s="353" t="str">
        <f t="shared" si="16"/>
        <v/>
      </c>
      <c r="E184" s="174"/>
      <c r="F184" s="174"/>
      <c r="G184" s="174"/>
      <c r="H184" s="174"/>
      <c r="I184" s="174"/>
      <c r="J184" s="174"/>
      <c r="K184" s="174"/>
      <c r="L184" s="174"/>
      <c r="M184" s="174"/>
      <c r="N184" s="174"/>
      <c r="O184" s="174"/>
      <c r="P184" s="174"/>
      <c r="Q184" s="174"/>
      <c r="R184" s="174"/>
      <c r="S184" s="174"/>
      <c r="T184" s="174"/>
      <c r="U184" s="174"/>
      <c r="V184" s="174"/>
      <c r="W184" s="174"/>
      <c r="X184" s="174"/>
      <c r="Y184" s="174"/>
      <c r="Z184" s="174"/>
      <c r="AA184" s="174"/>
      <c r="AB184" s="174"/>
      <c r="AC184" s="174"/>
      <c r="AD184" s="174"/>
      <c r="AE184" s="174"/>
      <c r="AF184" s="174"/>
      <c r="AG184" s="174"/>
      <c r="AH184" s="174"/>
      <c r="AI184" s="174"/>
      <c r="AJ184" s="174"/>
      <c r="AK184" s="174"/>
      <c r="AL184" s="174"/>
      <c r="AM184" s="174"/>
      <c r="AN184" s="174"/>
      <c r="AO184" s="174"/>
      <c r="AP184" s="174"/>
      <c r="AQ184" s="174"/>
      <c r="AR184" s="174"/>
      <c r="AS184" s="174"/>
      <c r="AT184" s="174"/>
      <c r="AU184" s="174"/>
      <c r="AV184" s="174"/>
      <c r="AW184" s="174"/>
      <c r="AX184" s="174"/>
      <c r="AY184" s="174"/>
      <c r="AZ184" s="174"/>
      <c r="BA184" s="174"/>
      <c r="BB184" s="174"/>
      <c r="BC184" s="174"/>
      <c r="BD184" s="174"/>
      <c r="BE184" s="174"/>
      <c r="BF184" s="174"/>
      <c r="BG184" s="174"/>
      <c r="BH184" s="174"/>
      <c r="BI184" s="174"/>
      <c r="BJ184" s="174"/>
      <c r="BK184" s="174"/>
      <c r="BL184" s="174"/>
      <c r="BM184" s="174"/>
      <c r="BN184" s="174"/>
      <c r="BO184" s="174"/>
      <c r="BP184" s="174"/>
      <c r="BQ184" s="174"/>
      <c r="BR184" s="174"/>
      <c r="BS184" s="174"/>
      <c r="BT184" s="174"/>
      <c r="BU184" s="174"/>
      <c r="BV184" s="174"/>
      <c r="BW184" s="174"/>
      <c r="BX184" s="174"/>
      <c r="BY184" s="174"/>
      <c r="BZ184" s="174"/>
      <c r="CA184" s="174"/>
      <c r="CB184" s="174"/>
      <c r="CC184" s="174"/>
      <c r="CD184" s="174"/>
      <c r="CE184" s="174"/>
      <c r="CF184" s="174"/>
      <c r="CG184" s="174"/>
      <c r="CH184" s="174"/>
      <c r="CI184" s="174"/>
      <c r="CJ184" s="174"/>
      <c r="CK184" s="174"/>
      <c r="CL184" s="174"/>
      <c r="CM184" s="174"/>
      <c r="CN184" s="174"/>
      <c r="CO184" s="174"/>
      <c r="CP184" s="174"/>
      <c r="CQ184" s="174"/>
      <c r="CR184" s="174"/>
      <c r="CS184" s="174"/>
      <c r="CT184" s="174"/>
      <c r="CU184" s="174"/>
      <c r="CV184" s="174"/>
      <c r="CW184" s="174"/>
      <c r="CX184" s="174"/>
      <c r="CY184" s="174"/>
      <c r="CZ184" s="174"/>
      <c r="DA184" s="174"/>
      <c r="DB184" s="174"/>
      <c r="DC184" s="174"/>
      <c r="DD184" s="174"/>
      <c r="DE184" s="174"/>
      <c r="DF184" s="174"/>
      <c r="DG184" s="174"/>
      <c r="DH184" s="174"/>
      <c r="DI184" s="174"/>
      <c r="DJ184" s="174"/>
      <c r="DK184" s="174"/>
      <c r="DL184" s="174"/>
      <c r="DM184" s="174"/>
      <c r="DN184" s="174"/>
      <c r="DO184" s="174"/>
      <c r="DP184" s="174"/>
      <c r="DQ184" s="174"/>
      <c r="DR184" s="174"/>
      <c r="DS184" s="174"/>
      <c r="DT184" s="174"/>
      <c r="DU184" s="174"/>
      <c r="DV184" s="174"/>
      <c r="DW184" s="174"/>
      <c r="DX184" s="174"/>
      <c r="DY184" s="174"/>
      <c r="DZ184" s="174"/>
      <c r="EA184" s="174"/>
      <c r="EB184" s="174"/>
      <c r="EC184" s="174"/>
      <c r="ED184" s="174"/>
      <c r="EE184" s="174"/>
      <c r="EF184" s="174"/>
      <c r="EG184" s="174"/>
      <c r="EH184" s="174"/>
      <c r="EI184" s="174"/>
      <c r="EJ184" s="174"/>
      <c r="EK184" s="174"/>
      <c r="EL184" s="174"/>
      <c r="EM184" s="174"/>
      <c r="EN184" s="174"/>
      <c r="EO184" s="174"/>
      <c r="EP184" s="174"/>
      <c r="EQ184" s="174"/>
      <c r="ER184" s="174"/>
      <c r="ES184" s="174"/>
      <c r="ET184" s="174"/>
      <c r="EU184" s="174"/>
      <c r="EV184" s="174"/>
      <c r="EW184" s="174"/>
      <c r="EX184" s="174"/>
      <c r="EY184" s="174"/>
      <c r="EZ184" s="174"/>
      <c r="FA184" s="174"/>
      <c r="FB184" s="174"/>
      <c r="FC184" s="174"/>
      <c r="FD184" s="174"/>
      <c r="FE184" s="174"/>
      <c r="FF184" s="174"/>
      <c r="FG184" s="174"/>
      <c r="FH184" s="174"/>
      <c r="FI184" s="174"/>
      <c r="FJ184" s="174"/>
      <c r="FK184" s="174"/>
      <c r="FL184" s="174"/>
      <c r="FM184" s="174"/>
      <c r="FN184" s="174"/>
      <c r="FO184" s="174"/>
      <c r="FP184" s="174"/>
      <c r="FQ184" s="174"/>
      <c r="FR184" s="174"/>
      <c r="FS184" s="174"/>
      <c r="FT184" s="174"/>
      <c r="FU184" s="174"/>
      <c r="FV184" s="174"/>
      <c r="FW184" s="174"/>
      <c r="FX184" s="174"/>
      <c r="FY184" s="174"/>
      <c r="FZ184" s="174"/>
      <c r="GA184" s="174"/>
      <c r="GB184" s="174"/>
      <c r="GC184" s="174"/>
      <c r="GD184" s="174"/>
      <c r="GE184" s="174"/>
      <c r="GF184" s="174"/>
      <c r="GG184" s="174"/>
      <c r="GH184" s="174"/>
      <c r="GI184" s="174"/>
      <c r="GJ184" s="174"/>
      <c r="GK184" s="174"/>
      <c r="GL184" s="174"/>
      <c r="GM184" s="174"/>
      <c r="GN184" s="174"/>
      <c r="GO184" s="174"/>
      <c r="GP184" s="174"/>
      <c r="GQ184" s="174"/>
      <c r="GR184" s="174"/>
      <c r="GS184" s="174"/>
      <c r="GT184" s="174"/>
      <c r="GU184" s="174"/>
      <c r="GV184" s="174"/>
      <c r="GW184" s="174"/>
      <c r="GX184" s="174"/>
      <c r="GY184" s="174"/>
      <c r="GZ184" s="174"/>
      <c r="HA184" s="174"/>
      <c r="HB184" s="174"/>
      <c r="HC184" s="174"/>
      <c r="HD184" s="174"/>
      <c r="HE184" s="174"/>
      <c r="HF184" s="174"/>
      <c r="HG184" s="174"/>
      <c r="HH184" s="174"/>
      <c r="HI184" s="174"/>
      <c r="HJ184" s="174"/>
      <c r="HK184" s="174"/>
      <c r="HL184" s="174"/>
      <c r="HM184" s="174"/>
      <c r="HN184" s="174"/>
      <c r="HO184" s="174"/>
      <c r="HP184" s="174"/>
      <c r="HQ184" s="174"/>
      <c r="HR184" s="174"/>
      <c r="HS184" s="174"/>
      <c r="HT184" s="174"/>
      <c r="HU184" s="174"/>
      <c r="HV184" s="174"/>
      <c r="HW184" s="174"/>
      <c r="HX184" s="174"/>
      <c r="HY184" s="174"/>
      <c r="HZ184" s="174"/>
      <c r="IA184" s="174"/>
      <c r="IB184" s="174"/>
      <c r="IC184" s="174"/>
      <c r="ID184" s="174"/>
      <c r="IE184" s="174"/>
      <c r="IF184" s="174"/>
      <c r="IG184" s="174"/>
      <c r="IH184" s="174"/>
      <c r="II184" s="174"/>
      <c r="IJ184" s="174"/>
      <c r="IK184" s="174"/>
      <c r="IL184" s="174"/>
      <c r="IM184" s="174"/>
      <c r="IN184" s="174"/>
      <c r="IO184" s="174"/>
      <c r="IP184" s="174"/>
      <c r="IQ184" s="174"/>
      <c r="IR184" s="174"/>
      <c r="IS184" s="174"/>
      <c r="IT184" s="174"/>
      <c r="IU184" s="75"/>
      <c r="IV184" s="75"/>
      <c r="IW184" s="75"/>
      <c r="IX184" s="75"/>
      <c r="IY184" s="75"/>
      <c r="IZ184" s="75"/>
      <c r="JA184" s="75"/>
      <c r="JB184" s="75"/>
      <c r="JC184" s="75"/>
      <c r="JD184" s="75"/>
      <c r="JF184" s="710"/>
      <c r="JG184" s="710"/>
      <c r="JH184" s="178">
        <f t="shared" si="11"/>
        <v>0</v>
      </c>
      <c r="JI184" s="174">
        <f t="shared" si="12"/>
        <v>0</v>
      </c>
    </row>
    <row r="185" spans="2:269" ht="15" customHeight="1" x14ac:dyDescent="0.25">
      <c r="B185" s="113">
        <v>182</v>
      </c>
      <c r="C185" s="353" t="str">
        <f t="shared" si="13"/>
        <v/>
      </c>
      <c r="D185" s="353" t="str">
        <f t="shared" si="14"/>
        <v/>
      </c>
      <c r="E185" s="174"/>
      <c r="F185" s="174"/>
      <c r="G185" s="174"/>
      <c r="H185" s="174"/>
      <c r="I185" s="174"/>
      <c r="J185" s="174"/>
      <c r="K185" s="174"/>
      <c r="L185" s="174"/>
      <c r="M185" s="174"/>
      <c r="N185" s="174"/>
      <c r="O185" s="174"/>
      <c r="P185" s="174"/>
      <c r="Q185" s="174"/>
      <c r="R185" s="174"/>
      <c r="S185" s="174"/>
      <c r="T185" s="174"/>
      <c r="U185" s="174"/>
      <c r="V185" s="174"/>
      <c r="W185" s="174"/>
      <c r="X185" s="174"/>
      <c r="Y185" s="174"/>
      <c r="Z185" s="174"/>
      <c r="AA185" s="174"/>
      <c r="AB185" s="174"/>
      <c r="AC185" s="174"/>
      <c r="AD185" s="174"/>
      <c r="AE185" s="174"/>
      <c r="AF185" s="174"/>
      <c r="AG185" s="174"/>
      <c r="AH185" s="174"/>
      <c r="AI185" s="174"/>
      <c r="AJ185" s="174"/>
      <c r="AK185" s="174"/>
      <c r="AL185" s="174"/>
      <c r="AM185" s="174"/>
      <c r="AN185" s="174"/>
      <c r="AO185" s="174"/>
      <c r="AP185" s="174"/>
      <c r="AQ185" s="174"/>
      <c r="AR185" s="174"/>
      <c r="AS185" s="174"/>
      <c r="AT185" s="174"/>
      <c r="AU185" s="174"/>
      <c r="AV185" s="174"/>
      <c r="AW185" s="174"/>
      <c r="AX185" s="174"/>
      <c r="AY185" s="174"/>
      <c r="AZ185" s="174"/>
      <c r="BA185" s="174"/>
      <c r="BB185" s="174"/>
      <c r="BC185" s="174"/>
      <c r="BD185" s="174"/>
      <c r="BE185" s="174"/>
      <c r="BF185" s="174"/>
      <c r="BG185" s="174"/>
      <c r="BH185" s="174"/>
      <c r="BI185" s="174"/>
      <c r="BJ185" s="174"/>
      <c r="BK185" s="174"/>
      <c r="BL185" s="174"/>
      <c r="BM185" s="174"/>
      <c r="BN185" s="174"/>
      <c r="BO185" s="174"/>
      <c r="BP185" s="174"/>
      <c r="BQ185" s="174"/>
      <c r="BR185" s="174"/>
      <c r="BS185" s="174"/>
      <c r="BT185" s="174"/>
      <c r="BU185" s="174"/>
      <c r="BV185" s="174"/>
      <c r="BW185" s="174"/>
      <c r="BX185" s="174"/>
      <c r="BY185" s="174"/>
      <c r="BZ185" s="174"/>
      <c r="CA185" s="174"/>
      <c r="CB185" s="174"/>
      <c r="CC185" s="174"/>
      <c r="CD185" s="174"/>
      <c r="CE185" s="174"/>
      <c r="CF185" s="174"/>
      <c r="CG185" s="174"/>
      <c r="CH185" s="174"/>
      <c r="CI185" s="174"/>
      <c r="CJ185" s="174"/>
      <c r="CK185" s="174"/>
      <c r="CL185" s="174"/>
      <c r="CM185" s="174"/>
      <c r="CN185" s="174"/>
      <c r="CO185" s="174"/>
      <c r="CP185" s="174"/>
      <c r="CQ185" s="174"/>
      <c r="CR185" s="174"/>
      <c r="CS185" s="174"/>
      <c r="CT185" s="174"/>
      <c r="CU185" s="174"/>
      <c r="CV185" s="174"/>
      <c r="CW185" s="174"/>
      <c r="CX185" s="174"/>
      <c r="CY185" s="174"/>
      <c r="CZ185" s="174"/>
      <c r="DA185" s="174"/>
      <c r="DB185" s="174"/>
      <c r="DC185" s="174"/>
      <c r="DD185" s="174"/>
      <c r="DE185" s="174"/>
      <c r="DF185" s="174"/>
      <c r="DG185" s="174"/>
      <c r="DH185" s="174"/>
      <c r="DI185" s="174"/>
      <c r="DJ185" s="174"/>
      <c r="DK185" s="174"/>
      <c r="DL185" s="174"/>
      <c r="DM185" s="174"/>
      <c r="DN185" s="174"/>
      <c r="DO185" s="174"/>
      <c r="DP185" s="174"/>
      <c r="DQ185" s="174"/>
      <c r="DR185" s="174"/>
      <c r="DS185" s="174"/>
      <c r="DT185" s="174"/>
      <c r="DU185" s="174"/>
      <c r="DV185" s="174"/>
      <c r="DW185" s="174"/>
      <c r="DX185" s="174"/>
      <c r="DY185" s="174"/>
      <c r="DZ185" s="174"/>
      <c r="EA185" s="174"/>
      <c r="EB185" s="174"/>
      <c r="EC185" s="174"/>
      <c r="ED185" s="174"/>
      <c r="EE185" s="174"/>
      <c r="EF185" s="174"/>
      <c r="EG185" s="174"/>
      <c r="EH185" s="174"/>
      <c r="EI185" s="174"/>
      <c r="EJ185" s="174"/>
      <c r="EK185" s="174"/>
      <c r="EL185" s="174"/>
      <c r="EM185" s="174"/>
      <c r="EN185" s="174"/>
      <c r="EO185" s="174"/>
      <c r="EP185" s="174"/>
      <c r="EQ185" s="174"/>
      <c r="ER185" s="174"/>
      <c r="ES185" s="174"/>
      <c r="ET185" s="174"/>
      <c r="EU185" s="174"/>
      <c r="EV185" s="174"/>
      <c r="EW185" s="174"/>
      <c r="EX185" s="174"/>
      <c r="EY185" s="174"/>
      <c r="EZ185" s="174"/>
      <c r="FA185" s="174"/>
      <c r="FB185" s="174"/>
      <c r="FC185" s="174"/>
      <c r="FD185" s="174"/>
      <c r="FE185" s="174"/>
      <c r="FF185" s="174"/>
      <c r="FG185" s="174"/>
      <c r="FH185" s="174"/>
      <c r="FI185" s="174"/>
      <c r="FJ185" s="174"/>
      <c r="FK185" s="174"/>
      <c r="FL185" s="174"/>
      <c r="FM185" s="174"/>
      <c r="FN185" s="174"/>
      <c r="FO185" s="174"/>
      <c r="FP185" s="174"/>
      <c r="FQ185" s="174"/>
      <c r="FR185" s="174"/>
      <c r="FS185" s="174"/>
      <c r="FT185" s="174"/>
      <c r="FU185" s="174"/>
      <c r="FV185" s="174"/>
      <c r="FW185" s="174"/>
      <c r="FX185" s="174"/>
      <c r="FY185" s="174"/>
      <c r="FZ185" s="174"/>
      <c r="GA185" s="174"/>
      <c r="GB185" s="174"/>
      <c r="GC185" s="174"/>
      <c r="GD185" s="174"/>
      <c r="GE185" s="174"/>
      <c r="GF185" s="174"/>
      <c r="GG185" s="174"/>
      <c r="GH185" s="174"/>
      <c r="GI185" s="174"/>
      <c r="GJ185" s="174"/>
      <c r="GK185" s="174"/>
      <c r="GL185" s="174"/>
      <c r="GM185" s="174"/>
      <c r="GN185" s="174"/>
      <c r="GO185" s="174"/>
      <c r="GP185" s="174"/>
      <c r="GQ185" s="174"/>
      <c r="GR185" s="174"/>
      <c r="GS185" s="174"/>
      <c r="GT185" s="174"/>
      <c r="GU185" s="174"/>
      <c r="GV185" s="174"/>
      <c r="GW185" s="174"/>
      <c r="GX185" s="174"/>
      <c r="GY185" s="174"/>
      <c r="GZ185" s="174"/>
      <c r="HA185" s="174"/>
      <c r="HB185" s="174"/>
      <c r="HC185" s="174"/>
      <c r="HD185" s="174"/>
      <c r="HE185" s="174"/>
      <c r="HF185" s="174"/>
      <c r="HG185" s="174"/>
      <c r="HH185" s="174"/>
      <c r="HI185" s="174"/>
      <c r="HJ185" s="174"/>
      <c r="HK185" s="174"/>
      <c r="HL185" s="174"/>
      <c r="HM185" s="174"/>
      <c r="HN185" s="174"/>
      <c r="HO185" s="174"/>
      <c r="HP185" s="174"/>
      <c r="HQ185" s="174"/>
      <c r="HR185" s="174"/>
      <c r="HS185" s="174"/>
      <c r="HT185" s="174"/>
      <c r="HU185" s="174"/>
      <c r="HV185" s="174"/>
      <c r="HW185" s="174"/>
      <c r="HX185" s="174"/>
      <c r="HY185" s="174"/>
      <c r="HZ185" s="174"/>
      <c r="IA185" s="174"/>
      <c r="IB185" s="174"/>
      <c r="IC185" s="174"/>
      <c r="ID185" s="174"/>
      <c r="IE185" s="174"/>
      <c r="IF185" s="174"/>
      <c r="IG185" s="174"/>
      <c r="IH185" s="174"/>
      <c r="II185" s="174"/>
      <c r="IJ185" s="174"/>
      <c r="IK185" s="174"/>
      <c r="IL185" s="174"/>
      <c r="IM185" s="174"/>
      <c r="IN185" s="174"/>
      <c r="IO185" s="174"/>
      <c r="IP185" s="174"/>
      <c r="IQ185" s="174"/>
      <c r="IR185" s="174"/>
      <c r="IS185" s="174"/>
      <c r="IT185" s="174"/>
      <c r="IU185" s="75"/>
      <c r="IV185" s="75"/>
      <c r="IW185" s="75"/>
      <c r="IX185" s="75"/>
      <c r="IY185" s="75"/>
      <c r="IZ185" s="75"/>
      <c r="JA185" s="75"/>
      <c r="JB185" s="75"/>
      <c r="JC185" s="75"/>
      <c r="JD185" s="75"/>
      <c r="JF185" s="710"/>
      <c r="JG185" s="710"/>
      <c r="JH185" s="178">
        <f t="shared" si="11"/>
        <v>0</v>
      </c>
      <c r="JI185" s="174">
        <f t="shared" si="12"/>
        <v>0</v>
      </c>
    </row>
    <row r="186" spans="2:269" ht="15" customHeight="1" x14ac:dyDescent="0.25">
      <c r="B186" s="113">
        <v>183</v>
      </c>
      <c r="C186" s="353" t="str">
        <f t="shared" si="13"/>
        <v/>
      </c>
      <c r="D186" s="353" t="str">
        <f t="shared" si="14"/>
        <v/>
      </c>
      <c r="E186" s="174"/>
      <c r="F186" s="174"/>
      <c r="G186" s="174"/>
      <c r="H186" s="174"/>
      <c r="I186" s="174"/>
      <c r="J186" s="174"/>
      <c r="K186" s="174"/>
      <c r="L186" s="174"/>
      <c r="M186" s="174"/>
      <c r="N186" s="174"/>
      <c r="O186" s="174"/>
      <c r="P186" s="174"/>
      <c r="Q186" s="174"/>
      <c r="R186" s="174"/>
      <c r="S186" s="174"/>
      <c r="T186" s="174"/>
      <c r="U186" s="174"/>
      <c r="V186" s="174"/>
      <c r="W186" s="174"/>
      <c r="X186" s="174"/>
      <c r="Y186" s="174"/>
      <c r="Z186" s="174"/>
      <c r="AA186" s="174"/>
      <c r="AB186" s="174"/>
      <c r="AC186" s="174"/>
      <c r="AD186" s="174"/>
      <c r="AE186" s="174"/>
      <c r="AF186" s="174"/>
      <c r="AG186" s="174"/>
      <c r="AH186" s="174"/>
      <c r="AI186" s="174"/>
      <c r="AJ186" s="174"/>
      <c r="AK186" s="174"/>
      <c r="AL186" s="174"/>
      <c r="AM186" s="174"/>
      <c r="AN186" s="174"/>
      <c r="AO186" s="174"/>
      <c r="AP186" s="174"/>
      <c r="AQ186" s="174"/>
      <c r="AR186" s="174"/>
      <c r="AS186" s="174"/>
      <c r="AT186" s="174"/>
      <c r="AU186" s="174"/>
      <c r="AV186" s="174"/>
      <c r="AW186" s="174"/>
      <c r="AX186" s="174"/>
      <c r="AY186" s="174"/>
      <c r="AZ186" s="174"/>
      <c r="BA186" s="174"/>
      <c r="BB186" s="174"/>
      <c r="BC186" s="174"/>
      <c r="BD186" s="174"/>
      <c r="BE186" s="174"/>
      <c r="BF186" s="174"/>
      <c r="BG186" s="174"/>
      <c r="BH186" s="174"/>
      <c r="BI186" s="174"/>
      <c r="BJ186" s="174"/>
      <c r="BK186" s="174"/>
      <c r="BL186" s="174"/>
      <c r="BM186" s="174"/>
      <c r="BN186" s="174"/>
      <c r="BO186" s="174"/>
      <c r="BP186" s="174"/>
      <c r="BQ186" s="174"/>
      <c r="BR186" s="174"/>
      <c r="BS186" s="174"/>
      <c r="BT186" s="174"/>
      <c r="BU186" s="174"/>
      <c r="BV186" s="174"/>
      <c r="BW186" s="174"/>
      <c r="BX186" s="174"/>
      <c r="BY186" s="174"/>
      <c r="BZ186" s="174"/>
      <c r="CA186" s="174"/>
      <c r="CB186" s="174"/>
      <c r="CC186" s="174"/>
      <c r="CD186" s="174"/>
      <c r="CE186" s="174"/>
      <c r="CF186" s="174"/>
      <c r="CG186" s="174"/>
      <c r="CH186" s="174"/>
      <c r="CI186" s="174"/>
      <c r="CJ186" s="174"/>
      <c r="CK186" s="174"/>
      <c r="CL186" s="174"/>
      <c r="CM186" s="174"/>
      <c r="CN186" s="174"/>
      <c r="CO186" s="174"/>
      <c r="CP186" s="174"/>
      <c r="CQ186" s="174"/>
      <c r="CR186" s="174"/>
      <c r="CS186" s="174"/>
      <c r="CT186" s="174"/>
      <c r="CU186" s="174"/>
      <c r="CV186" s="174"/>
      <c r="CW186" s="174"/>
      <c r="CX186" s="174"/>
      <c r="CY186" s="174"/>
      <c r="CZ186" s="174"/>
      <c r="DA186" s="174"/>
      <c r="DB186" s="174"/>
      <c r="DC186" s="174"/>
      <c r="DD186" s="174"/>
      <c r="DE186" s="174"/>
      <c r="DF186" s="174"/>
      <c r="DG186" s="174"/>
      <c r="DH186" s="174"/>
      <c r="DI186" s="174"/>
      <c r="DJ186" s="174"/>
      <c r="DK186" s="174"/>
      <c r="DL186" s="174"/>
      <c r="DM186" s="174"/>
      <c r="DN186" s="174"/>
      <c r="DO186" s="174"/>
      <c r="DP186" s="174"/>
      <c r="DQ186" s="174"/>
      <c r="DR186" s="174"/>
      <c r="DS186" s="174"/>
      <c r="DT186" s="174"/>
      <c r="DU186" s="174"/>
      <c r="DV186" s="174"/>
      <c r="DW186" s="174"/>
      <c r="DX186" s="174"/>
      <c r="DY186" s="174"/>
      <c r="DZ186" s="174"/>
      <c r="EA186" s="174"/>
      <c r="EB186" s="174"/>
      <c r="EC186" s="174"/>
      <c r="ED186" s="174"/>
      <c r="EE186" s="174"/>
      <c r="EF186" s="174"/>
      <c r="EG186" s="174"/>
      <c r="EH186" s="174"/>
      <c r="EI186" s="174"/>
      <c r="EJ186" s="174"/>
      <c r="EK186" s="174"/>
      <c r="EL186" s="174"/>
      <c r="EM186" s="174"/>
      <c r="EN186" s="174"/>
      <c r="EO186" s="174"/>
      <c r="EP186" s="174"/>
      <c r="EQ186" s="174"/>
      <c r="ER186" s="174"/>
      <c r="ES186" s="174"/>
      <c r="ET186" s="174"/>
      <c r="EU186" s="174"/>
      <c r="EV186" s="174"/>
      <c r="EW186" s="174"/>
      <c r="EX186" s="174"/>
      <c r="EY186" s="174"/>
      <c r="EZ186" s="174"/>
      <c r="FA186" s="174"/>
      <c r="FB186" s="174"/>
      <c r="FC186" s="174"/>
      <c r="FD186" s="174"/>
      <c r="FE186" s="174"/>
      <c r="FF186" s="174"/>
      <c r="FG186" s="174"/>
      <c r="FH186" s="174"/>
      <c r="FI186" s="174"/>
      <c r="FJ186" s="174"/>
      <c r="FK186" s="174"/>
      <c r="FL186" s="174"/>
      <c r="FM186" s="174"/>
      <c r="FN186" s="174"/>
      <c r="FO186" s="174"/>
      <c r="FP186" s="174"/>
      <c r="FQ186" s="174"/>
      <c r="FR186" s="174"/>
      <c r="FS186" s="174"/>
      <c r="FT186" s="174"/>
      <c r="FU186" s="174"/>
      <c r="FV186" s="174"/>
      <c r="FW186" s="174"/>
      <c r="FX186" s="174"/>
      <c r="FY186" s="174"/>
      <c r="FZ186" s="174"/>
      <c r="GA186" s="174"/>
      <c r="GB186" s="174"/>
      <c r="GC186" s="174"/>
      <c r="GD186" s="174"/>
      <c r="GE186" s="174"/>
      <c r="GF186" s="174"/>
      <c r="GG186" s="174"/>
      <c r="GH186" s="174"/>
      <c r="GI186" s="174"/>
      <c r="GJ186" s="174"/>
      <c r="GK186" s="174"/>
      <c r="GL186" s="174"/>
      <c r="GM186" s="174"/>
      <c r="GN186" s="174"/>
      <c r="GO186" s="174"/>
      <c r="GP186" s="174"/>
      <c r="GQ186" s="174"/>
      <c r="GR186" s="174"/>
      <c r="GS186" s="174"/>
      <c r="GT186" s="174"/>
      <c r="GU186" s="174"/>
      <c r="GV186" s="174"/>
      <c r="GW186" s="174"/>
      <c r="GX186" s="174"/>
      <c r="GY186" s="174"/>
      <c r="GZ186" s="174"/>
      <c r="HA186" s="174"/>
      <c r="HB186" s="174"/>
      <c r="HC186" s="174"/>
      <c r="HD186" s="174"/>
      <c r="HE186" s="174"/>
      <c r="HF186" s="174"/>
      <c r="HG186" s="174"/>
      <c r="HH186" s="174"/>
      <c r="HI186" s="174"/>
      <c r="HJ186" s="174"/>
      <c r="HK186" s="174"/>
      <c r="HL186" s="174"/>
      <c r="HM186" s="174"/>
      <c r="HN186" s="174"/>
      <c r="HO186" s="174"/>
      <c r="HP186" s="174"/>
      <c r="HQ186" s="174"/>
      <c r="HR186" s="174"/>
      <c r="HS186" s="174"/>
      <c r="HT186" s="174"/>
      <c r="HU186" s="174"/>
      <c r="HV186" s="174"/>
      <c r="HW186" s="174"/>
      <c r="HX186" s="174"/>
      <c r="HY186" s="174"/>
      <c r="HZ186" s="174"/>
      <c r="IA186" s="174"/>
      <c r="IB186" s="174"/>
      <c r="IC186" s="174"/>
      <c r="ID186" s="174"/>
      <c r="IE186" s="174"/>
      <c r="IF186" s="174"/>
      <c r="IG186" s="174"/>
      <c r="IH186" s="174"/>
      <c r="II186" s="174"/>
      <c r="IJ186" s="174"/>
      <c r="IK186" s="174"/>
      <c r="IL186" s="174"/>
      <c r="IM186" s="174"/>
      <c r="IN186" s="174"/>
      <c r="IO186" s="174"/>
      <c r="IP186" s="174"/>
      <c r="IQ186" s="174"/>
      <c r="IR186" s="174"/>
      <c r="IS186" s="174"/>
      <c r="IT186" s="174"/>
      <c r="IU186" s="75"/>
      <c r="IV186" s="75"/>
      <c r="IW186" s="75"/>
      <c r="IX186" s="75"/>
      <c r="IY186" s="75"/>
      <c r="IZ186" s="75"/>
      <c r="JA186" s="75"/>
      <c r="JB186" s="75"/>
      <c r="JC186" s="75"/>
      <c r="JD186" s="75"/>
      <c r="JF186" s="710"/>
      <c r="JG186" s="710"/>
      <c r="JH186" s="178">
        <f t="shared" si="11"/>
        <v>0</v>
      </c>
      <c r="JI186" s="174">
        <f t="shared" si="12"/>
        <v>0</v>
      </c>
    </row>
    <row r="187" spans="2:269" ht="15" customHeight="1" x14ac:dyDescent="0.25">
      <c r="B187" s="113">
        <v>184</v>
      </c>
      <c r="C187" s="353" t="str">
        <f t="shared" si="13"/>
        <v/>
      </c>
      <c r="D187" s="353" t="str">
        <f t="shared" si="14"/>
        <v/>
      </c>
      <c r="E187" s="174"/>
      <c r="F187" s="174"/>
      <c r="G187" s="174"/>
      <c r="H187" s="174"/>
      <c r="I187" s="174"/>
      <c r="J187" s="174"/>
      <c r="K187" s="174"/>
      <c r="L187" s="174"/>
      <c r="M187" s="174"/>
      <c r="N187" s="174"/>
      <c r="O187" s="174"/>
      <c r="P187" s="174"/>
      <c r="Q187" s="174"/>
      <c r="R187" s="174"/>
      <c r="S187" s="174"/>
      <c r="T187" s="174"/>
      <c r="U187" s="174"/>
      <c r="V187" s="174"/>
      <c r="W187" s="174"/>
      <c r="X187" s="174"/>
      <c r="Y187" s="174"/>
      <c r="Z187" s="174"/>
      <c r="AA187" s="174"/>
      <c r="AB187" s="174"/>
      <c r="AC187" s="174"/>
      <c r="AD187" s="174"/>
      <c r="AE187" s="174"/>
      <c r="AF187" s="174"/>
      <c r="AG187" s="174"/>
      <c r="AH187" s="174"/>
      <c r="AI187" s="174"/>
      <c r="AJ187" s="174"/>
      <c r="AK187" s="174"/>
      <c r="AL187" s="174"/>
      <c r="AM187" s="174"/>
      <c r="AN187" s="174"/>
      <c r="AO187" s="174"/>
      <c r="AP187" s="174"/>
      <c r="AQ187" s="174"/>
      <c r="AR187" s="174"/>
      <c r="AS187" s="174"/>
      <c r="AT187" s="174"/>
      <c r="AU187" s="174"/>
      <c r="AV187" s="174"/>
      <c r="AW187" s="174"/>
      <c r="AX187" s="174"/>
      <c r="AY187" s="174"/>
      <c r="AZ187" s="174"/>
      <c r="BA187" s="174"/>
      <c r="BB187" s="174"/>
      <c r="BC187" s="174"/>
      <c r="BD187" s="174"/>
      <c r="BE187" s="174"/>
      <c r="BF187" s="174"/>
      <c r="BG187" s="174"/>
      <c r="BH187" s="174"/>
      <c r="BI187" s="174"/>
      <c r="BJ187" s="174"/>
      <c r="BK187" s="174"/>
      <c r="BL187" s="174"/>
      <c r="BM187" s="174"/>
      <c r="BN187" s="174"/>
      <c r="BO187" s="174"/>
      <c r="BP187" s="174"/>
      <c r="BQ187" s="174"/>
      <c r="BR187" s="174"/>
      <c r="BS187" s="174"/>
      <c r="BT187" s="174"/>
      <c r="BU187" s="174"/>
      <c r="BV187" s="174"/>
      <c r="BW187" s="174"/>
      <c r="BX187" s="174"/>
      <c r="BY187" s="174"/>
      <c r="BZ187" s="174"/>
      <c r="CA187" s="174"/>
      <c r="CB187" s="174"/>
      <c r="CC187" s="174"/>
      <c r="CD187" s="174"/>
      <c r="CE187" s="174"/>
      <c r="CF187" s="174"/>
      <c r="CG187" s="174"/>
      <c r="CH187" s="174"/>
      <c r="CI187" s="174"/>
      <c r="CJ187" s="174"/>
      <c r="CK187" s="174"/>
      <c r="CL187" s="174"/>
      <c r="CM187" s="174"/>
      <c r="CN187" s="174"/>
      <c r="CO187" s="174"/>
      <c r="CP187" s="174"/>
      <c r="CQ187" s="174"/>
      <c r="CR187" s="174"/>
      <c r="CS187" s="174"/>
      <c r="CT187" s="174"/>
      <c r="CU187" s="174"/>
      <c r="CV187" s="174"/>
      <c r="CW187" s="174"/>
      <c r="CX187" s="174"/>
      <c r="CY187" s="174"/>
      <c r="CZ187" s="174"/>
      <c r="DA187" s="174"/>
      <c r="DB187" s="174"/>
      <c r="DC187" s="174"/>
      <c r="DD187" s="174"/>
      <c r="DE187" s="174"/>
      <c r="DF187" s="174"/>
      <c r="DG187" s="174"/>
      <c r="DH187" s="174"/>
      <c r="DI187" s="174"/>
      <c r="DJ187" s="174"/>
      <c r="DK187" s="174"/>
      <c r="DL187" s="174"/>
      <c r="DM187" s="174"/>
      <c r="DN187" s="174"/>
      <c r="DO187" s="174"/>
      <c r="DP187" s="174"/>
      <c r="DQ187" s="174"/>
      <c r="DR187" s="174"/>
      <c r="DS187" s="174"/>
      <c r="DT187" s="174"/>
      <c r="DU187" s="174"/>
      <c r="DV187" s="174"/>
      <c r="DW187" s="174"/>
      <c r="DX187" s="174"/>
      <c r="DY187" s="174"/>
      <c r="DZ187" s="174"/>
      <c r="EA187" s="174"/>
      <c r="EB187" s="174"/>
      <c r="EC187" s="174"/>
      <c r="ED187" s="174"/>
      <c r="EE187" s="174"/>
      <c r="EF187" s="174"/>
      <c r="EG187" s="174"/>
      <c r="EH187" s="174"/>
      <c r="EI187" s="174"/>
      <c r="EJ187" s="174"/>
      <c r="EK187" s="174"/>
      <c r="EL187" s="174"/>
      <c r="EM187" s="174"/>
      <c r="EN187" s="174"/>
      <c r="EO187" s="174"/>
      <c r="EP187" s="174"/>
      <c r="EQ187" s="174"/>
      <c r="ER187" s="174"/>
      <c r="ES187" s="174"/>
      <c r="ET187" s="174"/>
      <c r="EU187" s="174"/>
      <c r="EV187" s="174"/>
      <c r="EW187" s="174"/>
      <c r="EX187" s="174"/>
      <c r="EY187" s="174"/>
      <c r="EZ187" s="174"/>
      <c r="FA187" s="174"/>
      <c r="FB187" s="174"/>
      <c r="FC187" s="174"/>
      <c r="FD187" s="174"/>
      <c r="FE187" s="174"/>
      <c r="FF187" s="174"/>
      <c r="FG187" s="174"/>
      <c r="FH187" s="174"/>
      <c r="FI187" s="174"/>
      <c r="FJ187" s="174"/>
      <c r="FK187" s="174"/>
      <c r="FL187" s="174"/>
      <c r="FM187" s="174"/>
      <c r="FN187" s="174"/>
      <c r="FO187" s="174"/>
      <c r="FP187" s="174"/>
      <c r="FQ187" s="174"/>
      <c r="FR187" s="174"/>
      <c r="FS187" s="174"/>
      <c r="FT187" s="174"/>
      <c r="FU187" s="174"/>
      <c r="FV187" s="174"/>
      <c r="FW187" s="174"/>
      <c r="FX187" s="174"/>
      <c r="FY187" s="174"/>
      <c r="FZ187" s="174"/>
      <c r="GA187" s="174"/>
      <c r="GB187" s="174"/>
      <c r="GC187" s="174"/>
      <c r="GD187" s="174"/>
      <c r="GE187" s="174"/>
      <c r="GF187" s="174"/>
      <c r="GG187" s="174"/>
      <c r="GH187" s="174"/>
      <c r="GI187" s="174"/>
      <c r="GJ187" s="174"/>
      <c r="GK187" s="174"/>
      <c r="GL187" s="174"/>
      <c r="GM187" s="174"/>
      <c r="GN187" s="174"/>
      <c r="GO187" s="174"/>
      <c r="GP187" s="174"/>
      <c r="GQ187" s="174"/>
      <c r="GR187" s="174"/>
      <c r="GS187" s="174"/>
      <c r="GT187" s="174"/>
      <c r="GU187" s="174"/>
      <c r="GV187" s="174"/>
      <c r="GW187" s="174"/>
      <c r="GX187" s="174"/>
      <c r="GY187" s="174"/>
      <c r="GZ187" s="174"/>
      <c r="HA187" s="174"/>
      <c r="HB187" s="174"/>
      <c r="HC187" s="174"/>
      <c r="HD187" s="174"/>
      <c r="HE187" s="174"/>
      <c r="HF187" s="174"/>
      <c r="HG187" s="174"/>
      <c r="HH187" s="174"/>
      <c r="HI187" s="174"/>
      <c r="HJ187" s="174"/>
      <c r="HK187" s="174"/>
      <c r="HL187" s="174"/>
      <c r="HM187" s="174"/>
      <c r="HN187" s="174"/>
      <c r="HO187" s="174"/>
      <c r="HP187" s="174"/>
      <c r="HQ187" s="174"/>
      <c r="HR187" s="174"/>
      <c r="HS187" s="174"/>
      <c r="HT187" s="174"/>
      <c r="HU187" s="174"/>
      <c r="HV187" s="174"/>
      <c r="HW187" s="174"/>
      <c r="HX187" s="174"/>
      <c r="HY187" s="174"/>
      <c r="HZ187" s="174"/>
      <c r="IA187" s="174"/>
      <c r="IB187" s="174"/>
      <c r="IC187" s="174"/>
      <c r="ID187" s="174"/>
      <c r="IE187" s="174"/>
      <c r="IF187" s="174"/>
      <c r="IG187" s="174"/>
      <c r="IH187" s="174"/>
      <c r="II187" s="174"/>
      <c r="IJ187" s="174"/>
      <c r="IK187" s="174"/>
      <c r="IL187" s="174"/>
      <c r="IM187" s="174"/>
      <c r="IN187" s="174"/>
      <c r="IO187" s="174"/>
      <c r="IP187" s="174"/>
      <c r="IQ187" s="174"/>
      <c r="IR187" s="174"/>
      <c r="IS187" s="174"/>
      <c r="IT187" s="174"/>
      <c r="IU187" s="75"/>
      <c r="IV187" s="75"/>
      <c r="IW187" s="75"/>
      <c r="IX187" s="75"/>
      <c r="IY187" s="75"/>
      <c r="IZ187" s="75"/>
      <c r="JA187" s="75"/>
      <c r="JB187" s="75"/>
      <c r="JC187" s="75"/>
      <c r="JD187" s="75"/>
      <c r="JF187" s="710"/>
      <c r="JG187" s="710"/>
      <c r="JH187" s="178">
        <f t="shared" si="11"/>
        <v>0</v>
      </c>
      <c r="JI187" s="174">
        <f t="shared" si="12"/>
        <v>0</v>
      </c>
    </row>
    <row r="188" spans="2:269" ht="15" customHeight="1" x14ac:dyDescent="0.25">
      <c r="B188" s="113">
        <v>185</v>
      </c>
      <c r="C188" s="353" t="str">
        <f t="shared" si="13"/>
        <v/>
      </c>
      <c r="D188" s="353" t="str">
        <f t="shared" si="14"/>
        <v/>
      </c>
      <c r="E188" s="174"/>
      <c r="F188" s="174"/>
      <c r="G188" s="174"/>
      <c r="H188" s="174"/>
      <c r="I188" s="174"/>
      <c r="J188" s="174"/>
      <c r="K188" s="174"/>
      <c r="L188" s="174"/>
      <c r="M188" s="174"/>
      <c r="N188" s="174"/>
      <c r="O188" s="174"/>
      <c r="P188" s="174"/>
      <c r="Q188" s="174"/>
      <c r="R188" s="174"/>
      <c r="S188" s="174"/>
      <c r="T188" s="174"/>
      <c r="U188" s="174"/>
      <c r="V188" s="174"/>
      <c r="W188" s="174"/>
      <c r="X188" s="174"/>
      <c r="Y188" s="174"/>
      <c r="Z188" s="174"/>
      <c r="AA188" s="174"/>
      <c r="AB188" s="174"/>
      <c r="AC188" s="174"/>
      <c r="AD188" s="174"/>
      <c r="AE188" s="174"/>
      <c r="AF188" s="174"/>
      <c r="AG188" s="174"/>
      <c r="AH188" s="174"/>
      <c r="AI188" s="174"/>
      <c r="AJ188" s="174"/>
      <c r="AK188" s="174"/>
      <c r="AL188" s="174"/>
      <c r="AM188" s="174"/>
      <c r="AN188" s="174"/>
      <c r="AO188" s="174"/>
      <c r="AP188" s="174"/>
      <c r="AQ188" s="174"/>
      <c r="AR188" s="174"/>
      <c r="AS188" s="174"/>
      <c r="AT188" s="174"/>
      <c r="AU188" s="174"/>
      <c r="AV188" s="174"/>
      <c r="AW188" s="174"/>
      <c r="AX188" s="174"/>
      <c r="AY188" s="174"/>
      <c r="AZ188" s="174"/>
      <c r="BA188" s="174"/>
      <c r="BB188" s="174"/>
      <c r="BC188" s="174"/>
      <c r="BD188" s="174"/>
      <c r="BE188" s="174"/>
      <c r="BF188" s="174"/>
      <c r="BG188" s="174"/>
      <c r="BH188" s="174"/>
      <c r="BI188" s="174"/>
      <c r="BJ188" s="174"/>
      <c r="BK188" s="174"/>
      <c r="BL188" s="174"/>
      <c r="BM188" s="174"/>
      <c r="BN188" s="174"/>
      <c r="BO188" s="174"/>
      <c r="BP188" s="174"/>
      <c r="BQ188" s="174"/>
      <c r="BR188" s="174"/>
      <c r="BS188" s="174"/>
      <c r="BT188" s="174"/>
      <c r="BU188" s="174"/>
      <c r="BV188" s="174"/>
      <c r="BW188" s="174"/>
      <c r="BX188" s="174"/>
      <c r="BY188" s="174"/>
      <c r="BZ188" s="174"/>
      <c r="CA188" s="174"/>
      <c r="CB188" s="174"/>
      <c r="CC188" s="174"/>
      <c r="CD188" s="174"/>
      <c r="CE188" s="174"/>
      <c r="CF188" s="174"/>
      <c r="CG188" s="174"/>
      <c r="CH188" s="174"/>
      <c r="CI188" s="174"/>
      <c r="CJ188" s="174"/>
      <c r="CK188" s="174"/>
      <c r="CL188" s="174"/>
      <c r="CM188" s="174"/>
      <c r="CN188" s="174"/>
      <c r="CO188" s="174"/>
      <c r="CP188" s="174"/>
      <c r="CQ188" s="174"/>
      <c r="CR188" s="174"/>
      <c r="CS188" s="174"/>
      <c r="CT188" s="174"/>
      <c r="CU188" s="174"/>
      <c r="CV188" s="174"/>
      <c r="CW188" s="174"/>
      <c r="CX188" s="174"/>
      <c r="CY188" s="174"/>
      <c r="CZ188" s="174"/>
      <c r="DA188" s="174"/>
      <c r="DB188" s="174"/>
      <c r="DC188" s="174"/>
      <c r="DD188" s="174"/>
      <c r="DE188" s="174"/>
      <c r="DF188" s="174"/>
      <c r="DG188" s="174"/>
      <c r="DH188" s="174"/>
      <c r="DI188" s="174"/>
      <c r="DJ188" s="174"/>
      <c r="DK188" s="174"/>
      <c r="DL188" s="174"/>
      <c r="DM188" s="174"/>
      <c r="DN188" s="174"/>
      <c r="DO188" s="174"/>
      <c r="DP188" s="174"/>
      <c r="DQ188" s="174"/>
      <c r="DR188" s="174"/>
      <c r="DS188" s="174"/>
      <c r="DT188" s="174"/>
      <c r="DU188" s="174"/>
      <c r="DV188" s="174"/>
      <c r="DW188" s="174"/>
      <c r="DX188" s="174"/>
      <c r="DY188" s="174"/>
      <c r="DZ188" s="174"/>
      <c r="EA188" s="174"/>
      <c r="EB188" s="174"/>
      <c r="EC188" s="174"/>
      <c r="ED188" s="174"/>
      <c r="EE188" s="174"/>
      <c r="EF188" s="174"/>
      <c r="EG188" s="174"/>
      <c r="EH188" s="174"/>
      <c r="EI188" s="174"/>
      <c r="EJ188" s="174"/>
      <c r="EK188" s="174"/>
      <c r="EL188" s="174"/>
      <c r="EM188" s="174"/>
      <c r="EN188" s="174"/>
      <c r="EO188" s="174"/>
      <c r="EP188" s="174"/>
      <c r="EQ188" s="174"/>
      <c r="ER188" s="174"/>
      <c r="ES188" s="174"/>
      <c r="ET188" s="174"/>
      <c r="EU188" s="174"/>
      <c r="EV188" s="174"/>
      <c r="EW188" s="174"/>
      <c r="EX188" s="174"/>
      <c r="EY188" s="174"/>
      <c r="EZ188" s="174"/>
      <c r="FA188" s="174"/>
      <c r="FB188" s="174"/>
      <c r="FC188" s="174"/>
      <c r="FD188" s="174"/>
      <c r="FE188" s="174"/>
      <c r="FF188" s="174"/>
      <c r="FG188" s="174"/>
      <c r="FH188" s="174"/>
      <c r="FI188" s="174"/>
      <c r="FJ188" s="174"/>
      <c r="FK188" s="174"/>
      <c r="FL188" s="174"/>
      <c r="FM188" s="174"/>
      <c r="FN188" s="174"/>
      <c r="FO188" s="174"/>
      <c r="FP188" s="174"/>
      <c r="FQ188" s="174"/>
      <c r="FR188" s="174"/>
      <c r="FS188" s="174"/>
      <c r="FT188" s="174"/>
      <c r="FU188" s="174"/>
      <c r="FV188" s="174"/>
      <c r="FW188" s="174"/>
      <c r="FX188" s="174"/>
      <c r="FY188" s="174"/>
      <c r="FZ188" s="174"/>
      <c r="GA188" s="174"/>
      <c r="GB188" s="174"/>
      <c r="GC188" s="174"/>
      <c r="GD188" s="174"/>
      <c r="GE188" s="174"/>
      <c r="GF188" s="174"/>
      <c r="GG188" s="174"/>
      <c r="GH188" s="174"/>
      <c r="GI188" s="174"/>
      <c r="GJ188" s="174"/>
      <c r="GK188" s="174"/>
      <c r="GL188" s="174"/>
      <c r="GM188" s="174"/>
      <c r="GN188" s="174"/>
      <c r="GO188" s="174"/>
      <c r="GP188" s="174"/>
      <c r="GQ188" s="174"/>
      <c r="GR188" s="174"/>
      <c r="GS188" s="174"/>
      <c r="GT188" s="174"/>
      <c r="GU188" s="174"/>
      <c r="GV188" s="174"/>
      <c r="GW188" s="174"/>
      <c r="GX188" s="174"/>
      <c r="GY188" s="174"/>
      <c r="GZ188" s="174"/>
      <c r="HA188" s="174"/>
      <c r="HB188" s="174"/>
      <c r="HC188" s="174"/>
      <c r="HD188" s="174"/>
      <c r="HE188" s="174"/>
      <c r="HF188" s="174"/>
      <c r="HG188" s="174"/>
      <c r="HH188" s="174"/>
      <c r="HI188" s="174"/>
      <c r="HJ188" s="174"/>
      <c r="HK188" s="174"/>
      <c r="HL188" s="174"/>
      <c r="HM188" s="174"/>
      <c r="HN188" s="174"/>
      <c r="HO188" s="174"/>
      <c r="HP188" s="174"/>
      <c r="HQ188" s="174"/>
      <c r="HR188" s="174"/>
      <c r="HS188" s="174"/>
      <c r="HT188" s="174"/>
      <c r="HU188" s="174"/>
      <c r="HV188" s="174"/>
      <c r="HW188" s="174"/>
      <c r="HX188" s="174"/>
      <c r="HY188" s="174"/>
      <c r="HZ188" s="174"/>
      <c r="IA188" s="174"/>
      <c r="IB188" s="174"/>
      <c r="IC188" s="174"/>
      <c r="ID188" s="174"/>
      <c r="IE188" s="174"/>
      <c r="IF188" s="174"/>
      <c r="IG188" s="174"/>
      <c r="IH188" s="174"/>
      <c r="II188" s="174"/>
      <c r="IJ188" s="174"/>
      <c r="IK188" s="174"/>
      <c r="IL188" s="174"/>
      <c r="IM188" s="174"/>
      <c r="IN188" s="174"/>
      <c r="IO188" s="174"/>
      <c r="IP188" s="174"/>
      <c r="IQ188" s="174"/>
      <c r="IR188" s="174"/>
      <c r="IS188" s="174"/>
      <c r="IT188" s="174"/>
      <c r="IU188" s="75"/>
      <c r="IV188" s="75"/>
      <c r="IW188" s="75"/>
      <c r="IX188" s="75"/>
      <c r="IY188" s="75"/>
      <c r="IZ188" s="75"/>
      <c r="JA188" s="75"/>
      <c r="JB188" s="75"/>
      <c r="JC188" s="75"/>
      <c r="JD188" s="75"/>
      <c r="JF188" s="710"/>
      <c r="JG188" s="710"/>
      <c r="JH188" s="178">
        <f t="shared" si="11"/>
        <v>0</v>
      </c>
      <c r="JI188" s="174">
        <f t="shared" si="12"/>
        <v>0</v>
      </c>
    </row>
    <row r="189" spans="2:269" ht="15" customHeight="1" x14ac:dyDescent="0.25">
      <c r="B189" s="113">
        <v>186</v>
      </c>
      <c r="C189" s="353" t="str">
        <f t="shared" si="13"/>
        <v/>
      </c>
      <c r="D189" s="353" t="str">
        <f t="shared" si="14"/>
        <v/>
      </c>
      <c r="E189" s="174"/>
      <c r="F189" s="174"/>
      <c r="G189" s="174"/>
      <c r="H189" s="174"/>
      <c r="I189" s="174"/>
      <c r="J189" s="174"/>
      <c r="K189" s="174"/>
      <c r="L189" s="174"/>
      <c r="M189" s="174"/>
      <c r="N189" s="174"/>
      <c r="O189" s="174"/>
      <c r="P189" s="174"/>
      <c r="Q189" s="174"/>
      <c r="R189" s="174"/>
      <c r="S189" s="174"/>
      <c r="T189" s="174"/>
      <c r="U189" s="174"/>
      <c r="V189" s="174"/>
      <c r="W189" s="174"/>
      <c r="X189" s="174"/>
      <c r="Y189" s="174"/>
      <c r="Z189" s="174"/>
      <c r="AA189" s="174"/>
      <c r="AB189" s="174"/>
      <c r="AC189" s="174"/>
      <c r="AD189" s="174"/>
      <c r="AE189" s="174"/>
      <c r="AF189" s="174"/>
      <c r="AG189" s="174"/>
      <c r="AH189" s="174"/>
      <c r="AI189" s="174"/>
      <c r="AJ189" s="174"/>
      <c r="AK189" s="174"/>
      <c r="AL189" s="174"/>
      <c r="AM189" s="174"/>
      <c r="AN189" s="174"/>
      <c r="AO189" s="174"/>
      <c r="AP189" s="174"/>
      <c r="AQ189" s="174"/>
      <c r="AR189" s="174"/>
      <c r="AS189" s="174"/>
      <c r="AT189" s="174"/>
      <c r="AU189" s="174"/>
      <c r="AV189" s="174"/>
      <c r="AW189" s="174"/>
      <c r="AX189" s="174"/>
      <c r="AY189" s="174"/>
      <c r="AZ189" s="174"/>
      <c r="BA189" s="174"/>
      <c r="BB189" s="174"/>
      <c r="BC189" s="174"/>
      <c r="BD189" s="174"/>
      <c r="BE189" s="174"/>
      <c r="BF189" s="174"/>
      <c r="BG189" s="174"/>
      <c r="BH189" s="174"/>
      <c r="BI189" s="174"/>
      <c r="BJ189" s="174"/>
      <c r="BK189" s="174"/>
      <c r="BL189" s="174"/>
      <c r="BM189" s="174"/>
      <c r="BN189" s="174"/>
      <c r="BO189" s="174"/>
      <c r="BP189" s="174"/>
      <c r="BQ189" s="174"/>
      <c r="BR189" s="174"/>
      <c r="BS189" s="174"/>
      <c r="BT189" s="174"/>
      <c r="BU189" s="174"/>
      <c r="BV189" s="174"/>
      <c r="BW189" s="174"/>
      <c r="BX189" s="174"/>
      <c r="BY189" s="174"/>
      <c r="BZ189" s="174"/>
      <c r="CA189" s="174"/>
      <c r="CB189" s="174"/>
      <c r="CC189" s="174"/>
      <c r="CD189" s="174"/>
      <c r="CE189" s="174"/>
      <c r="CF189" s="174"/>
      <c r="CG189" s="174"/>
      <c r="CH189" s="174"/>
      <c r="CI189" s="174"/>
      <c r="CJ189" s="174"/>
      <c r="CK189" s="174"/>
      <c r="CL189" s="174"/>
      <c r="CM189" s="174"/>
      <c r="CN189" s="174"/>
      <c r="CO189" s="174"/>
      <c r="CP189" s="174"/>
      <c r="CQ189" s="174"/>
      <c r="CR189" s="174"/>
      <c r="CS189" s="174"/>
      <c r="CT189" s="174"/>
      <c r="CU189" s="174"/>
      <c r="CV189" s="174"/>
      <c r="CW189" s="174"/>
      <c r="CX189" s="174"/>
      <c r="CY189" s="174"/>
      <c r="CZ189" s="174"/>
      <c r="DA189" s="174"/>
      <c r="DB189" s="174"/>
      <c r="DC189" s="174"/>
      <c r="DD189" s="174"/>
      <c r="DE189" s="174"/>
      <c r="DF189" s="174"/>
      <c r="DG189" s="174"/>
      <c r="DH189" s="174"/>
      <c r="DI189" s="174"/>
      <c r="DJ189" s="174"/>
      <c r="DK189" s="174"/>
      <c r="DL189" s="174"/>
      <c r="DM189" s="174"/>
      <c r="DN189" s="174"/>
      <c r="DO189" s="174"/>
      <c r="DP189" s="174"/>
      <c r="DQ189" s="174"/>
      <c r="DR189" s="174"/>
      <c r="DS189" s="174"/>
      <c r="DT189" s="174"/>
      <c r="DU189" s="174"/>
      <c r="DV189" s="174"/>
      <c r="DW189" s="174"/>
      <c r="DX189" s="174"/>
      <c r="DY189" s="174"/>
      <c r="DZ189" s="174"/>
      <c r="EA189" s="174"/>
      <c r="EB189" s="174"/>
      <c r="EC189" s="174"/>
      <c r="ED189" s="174"/>
      <c r="EE189" s="174"/>
      <c r="EF189" s="174"/>
      <c r="EG189" s="174"/>
      <c r="EH189" s="174"/>
      <c r="EI189" s="174"/>
      <c r="EJ189" s="174"/>
      <c r="EK189" s="174"/>
      <c r="EL189" s="174"/>
      <c r="EM189" s="174"/>
      <c r="EN189" s="174"/>
      <c r="EO189" s="174"/>
      <c r="EP189" s="174"/>
      <c r="EQ189" s="174"/>
      <c r="ER189" s="174"/>
      <c r="ES189" s="174"/>
      <c r="ET189" s="174"/>
      <c r="EU189" s="174"/>
      <c r="EV189" s="174"/>
      <c r="EW189" s="174"/>
      <c r="EX189" s="174"/>
      <c r="EY189" s="174"/>
      <c r="EZ189" s="174"/>
      <c r="FA189" s="174"/>
      <c r="FB189" s="174"/>
      <c r="FC189" s="174"/>
      <c r="FD189" s="174"/>
      <c r="FE189" s="174"/>
      <c r="FF189" s="174"/>
      <c r="FG189" s="174"/>
      <c r="FH189" s="174"/>
      <c r="FI189" s="174"/>
      <c r="FJ189" s="174"/>
      <c r="FK189" s="174"/>
      <c r="FL189" s="174"/>
      <c r="FM189" s="174"/>
      <c r="FN189" s="174"/>
      <c r="FO189" s="174"/>
      <c r="FP189" s="174"/>
      <c r="FQ189" s="174"/>
      <c r="FR189" s="174"/>
      <c r="FS189" s="174"/>
      <c r="FT189" s="174"/>
      <c r="FU189" s="174"/>
      <c r="FV189" s="174"/>
      <c r="FW189" s="174"/>
      <c r="FX189" s="174"/>
      <c r="FY189" s="174"/>
      <c r="FZ189" s="174"/>
      <c r="GA189" s="174"/>
      <c r="GB189" s="174"/>
      <c r="GC189" s="174"/>
      <c r="GD189" s="174"/>
      <c r="GE189" s="174"/>
      <c r="GF189" s="174"/>
      <c r="GG189" s="174"/>
      <c r="GH189" s="174"/>
      <c r="GI189" s="174"/>
      <c r="GJ189" s="174"/>
      <c r="GK189" s="174"/>
      <c r="GL189" s="174"/>
      <c r="GM189" s="174"/>
      <c r="GN189" s="174"/>
      <c r="GO189" s="174"/>
      <c r="GP189" s="174"/>
      <c r="GQ189" s="174"/>
      <c r="GR189" s="174"/>
      <c r="GS189" s="174"/>
      <c r="GT189" s="174"/>
      <c r="GU189" s="174"/>
      <c r="GV189" s="174"/>
      <c r="GW189" s="174"/>
      <c r="GX189" s="174"/>
      <c r="GY189" s="174"/>
      <c r="GZ189" s="174"/>
      <c r="HA189" s="174"/>
      <c r="HB189" s="174"/>
      <c r="HC189" s="174"/>
      <c r="HD189" s="174"/>
      <c r="HE189" s="174"/>
      <c r="HF189" s="174"/>
      <c r="HG189" s="174"/>
      <c r="HH189" s="174"/>
      <c r="HI189" s="174"/>
      <c r="HJ189" s="174"/>
      <c r="HK189" s="174"/>
      <c r="HL189" s="174"/>
      <c r="HM189" s="174"/>
      <c r="HN189" s="174"/>
      <c r="HO189" s="174"/>
      <c r="HP189" s="174"/>
      <c r="HQ189" s="174"/>
      <c r="HR189" s="174"/>
      <c r="HS189" s="174"/>
      <c r="HT189" s="174"/>
      <c r="HU189" s="174"/>
      <c r="HV189" s="174"/>
      <c r="HW189" s="174"/>
      <c r="HX189" s="174"/>
      <c r="HY189" s="174"/>
      <c r="HZ189" s="174"/>
      <c r="IA189" s="174"/>
      <c r="IB189" s="174"/>
      <c r="IC189" s="174"/>
      <c r="ID189" s="174"/>
      <c r="IE189" s="174"/>
      <c r="IF189" s="174"/>
      <c r="IG189" s="174"/>
      <c r="IH189" s="174"/>
      <c r="II189" s="174"/>
      <c r="IJ189" s="174"/>
      <c r="IK189" s="174"/>
      <c r="IL189" s="174"/>
      <c r="IM189" s="174"/>
      <c r="IN189" s="174"/>
      <c r="IO189" s="174"/>
      <c r="IP189" s="174"/>
      <c r="IQ189" s="174"/>
      <c r="IR189" s="174"/>
      <c r="IS189" s="174"/>
      <c r="IT189" s="174"/>
      <c r="IU189" s="75"/>
      <c r="IV189" s="75"/>
      <c r="IW189" s="75"/>
      <c r="IX189" s="75"/>
      <c r="IY189" s="75"/>
      <c r="IZ189" s="75"/>
      <c r="JA189" s="75"/>
      <c r="JB189" s="75"/>
      <c r="JC189" s="75"/>
      <c r="JD189" s="75"/>
      <c r="JF189" s="710"/>
      <c r="JG189" s="710"/>
      <c r="JH189" s="178">
        <f t="shared" si="11"/>
        <v>0</v>
      </c>
      <c r="JI189" s="174">
        <f t="shared" si="12"/>
        <v>0</v>
      </c>
    </row>
    <row r="190" spans="2:269" ht="15" customHeight="1" x14ac:dyDescent="0.25">
      <c r="B190" s="113">
        <v>187</v>
      </c>
      <c r="C190" s="353" t="str">
        <f t="shared" si="13"/>
        <v/>
      </c>
      <c r="D190" s="353" t="str">
        <f t="shared" si="14"/>
        <v/>
      </c>
      <c r="E190" s="174"/>
      <c r="F190" s="174"/>
      <c r="G190" s="174"/>
      <c r="H190" s="174"/>
      <c r="I190" s="174"/>
      <c r="J190" s="174"/>
      <c r="K190" s="174"/>
      <c r="L190" s="174"/>
      <c r="M190" s="174"/>
      <c r="N190" s="174"/>
      <c r="O190" s="174"/>
      <c r="P190" s="174"/>
      <c r="Q190" s="174"/>
      <c r="R190" s="174"/>
      <c r="S190" s="174"/>
      <c r="T190" s="174"/>
      <c r="U190" s="174"/>
      <c r="V190" s="174"/>
      <c r="W190" s="174"/>
      <c r="X190" s="174"/>
      <c r="Y190" s="174"/>
      <c r="Z190" s="174"/>
      <c r="AA190" s="174"/>
      <c r="AB190" s="174"/>
      <c r="AC190" s="174"/>
      <c r="AD190" s="174"/>
      <c r="AE190" s="174"/>
      <c r="AF190" s="174"/>
      <c r="AG190" s="174"/>
      <c r="AH190" s="174"/>
      <c r="AI190" s="174"/>
      <c r="AJ190" s="174"/>
      <c r="AK190" s="174"/>
      <c r="AL190" s="174"/>
      <c r="AM190" s="174"/>
      <c r="AN190" s="174"/>
      <c r="AO190" s="174"/>
      <c r="AP190" s="174"/>
      <c r="AQ190" s="174"/>
      <c r="AR190" s="174"/>
      <c r="AS190" s="174"/>
      <c r="AT190" s="174"/>
      <c r="AU190" s="174"/>
      <c r="AV190" s="174"/>
      <c r="AW190" s="174"/>
      <c r="AX190" s="174"/>
      <c r="AY190" s="174"/>
      <c r="AZ190" s="174"/>
      <c r="BA190" s="174"/>
      <c r="BB190" s="174"/>
      <c r="BC190" s="174"/>
      <c r="BD190" s="174"/>
      <c r="BE190" s="174"/>
      <c r="BF190" s="174"/>
      <c r="BG190" s="174"/>
      <c r="BH190" s="174"/>
      <c r="BI190" s="174"/>
      <c r="BJ190" s="174"/>
      <c r="BK190" s="174"/>
      <c r="BL190" s="174"/>
      <c r="BM190" s="174"/>
      <c r="BN190" s="174"/>
      <c r="BO190" s="174"/>
      <c r="BP190" s="174"/>
      <c r="BQ190" s="174"/>
      <c r="BR190" s="174"/>
      <c r="BS190" s="174"/>
      <c r="BT190" s="174"/>
      <c r="BU190" s="174"/>
      <c r="BV190" s="174"/>
      <c r="BW190" s="174"/>
      <c r="BX190" s="174"/>
      <c r="BY190" s="174"/>
      <c r="BZ190" s="174"/>
      <c r="CA190" s="174"/>
      <c r="CB190" s="174"/>
      <c r="CC190" s="174"/>
      <c r="CD190" s="174"/>
      <c r="CE190" s="174"/>
      <c r="CF190" s="174"/>
      <c r="CG190" s="174"/>
      <c r="CH190" s="174"/>
      <c r="CI190" s="174"/>
      <c r="CJ190" s="174"/>
      <c r="CK190" s="174"/>
      <c r="CL190" s="174"/>
      <c r="CM190" s="174"/>
      <c r="CN190" s="174"/>
      <c r="CO190" s="174"/>
      <c r="CP190" s="174"/>
      <c r="CQ190" s="174"/>
      <c r="CR190" s="174"/>
      <c r="CS190" s="174"/>
      <c r="CT190" s="174"/>
      <c r="CU190" s="174"/>
      <c r="CV190" s="174"/>
      <c r="CW190" s="174"/>
      <c r="CX190" s="174"/>
      <c r="CY190" s="174"/>
      <c r="CZ190" s="174"/>
      <c r="DA190" s="174"/>
      <c r="DB190" s="174"/>
      <c r="DC190" s="174"/>
      <c r="DD190" s="174"/>
      <c r="DE190" s="174"/>
      <c r="DF190" s="174"/>
      <c r="DG190" s="174"/>
      <c r="DH190" s="174"/>
      <c r="DI190" s="174"/>
      <c r="DJ190" s="174"/>
      <c r="DK190" s="174"/>
      <c r="DL190" s="174"/>
      <c r="DM190" s="174"/>
      <c r="DN190" s="174"/>
      <c r="DO190" s="174"/>
      <c r="DP190" s="174"/>
      <c r="DQ190" s="174"/>
      <c r="DR190" s="174"/>
      <c r="DS190" s="174"/>
      <c r="DT190" s="174"/>
      <c r="DU190" s="174"/>
      <c r="DV190" s="174"/>
      <c r="DW190" s="174"/>
      <c r="DX190" s="174"/>
      <c r="DY190" s="174"/>
      <c r="DZ190" s="174"/>
      <c r="EA190" s="174"/>
      <c r="EB190" s="174"/>
      <c r="EC190" s="174"/>
      <c r="ED190" s="174"/>
      <c r="EE190" s="174"/>
      <c r="EF190" s="174"/>
      <c r="EG190" s="174"/>
      <c r="EH190" s="174"/>
      <c r="EI190" s="174"/>
      <c r="EJ190" s="174"/>
      <c r="EK190" s="174"/>
      <c r="EL190" s="174"/>
      <c r="EM190" s="174"/>
      <c r="EN190" s="174"/>
      <c r="EO190" s="174"/>
      <c r="EP190" s="174"/>
      <c r="EQ190" s="174"/>
      <c r="ER190" s="174"/>
      <c r="ES190" s="174"/>
      <c r="ET190" s="174"/>
      <c r="EU190" s="174"/>
      <c r="EV190" s="174"/>
      <c r="EW190" s="174"/>
      <c r="EX190" s="174"/>
      <c r="EY190" s="174"/>
      <c r="EZ190" s="174"/>
      <c r="FA190" s="174"/>
      <c r="FB190" s="174"/>
      <c r="FC190" s="174"/>
      <c r="FD190" s="174"/>
      <c r="FE190" s="174"/>
      <c r="FF190" s="174"/>
      <c r="FG190" s="174"/>
      <c r="FH190" s="174"/>
      <c r="FI190" s="174"/>
      <c r="FJ190" s="174"/>
      <c r="FK190" s="174"/>
      <c r="FL190" s="174"/>
      <c r="FM190" s="174"/>
      <c r="FN190" s="174"/>
      <c r="FO190" s="174"/>
      <c r="FP190" s="174"/>
      <c r="FQ190" s="174"/>
      <c r="FR190" s="174"/>
      <c r="FS190" s="174"/>
      <c r="FT190" s="174"/>
      <c r="FU190" s="174"/>
      <c r="FV190" s="174"/>
      <c r="FW190" s="174"/>
      <c r="FX190" s="174"/>
      <c r="FY190" s="174"/>
      <c r="FZ190" s="174"/>
      <c r="GA190" s="174"/>
      <c r="GB190" s="174"/>
      <c r="GC190" s="174"/>
      <c r="GD190" s="174"/>
      <c r="GE190" s="174"/>
      <c r="GF190" s="174"/>
      <c r="GG190" s="174"/>
      <c r="GH190" s="174"/>
      <c r="GI190" s="174"/>
      <c r="GJ190" s="174"/>
      <c r="GK190" s="174"/>
      <c r="GL190" s="174"/>
      <c r="GM190" s="174"/>
      <c r="GN190" s="174"/>
      <c r="GO190" s="174"/>
      <c r="GP190" s="174"/>
      <c r="GQ190" s="174"/>
      <c r="GR190" s="174"/>
      <c r="GS190" s="174"/>
      <c r="GT190" s="174"/>
      <c r="GU190" s="174"/>
      <c r="GV190" s="174"/>
      <c r="GW190" s="174"/>
      <c r="GX190" s="174"/>
      <c r="GY190" s="174"/>
      <c r="GZ190" s="174"/>
      <c r="HA190" s="174"/>
      <c r="HB190" s="174"/>
      <c r="HC190" s="174"/>
      <c r="HD190" s="174"/>
      <c r="HE190" s="174"/>
      <c r="HF190" s="174"/>
      <c r="HG190" s="174"/>
      <c r="HH190" s="174"/>
      <c r="HI190" s="174"/>
      <c r="HJ190" s="174"/>
      <c r="HK190" s="174"/>
      <c r="HL190" s="174"/>
      <c r="HM190" s="174"/>
      <c r="HN190" s="174"/>
      <c r="HO190" s="174"/>
      <c r="HP190" s="174"/>
      <c r="HQ190" s="174"/>
      <c r="HR190" s="174"/>
      <c r="HS190" s="174"/>
      <c r="HT190" s="174"/>
      <c r="HU190" s="174"/>
      <c r="HV190" s="174"/>
      <c r="HW190" s="174"/>
      <c r="HX190" s="174"/>
      <c r="HY190" s="174"/>
      <c r="HZ190" s="174"/>
      <c r="IA190" s="174"/>
      <c r="IB190" s="174"/>
      <c r="IC190" s="174"/>
      <c r="ID190" s="174"/>
      <c r="IE190" s="174"/>
      <c r="IF190" s="174"/>
      <c r="IG190" s="174"/>
      <c r="IH190" s="174"/>
      <c r="II190" s="174"/>
      <c r="IJ190" s="174"/>
      <c r="IK190" s="174"/>
      <c r="IL190" s="174"/>
      <c r="IM190" s="174"/>
      <c r="IN190" s="174"/>
      <c r="IO190" s="174"/>
      <c r="IP190" s="174"/>
      <c r="IQ190" s="174"/>
      <c r="IR190" s="174"/>
      <c r="IS190" s="174"/>
      <c r="IT190" s="174"/>
      <c r="IU190" s="75"/>
      <c r="IV190" s="75"/>
      <c r="IW190" s="75"/>
      <c r="IX190" s="75"/>
      <c r="IY190" s="75"/>
      <c r="IZ190" s="75"/>
      <c r="JA190" s="75"/>
      <c r="JB190" s="75"/>
      <c r="JC190" s="75"/>
      <c r="JD190" s="75"/>
      <c r="JF190" s="710"/>
      <c r="JG190" s="710"/>
      <c r="JH190" s="178">
        <f t="shared" si="11"/>
        <v>0</v>
      </c>
      <c r="JI190" s="174">
        <f t="shared" si="12"/>
        <v>0</v>
      </c>
    </row>
    <row r="191" spans="2:269" ht="15" customHeight="1" x14ac:dyDescent="0.25">
      <c r="B191" s="113">
        <v>188</v>
      </c>
      <c r="C191" s="353" t="str">
        <f t="shared" si="13"/>
        <v/>
      </c>
      <c r="D191" s="353" t="str">
        <f t="shared" si="14"/>
        <v/>
      </c>
      <c r="E191" s="174"/>
      <c r="F191" s="174"/>
      <c r="G191" s="174"/>
      <c r="H191" s="174"/>
      <c r="I191" s="174"/>
      <c r="J191" s="174"/>
      <c r="K191" s="174"/>
      <c r="L191" s="174"/>
      <c r="M191" s="174"/>
      <c r="N191" s="174"/>
      <c r="O191" s="174"/>
      <c r="P191" s="174"/>
      <c r="Q191" s="174"/>
      <c r="R191" s="174"/>
      <c r="S191" s="174"/>
      <c r="T191" s="174"/>
      <c r="U191" s="174"/>
      <c r="V191" s="174"/>
      <c r="W191" s="174"/>
      <c r="X191" s="174"/>
      <c r="Y191" s="174"/>
      <c r="Z191" s="174"/>
      <c r="AA191" s="174"/>
      <c r="AB191" s="174"/>
      <c r="AC191" s="174"/>
      <c r="AD191" s="174"/>
      <c r="AE191" s="174"/>
      <c r="AF191" s="174"/>
      <c r="AG191" s="174"/>
      <c r="AH191" s="174"/>
      <c r="AI191" s="174"/>
      <c r="AJ191" s="174"/>
      <c r="AK191" s="174"/>
      <c r="AL191" s="174"/>
      <c r="AM191" s="174"/>
      <c r="AN191" s="174"/>
      <c r="AO191" s="174"/>
      <c r="AP191" s="174"/>
      <c r="AQ191" s="174"/>
      <c r="AR191" s="174"/>
      <c r="AS191" s="174"/>
      <c r="AT191" s="174"/>
      <c r="AU191" s="174"/>
      <c r="AV191" s="174"/>
      <c r="AW191" s="174"/>
      <c r="AX191" s="174"/>
      <c r="AY191" s="174"/>
      <c r="AZ191" s="174"/>
      <c r="BA191" s="174"/>
      <c r="BB191" s="174"/>
      <c r="BC191" s="174"/>
      <c r="BD191" s="174"/>
      <c r="BE191" s="174"/>
      <c r="BF191" s="174"/>
      <c r="BG191" s="174"/>
      <c r="BH191" s="174"/>
      <c r="BI191" s="174"/>
      <c r="BJ191" s="174"/>
      <c r="BK191" s="174"/>
      <c r="BL191" s="174"/>
      <c r="BM191" s="174"/>
      <c r="BN191" s="174"/>
      <c r="BO191" s="174"/>
      <c r="BP191" s="174"/>
      <c r="BQ191" s="174"/>
      <c r="BR191" s="174"/>
      <c r="BS191" s="174"/>
      <c r="BT191" s="174"/>
      <c r="BU191" s="174"/>
      <c r="BV191" s="174"/>
      <c r="BW191" s="174"/>
      <c r="BX191" s="174"/>
      <c r="BY191" s="174"/>
      <c r="BZ191" s="174"/>
      <c r="CA191" s="174"/>
      <c r="CB191" s="174"/>
      <c r="CC191" s="174"/>
      <c r="CD191" s="174"/>
      <c r="CE191" s="174"/>
      <c r="CF191" s="174"/>
      <c r="CG191" s="174"/>
      <c r="CH191" s="174"/>
      <c r="CI191" s="174"/>
      <c r="CJ191" s="174"/>
      <c r="CK191" s="174"/>
      <c r="CL191" s="174"/>
      <c r="CM191" s="174"/>
      <c r="CN191" s="174"/>
      <c r="CO191" s="174"/>
      <c r="CP191" s="174"/>
      <c r="CQ191" s="174"/>
      <c r="CR191" s="174"/>
      <c r="CS191" s="174"/>
      <c r="CT191" s="174"/>
      <c r="CU191" s="174"/>
      <c r="CV191" s="174"/>
      <c r="CW191" s="174"/>
      <c r="CX191" s="174"/>
      <c r="CY191" s="174"/>
      <c r="CZ191" s="174"/>
      <c r="DA191" s="174"/>
      <c r="DB191" s="174"/>
      <c r="DC191" s="174"/>
      <c r="DD191" s="174"/>
      <c r="DE191" s="174"/>
      <c r="DF191" s="174"/>
      <c r="DG191" s="174"/>
      <c r="DH191" s="174"/>
      <c r="DI191" s="174"/>
      <c r="DJ191" s="174"/>
      <c r="DK191" s="174"/>
      <c r="DL191" s="174"/>
      <c r="DM191" s="174"/>
      <c r="DN191" s="174"/>
      <c r="DO191" s="174"/>
      <c r="DP191" s="174"/>
      <c r="DQ191" s="174"/>
      <c r="DR191" s="174"/>
      <c r="DS191" s="174"/>
      <c r="DT191" s="174"/>
      <c r="DU191" s="174"/>
      <c r="DV191" s="174"/>
      <c r="DW191" s="174"/>
      <c r="DX191" s="174"/>
      <c r="DY191" s="174"/>
      <c r="DZ191" s="174"/>
      <c r="EA191" s="174"/>
      <c r="EB191" s="174"/>
      <c r="EC191" s="174"/>
      <c r="ED191" s="174"/>
      <c r="EE191" s="174"/>
      <c r="EF191" s="174"/>
      <c r="EG191" s="174"/>
      <c r="EH191" s="174"/>
      <c r="EI191" s="174"/>
      <c r="EJ191" s="174"/>
      <c r="EK191" s="174"/>
      <c r="EL191" s="174"/>
      <c r="EM191" s="174"/>
      <c r="EN191" s="174"/>
      <c r="EO191" s="174"/>
      <c r="EP191" s="174"/>
      <c r="EQ191" s="174"/>
      <c r="ER191" s="174"/>
      <c r="ES191" s="174"/>
      <c r="ET191" s="174"/>
      <c r="EU191" s="174"/>
      <c r="EV191" s="174"/>
      <c r="EW191" s="174"/>
      <c r="EX191" s="174"/>
      <c r="EY191" s="174"/>
      <c r="EZ191" s="174"/>
      <c r="FA191" s="174"/>
      <c r="FB191" s="174"/>
      <c r="FC191" s="174"/>
      <c r="FD191" s="174"/>
      <c r="FE191" s="174"/>
      <c r="FF191" s="174"/>
      <c r="FG191" s="174"/>
      <c r="FH191" s="174"/>
      <c r="FI191" s="174"/>
      <c r="FJ191" s="174"/>
      <c r="FK191" s="174"/>
      <c r="FL191" s="174"/>
      <c r="FM191" s="174"/>
      <c r="FN191" s="174"/>
      <c r="FO191" s="174"/>
      <c r="FP191" s="174"/>
      <c r="FQ191" s="174"/>
      <c r="FR191" s="174"/>
      <c r="FS191" s="174"/>
      <c r="FT191" s="174"/>
      <c r="FU191" s="174"/>
      <c r="FV191" s="174"/>
      <c r="FW191" s="174"/>
      <c r="FX191" s="174"/>
      <c r="FY191" s="174"/>
      <c r="FZ191" s="174"/>
      <c r="GA191" s="174"/>
      <c r="GB191" s="174"/>
      <c r="GC191" s="174"/>
      <c r="GD191" s="174"/>
      <c r="GE191" s="174"/>
      <c r="GF191" s="174"/>
      <c r="GG191" s="174"/>
      <c r="GH191" s="174"/>
      <c r="GI191" s="174"/>
      <c r="GJ191" s="174"/>
      <c r="GK191" s="174"/>
      <c r="GL191" s="174"/>
      <c r="GM191" s="174"/>
      <c r="GN191" s="174"/>
      <c r="GO191" s="174"/>
      <c r="GP191" s="174"/>
      <c r="GQ191" s="174"/>
      <c r="GR191" s="174"/>
      <c r="GS191" s="174"/>
      <c r="GT191" s="174"/>
      <c r="GU191" s="174"/>
      <c r="GV191" s="174"/>
      <c r="GW191" s="174"/>
      <c r="GX191" s="174"/>
      <c r="GY191" s="174"/>
      <c r="GZ191" s="174"/>
      <c r="HA191" s="174"/>
      <c r="HB191" s="174"/>
      <c r="HC191" s="174"/>
      <c r="HD191" s="174"/>
      <c r="HE191" s="174"/>
      <c r="HF191" s="174"/>
      <c r="HG191" s="174"/>
      <c r="HH191" s="174"/>
      <c r="HI191" s="174"/>
      <c r="HJ191" s="174"/>
      <c r="HK191" s="174"/>
      <c r="HL191" s="174"/>
      <c r="HM191" s="174"/>
      <c r="HN191" s="174"/>
      <c r="HO191" s="174"/>
      <c r="HP191" s="174"/>
      <c r="HQ191" s="174"/>
      <c r="HR191" s="174"/>
      <c r="HS191" s="174"/>
      <c r="HT191" s="174"/>
      <c r="HU191" s="174"/>
      <c r="HV191" s="174"/>
      <c r="HW191" s="174"/>
      <c r="HX191" s="174"/>
      <c r="HY191" s="174"/>
      <c r="HZ191" s="174"/>
      <c r="IA191" s="174"/>
      <c r="IB191" s="174"/>
      <c r="IC191" s="174"/>
      <c r="ID191" s="174"/>
      <c r="IE191" s="174"/>
      <c r="IF191" s="174"/>
      <c r="IG191" s="174"/>
      <c r="IH191" s="174"/>
      <c r="II191" s="174"/>
      <c r="IJ191" s="174"/>
      <c r="IK191" s="174"/>
      <c r="IL191" s="174"/>
      <c r="IM191" s="174"/>
      <c r="IN191" s="174"/>
      <c r="IO191" s="174"/>
      <c r="IP191" s="174"/>
      <c r="IQ191" s="174"/>
      <c r="IR191" s="174"/>
      <c r="IS191" s="174"/>
      <c r="IT191" s="174"/>
      <c r="IU191" s="75"/>
      <c r="IV191" s="75"/>
      <c r="IW191" s="75"/>
      <c r="IX191" s="75"/>
      <c r="IY191" s="75"/>
      <c r="IZ191" s="75"/>
      <c r="JA191" s="75"/>
      <c r="JB191" s="75"/>
      <c r="JC191" s="75"/>
      <c r="JD191" s="75"/>
      <c r="JF191" s="710"/>
      <c r="JG191" s="710"/>
      <c r="JH191" s="178">
        <f t="shared" si="11"/>
        <v>0</v>
      </c>
      <c r="JI191" s="174">
        <f t="shared" si="12"/>
        <v>0</v>
      </c>
    </row>
    <row r="192" spans="2:269" ht="15" customHeight="1" x14ac:dyDescent="0.25">
      <c r="B192" s="113">
        <v>189</v>
      </c>
      <c r="C192" s="353" t="str">
        <f t="shared" si="13"/>
        <v/>
      </c>
      <c r="D192" s="353" t="str">
        <f t="shared" si="14"/>
        <v/>
      </c>
      <c r="E192" s="174"/>
      <c r="F192" s="174"/>
      <c r="G192" s="174"/>
      <c r="H192" s="174"/>
      <c r="I192" s="174"/>
      <c r="J192" s="174"/>
      <c r="K192" s="174"/>
      <c r="L192" s="174"/>
      <c r="M192" s="174"/>
      <c r="N192" s="174"/>
      <c r="O192" s="174"/>
      <c r="P192" s="174"/>
      <c r="Q192" s="174"/>
      <c r="R192" s="174"/>
      <c r="S192" s="174"/>
      <c r="T192" s="174"/>
      <c r="U192" s="174"/>
      <c r="V192" s="174"/>
      <c r="W192" s="174"/>
      <c r="X192" s="174"/>
      <c r="Y192" s="174"/>
      <c r="Z192" s="174"/>
      <c r="AA192" s="174"/>
      <c r="AB192" s="174"/>
      <c r="AC192" s="174"/>
      <c r="AD192" s="174"/>
      <c r="AE192" s="174"/>
      <c r="AF192" s="174"/>
      <c r="AG192" s="174"/>
      <c r="AH192" s="174"/>
      <c r="AI192" s="174"/>
      <c r="AJ192" s="174"/>
      <c r="AK192" s="174"/>
      <c r="AL192" s="174"/>
      <c r="AM192" s="174"/>
      <c r="AN192" s="174"/>
      <c r="AO192" s="174"/>
      <c r="AP192" s="174"/>
      <c r="AQ192" s="174"/>
      <c r="AR192" s="174"/>
      <c r="AS192" s="174"/>
      <c r="AT192" s="174"/>
      <c r="AU192" s="174"/>
      <c r="AV192" s="174"/>
      <c r="AW192" s="174"/>
      <c r="AX192" s="174"/>
      <c r="AY192" s="174"/>
      <c r="AZ192" s="174"/>
      <c r="BA192" s="174"/>
      <c r="BB192" s="174"/>
      <c r="BC192" s="174"/>
      <c r="BD192" s="174"/>
      <c r="BE192" s="174"/>
      <c r="BF192" s="174"/>
      <c r="BG192" s="174"/>
      <c r="BH192" s="174"/>
      <c r="BI192" s="174"/>
      <c r="BJ192" s="174"/>
      <c r="BK192" s="174"/>
      <c r="BL192" s="174"/>
      <c r="BM192" s="174"/>
      <c r="BN192" s="174"/>
      <c r="BO192" s="174"/>
      <c r="BP192" s="174"/>
      <c r="BQ192" s="174"/>
      <c r="BR192" s="174"/>
      <c r="BS192" s="174"/>
      <c r="BT192" s="174"/>
      <c r="BU192" s="174"/>
      <c r="BV192" s="174"/>
      <c r="BW192" s="174"/>
      <c r="BX192" s="174"/>
      <c r="BY192" s="174"/>
      <c r="BZ192" s="174"/>
      <c r="CA192" s="174"/>
      <c r="CB192" s="174"/>
      <c r="CC192" s="174"/>
      <c r="CD192" s="174"/>
      <c r="CE192" s="174"/>
      <c r="CF192" s="174"/>
      <c r="CG192" s="174"/>
      <c r="CH192" s="174"/>
      <c r="CI192" s="174"/>
      <c r="CJ192" s="174"/>
      <c r="CK192" s="174"/>
      <c r="CL192" s="174"/>
      <c r="CM192" s="174"/>
      <c r="CN192" s="174"/>
      <c r="CO192" s="174"/>
      <c r="CP192" s="174"/>
      <c r="CQ192" s="174"/>
      <c r="CR192" s="174"/>
      <c r="CS192" s="174"/>
      <c r="CT192" s="174"/>
      <c r="CU192" s="174"/>
      <c r="CV192" s="174"/>
      <c r="CW192" s="174"/>
      <c r="CX192" s="174"/>
      <c r="CY192" s="174"/>
      <c r="CZ192" s="174"/>
      <c r="DA192" s="174"/>
      <c r="DB192" s="174"/>
      <c r="DC192" s="174"/>
      <c r="DD192" s="174"/>
      <c r="DE192" s="174"/>
      <c r="DF192" s="174"/>
      <c r="DG192" s="174"/>
      <c r="DH192" s="174"/>
      <c r="DI192" s="174"/>
      <c r="DJ192" s="174"/>
      <c r="DK192" s="174"/>
      <c r="DL192" s="174"/>
      <c r="DM192" s="174"/>
      <c r="DN192" s="174"/>
      <c r="DO192" s="174"/>
      <c r="DP192" s="174"/>
      <c r="DQ192" s="174"/>
      <c r="DR192" s="174"/>
      <c r="DS192" s="174"/>
      <c r="DT192" s="174"/>
      <c r="DU192" s="174"/>
      <c r="DV192" s="174"/>
      <c r="DW192" s="174"/>
      <c r="DX192" s="174"/>
      <c r="DY192" s="174"/>
      <c r="DZ192" s="174"/>
      <c r="EA192" s="174"/>
      <c r="EB192" s="174"/>
      <c r="EC192" s="174"/>
      <c r="ED192" s="174"/>
      <c r="EE192" s="174"/>
      <c r="EF192" s="174"/>
      <c r="EG192" s="174"/>
      <c r="EH192" s="174"/>
      <c r="EI192" s="174"/>
      <c r="EJ192" s="174"/>
      <c r="EK192" s="174"/>
      <c r="EL192" s="174"/>
      <c r="EM192" s="174"/>
      <c r="EN192" s="174"/>
      <c r="EO192" s="174"/>
      <c r="EP192" s="174"/>
      <c r="EQ192" s="174"/>
      <c r="ER192" s="174"/>
      <c r="ES192" s="174"/>
      <c r="ET192" s="174"/>
      <c r="EU192" s="174"/>
      <c r="EV192" s="174"/>
      <c r="EW192" s="174"/>
      <c r="EX192" s="174"/>
      <c r="EY192" s="174"/>
      <c r="EZ192" s="174"/>
      <c r="FA192" s="174"/>
      <c r="FB192" s="174"/>
      <c r="FC192" s="174"/>
      <c r="FD192" s="174"/>
      <c r="FE192" s="174"/>
      <c r="FF192" s="174"/>
      <c r="FG192" s="174"/>
      <c r="FH192" s="174"/>
      <c r="FI192" s="174"/>
      <c r="FJ192" s="174"/>
      <c r="FK192" s="174"/>
      <c r="FL192" s="174"/>
      <c r="FM192" s="174"/>
      <c r="FN192" s="174"/>
      <c r="FO192" s="174"/>
      <c r="FP192" s="174"/>
      <c r="FQ192" s="174"/>
      <c r="FR192" s="174"/>
      <c r="FS192" s="174"/>
      <c r="FT192" s="174"/>
      <c r="FU192" s="174"/>
      <c r="FV192" s="174"/>
      <c r="FW192" s="174"/>
      <c r="FX192" s="174"/>
      <c r="FY192" s="174"/>
      <c r="FZ192" s="174"/>
      <c r="GA192" s="174"/>
      <c r="GB192" s="174"/>
      <c r="GC192" s="174"/>
      <c r="GD192" s="174"/>
      <c r="GE192" s="174"/>
      <c r="GF192" s="174"/>
      <c r="GG192" s="174"/>
      <c r="GH192" s="174"/>
      <c r="GI192" s="174"/>
      <c r="GJ192" s="174"/>
      <c r="GK192" s="174"/>
      <c r="GL192" s="174"/>
      <c r="GM192" s="174"/>
      <c r="GN192" s="174"/>
      <c r="GO192" s="174"/>
      <c r="GP192" s="174"/>
      <c r="GQ192" s="174"/>
      <c r="GR192" s="174"/>
      <c r="GS192" s="174"/>
      <c r="GT192" s="174"/>
      <c r="GU192" s="174"/>
      <c r="GV192" s="174"/>
      <c r="GW192" s="174"/>
      <c r="GX192" s="174"/>
      <c r="GY192" s="174"/>
      <c r="GZ192" s="174"/>
      <c r="HA192" s="174"/>
      <c r="HB192" s="174"/>
      <c r="HC192" s="174"/>
      <c r="HD192" s="174"/>
      <c r="HE192" s="174"/>
      <c r="HF192" s="174"/>
      <c r="HG192" s="174"/>
      <c r="HH192" s="174"/>
      <c r="HI192" s="174"/>
      <c r="HJ192" s="174"/>
      <c r="HK192" s="174"/>
      <c r="HL192" s="174"/>
      <c r="HM192" s="174"/>
      <c r="HN192" s="174"/>
      <c r="HO192" s="174"/>
      <c r="HP192" s="174"/>
      <c r="HQ192" s="174"/>
      <c r="HR192" s="174"/>
      <c r="HS192" s="174"/>
      <c r="HT192" s="174"/>
      <c r="HU192" s="174"/>
      <c r="HV192" s="174"/>
      <c r="HW192" s="174"/>
      <c r="HX192" s="174"/>
      <c r="HY192" s="174"/>
      <c r="HZ192" s="174"/>
      <c r="IA192" s="174"/>
      <c r="IB192" s="174"/>
      <c r="IC192" s="174"/>
      <c r="ID192" s="174"/>
      <c r="IE192" s="174"/>
      <c r="IF192" s="174"/>
      <c r="IG192" s="174"/>
      <c r="IH192" s="174"/>
      <c r="II192" s="174"/>
      <c r="IJ192" s="174"/>
      <c r="IK192" s="174"/>
      <c r="IL192" s="174"/>
      <c r="IM192" s="174"/>
      <c r="IN192" s="174"/>
      <c r="IO192" s="174"/>
      <c r="IP192" s="174"/>
      <c r="IQ192" s="174"/>
      <c r="IR192" s="174"/>
      <c r="IS192" s="174"/>
      <c r="IT192" s="174"/>
      <c r="IU192" s="75"/>
      <c r="IV192" s="75"/>
      <c r="IW192" s="75"/>
      <c r="IX192" s="75"/>
      <c r="IY192" s="75"/>
      <c r="IZ192" s="75"/>
      <c r="JA192" s="75"/>
      <c r="JB192" s="75"/>
      <c r="JC192" s="75"/>
      <c r="JD192" s="75"/>
      <c r="JF192" s="710"/>
      <c r="JG192" s="710"/>
      <c r="JH192" s="178">
        <f t="shared" si="11"/>
        <v>0</v>
      </c>
      <c r="JI192" s="174">
        <f t="shared" si="12"/>
        <v>0</v>
      </c>
    </row>
    <row r="193" spans="2:269" ht="15" customHeight="1" x14ac:dyDescent="0.25">
      <c r="B193" s="113">
        <v>190</v>
      </c>
      <c r="C193" s="353" t="str">
        <f t="shared" si="13"/>
        <v/>
      </c>
      <c r="D193" s="353" t="str">
        <f t="shared" si="14"/>
        <v/>
      </c>
      <c r="E193" s="174"/>
      <c r="F193" s="174"/>
      <c r="G193" s="174"/>
      <c r="H193" s="174"/>
      <c r="I193" s="174"/>
      <c r="J193" s="174"/>
      <c r="K193" s="174"/>
      <c r="L193" s="174"/>
      <c r="M193" s="174"/>
      <c r="N193" s="174"/>
      <c r="O193" s="174"/>
      <c r="P193" s="174"/>
      <c r="Q193" s="174"/>
      <c r="R193" s="174"/>
      <c r="S193" s="174"/>
      <c r="T193" s="174"/>
      <c r="U193" s="174"/>
      <c r="V193" s="174"/>
      <c r="W193" s="174"/>
      <c r="X193" s="174"/>
      <c r="Y193" s="174"/>
      <c r="Z193" s="174"/>
      <c r="AA193" s="174"/>
      <c r="AB193" s="174"/>
      <c r="AC193" s="174"/>
      <c r="AD193" s="174"/>
      <c r="AE193" s="174"/>
      <c r="AF193" s="174"/>
      <c r="AG193" s="174"/>
      <c r="AH193" s="174"/>
      <c r="AI193" s="174"/>
      <c r="AJ193" s="174"/>
      <c r="AK193" s="174"/>
      <c r="AL193" s="174"/>
      <c r="AM193" s="174"/>
      <c r="AN193" s="174"/>
      <c r="AO193" s="174"/>
      <c r="AP193" s="174"/>
      <c r="AQ193" s="174"/>
      <c r="AR193" s="174"/>
      <c r="AS193" s="174"/>
      <c r="AT193" s="174"/>
      <c r="AU193" s="174"/>
      <c r="AV193" s="174"/>
      <c r="AW193" s="174"/>
      <c r="AX193" s="174"/>
      <c r="AY193" s="174"/>
      <c r="AZ193" s="174"/>
      <c r="BA193" s="174"/>
      <c r="BB193" s="174"/>
      <c r="BC193" s="174"/>
      <c r="BD193" s="174"/>
      <c r="BE193" s="174"/>
      <c r="BF193" s="174"/>
      <c r="BG193" s="174"/>
      <c r="BH193" s="174"/>
      <c r="BI193" s="174"/>
      <c r="BJ193" s="174"/>
      <c r="BK193" s="174"/>
      <c r="BL193" s="174"/>
      <c r="BM193" s="174"/>
      <c r="BN193" s="174"/>
      <c r="BO193" s="174"/>
      <c r="BP193" s="174"/>
      <c r="BQ193" s="174"/>
      <c r="BR193" s="174"/>
      <c r="BS193" s="174"/>
      <c r="BT193" s="174"/>
      <c r="BU193" s="174"/>
      <c r="BV193" s="174"/>
      <c r="BW193" s="174"/>
      <c r="BX193" s="174"/>
      <c r="BY193" s="174"/>
      <c r="BZ193" s="174"/>
      <c r="CA193" s="174"/>
      <c r="CB193" s="174"/>
      <c r="CC193" s="174"/>
      <c r="CD193" s="174"/>
      <c r="CE193" s="174"/>
      <c r="CF193" s="174"/>
      <c r="CG193" s="174"/>
      <c r="CH193" s="174"/>
      <c r="CI193" s="174"/>
      <c r="CJ193" s="174"/>
      <c r="CK193" s="174"/>
      <c r="CL193" s="174"/>
      <c r="CM193" s="174"/>
      <c r="CN193" s="174"/>
      <c r="CO193" s="174"/>
      <c r="CP193" s="174"/>
      <c r="CQ193" s="174"/>
      <c r="CR193" s="174"/>
      <c r="CS193" s="174"/>
      <c r="CT193" s="174"/>
      <c r="CU193" s="174"/>
      <c r="CV193" s="174"/>
      <c r="CW193" s="174"/>
      <c r="CX193" s="174"/>
      <c r="CY193" s="174"/>
      <c r="CZ193" s="174"/>
      <c r="DA193" s="174"/>
      <c r="DB193" s="174"/>
      <c r="DC193" s="174"/>
      <c r="DD193" s="174"/>
      <c r="DE193" s="174"/>
      <c r="DF193" s="174"/>
      <c r="DG193" s="174"/>
      <c r="DH193" s="174"/>
      <c r="DI193" s="174"/>
      <c r="DJ193" s="174"/>
      <c r="DK193" s="174"/>
      <c r="DL193" s="174"/>
      <c r="DM193" s="174"/>
      <c r="DN193" s="174"/>
      <c r="DO193" s="174"/>
      <c r="DP193" s="174"/>
      <c r="DQ193" s="174"/>
      <c r="DR193" s="174"/>
      <c r="DS193" s="174"/>
      <c r="DT193" s="174"/>
      <c r="DU193" s="174"/>
      <c r="DV193" s="174"/>
      <c r="DW193" s="174"/>
      <c r="DX193" s="174"/>
      <c r="DY193" s="174"/>
      <c r="DZ193" s="174"/>
      <c r="EA193" s="174"/>
      <c r="EB193" s="174"/>
      <c r="EC193" s="174"/>
      <c r="ED193" s="174"/>
      <c r="EE193" s="174"/>
      <c r="EF193" s="174"/>
      <c r="EG193" s="174"/>
      <c r="EH193" s="174"/>
      <c r="EI193" s="174"/>
      <c r="EJ193" s="174"/>
      <c r="EK193" s="174"/>
      <c r="EL193" s="174"/>
      <c r="EM193" s="174"/>
      <c r="EN193" s="174"/>
      <c r="EO193" s="174"/>
      <c r="EP193" s="174"/>
      <c r="EQ193" s="174"/>
      <c r="ER193" s="174"/>
      <c r="ES193" s="174"/>
      <c r="ET193" s="174"/>
      <c r="EU193" s="174"/>
      <c r="EV193" s="174"/>
      <c r="EW193" s="174"/>
      <c r="EX193" s="174"/>
      <c r="EY193" s="174"/>
      <c r="EZ193" s="174"/>
      <c r="FA193" s="174"/>
      <c r="FB193" s="174"/>
      <c r="FC193" s="174"/>
      <c r="FD193" s="174"/>
      <c r="FE193" s="174"/>
      <c r="FF193" s="174"/>
      <c r="FG193" s="174"/>
      <c r="FH193" s="174"/>
      <c r="FI193" s="174"/>
      <c r="FJ193" s="174"/>
      <c r="FK193" s="174"/>
      <c r="FL193" s="174"/>
      <c r="FM193" s="174"/>
      <c r="FN193" s="174"/>
      <c r="FO193" s="174"/>
      <c r="FP193" s="174"/>
      <c r="FQ193" s="174"/>
      <c r="FR193" s="174"/>
      <c r="FS193" s="174"/>
      <c r="FT193" s="174"/>
      <c r="FU193" s="174"/>
      <c r="FV193" s="174"/>
      <c r="FW193" s="174"/>
      <c r="FX193" s="174"/>
      <c r="FY193" s="174"/>
      <c r="FZ193" s="174"/>
      <c r="GA193" s="174"/>
      <c r="GB193" s="174"/>
      <c r="GC193" s="174"/>
      <c r="GD193" s="174"/>
      <c r="GE193" s="174"/>
      <c r="GF193" s="174"/>
      <c r="GG193" s="174"/>
      <c r="GH193" s="174"/>
      <c r="GI193" s="174"/>
      <c r="GJ193" s="174"/>
      <c r="GK193" s="174"/>
      <c r="GL193" s="174"/>
      <c r="GM193" s="174"/>
      <c r="GN193" s="174"/>
      <c r="GO193" s="174"/>
      <c r="GP193" s="174"/>
      <c r="GQ193" s="174"/>
      <c r="GR193" s="174"/>
      <c r="GS193" s="174"/>
      <c r="GT193" s="174"/>
      <c r="GU193" s="174"/>
      <c r="GV193" s="174"/>
      <c r="GW193" s="174"/>
      <c r="GX193" s="174"/>
      <c r="GY193" s="174"/>
      <c r="GZ193" s="174"/>
      <c r="HA193" s="174"/>
      <c r="HB193" s="174"/>
      <c r="HC193" s="174"/>
      <c r="HD193" s="174"/>
      <c r="HE193" s="174"/>
      <c r="HF193" s="174"/>
      <c r="HG193" s="174"/>
      <c r="HH193" s="174"/>
      <c r="HI193" s="174"/>
      <c r="HJ193" s="174"/>
      <c r="HK193" s="174"/>
      <c r="HL193" s="174"/>
      <c r="HM193" s="174"/>
      <c r="HN193" s="174"/>
      <c r="HO193" s="174"/>
      <c r="HP193" s="174"/>
      <c r="HQ193" s="174"/>
      <c r="HR193" s="174"/>
      <c r="HS193" s="174"/>
      <c r="HT193" s="174"/>
      <c r="HU193" s="174"/>
      <c r="HV193" s="174"/>
      <c r="HW193" s="174"/>
      <c r="HX193" s="174"/>
      <c r="HY193" s="174"/>
      <c r="HZ193" s="174"/>
      <c r="IA193" s="174"/>
      <c r="IB193" s="174"/>
      <c r="IC193" s="174"/>
      <c r="ID193" s="174"/>
      <c r="IE193" s="174"/>
      <c r="IF193" s="174"/>
      <c r="IG193" s="174"/>
      <c r="IH193" s="174"/>
      <c r="II193" s="174"/>
      <c r="IJ193" s="174"/>
      <c r="IK193" s="174"/>
      <c r="IL193" s="174"/>
      <c r="IM193" s="174"/>
      <c r="IN193" s="174"/>
      <c r="IO193" s="174"/>
      <c r="IP193" s="174"/>
      <c r="IQ193" s="174"/>
      <c r="IR193" s="174"/>
      <c r="IS193" s="174"/>
      <c r="IT193" s="174"/>
      <c r="IU193" s="75"/>
      <c r="IV193" s="75"/>
      <c r="IW193" s="75"/>
      <c r="IX193" s="75"/>
      <c r="IY193" s="75"/>
      <c r="IZ193" s="75"/>
      <c r="JA193" s="75"/>
      <c r="JB193" s="75"/>
      <c r="JC193" s="75"/>
      <c r="JD193" s="75"/>
      <c r="JF193" s="710"/>
      <c r="JG193" s="710"/>
      <c r="JH193" s="178">
        <f t="shared" si="11"/>
        <v>0</v>
      </c>
      <c r="JI193" s="174">
        <f t="shared" si="12"/>
        <v>0</v>
      </c>
    </row>
    <row r="194" spans="2:269" ht="15" customHeight="1" x14ac:dyDescent="0.25">
      <c r="B194" s="113">
        <v>191</v>
      </c>
      <c r="C194" s="353" t="str">
        <f t="shared" si="13"/>
        <v/>
      </c>
      <c r="D194" s="353" t="str">
        <f t="shared" si="14"/>
        <v/>
      </c>
      <c r="E194" s="174"/>
      <c r="F194" s="174"/>
      <c r="G194" s="174"/>
      <c r="H194" s="174"/>
      <c r="I194" s="174"/>
      <c r="J194" s="174"/>
      <c r="K194" s="174"/>
      <c r="L194" s="174"/>
      <c r="M194" s="174"/>
      <c r="N194" s="174"/>
      <c r="O194" s="174"/>
      <c r="P194" s="174"/>
      <c r="Q194" s="174"/>
      <c r="R194" s="174"/>
      <c r="S194" s="174"/>
      <c r="T194" s="174"/>
      <c r="U194" s="174"/>
      <c r="V194" s="174"/>
      <c r="W194" s="174"/>
      <c r="X194" s="174"/>
      <c r="Y194" s="174"/>
      <c r="Z194" s="174"/>
      <c r="AA194" s="174"/>
      <c r="AB194" s="174"/>
      <c r="AC194" s="174"/>
      <c r="AD194" s="174"/>
      <c r="AE194" s="174"/>
      <c r="AF194" s="174"/>
      <c r="AG194" s="174"/>
      <c r="AH194" s="174"/>
      <c r="AI194" s="174"/>
      <c r="AJ194" s="174"/>
      <c r="AK194" s="174"/>
      <c r="AL194" s="174"/>
      <c r="AM194" s="174"/>
      <c r="AN194" s="174"/>
      <c r="AO194" s="174"/>
      <c r="AP194" s="174"/>
      <c r="AQ194" s="174"/>
      <c r="AR194" s="174"/>
      <c r="AS194" s="174"/>
      <c r="AT194" s="174"/>
      <c r="AU194" s="174"/>
      <c r="AV194" s="174"/>
      <c r="AW194" s="174"/>
      <c r="AX194" s="174"/>
      <c r="AY194" s="174"/>
      <c r="AZ194" s="174"/>
      <c r="BA194" s="174"/>
      <c r="BB194" s="174"/>
      <c r="BC194" s="174"/>
      <c r="BD194" s="174"/>
      <c r="BE194" s="174"/>
      <c r="BF194" s="174"/>
      <c r="BG194" s="174"/>
      <c r="BH194" s="174"/>
      <c r="BI194" s="174"/>
      <c r="BJ194" s="174"/>
      <c r="BK194" s="174"/>
      <c r="BL194" s="174"/>
      <c r="BM194" s="174"/>
      <c r="BN194" s="174"/>
      <c r="BO194" s="174"/>
      <c r="BP194" s="174"/>
      <c r="BQ194" s="174"/>
      <c r="BR194" s="174"/>
      <c r="BS194" s="174"/>
      <c r="BT194" s="174"/>
      <c r="BU194" s="174"/>
      <c r="BV194" s="174"/>
      <c r="BW194" s="174"/>
      <c r="BX194" s="174"/>
      <c r="BY194" s="174"/>
      <c r="BZ194" s="174"/>
      <c r="CA194" s="174"/>
      <c r="CB194" s="174"/>
      <c r="CC194" s="174"/>
      <c r="CD194" s="174"/>
      <c r="CE194" s="174"/>
      <c r="CF194" s="174"/>
      <c r="CG194" s="174"/>
      <c r="CH194" s="174"/>
      <c r="CI194" s="174"/>
      <c r="CJ194" s="174"/>
      <c r="CK194" s="174"/>
      <c r="CL194" s="174"/>
      <c r="CM194" s="174"/>
      <c r="CN194" s="174"/>
      <c r="CO194" s="174"/>
      <c r="CP194" s="174"/>
      <c r="CQ194" s="174"/>
      <c r="CR194" s="174"/>
      <c r="CS194" s="174"/>
      <c r="CT194" s="174"/>
      <c r="CU194" s="174"/>
      <c r="CV194" s="174"/>
      <c r="CW194" s="174"/>
      <c r="CX194" s="174"/>
      <c r="CY194" s="174"/>
      <c r="CZ194" s="174"/>
      <c r="DA194" s="174"/>
      <c r="DB194" s="174"/>
      <c r="DC194" s="174"/>
      <c r="DD194" s="174"/>
      <c r="DE194" s="174"/>
      <c r="DF194" s="174"/>
      <c r="DG194" s="174"/>
      <c r="DH194" s="174"/>
      <c r="DI194" s="174"/>
      <c r="DJ194" s="174"/>
      <c r="DK194" s="174"/>
      <c r="DL194" s="174"/>
      <c r="DM194" s="174"/>
      <c r="DN194" s="174"/>
      <c r="DO194" s="174"/>
      <c r="DP194" s="174"/>
      <c r="DQ194" s="174"/>
      <c r="DR194" s="174"/>
      <c r="DS194" s="174"/>
      <c r="DT194" s="174"/>
      <c r="DU194" s="174"/>
      <c r="DV194" s="174"/>
      <c r="DW194" s="174"/>
      <c r="DX194" s="174"/>
      <c r="DY194" s="174"/>
      <c r="DZ194" s="174"/>
      <c r="EA194" s="174"/>
      <c r="EB194" s="174"/>
      <c r="EC194" s="174"/>
      <c r="ED194" s="174"/>
      <c r="EE194" s="174"/>
      <c r="EF194" s="174"/>
      <c r="EG194" s="174"/>
      <c r="EH194" s="174"/>
      <c r="EI194" s="174"/>
      <c r="EJ194" s="174"/>
      <c r="EK194" s="174"/>
      <c r="EL194" s="174"/>
      <c r="EM194" s="174"/>
      <c r="EN194" s="174"/>
      <c r="EO194" s="174"/>
      <c r="EP194" s="174"/>
      <c r="EQ194" s="174"/>
      <c r="ER194" s="174"/>
      <c r="ES194" s="174"/>
      <c r="ET194" s="174"/>
      <c r="EU194" s="174"/>
      <c r="EV194" s="174"/>
      <c r="EW194" s="174"/>
      <c r="EX194" s="174"/>
      <c r="EY194" s="174"/>
      <c r="EZ194" s="174"/>
      <c r="FA194" s="174"/>
      <c r="FB194" s="174"/>
      <c r="FC194" s="174"/>
      <c r="FD194" s="174"/>
      <c r="FE194" s="174"/>
      <c r="FF194" s="174"/>
      <c r="FG194" s="174"/>
      <c r="FH194" s="174"/>
      <c r="FI194" s="174"/>
      <c r="FJ194" s="174"/>
      <c r="FK194" s="174"/>
      <c r="FL194" s="174"/>
      <c r="FM194" s="174"/>
      <c r="FN194" s="174"/>
      <c r="FO194" s="174"/>
      <c r="FP194" s="174"/>
      <c r="FQ194" s="174"/>
      <c r="FR194" s="174"/>
      <c r="FS194" s="174"/>
      <c r="FT194" s="174"/>
      <c r="FU194" s="174"/>
      <c r="FV194" s="174"/>
      <c r="FW194" s="174"/>
      <c r="FX194" s="174"/>
      <c r="FY194" s="174"/>
      <c r="FZ194" s="174"/>
      <c r="GA194" s="174"/>
      <c r="GB194" s="174"/>
      <c r="GC194" s="174"/>
      <c r="GD194" s="174"/>
      <c r="GE194" s="174"/>
      <c r="GF194" s="174"/>
      <c r="GG194" s="174"/>
      <c r="GH194" s="174"/>
      <c r="GI194" s="174"/>
      <c r="GJ194" s="174"/>
      <c r="GK194" s="174"/>
      <c r="GL194" s="174"/>
      <c r="GM194" s="174"/>
      <c r="GN194" s="174"/>
      <c r="GO194" s="174"/>
      <c r="GP194" s="174"/>
      <c r="GQ194" s="174"/>
      <c r="GR194" s="174"/>
      <c r="GS194" s="174"/>
      <c r="GT194" s="174"/>
      <c r="GU194" s="174"/>
      <c r="GV194" s="174"/>
      <c r="GW194" s="174"/>
      <c r="GX194" s="174"/>
      <c r="GY194" s="174"/>
      <c r="GZ194" s="174"/>
      <c r="HA194" s="174"/>
      <c r="HB194" s="174"/>
      <c r="HC194" s="174"/>
      <c r="HD194" s="174"/>
      <c r="HE194" s="174"/>
      <c r="HF194" s="174"/>
      <c r="HG194" s="174"/>
      <c r="HH194" s="174"/>
      <c r="HI194" s="174"/>
      <c r="HJ194" s="174"/>
      <c r="HK194" s="174"/>
      <c r="HL194" s="174"/>
      <c r="HM194" s="174"/>
      <c r="HN194" s="174"/>
      <c r="HO194" s="174"/>
      <c r="HP194" s="174"/>
      <c r="HQ194" s="174"/>
      <c r="HR194" s="174"/>
      <c r="HS194" s="174"/>
      <c r="HT194" s="174"/>
      <c r="HU194" s="174"/>
      <c r="HV194" s="174"/>
      <c r="HW194" s="174"/>
      <c r="HX194" s="174"/>
      <c r="HY194" s="174"/>
      <c r="HZ194" s="174"/>
      <c r="IA194" s="174"/>
      <c r="IB194" s="174"/>
      <c r="IC194" s="174"/>
      <c r="ID194" s="174"/>
      <c r="IE194" s="174"/>
      <c r="IF194" s="174"/>
      <c r="IG194" s="174"/>
      <c r="IH194" s="174"/>
      <c r="II194" s="174"/>
      <c r="IJ194" s="174"/>
      <c r="IK194" s="174"/>
      <c r="IL194" s="174"/>
      <c r="IM194" s="174"/>
      <c r="IN194" s="174"/>
      <c r="IO194" s="174"/>
      <c r="IP194" s="174"/>
      <c r="IQ194" s="174"/>
      <c r="IR194" s="174"/>
      <c r="IS194" s="174"/>
      <c r="IT194" s="174"/>
      <c r="IU194" s="75"/>
      <c r="IV194" s="75"/>
      <c r="IW194" s="75"/>
      <c r="IX194" s="75"/>
      <c r="IY194" s="75"/>
      <c r="IZ194" s="75"/>
      <c r="JA194" s="75"/>
      <c r="JB194" s="75"/>
      <c r="JC194" s="75"/>
      <c r="JD194" s="75"/>
      <c r="JF194" s="710"/>
      <c r="JG194" s="710"/>
      <c r="JH194" s="178">
        <f t="shared" si="11"/>
        <v>0</v>
      </c>
      <c r="JI194" s="174">
        <f t="shared" si="12"/>
        <v>0</v>
      </c>
    </row>
    <row r="195" spans="2:269" ht="15" customHeight="1" x14ac:dyDescent="0.25">
      <c r="B195" s="113">
        <v>192</v>
      </c>
      <c r="C195" s="353" t="str">
        <f t="shared" si="13"/>
        <v/>
      </c>
      <c r="D195" s="353" t="str">
        <f t="shared" si="14"/>
        <v/>
      </c>
      <c r="E195" s="174"/>
      <c r="F195" s="174"/>
      <c r="G195" s="174"/>
      <c r="H195" s="174"/>
      <c r="I195" s="174"/>
      <c r="J195" s="174"/>
      <c r="K195" s="174"/>
      <c r="L195" s="174"/>
      <c r="M195" s="174"/>
      <c r="N195" s="174"/>
      <c r="O195" s="174"/>
      <c r="P195" s="174"/>
      <c r="Q195" s="174"/>
      <c r="R195" s="174"/>
      <c r="S195" s="174"/>
      <c r="T195" s="174"/>
      <c r="U195" s="174"/>
      <c r="V195" s="174"/>
      <c r="W195" s="174"/>
      <c r="X195" s="174"/>
      <c r="Y195" s="174"/>
      <c r="Z195" s="174"/>
      <c r="AA195" s="174"/>
      <c r="AB195" s="174"/>
      <c r="AC195" s="174"/>
      <c r="AD195" s="174"/>
      <c r="AE195" s="174"/>
      <c r="AF195" s="174"/>
      <c r="AG195" s="174"/>
      <c r="AH195" s="174"/>
      <c r="AI195" s="174"/>
      <c r="AJ195" s="174"/>
      <c r="AK195" s="174"/>
      <c r="AL195" s="174"/>
      <c r="AM195" s="174"/>
      <c r="AN195" s="174"/>
      <c r="AO195" s="174"/>
      <c r="AP195" s="174"/>
      <c r="AQ195" s="174"/>
      <c r="AR195" s="174"/>
      <c r="AS195" s="174"/>
      <c r="AT195" s="174"/>
      <c r="AU195" s="174"/>
      <c r="AV195" s="174"/>
      <c r="AW195" s="174"/>
      <c r="AX195" s="174"/>
      <c r="AY195" s="174"/>
      <c r="AZ195" s="174"/>
      <c r="BA195" s="174"/>
      <c r="BB195" s="174"/>
      <c r="BC195" s="174"/>
      <c r="BD195" s="174"/>
      <c r="BE195" s="174"/>
      <c r="BF195" s="174"/>
      <c r="BG195" s="174"/>
      <c r="BH195" s="174"/>
      <c r="BI195" s="174"/>
      <c r="BJ195" s="174"/>
      <c r="BK195" s="174"/>
      <c r="BL195" s="174"/>
      <c r="BM195" s="174"/>
      <c r="BN195" s="174"/>
      <c r="BO195" s="174"/>
      <c r="BP195" s="174"/>
      <c r="BQ195" s="174"/>
      <c r="BR195" s="174"/>
      <c r="BS195" s="174"/>
      <c r="BT195" s="174"/>
      <c r="BU195" s="174"/>
      <c r="BV195" s="174"/>
      <c r="BW195" s="174"/>
      <c r="BX195" s="174"/>
      <c r="BY195" s="174"/>
      <c r="BZ195" s="174"/>
      <c r="CA195" s="174"/>
      <c r="CB195" s="174"/>
      <c r="CC195" s="174"/>
      <c r="CD195" s="174"/>
      <c r="CE195" s="174"/>
      <c r="CF195" s="174"/>
      <c r="CG195" s="174"/>
      <c r="CH195" s="174"/>
      <c r="CI195" s="174"/>
      <c r="CJ195" s="174"/>
      <c r="CK195" s="174"/>
      <c r="CL195" s="174"/>
      <c r="CM195" s="174"/>
      <c r="CN195" s="174"/>
      <c r="CO195" s="174"/>
      <c r="CP195" s="174"/>
      <c r="CQ195" s="174"/>
      <c r="CR195" s="174"/>
      <c r="CS195" s="174"/>
      <c r="CT195" s="174"/>
      <c r="CU195" s="174"/>
      <c r="CV195" s="174"/>
      <c r="CW195" s="174"/>
      <c r="CX195" s="174"/>
      <c r="CY195" s="174"/>
      <c r="CZ195" s="174"/>
      <c r="DA195" s="174"/>
      <c r="DB195" s="174"/>
      <c r="DC195" s="174"/>
      <c r="DD195" s="174"/>
      <c r="DE195" s="174"/>
      <c r="DF195" s="174"/>
      <c r="DG195" s="174"/>
      <c r="DH195" s="174"/>
      <c r="DI195" s="174"/>
      <c r="DJ195" s="174"/>
      <c r="DK195" s="174"/>
      <c r="DL195" s="174"/>
      <c r="DM195" s="174"/>
      <c r="DN195" s="174"/>
      <c r="DO195" s="174"/>
      <c r="DP195" s="174"/>
      <c r="DQ195" s="174"/>
      <c r="DR195" s="174"/>
      <c r="DS195" s="174"/>
      <c r="DT195" s="174"/>
      <c r="DU195" s="174"/>
      <c r="DV195" s="174"/>
      <c r="DW195" s="174"/>
      <c r="DX195" s="174"/>
      <c r="DY195" s="174"/>
      <c r="DZ195" s="174"/>
      <c r="EA195" s="174"/>
      <c r="EB195" s="174"/>
      <c r="EC195" s="174"/>
      <c r="ED195" s="174"/>
      <c r="EE195" s="174"/>
      <c r="EF195" s="174"/>
      <c r="EG195" s="174"/>
      <c r="EH195" s="174"/>
      <c r="EI195" s="174"/>
      <c r="EJ195" s="174"/>
      <c r="EK195" s="174"/>
      <c r="EL195" s="174"/>
      <c r="EM195" s="174"/>
      <c r="EN195" s="174"/>
      <c r="EO195" s="174"/>
      <c r="EP195" s="174"/>
      <c r="EQ195" s="174"/>
      <c r="ER195" s="174"/>
      <c r="ES195" s="174"/>
      <c r="ET195" s="174"/>
      <c r="EU195" s="174"/>
      <c r="EV195" s="174"/>
      <c r="EW195" s="174"/>
      <c r="EX195" s="174"/>
      <c r="EY195" s="174"/>
      <c r="EZ195" s="174"/>
      <c r="FA195" s="174"/>
      <c r="FB195" s="174"/>
      <c r="FC195" s="174"/>
      <c r="FD195" s="174"/>
      <c r="FE195" s="174"/>
      <c r="FF195" s="174"/>
      <c r="FG195" s="174"/>
      <c r="FH195" s="174"/>
      <c r="FI195" s="174"/>
      <c r="FJ195" s="174"/>
      <c r="FK195" s="174"/>
      <c r="FL195" s="174"/>
      <c r="FM195" s="174"/>
      <c r="FN195" s="174"/>
      <c r="FO195" s="174"/>
      <c r="FP195" s="174"/>
      <c r="FQ195" s="174"/>
      <c r="FR195" s="174"/>
      <c r="FS195" s="174"/>
      <c r="FT195" s="174"/>
      <c r="FU195" s="174"/>
      <c r="FV195" s="174"/>
      <c r="FW195" s="174"/>
      <c r="FX195" s="174"/>
      <c r="FY195" s="174"/>
      <c r="FZ195" s="174"/>
      <c r="GA195" s="174"/>
      <c r="GB195" s="174"/>
      <c r="GC195" s="174"/>
      <c r="GD195" s="174"/>
      <c r="GE195" s="174"/>
      <c r="GF195" s="174"/>
      <c r="GG195" s="174"/>
      <c r="GH195" s="174"/>
      <c r="GI195" s="174"/>
      <c r="GJ195" s="174"/>
      <c r="GK195" s="174"/>
      <c r="GL195" s="174"/>
      <c r="GM195" s="174"/>
      <c r="GN195" s="174"/>
      <c r="GO195" s="174"/>
      <c r="GP195" s="174"/>
      <c r="GQ195" s="174"/>
      <c r="GR195" s="174"/>
      <c r="GS195" s="174"/>
      <c r="GT195" s="174"/>
      <c r="GU195" s="174"/>
      <c r="GV195" s="174"/>
      <c r="GW195" s="174"/>
      <c r="GX195" s="174"/>
      <c r="GY195" s="174"/>
      <c r="GZ195" s="174"/>
      <c r="HA195" s="174"/>
      <c r="HB195" s="174"/>
      <c r="HC195" s="174"/>
      <c r="HD195" s="174"/>
      <c r="HE195" s="174"/>
      <c r="HF195" s="174"/>
      <c r="HG195" s="174"/>
      <c r="HH195" s="174"/>
      <c r="HI195" s="174"/>
      <c r="HJ195" s="174"/>
      <c r="HK195" s="174"/>
      <c r="HL195" s="174"/>
      <c r="HM195" s="174"/>
      <c r="HN195" s="174"/>
      <c r="HO195" s="174"/>
      <c r="HP195" s="174"/>
      <c r="HQ195" s="174"/>
      <c r="HR195" s="174"/>
      <c r="HS195" s="174"/>
      <c r="HT195" s="174"/>
      <c r="HU195" s="174"/>
      <c r="HV195" s="174"/>
      <c r="HW195" s="174"/>
      <c r="HX195" s="174"/>
      <c r="HY195" s="174"/>
      <c r="HZ195" s="174"/>
      <c r="IA195" s="174"/>
      <c r="IB195" s="174"/>
      <c r="IC195" s="174"/>
      <c r="ID195" s="174"/>
      <c r="IE195" s="174"/>
      <c r="IF195" s="174"/>
      <c r="IG195" s="174"/>
      <c r="IH195" s="174"/>
      <c r="II195" s="174"/>
      <c r="IJ195" s="174"/>
      <c r="IK195" s="174"/>
      <c r="IL195" s="174"/>
      <c r="IM195" s="174"/>
      <c r="IN195" s="174"/>
      <c r="IO195" s="174"/>
      <c r="IP195" s="174"/>
      <c r="IQ195" s="174"/>
      <c r="IR195" s="174"/>
      <c r="IS195" s="174"/>
      <c r="IT195" s="174"/>
      <c r="IU195" s="75"/>
      <c r="IV195" s="75"/>
      <c r="IW195" s="75"/>
      <c r="IX195" s="75"/>
      <c r="IY195" s="75"/>
      <c r="IZ195" s="75"/>
      <c r="JA195" s="75"/>
      <c r="JB195" s="75"/>
      <c r="JC195" s="75"/>
      <c r="JD195" s="75"/>
      <c r="JF195" s="710"/>
      <c r="JG195" s="710"/>
      <c r="JH195" s="178">
        <f t="shared" si="11"/>
        <v>0</v>
      </c>
      <c r="JI195" s="174">
        <f t="shared" si="12"/>
        <v>0</v>
      </c>
    </row>
    <row r="196" spans="2:269" ht="15" customHeight="1" x14ac:dyDescent="0.25">
      <c r="B196" s="113">
        <v>193</v>
      </c>
      <c r="C196" s="353" t="str">
        <f t="shared" si="13"/>
        <v/>
      </c>
      <c r="D196" s="353" t="str">
        <f t="shared" si="14"/>
        <v/>
      </c>
      <c r="E196" s="174"/>
      <c r="F196" s="174"/>
      <c r="G196" s="174"/>
      <c r="H196" s="174"/>
      <c r="I196" s="174"/>
      <c r="J196" s="174"/>
      <c r="K196" s="174"/>
      <c r="L196" s="174"/>
      <c r="M196" s="174"/>
      <c r="N196" s="174"/>
      <c r="O196" s="174"/>
      <c r="P196" s="174"/>
      <c r="Q196" s="174"/>
      <c r="R196" s="174"/>
      <c r="S196" s="174"/>
      <c r="T196" s="174"/>
      <c r="U196" s="174"/>
      <c r="V196" s="174"/>
      <c r="W196" s="174"/>
      <c r="X196" s="174"/>
      <c r="Y196" s="174"/>
      <c r="Z196" s="174"/>
      <c r="AA196" s="174"/>
      <c r="AB196" s="174"/>
      <c r="AC196" s="174"/>
      <c r="AD196" s="174"/>
      <c r="AE196" s="174"/>
      <c r="AF196" s="174"/>
      <c r="AG196" s="174"/>
      <c r="AH196" s="174"/>
      <c r="AI196" s="174"/>
      <c r="AJ196" s="174"/>
      <c r="AK196" s="174"/>
      <c r="AL196" s="174"/>
      <c r="AM196" s="174"/>
      <c r="AN196" s="174"/>
      <c r="AO196" s="174"/>
      <c r="AP196" s="174"/>
      <c r="AQ196" s="174"/>
      <c r="AR196" s="174"/>
      <c r="AS196" s="174"/>
      <c r="AT196" s="174"/>
      <c r="AU196" s="174"/>
      <c r="AV196" s="174"/>
      <c r="AW196" s="174"/>
      <c r="AX196" s="174"/>
      <c r="AY196" s="174"/>
      <c r="AZ196" s="174"/>
      <c r="BA196" s="174"/>
      <c r="BB196" s="174"/>
      <c r="BC196" s="174"/>
      <c r="BD196" s="174"/>
      <c r="BE196" s="174"/>
      <c r="BF196" s="174"/>
      <c r="BG196" s="174"/>
      <c r="BH196" s="174"/>
      <c r="BI196" s="174"/>
      <c r="BJ196" s="174"/>
      <c r="BK196" s="174"/>
      <c r="BL196" s="174"/>
      <c r="BM196" s="174"/>
      <c r="BN196" s="174"/>
      <c r="BO196" s="174"/>
      <c r="BP196" s="174"/>
      <c r="BQ196" s="174"/>
      <c r="BR196" s="174"/>
      <c r="BS196" s="174"/>
      <c r="BT196" s="174"/>
      <c r="BU196" s="174"/>
      <c r="BV196" s="174"/>
      <c r="BW196" s="174"/>
      <c r="BX196" s="174"/>
      <c r="BY196" s="174"/>
      <c r="BZ196" s="174"/>
      <c r="CA196" s="174"/>
      <c r="CB196" s="174"/>
      <c r="CC196" s="174"/>
      <c r="CD196" s="174"/>
      <c r="CE196" s="174"/>
      <c r="CF196" s="174"/>
      <c r="CG196" s="174"/>
      <c r="CH196" s="174"/>
      <c r="CI196" s="174"/>
      <c r="CJ196" s="174"/>
      <c r="CK196" s="174"/>
      <c r="CL196" s="174"/>
      <c r="CM196" s="174"/>
      <c r="CN196" s="174"/>
      <c r="CO196" s="174"/>
      <c r="CP196" s="174"/>
      <c r="CQ196" s="174"/>
      <c r="CR196" s="174"/>
      <c r="CS196" s="174"/>
      <c r="CT196" s="174"/>
      <c r="CU196" s="174"/>
      <c r="CV196" s="174"/>
      <c r="CW196" s="174"/>
      <c r="CX196" s="174"/>
      <c r="CY196" s="174"/>
      <c r="CZ196" s="174"/>
      <c r="DA196" s="174"/>
      <c r="DB196" s="174"/>
      <c r="DC196" s="174"/>
      <c r="DD196" s="174"/>
      <c r="DE196" s="174"/>
      <c r="DF196" s="174"/>
      <c r="DG196" s="174"/>
      <c r="DH196" s="174"/>
      <c r="DI196" s="174"/>
      <c r="DJ196" s="174"/>
      <c r="DK196" s="174"/>
      <c r="DL196" s="174"/>
      <c r="DM196" s="174"/>
      <c r="DN196" s="174"/>
      <c r="DO196" s="174"/>
      <c r="DP196" s="174"/>
      <c r="DQ196" s="174"/>
      <c r="DR196" s="174"/>
      <c r="DS196" s="174"/>
      <c r="DT196" s="174"/>
      <c r="DU196" s="174"/>
      <c r="DV196" s="174"/>
      <c r="DW196" s="174"/>
      <c r="DX196" s="174"/>
      <c r="DY196" s="174"/>
      <c r="DZ196" s="174"/>
      <c r="EA196" s="174"/>
      <c r="EB196" s="174"/>
      <c r="EC196" s="174"/>
      <c r="ED196" s="174"/>
      <c r="EE196" s="174"/>
      <c r="EF196" s="174"/>
      <c r="EG196" s="174"/>
      <c r="EH196" s="174"/>
      <c r="EI196" s="174"/>
      <c r="EJ196" s="174"/>
      <c r="EK196" s="174"/>
      <c r="EL196" s="174"/>
      <c r="EM196" s="174"/>
      <c r="EN196" s="174"/>
      <c r="EO196" s="174"/>
      <c r="EP196" s="174"/>
      <c r="EQ196" s="174"/>
      <c r="ER196" s="174"/>
      <c r="ES196" s="174"/>
      <c r="ET196" s="174"/>
      <c r="EU196" s="174"/>
      <c r="EV196" s="174"/>
      <c r="EW196" s="174"/>
      <c r="EX196" s="174"/>
      <c r="EY196" s="174"/>
      <c r="EZ196" s="174"/>
      <c r="FA196" s="174"/>
      <c r="FB196" s="174"/>
      <c r="FC196" s="174"/>
      <c r="FD196" s="174"/>
      <c r="FE196" s="174"/>
      <c r="FF196" s="174"/>
      <c r="FG196" s="174"/>
      <c r="FH196" s="174"/>
      <c r="FI196" s="174"/>
      <c r="FJ196" s="174"/>
      <c r="FK196" s="174"/>
      <c r="FL196" s="174"/>
      <c r="FM196" s="174"/>
      <c r="FN196" s="174"/>
      <c r="FO196" s="174"/>
      <c r="FP196" s="174"/>
      <c r="FQ196" s="174"/>
      <c r="FR196" s="174"/>
      <c r="FS196" s="174"/>
      <c r="FT196" s="174"/>
      <c r="FU196" s="174"/>
      <c r="FV196" s="174"/>
      <c r="FW196" s="174"/>
      <c r="FX196" s="174"/>
      <c r="FY196" s="174"/>
      <c r="FZ196" s="174"/>
      <c r="GA196" s="174"/>
      <c r="GB196" s="174"/>
      <c r="GC196" s="174"/>
      <c r="GD196" s="174"/>
      <c r="GE196" s="174"/>
      <c r="GF196" s="174"/>
      <c r="GG196" s="174"/>
      <c r="GH196" s="174"/>
      <c r="GI196" s="174"/>
      <c r="GJ196" s="174"/>
      <c r="GK196" s="174"/>
      <c r="GL196" s="174"/>
      <c r="GM196" s="174"/>
      <c r="GN196" s="174"/>
      <c r="GO196" s="174"/>
      <c r="GP196" s="174"/>
      <c r="GQ196" s="174"/>
      <c r="GR196" s="174"/>
      <c r="GS196" s="174"/>
      <c r="GT196" s="174"/>
      <c r="GU196" s="174"/>
      <c r="GV196" s="174"/>
      <c r="GW196" s="174"/>
      <c r="GX196" s="174"/>
      <c r="GY196" s="174"/>
      <c r="GZ196" s="174"/>
      <c r="HA196" s="174"/>
      <c r="HB196" s="174"/>
      <c r="HC196" s="174"/>
      <c r="HD196" s="174"/>
      <c r="HE196" s="174"/>
      <c r="HF196" s="174"/>
      <c r="HG196" s="174"/>
      <c r="HH196" s="174"/>
      <c r="HI196" s="174"/>
      <c r="HJ196" s="174"/>
      <c r="HK196" s="174"/>
      <c r="HL196" s="174"/>
      <c r="HM196" s="174"/>
      <c r="HN196" s="174"/>
      <c r="HO196" s="174"/>
      <c r="HP196" s="174"/>
      <c r="HQ196" s="174"/>
      <c r="HR196" s="174"/>
      <c r="HS196" s="174"/>
      <c r="HT196" s="174"/>
      <c r="HU196" s="174"/>
      <c r="HV196" s="174"/>
      <c r="HW196" s="174"/>
      <c r="HX196" s="174"/>
      <c r="HY196" s="174"/>
      <c r="HZ196" s="174"/>
      <c r="IA196" s="174"/>
      <c r="IB196" s="174"/>
      <c r="IC196" s="174"/>
      <c r="ID196" s="174"/>
      <c r="IE196" s="174"/>
      <c r="IF196" s="174"/>
      <c r="IG196" s="174"/>
      <c r="IH196" s="174"/>
      <c r="II196" s="174"/>
      <c r="IJ196" s="174"/>
      <c r="IK196" s="174"/>
      <c r="IL196" s="174"/>
      <c r="IM196" s="174"/>
      <c r="IN196" s="174"/>
      <c r="IO196" s="174"/>
      <c r="IP196" s="174"/>
      <c r="IQ196" s="174"/>
      <c r="IR196" s="174"/>
      <c r="IS196" s="174"/>
      <c r="IT196" s="174"/>
      <c r="IU196" s="75"/>
      <c r="IV196" s="75"/>
      <c r="IW196" s="75"/>
      <c r="IX196" s="75"/>
      <c r="IY196" s="75"/>
      <c r="IZ196" s="75"/>
      <c r="JA196" s="75"/>
      <c r="JB196" s="75"/>
      <c r="JC196" s="75"/>
      <c r="JD196" s="75"/>
      <c r="JF196" s="710"/>
      <c r="JG196" s="710"/>
      <c r="JH196" s="178">
        <f t="shared" ref="JH196:JH213" si="17">IF(JF196&lt;&gt;"",VLOOKUP(JF196,tbl_materiais,COLUMN(head_mat_CLreal)-COLUMN(head_mat_item)+1,FALSE),0)</f>
        <v>0</v>
      </c>
      <c r="JI196" s="174">
        <f t="shared" ref="JI196:JI213" si="18">IF(JF196&lt;&gt;"",SUMPRODUCT(E196:JD196,$E$215:$JD$215),0)</f>
        <v>0</v>
      </c>
    </row>
    <row r="197" spans="2:269" ht="15" customHeight="1" x14ac:dyDescent="0.25">
      <c r="B197" s="113">
        <v>194</v>
      </c>
      <c r="C197" s="353" t="str">
        <f t="shared" si="13"/>
        <v/>
      </c>
      <c r="D197" s="353" t="str">
        <f t="shared" si="14"/>
        <v/>
      </c>
      <c r="E197" s="174"/>
      <c r="F197" s="174"/>
      <c r="G197" s="174"/>
      <c r="H197" s="174"/>
      <c r="I197" s="174"/>
      <c r="J197" s="174"/>
      <c r="K197" s="174"/>
      <c r="L197" s="174"/>
      <c r="M197" s="174"/>
      <c r="N197" s="174"/>
      <c r="O197" s="174"/>
      <c r="P197" s="174"/>
      <c r="Q197" s="174"/>
      <c r="R197" s="174"/>
      <c r="S197" s="174"/>
      <c r="T197" s="174"/>
      <c r="U197" s="174"/>
      <c r="V197" s="174"/>
      <c r="W197" s="174"/>
      <c r="X197" s="174"/>
      <c r="Y197" s="174"/>
      <c r="Z197" s="174"/>
      <c r="AA197" s="174"/>
      <c r="AB197" s="174"/>
      <c r="AC197" s="174"/>
      <c r="AD197" s="174"/>
      <c r="AE197" s="174"/>
      <c r="AF197" s="174"/>
      <c r="AG197" s="174"/>
      <c r="AH197" s="174"/>
      <c r="AI197" s="174"/>
      <c r="AJ197" s="174"/>
      <c r="AK197" s="174"/>
      <c r="AL197" s="174"/>
      <c r="AM197" s="174"/>
      <c r="AN197" s="174"/>
      <c r="AO197" s="174"/>
      <c r="AP197" s="174"/>
      <c r="AQ197" s="174"/>
      <c r="AR197" s="174"/>
      <c r="AS197" s="174"/>
      <c r="AT197" s="174"/>
      <c r="AU197" s="174"/>
      <c r="AV197" s="174"/>
      <c r="AW197" s="174"/>
      <c r="AX197" s="174"/>
      <c r="AY197" s="174"/>
      <c r="AZ197" s="174"/>
      <c r="BA197" s="174"/>
      <c r="BB197" s="174"/>
      <c r="BC197" s="174"/>
      <c r="BD197" s="174"/>
      <c r="BE197" s="174"/>
      <c r="BF197" s="174"/>
      <c r="BG197" s="174"/>
      <c r="BH197" s="174"/>
      <c r="BI197" s="174"/>
      <c r="BJ197" s="174"/>
      <c r="BK197" s="174"/>
      <c r="BL197" s="174"/>
      <c r="BM197" s="174"/>
      <c r="BN197" s="174"/>
      <c r="BO197" s="174"/>
      <c r="BP197" s="174"/>
      <c r="BQ197" s="174"/>
      <c r="BR197" s="174"/>
      <c r="BS197" s="174"/>
      <c r="BT197" s="174"/>
      <c r="BU197" s="174"/>
      <c r="BV197" s="174"/>
      <c r="BW197" s="174"/>
      <c r="BX197" s="174"/>
      <c r="BY197" s="174"/>
      <c r="BZ197" s="174"/>
      <c r="CA197" s="174"/>
      <c r="CB197" s="174"/>
      <c r="CC197" s="174"/>
      <c r="CD197" s="174"/>
      <c r="CE197" s="174"/>
      <c r="CF197" s="174"/>
      <c r="CG197" s="174"/>
      <c r="CH197" s="174"/>
      <c r="CI197" s="174"/>
      <c r="CJ197" s="174"/>
      <c r="CK197" s="174"/>
      <c r="CL197" s="174"/>
      <c r="CM197" s="174"/>
      <c r="CN197" s="174"/>
      <c r="CO197" s="174"/>
      <c r="CP197" s="174"/>
      <c r="CQ197" s="174"/>
      <c r="CR197" s="174"/>
      <c r="CS197" s="174"/>
      <c r="CT197" s="174"/>
      <c r="CU197" s="174"/>
      <c r="CV197" s="174"/>
      <c r="CW197" s="174"/>
      <c r="CX197" s="174"/>
      <c r="CY197" s="174"/>
      <c r="CZ197" s="174"/>
      <c r="DA197" s="174"/>
      <c r="DB197" s="174"/>
      <c r="DC197" s="174"/>
      <c r="DD197" s="174"/>
      <c r="DE197" s="174"/>
      <c r="DF197" s="174"/>
      <c r="DG197" s="174"/>
      <c r="DH197" s="174"/>
      <c r="DI197" s="174"/>
      <c r="DJ197" s="174"/>
      <c r="DK197" s="174"/>
      <c r="DL197" s="174"/>
      <c r="DM197" s="174"/>
      <c r="DN197" s="174"/>
      <c r="DO197" s="174"/>
      <c r="DP197" s="174"/>
      <c r="DQ197" s="174"/>
      <c r="DR197" s="174"/>
      <c r="DS197" s="174"/>
      <c r="DT197" s="174"/>
      <c r="DU197" s="174"/>
      <c r="DV197" s="174"/>
      <c r="DW197" s="174"/>
      <c r="DX197" s="174"/>
      <c r="DY197" s="174"/>
      <c r="DZ197" s="174"/>
      <c r="EA197" s="174"/>
      <c r="EB197" s="174"/>
      <c r="EC197" s="174"/>
      <c r="ED197" s="174"/>
      <c r="EE197" s="174"/>
      <c r="EF197" s="174"/>
      <c r="EG197" s="174"/>
      <c r="EH197" s="174"/>
      <c r="EI197" s="174"/>
      <c r="EJ197" s="174"/>
      <c r="EK197" s="174"/>
      <c r="EL197" s="174"/>
      <c r="EM197" s="174"/>
      <c r="EN197" s="174"/>
      <c r="EO197" s="174"/>
      <c r="EP197" s="174"/>
      <c r="EQ197" s="174"/>
      <c r="ER197" s="174"/>
      <c r="ES197" s="174"/>
      <c r="ET197" s="174"/>
      <c r="EU197" s="174"/>
      <c r="EV197" s="174"/>
      <c r="EW197" s="174"/>
      <c r="EX197" s="174"/>
      <c r="EY197" s="174"/>
      <c r="EZ197" s="174"/>
      <c r="FA197" s="174"/>
      <c r="FB197" s="174"/>
      <c r="FC197" s="174"/>
      <c r="FD197" s="174"/>
      <c r="FE197" s="174"/>
      <c r="FF197" s="174"/>
      <c r="FG197" s="174"/>
      <c r="FH197" s="174"/>
      <c r="FI197" s="174"/>
      <c r="FJ197" s="174"/>
      <c r="FK197" s="174"/>
      <c r="FL197" s="174"/>
      <c r="FM197" s="174"/>
      <c r="FN197" s="174"/>
      <c r="FO197" s="174"/>
      <c r="FP197" s="174"/>
      <c r="FQ197" s="174"/>
      <c r="FR197" s="174"/>
      <c r="FS197" s="174"/>
      <c r="FT197" s="174"/>
      <c r="FU197" s="174"/>
      <c r="FV197" s="174"/>
      <c r="FW197" s="174"/>
      <c r="FX197" s="174"/>
      <c r="FY197" s="174"/>
      <c r="FZ197" s="174"/>
      <c r="GA197" s="174"/>
      <c r="GB197" s="174"/>
      <c r="GC197" s="174"/>
      <c r="GD197" s="174"/>
      <c r="GE197" s="174"/>
      <c r="GF197" s="174"/>
      <c r="GG197" s="174"/>
      <c r="GH197" s="174"/>
      <c r="GI197" s="174"/>
      <c r="GJ197" s="174"/>
      <c r="GK197" s="174"/>
      <c r="GL197" s="174"/>
      <c r="GM197" s="174"/>
      <c r="GN197" s="174"/>
      <c r="GO197" s="174"/>
      <c r="GP197" s="174"/>
      <c r="GQ197" s="174"/>
      <c r="GR197" s="174"/>
      <c r="GS197" s="174"/>
      <c r="GT197" s="174"/>
      <c r="GU197" s="174"/>
      <c r="GV197" s="174"/>
      <c r="GW197" s="174"/>
      <c r="GX197" s="174"/>
      <c r="GY197" s="174"/>
      <c r="GZ197" s="174"/>
      <c r="HA197" s="174"/>
      <c r="HB197" s="174"/>
      <c r="HC197" s="174"/>
      <c r="HD197" s="174"/>
      <c r="HE197" s="174"/>
      <c r="HF197" s="174"/>
      <c r="HG197" s="174"/>
      <c r="HH197" s="174"/>
      <c r="HI197" s="174"/>
      <c r="HJ197" s="174"/>
      <c r="HK197" s="174"/>
      <c r="HL197" s="174"/>
      <c r="HM197" s="174"/>
      <c r="HN197" s="174"/>
      <c r="HO197" s="174"/>
      <c r="HP197" s="174"/>
      <c r="HQ197" s="174"/>
      <c r="HR197" s="174"/>
      <c r="HS197" s="174"/>
      <c r="HT197" s="174"/>
      <c r="HU197" s="174"/>
      <c r="HV197" s="174"/>
      <c r="HW197" s="174"/>
      <c r="HX197" s="174"/>
      <c r="HY197" s="174"/>
      <c r="HZ197" s="174"/>
      <c r="IA197" s="174"/>
      <c r="IB197" s="174"/>
      <c r="IC197" s="174"/>
      <c r="ID197" s="174"/>
      <c r="IE197" s="174"/>
      <c r="IF197" s="174"/>
      <c r="IG197" s="174"/>
      <c r="IH197" s="174"/>
      <c r="II197" s="174"/>
      <c r="IJ197" s="174"/>
      <c r="IK197" s="174"/>
      <c r="IL197" s="174"/>
      <c r="IM197" s="174"/>
      <c r="IN197" s="174"/>
      <c r="IO197" s="174"/>
      <c r="IP197" s="174"/>
      <c r="IQ197" s="174"/>
      <c r="IR197" s="174"/>
      <c r="IS197" s="174"/>
      <c r="IT197" s="174"/>
      <c r="IU197" s="75"/>
      <c r="IV197" s="75"/>
      <c r="IW197" s="75"/>
      <c r="IX197" s="75"/>
      <c r="IY197" s="75"/>
      <c r="IZ197" s="75"/>
      <c r="JA197" s="75"/>
      <c r="JB197" s="75"/>
      <c r="JC197" s="75"/>
      <c r="JD197" s="75"/>
      <c r="JF197" s="710"/>
      <c r="JG197" s="710"/>
      <c r="JH197" s="178">
        <f t="shared" si="17"/>
        <v>0</v>
      </c>
      <c r="JI197" s="174">
        <f t="shared" si="18"/>
        <v>0</v>
      </c>
    </row>
    <row r="198" spans="2:269" ht="15" customHeight="1" x14ac:dyDescent="0.25">
      <c r="B198" s="113">
        <v>195</v>
      </c>
      <c r="C198" s="353" t="str">
        <f t="shared" si="13"/>
        <v/>
      </c>
      <c r="D198" s="353" t="str">
        <f t="shared" si="14"/>
        <v/>
      </c>
      <c r="E198" s="174"/>
      <c r="F198" s="174"/>
      <c r="G198" s="174"/>
      <c r="H198" s="174"/>
      <c r="I198" s="174"/>
      <c r="J198" s="174"/>
      <c r="K198" s="174"/>
      <c r="L198" s="174"/>
      <c r="M198" s="174"/>
      <c r="N198" s="174"/>
      <c r="O198" s="174"/>
      <c r="P198" s="174"/>
      <c r="Q198" s="174"/>
      <c r="R198" s="174"/>
      <c r="S198" s="174"/>
      <c r="T198" s="174"/>
      <c r="U198" s="174"/>
      <c r="V198" s="174"/>
      <c r="W198" s="174"/>
      <c r="X198" s="174"/>
      <c r="Y198" s="174"/>
      <c r="Z198" s="174"/>
      <c r="AA198" s="174"/>
      <c r="AB198" s="174"/>
      <c r="AC198" s="174"/>
      <c r="AD198" s="174"/>
      <c r="AE198" s="174"/>
      <c r="AF198" s="174"/>
      <c r="AG198" s="174"/>
      <c r="AH198" s="174"/>
      <c r="AI198" s="174"/>
      <c r="AJ198" s="174"/>
      <c r="AK198" s="174"/>
      <c r="AL198" s="174"/>
      <c r="AM198" s="174"/>
      <c r="AN198" s="174"/>
      <c r="AO198" s="174"/>
      <c r="AP198" s="174"/>
      <c r="AQ198" s="174"/>
      <c r="AR198" s="174"/>
      <c r="AS198" s="174"/>
      <c r="AT198" s="174"/>
      <c r="AU198" s="174"/>
      <c r="AV198" s="174"/>
      <c r="AW198" s="174"/>
      <c r="AX198" s="174"/>
      <c r="AY198" s="174"/>
      <c r="AZ198" s="174"/>
      <c r="BA198" s="174"/>
      <c r="BB198" s="174"/>
      <c r="BC198" s="174"/>
      <c r="BD198" s="174"/>
      <c r="BE198" s="174"/>
      <c r="BF198" s="174"/>
      <c r="BG198" s="174"/>
      <c r="BH198" s="174"/>
      <c r="BI198" s="174"/>
      <c r="BJ198" s="174"/>
      <c r="BK198" s="174"/>
      <c r="BL198" s="174"/>
      <c r="BM198" s="174"/>
      <c r="BN198" s="174"/>
      <c r="BO198" s="174"/>
      <c r="BP198" s="174"/>
      <c r="BQ198" s="174"/>
      <c r="BR198" s="174"/>
      <c r="BS198" s="174"/>
      <c r="BT198" s="174"/>
      <c r="BU198" s="174"/>
      <c r="BV198" s="174"/>
      <c r="BW198" s="174"/>
      <c r="BX198" s="174"/>
      <c r="BY198" s="174"/>
      <c r="BZ198" s="174"/>
      <c r="CA198" s="174"/>
      <c r="CB198" s="174"/>
      <c r="CC198" s="174"/>
      <c r="CD198" s="174"/>
      <c r="CE198" s="174"/>
      <c r="CF198" s="174"/>
      <c r="CG198" s="174"/>
      <c r="CH198" s="174"/>
      <c r="CI198" s="174"/>
      <c r="CJ198" s="174"/>
      <c r="CK198" s="174"/>
      <c r="CL198" s="174"/>
      <c r="CM198" s="174"/>
      <c r="CN198" s="174"/>
      <c r="CO198" s="174"/>
      <c r="CP198" s="174"/>
      <c r="CQ198" s="174"/>
      <c r="CR198" s="174"/>
      <c r="CS198" s="174"/>
      <c r="CT198" s="174"/>
      <c r="CU198" s="174"/>
      <c r="CV198" s="174"/>
      <c r="CW198" s="174"/>
      <c r="CX198" s="174"/>
      <c r="CY198" s="174"/>
      <c r="CZ198" s="174"/>
      <c r="DA198" s="174"/>
      <c r="DB198" s="174"/>
      <c r="DC198" s="174"/>
      <c r="DD198" s="174"/>
      <c r="DE198" s="174"/>
      <c r="DF198" s="174"/>
      <c r="DG198" s="174"/>
      <c r="DH198" s="174"/>
      <c r="DI198" s="174"/>
      <c r="DJ198" s="174"/>
      <c r="DK198" s="174"/>
      <c r="DL198" s="174"/>
      <c r="DM198" s="174"/>
      <c r="DN198" s="174"/>
      <c r="DO198" s="174"/>
      <c r="DP198" s="174"/>
      <c r="DQ198" s="174"/>
      <c r="DR198" s="174"/>
      <c r="DS198" s="174"/>
      <c r="DT198" s="174"/>
      <c r="DU198" s="174"/>
      <c r="DV198" s="174"/>
      <c r="DW198" s="174"/>
      <c r="DX198" s="174"/>
      <c r="DY198" s="174"/>
      <c r="DZ198" s="174"/>
      <c r="EA198" s="174"/>
      <c r="EB198" s="174"/>
      <c r="EC198" s="174"/>
      <c r="ED198" s="174"/>
      <c r="EE198" s="174"/>
      <c r="EF198" s="174"/>
      <c r="EG198" s="174"/>
      <c r="EH198" s="174"/>
      <c r="EI198" s="174"/>
      <c r="EJ198" s="174"/>
      <c r="EK198" s="174"/>
      <c r="EL198" s="174"/>
      <c r="EM198" s="174"/>
      <c r="EN198" s="174"/>
      <c r="EO198" s="174"/>
      <c r="EP198" s="174"/>
      <c r="EQ198" s="174"/>
      <c r="ER198" s="174"/>
      <c r="ES198" s="174"/>
      <c r="ET198" s="174"/>
      <c r="EU198" s="174"/>
      <c r="EV198" s="174"/>
      <c r="EW198" s="174"/>
      <c r="EX198" s="174"/>
      <c r="EY198" s="174"/>
      <c r="EZ198" s="174"/>
      <c r="FA198" s="174"/>
      <c r="FB198" s="174"/>
      <c r="FC198" s="174"/>
      <c r="FD198" s="174"/>
      <c r="FE198" s="174"/>
      <c r="FF198" s="174"/>
      <c r="FG198" s="174"/>
      <c r="FH198" s="174"/>
      <c r="FI198" s="174"/>
      <c r="FJ198" s="174"/>
      <c r="FK198" s="174"/>
      <c r="FL198" s="174"/>
      <c r="FM198" s="174"/>
      <c r="FN198" s="174"/>
      <c r="FO198" s="174"/>
      <c r="FP198" s="174"/>
      <c r="FQ198" s="174"/>
      <c r="FR198" s="174"/>
      <c r="FS198" s="174"/>
      <c r="FT198" s="174"/>
      <c r="FU198" s="174"/>
      <c r="FV198" s="174"/>
      <c r="FW198" s="174"/>
      <c r="FX198" s="174"/>
      <c r="FY198" s="174"/>
      <c r="FZ198" s="174"/>
      <c r="GA198" s="174"/>
      <c r="GB198" s="174"/>
      <c r="GC198" s="174"/>
      <c r="GD198" s="174"/>
      <c r="GE198" s="174"/>
      <c r="GF198" s="174"/>
      <c r="GG198" s="174"/>
      <c r="GH198" s="174"/>
      <c r="GI198" s="174"/>
      <c r="GJ198" s="174"/>
      <c r="GK198" s="174"/>
      <c r="GL198" s="174"/>
      <c r="GM198" s="174"/>
      <c r="GN198" s="174"/>
      <c r="GO198" s="174"/>
      <c r="GP198" s="174"/>
      <c r="GQ198" s="174"/>
      <c r="GR198" s="174"/>
      <c r="GS198" s="174"/>
      <c r="GT198" s="174"/>
      <c r="GU198" s="174"/>
      <c r="GV198" s="174"/>
      <c r="GW198" s="174"/>
      <c r="GX198" s="174"/>
      <c r="GY198" s="174"/>
      <c r="GZ198" s="174"/>
      <c r="HA198" s="174"/>
      <c r="HB198" s="174"/>
      <c r="HC198" s="174"/>
      <c r="HD198" s="174"/>
      <c r="HE198" s="174"/>
      <c r="HF198" s="174"/>
      <c r="HG198" s="174"/>
      <c r="HH198" s="174"/>
      <c r="HI198" s="174"/>
      <c r="HJ198" s="174"/>
      <c r="HK198" s="174"/>
      <c r="HL198" s="174"/>
      <c r="HM198" s="174"/>
      <c r="HN198" s="174"/>
      <c r="HO198" s="174"/>
      <c r="HP198" s="174"/>
      <c r="HQ198" s="174"/>
      <c r="HR198" s="174"/>
      <c r="HS198" s="174"/>
      <c r="HT198" s="174"/>
      <c r="HU198" s="174"/>
      <c r="HV198" s="174"/>
      <c r="HW198" s="174"/>
      <c r="HX198" s="174"/>
      <c r="HY198" s="174"/>
      <c r="HZ198" s="174"/>
      <c r="IA198" s="174"/>
      <c r="IB198" s="174"/>
      <c r="IC198" s="174"/>
      <c r="ID198" s="174"/>
      <c r="IE198" s="174"/>
      <c r="IF198" s="174"/>
      <c r="IG198" s="174"/>
      <c r="IH198" s="174"/>
      <c r="II198" s="174"/>
      <c r="IJ198" s="174"/>
      <c r="IK198" s="174"/>
      <c r="IL198" s="174"/>
      <c r="IM198" s="174"/>
      <c r="IN198" s="174"/>
      <c r="IO198" s="174"/>
      <c r="IP198" s="174"/>
      <c r="IQ198" s="174"/>
      <c r="IR198" s="174"/>
      <c r="IS198" s="174"/>
      <c r="IT198" s="174"/>
      <c r="IU198" s="75"/>
      <c r="IV198" s="75"/>
      <c r="IW198" s="75"/>
      <c r="IX198" s="75"/>
      <c r="IY198" s="75"/>
      <c r="IZ198" s="75"/>
      <c r="JA198" s="75"/>
      <c r="JB198" s="75"/>
      <c r="JC198" s="75"/>
      <c r="JD198" s="75"/>
      <c r="JF198" s="710"/>
      <c r="JG198" s="710"/>
      <c r="JH198" s="178">
        <f t="shared" si="17"/>
        <v>0</v>
      </c>
      <c r="JI198" s="174">
        <f t="shared" si="18"/>
        <v>0</v>
      </c>
    </row>
    <row r="199" spans="2:269" ht="15" customHeight="1" x14ac:dyDescent="0.25">
      <c r="B199" s="113">
        <v>196</v>
      </c>
      <c r="C199" s="353" t="str">
        <f t="shared" si="13"/>
        <v/>
      </c>
      <c r="D199" s="353" t="str">
        <f t="shared" si="14"/>
        <v/>
      </c>
      <c r="E199" s="174"/>
      <c r="F199" s="174"/>
      <c r="G199" s="174"/>
      <c r="H199" s="174"/>
      <c r="I199" s="174"/>
      <c r="J199" s="174"/>
      <c r="K199" s="174"/>
      <c r="L199" s="174"/>
      <c r="M199" s="174"/>
      <c r="N199" s="174"/>
      <c r="O199" s="174"/>
      <c r="P199" s="174"/>
      <c r="Q199" s="174"/>
      <c r="R199" s="174"/>
      <c r="S199" s="174"/>
      <c r="T199" s="174"/>
      <c r="U199" s="174"/>
      <c r="V199" s="174"/>
      <c r="W199" s="174"/>
      <c r="X199" s="174"/>
      <c r="Y199" s="174"/>
      <c r="Z199" s="174"/>
      <c r="AA199" s="174"/>
      <c r="AB199" s="174"/>
      <c r="AC199" s="174"/>
      <c r="AD199" s="174"/>
      <c r="AE199" s="174"/>
      <c r="AF199" s="174"/>
      <c r="AG199" s="174"/>
      <c r="AH199" s="174"/>
      <c r="AI199" s="174"/>
      <c r="AJ199" s="174"/>
      <c r="AK199" s="174"/>
      <c r="AL199" s="174"/>
      <c r="AM199" s="174"/>
      <c r="AN199" s="174"/>
      <c r="AO199" s="174"/>
      <c r="AP199" s="174"/>
      <c r="AQ199" s="174"/>
      <c r="AR199" s="174"/>
      <c r="AS199" s="174"/>
      <c r="AT199" s="174"/>
      <c r="AU199" s="174"/>
      <c r="AV199" s="174"/>
      <c r="AW199" s="174"/>
      <c r="AX199" s="174"/>
      <c r="AY199" s="174"/>
      <c r="AZ199" s="174"/>
      <c r="BA199" s="174"/>
      <c r="BB199" s="174"/>
      <c r="BC199" s="174"/>
      <c r="BD199" s="174"/>
      <c r="BE199" s="174"/>
      <c r="BF199" s="174"/>
      <c r="BG199" s="174"/>
      <c r="BH199" s="174"/>
      <c r="BI199" s="174"/>
      <c r="BJ199" s="174"/>
      <c r="BK199" s="174"/>
      <c r="BL199" s="174"/>
      <c r="BM199" s="174"/>
      <c r="BN199" s="174"/>
      <c r="BO199" s="174"/>
      <c r="BP199" s="174"/>
      <c r="BQ199" s="174"/>
      <c r="BR199" s="174"/>
      <c r="BS199" s="174"/>
      <c r="BT199" s="174"/>
      <c r="BU199" s="174"/>
      <c r="BV199" s="174"/>
      <c r="BW199" s="174"/>
      <c r="BX199" s="174"/>
      <c r="BY199" s="174"/>
      <c r="BZ199" s="174"/>
      <c r="CA199" s="174"/>
      <c r="CB199" s="174"/>
      <c r="CC199" s="174"/>
      <c r="CD199" s="174"/>
      <c r="CE199" s="174"/>
      <c r="CF199" s="174"/>
      <c r="CG199" s="174"/>
      <c r="CH199" s="174"/>
      <c r="CI199" s="174"/>
      <c r="CJ199" s="174"/>
      <c r="CK199" s="174"/>
      <c r="CL199" s="174"/>
      <c r="CM199" s="174"/>
      <c r="CN199" s="174"/>
      <c r="CO199" s="174"/>
      <c r="CP199" s="174"/>
      <c r="CQ199" s="174"/>
      <c r="CR199" s="174"/>
      <c r="CS199" s="174"/>
      <c r="CT199" s="174"/>
      <c r="CU199" s="174"/>
      <c r="CV199" s="174"/>
      <c r="CW199" s="174"/>
      <c r="CX199" s="174"/>
      <c r="CY199" s="174"/>
      <c r="CZ199" s="174"/>
      <c r="DA199" s="174"/>
      <c r="DB199" s="174"/>
      <c r="DC199" s="174"/>
      <c r="DD199" s="174"/>
      <c r="DE199" s="174"/>
      <c r="DF199" s="174"/>
      <c r="DG199" s="174"/>
      <c r="DH199" s="174"/>
      <c r="DI199" s="174"/>
      <c r="DJ199" s="174"/>
      <c r="DK199" s="174"/>
      <c r="DL199" s="174"/>
      <c r="DM199" s="174"/>
      <c r="DN199" s="174"/>
      <c r="DO199" s="174"/>
      <c r="DP199" s="174"/>
      <c r="DQ199" s="174"/>
      <c r="DR199" s="174"/>
      <c r="DS199" s="174"/>
      <c r="DT199" s="174"/>
      <c r="DU199" s="174"/>
      <c r="DV199" s="174"/>
      <c r="DW199" s="174"/>
      <c r="DX199" s="174"/>
      <c r="DY199" s="174"/>
      <c r="DZ199" s="174"/>
      <c r="EA199" s="174"/>
      <c r="EB199" s="174"/>
      <c r="EC199" s="174"/>
      <c r="ED199" s="174"/>
      <c r="EE199" s="174"/>
      <c r="EF199" s="174"/>
      <c r="EG199" s="174"/>
      <c r="EH199" s="174"/>
      <c r="EI199" s="174"/>
      <c r="EJ199" s="174"/>
      <c r="EK199" s="174"/>
      <c r="EL199" s="174"/>
      <c r="EM199" s="174"/>
      <c r="EN199" s="174"/>
      <c r="EO199" s="174"/>
      <c r="EP199" s="174"/>
      <c r="EQ199" s="174"/>
      <c r="ER199" s="174"/>
      <c r="ES199" s="174"/>
      <c r="ET199" s="174"/>
      <c r="EU199" s="174"/>
      <c r="EV199" s="174"/>
      <c r="EW199" s="174"/>
      <c r="EX199" s="174"/>
      <c r="EY199" s="174"/>
      <c r="EZ199" s="174"/>
      <c r="FA199" s="174"/>
      <c r="FB199" s="174"/>
      <c r="FC199" s="174"/>
      <c r="FD199" s="174"/>
      <c r="FE199" s="174"/>
      <c r="FF199" s="174"/>
      <c r="FG199" s="174"/>
      <c r="FH199" s="174"/>
      <c r="FI199" s="174"/>
      <c r="FJ199" s="174"/>
      <c r="FK199" s="174"/>
      <c r="FL199" s="174"/>
      <c r="FM199" s="174"/>
      <c r="FN199" s="174"/>
      <c r="FO199" s="174"/>
      <c r="FP199" s="174"/>
      <c r="FQ199" s="174"/>
      <c r="FR199" s="174"/>
      <c r="FS199" s="174"/>
      <c r="FT199" s="174"/>
      <c r="FU199" s="174"/>
      <c r="FV199" s="174"/>
      <c r="FW199" s="174"/>
      <c r="FX199" s="174"/>
      <c r="FY199" s="174"/>
      <c r="FZ199" s="174"/>
      <c r="GA199" s="174"/>
      <c r="GB199" s="174"/>
      <c r="GC199" s="174"/>
      <c r="GD199" s="174"/>
      <c r="GE199" s="174"/>
      <c r="GF199" s="174"/>
      <c r="GG199" s="174"/>
      <c r="GH199" s="174"/>
      <c r="GI199" s="174"/>
      <c r="GJ199" s="174"/>
      <c r="GK199" s="174"/>
      <c r="GL199" s="174"/>
      <c r="GM199" s="174"/>
      <c r="GN199" s="174"/>
      <c r="GO199" s="174"/>
      <c r="GP199" s="174"/>
      <c r="GQ199" s="174"/>
      <c r="GR199" s="174"/>
      <c r="GS199" s="174"/>
      <c r="GT199" s="174"/>
      <c r="GU199" s="174"/>
      <c r="GV199" s="174"/>
      <c r="GW199" s="174"/>
      <c r="GX199" s="174"/>
      <c r="GY199" s="174"/>
      <c r="GZ199" s="174"/>
      <c r="HA199" s="174"/>
      <c r="HB199" s="174"/>
      <c r="HC199" s="174"/>
      <c r="HD199" s="174"/>
      <c r="HE199" s="174"/>
      <c r="HF199" s="174"/>
      <c r="HG199" s="174"/>
      <c r="HH199" s="174"/>
      <c r="HI199" s="174"/>
      <c r="HJ199" s="174"/>
      <c r="HK199" s="174"/>
      <c r="HL199" s="174"/>
      <c r="HM199" s="174"/>
      <c r="HN199" s="174"/>
      <c r="HO199" s="174"/>
      <c r="HP199" s="174"/>
      <c r="HQ199" s="174"/>
      <c r="HR199" s="174"/>
      <c r="HS199" s="174"/>
      <c r="HT199" s="174"/>
      <c r="HU199" s="174"/>
      <c r="HV199" s="174"/>
      <c r="HW199" s="174"/>
      <c r="HX199" s="174"/>
      <c r="HY199" s="174"/>
      <c r="HZ199" s="174"/>
      <c r="IA199" s="174"/>
      <c r="IB199" s="174"/>
      <c r="IC199" s="174"/>
      <c r="ID199" s="174"/>
      <c r="IE199" s="174"/>
      <c r="IF199" s="174"/>
      <c r="IG199" s="174"/>
      <c r="IH199" s="174"/>
      <c r="II199" s="174"/>
      <c r="IJ199" s="174"/>
      <c r="IK199" s="174"/>
      <c r="IL199" s="174"/>
      <c r="IM199" s="174"/>
      <c r="IN199" s="174"/>
      <c r="IO199" s="174"/>
      <c r="IP199" s="174"/>
      <c r="IQ199" s="174"/>
      <c r="IR199" s="174"/>
      <c r="IS199" s="174"/>
      <c r="IT199" s="174"/>
      <c r="IU199" s="75"/>
      <c r="IV199" s="75"/>
      <c r="IW199" s="75"/>
      <c r="IX199" s="75"/>
      <c r="IY199" s="75"/>
      <c r="IZ199" s="75"/>
      <c r="JA199" s="75"/>
      <c r="JB199" s="75"/>
      <c r="JC199" s="75"/>
      <c r="JD199" s="75"/>
      <c r="JF199" s="710"/>
      <c r="JG199" s="710"/>
      <c r="JH199" s="178">
        <f t="shared" si="17"/>
        <v>0</v>
      </c>
      <c r="JI199" s="174">
        <f t="shared" si="18"/>
        <v>0</v>
      </c>
    </row>
    <row r="200" spans="2:269" ht="15" customHeight="1" x14ac:dyDescent="0.25">
      <c r="B200" s="113">
        <v>197</v>
      </c>
      <c r="C200" s="353" t="str">
        <f>IF(JF200&lt;&gt;"",JF200,"")</f>
        <v/>
      </c>
      <c r="D200" s="353" t="str">
        <f t="shared" si="3"/>
        <v/>
      </c>
      <c r="E200" s="174"/>
      <c r="F200" s="174"/>
      <c r="G200" s="174"/>
      <c r="H200" s="174"/>
      <c r="I200" s="174"/>
      <c r="J200" s="174"/>
      <c r="K200" s="174"/>
      <c r="L200" s="174"/>
      <c r="M200" s="174"/>
      <c r="N200" s="174"/>
      <c r="O200" s="174"/>
      <c r="P200" s="174"/>
      <c r="Q200" s="174"/>
      <c r="R200" s="174"/>
      <c r="S200" s="174"/>
      <c r="T200" s="174"/>
      <c r="U200" s="174"/>
      <c r="V200" s="174"/>
      <c r="W200" s="174"/>
      <c r="X200" s="174"/>
      <c r="Y200" s="174"/>
      <c r="Z200" s="174"/>
      <c r="AA200" s="174"/>
      <c r="AB200" s="174"/>
      <c r="AC200" s="174"/>
      <c r="AD200" s="174"/>
      <c r="AE200" s="174"/>
      <c r="AF200" s="174"/>
      <c r="AG200" s="174"/>
      <c r="AH200" s="174"/>
      <c r="AI200" s="174"/>
      <c r="AJ200" s="174"/>
      <c r="AK200" s="174"/>
      <c r="AL200" s="174"/>
      <c r="AM200" s="174"/>
      <c r="AN200" s="174"/>
      <c r="AO200" s="174"/>
      <c r="AP200" s="174"/>
      <c r="AQ200" s="174"/>
      <c r="AR200" s="174"/>
      <c r="AS200" s="174"/>
      <c r="AT200" s="174"/>
      <c r="AU200" s="174"/>
      <c r="AV200" s="174"/>
      <c r="AW200" s="174"/>
      <c r="AX200" s="174"/>
      <c r="AY200" s="174"/>
      <c r="AZ200" s="174"/>
      <c r="BA200" s="174"/>
      <c r="BB200" s="174"/>
      <c r="BC200" s="174"/>
      <c r="BD200" s="174"/>
      <c r="BE200" s="174"/>
      <c r="BF200" s="174"/>
      <c r="BG200" s="174"/>
      <c r="BH200" s="174"/>
      <c r="BI200" s="174"/>
      <c r="BJ200" s="174"/>
      <c r="BK200" s="174"/>
      <c r="BL200" s="174"/>
      <c r="BM200" s="174"/>
      <c r="BN200" s="174"/>
      <c r="BO200" s="174"/>
      <c r="BP200" s="174"/>
      <c r="BQ200" s="174"/>
      <c r="BR200" s="174"/>
      <c r="BS200" s="174"/>
      <c r="BT200" s="174"/>
      <c r="BU200" s="174"/>
      <c r="BV200" s="174"/>
      <c r="BW200" s="174"/>
      <c r="BX200" s="174"/>
      <c r="BY200" s="174"/>
      <c r="BZ200" s="174"/>
      <c r="CA200" s="174"/>
      <c r="CB200" s="174"/>
      <c r="CC200" s="174"/>
      <c r="CD200" s="174"/>
      <c r="CE200" s="174"/>
      <c r="CF200" s="174"/>
      <c r="CG200" s="174"/>
      <c r="CH200" s="174"/>
      <c r="CI200" s="174"/>
      <c r="CJ200" s="174"/>
      <c r="CK200" s="174"/>
      <c r="CL200" s="174"/>
      <c r="CM200" s="174"/>
      <c r="CN200" s="174"/>
      <c r="CO200" s="174"/>
      <c r="CP200" s="174"/>
      <c r="CQ200" s="174"/>
      <c r="CR200" s="174"/>
      <c r="CS200" s="174"/>
      <c r="CT200" s="174"/>
      <c r="CU200" s="174"/>
      <c r="CV200" s="174"/>
      <c r="CW200" s="174"/>
      <c r="CX200" s="174"/>
      <c r="CY200" s="174"/>
      <c r="CZ200" s="174"/>
      <c r="DA200" s="174"/>
      <c r="DB200" s="174"/>
      <c r="DC200" s="174"/>
      <c r="DD200" s="174"/>
      <c r="DE200" s="174"/>
      <c r="DF200" s="174"/>
      <c r="DG200" s="174"/>
      <c r="DH200" s="174"/>
      <c r="DI200" s="174"/>
      <c r="DJ200" s="174"/>
      <c r="DK200" s="174"/>
      <c r="DL200" s="174"/>
      <c r="DM200" s="174"/>
      <c r="DN200" s="174"/>
      <c r="DO200" s="174"/>
      <c r="DP200" s="174"/>
      <c r="DQ200" s="174"/>
      <c r="DR200" s="174"/>
      <c r="DS200" s="174"/>
      <c r="DT200" s="174"/>
      <c r="DU200" s="174"/>
      <c r="DV200" s="174"/>
      <c r="DW200" s="174"/>
      <c r="DX200" s="174"/>
      <c r="DY200" s="174"/>
      <c r="DZ200" s="174"/>
      <c r="EA200" s="174"/>
      <c r="EB200" s="174"/>
      <c r="EC200" s="174"/>
      <c r="ED200" s="174"/>
      <c r="EE200" s="174"/>
      <c r="EF200" s="174"/>
      <c r="EG200" s="174"/>
      <c r="EH200" s="174"/>
      <c r="EI200" s="174"/>
      <c r="EJ200" s="174"/>
      <c r="EK200" s="174"/>
      <c r="EL200" s="174"/>
      <c r="EM200" s="174"/>
      <c r="EN200" s="174"/>
      <c r="EO200" s="174"/>
      <c r="EP200" s="174"/>
      <c r="EQ200" s="174"/>
      <c r="ER200" s="174"/>
      <c r="ES200" s="174"/>
      <c r="ET200" s="174"/>
      <c r="EU200" s="174"/>
      <c r="EV200" s="174"/>
      <c r="EW200" s="174"/>
      <c r="EX200" s="174"/>
      <c r="EY200" s="174"/>
      <c r="EZ200" s="174"/>
      <c r="FA200" s="174"/>
      <c r="FB200" s="174"/>
      <c r="FC200" s="174"/>
      <c r="FD200" s="174"/>
      <c r="FE200" s="174"/>
      <c r="FF200" s="174"/>
      <c r="FG200" s="174"/>
      <c r="FH200" s="174"/>
      <c r="FI200" s="174"/>
      <c r="FJ200" s="174"/>
      <c r="FK200" s="174"/>
      <c r="FL200" s="174"/>
      <c r="FM200" s="174"/>
      <c r="FN200" s="174"/>
      <c r="FO200" s="174"/>
      <c r="FP200" s="174"/>
      <c r="FQ200" s="174"/>
      <c r="FR200" s="174"/>
      <c r="FS200" s="174"/>
      <c r="FT200" s="174"/>
      <c r="FU200" s="174"/>
      <c r="FV200" s="174"/>
      <c r="FW200" s="174"/>
      <c r="FX200" s="174"/>
      <c r="FY200" s="174"/>
      <c r="FZ200" s="174"/>
      <c r="GA200" s="174"/>
      <c r="GB200" s="174"/>
      <c r="GC200" s="174"/>
      <c r="GD200" s="174"/>
      <c r="GE200" s="174"/>
      <c r="GF200" s="174"/>
      <c r="GG200" s="174"/>
      <c r="GH200" s="174"/>
      <c r="GI200" s="174"/>
      <c r="GJ200" s="174"/>
      <c r="GK200" s="174"/>
      <c r="GL200" s="174"/>
      <c r="GM200" s="174"/>
      <c r="GN200" s="174"/>
      <c r="GO200" s="174"/>
      <c r="GP200" s="174"/>
      <c r="GQ200" s="174"/>
      <c r="GR200" s="174"/>
      <c r="GS200" s="174"/>
      <c r="GT200" s="174"/>
      <c r="GU200" s="174"/>
      <c r="GV200" s="174"/>
      <c r="GW200" s="174"/>
      <c r="GX200" s="174"/>
      <c r="GY200" s="174"/>
      <c r="GZ200" s="174"/>
      <c r="HA200" s="174"/>
      <c r="HB200" s="174"/>
      <c r="HC200" s="174"/>
      <c r="HD200" s="174"/>
      <c r="HE200" s="174"/>
      <c r="HF200" s="174"/>
      <c r="HG200" s="174"/>
      <c r="HH200" s="174"/>
      <c r="HI200" s="174"/>
      <c r="HJ200" s="174"/>
      <c r="HK200" s="174"/>
      <c r="HL200" s="174"/>
      <c r="HM200" s="174"/>
      <c r="HN200" s="174"/>
      <c r="HO200" s="174"/>
      <c r="HP200" s="174"/>
      <c r="HQ200" s="174"/>
      <c r="HR200" s="174"/>
      <c r="HS200" s="174"/>
      <c r="HT200" s="174"/>
      <c r="HU200" s="174"/>
      <c r="HV200" s="174"/>
      <c r="HW200" s="174"/>
      <c r="HX200" s="174"/>
      <c r="HY200" s="174"/>
      <c r="HZ200" s="174"/>
      <c r="IA200" s="174"/>
      <c r="IB200" s="174"/>
      <c r="IC200" s="174"/>
      <c r="ID200" s="174"/>
      <c r="IE200" s="174"/>
      <c r="IF200" s="174"/>
      <c r="IG200" s="174"/>
      <c r="IH200" s="174"/>
      <c r="II200" s="174"/>
      <c r="IJ200" s="174"/>
      <c r="IK200" s="174"/>
      <c r="IL200" s="174"/>
      <c r="IM200" s="174"/>
      <c r="IN200" s="174"/>
      <c r="IO200" s="174"/>
      <c r="IP200" s="174"/>
      <c r="IQ200" s="174"/>
      <c r="IR200" s="174"/>
      <c r="IS200" s="174"/>
      <c r="IT200" s="174"/>
      <c r="IU200" s="75"/>
      <c r="IV200" s="75"/>
      <c r="IW200" s="75"/>
      <c r="IX200" s="75"/>
      <c r="IY200" s="75"/>
      <c r="IZ200" s="75"/>
      <c r="JA200" s="75"/>
      <c r="JB200" s="75"/>
      <c r="JC200" s="75"/>
      <c r="JD200" s="75"/>
      <c r="JF200" s="710"/>
      <c r="JG200" s="710"/>
      <c r="JH200" s="178">
        <f t="shared" si="17"/>
        <v>0</v>
      </c>
      <c r="JI200" s="174">
        <f t="shared" si="18"/>
        <v>0</v>
      </c>
    </row>
    <row r="201" spans="2:269" ht="15" customHeight="1" x14ac:dyDescent="0.25">
      <c r="B201" s="113">
        <v>198</v>
      </c>
      <c r="C201" s="353" t="str">
        <f>IF(JF201&lt;&gt;"",JF201,"")</f>
        <v/>
      </c>
      <c r="D201" s="353" t="str">
        <f t="shared" si="3"/>
        <v/>
      </c>
      <c r="E201" s="174"/>
      <c r="F201" s="174"/>
      <c r="G201" s="174"/>
      <c r="H201" s="174"/>
      <c r="I201" s="174"/>
      <c r="J201" s="174"/>
      <c r="K201" s="174"/>
      <c r="L201" s="174"/>
      <c r="M201" s="174"/>
      <c r="N201" s="174"/>
      <c r="O201" s="174"/>
      <c r="P201" s="174"/>
      <c r="Q201" s="174"/>
      <c r="R201" s="174"/>
      <c r="S201" s="174"/>
      <c r="T201" s="174"/>
      <c r="U201" s="174"/>
      <c r="V201" s="174"/>
      <c r="W201" s="174"/>
      <c r="X201" s="174"/>
      <c r="Y201" s="174"/>
      <c r="Z201" s="174"/>
      <c r="AA201" s="174"/>
      <c r="AB201" s="174"/>
      <c r="AC201" s="174"/>
      <c r="AD201" s="174"/>
      <c r="AE201" s="174"/>
      <c r="AF201" s="174"/>
      <c r="AG201" s="174"/>
      <c r="AH201" s="174"/>
      <c r="AI201" s="174"/>
      <c r="AJ201" s="174"/>
      <c r="AK201" s="174"/>
      <c r="AL201" s="174"/>
      <c r="AM201" s="174"/>
      <c r="AN201" s="174"/>
      <c r="AO201" s="174"/>
      <c r="AP201" s="174"/>
      <c r="AQ201" s="174"/>
      <c r="AR201" s="174"/>
      <c r="AS201" s="174"/>
      <c r="AT201" s="174"/>
      <c r="AU201" s="174"/>
      <c r="AV201" s="174"/>
      <c r="AW201" s="174"/>
      <c r="AX201" s="174"/>
      <c r="AY201" s="174"/>
      <c r="AZ201" s="174"/>
      <c r="BA201" s="174"/>
      <c r="BB201" s="174"/>
      <c r="BC201" s="174"/>
      <c r="BD201" s="174"/>
      <c r="BE201" s="174"/>
      <c r="BF201" s="174"/>
      <c r="BG201" s="174"/>
      <c r="BH201" s="174"/>
      <c r="BI201" s="174"/>
      <c r="BJ201" s="174"/>
      <c r="BK201" s="174"/>
      <c r="BL201" s="174"/>
      <c r="BM201" s="174"/>
      <c r="BN201" s="174"/>
      <c r="BO201" s="174"/>
      <c r="BP201" s="174"/>
      <c r="BQ201" s="174"/>
      <c r="BR201" s="174"/>
      <c r="BS201" s="174"/>
      <c r="BT201" s="174"/>
      <c r="BU201" s="174"/>
      <c r="BV201" s="174"/>
      <c r="BW201" s="174"/>
      <c r="BX201" s="174"/>
      <c r="BY201" s="174"/>
      <c r="BZ201" s="174"/>
      <c r="CA201" s="174"/>
      <c r="CB201" s="174"/>
      <c r="CC201" s="174"/>
      <c r="CD201" s="174"/>
      <c r="CE201" s="174"/>
      <c r="CF201" s="174"/>
      <c r="CG201" s="174"/>
      <c r="CH201" s="174"/>
      <c r="CI201" s="174"/>
      <c r="CJ201" s="174"/>
      <c r="CK201" s="174"/>
      <c r="CL201" s="174"/>
      <c r="CM201" s="174"/>
      <c r="CN201" s="174"/>
      <c r="CO201" s="174"/>
      <c r="CP201" s="174"/>
      <c r="CQ201" s="174"/>
      <c r="CR201" s="174"/>
      <c r="CS201" s="174"/>
      <c r="CT201" s="174"/>
      <c r="CU201" s="174"/>
      <c r="CV201" s="174"/>
      <c r="CW201" s="174"/>
      <c r="CX201" s="174"/>
      <c r="CY201" s="174"/>
      <c r="CZ201" s="174"/>
      <c r="DA201" s="174"/>
      <c r="DB201" s="174"/>
      <c r="DC201" s="174"/>
      <c r="DD201" s="174"/>
      <c r="DE201" s="174"/>
      <c r="DF201" s="174"/>
      <c r="DG201" s="174"/>
      <c r="DH201" s="174"/>
      <c r="DI201" s="174"/>
      <c r="DJ201" s="174"/>
      <c r="DK201" s="174"/>
      <c r="DL201" s="174"/>
      <c r="DM201" s="174"/>
      <c r="DN201" s="174"/>
      <c r="DO201" s="174"/>
      <c r="DP201" s="174"/>
      <c r="DQ201" s="174"/>
      <c r="DR201" s="174"/>
      <c r="DS201" s="174"/>
      <c r="DT201" s="174"/>
      <c r="DU201" s="174"/>
      <c r="DV201" s="174"/>
      <c r="DW201" s="174"/>
      <c r="DX201" s="174"/>
      <c r="DY201" s="174"/>
      <c r="DZ201" s="174"/>
      <c r="EA201" s="174"/>
      <c r="EB201" s="174"/>
      <c r="EC201" s="174"/>
      <c r="ED201" s="174"/>
      <c r="EE201" s="174"/>
      <c r="EF201" s="174"/>
      <c r="EG201" s="174"/>
      <c r="EH201" s="174"/>
      <c r="EI201" s="174"/>
      <c r="EJ201" s="174"/>
      <c r="EK201" s="174"/>
      <c r="EL201" s="174"/>
      <c r="EM201" s="174"/>
      <c r="EN201" s="174"/>
      <c r="EO201" s="174"/>
      <c r="EP201" s="174"/>
      <c r="EQ201" s="174"/>
      <c r="ER201" s="174"/>
      <c r="ES201" s="174"/>
      <c r="ET201" s="174"/>
      <c r="EU201" s="174"/>
      <c r="EV201" s="174"/>
      <c r="EW201" s="174"/>
      <c r="EX201" s="174"/>
      <c r="EY201" s="174"/>
      <c r="EZ201" s="174"/>
      <c r="FA201" s="174"/>
      <c r="FB201" s="174"/>
      <c r="FC201" s="174"/>
      <c r="FD201" s="174"/>
      <c r="FE201" s="174"/>
      <c r="FF201" s="174"/>
      <c r="FG201" s="174"/>
      <c r="FH201" s="174"/>
      <c r="FI201" s="174"/>
      <c r="FJ201" s="174"/>
      <c r="FK201" s="174"/>
      <c r="FL201" s="174"/>
      <c r="FM201" s="174"/>
      <c r="FN201" s="174"/>
      <c r="FO201" s="174"/>
      <c r="FP201" s="174"/>
      <c r="FQ201" s="174"/>
      <c r="FR201" s="174"/>
      <c r="FS201" s="174"/>
      <c r="FT201" s="174"/>
      <c r="FU201" s="174"/>
      <c r="FV201" s="174"/>
      <c r="FW201" s="174"/>
      <c r="FX201" s="174"/>
      <c r="FY201" s="174"/>
      <c r="FZ201" s="174"/>
      <c r="GA201" s="174"/>
      <c r="GB201" s="174"/>
      <c r="GC201" s="174"/>
      <c r="GD201" s="174"/>
      <c r="GE201" s="174"/>
      <c r="GF201" s="174"/>
      <c r="GG201" s="174"/>
      <c r="GH201" s="174"/>
      <c r="GI201" s="174"/>
      <c r="GJ201" s="174"/>
      <c r="GK201" s="174"/>
      <c r="GL201" s="174"/>
      <c r="GM201" s="174"/>
      <c r="GN201" s="174"/>
      <c r="GO201" s="174"/>
      <c r="GP201" s="174"/>
      <c r="GQ201" s="174"/>
      <c r="GR201" s="174"/>
      <c r="GS201" s="174"/>
      <c r="GT201" s="174"/>
      <c r="GU201" s="174"/>
      <c r="GV201" s="174"/>
      <c r="GW201" s="174"/>
      <c r="GX201" s="174"/>
      <c r="GY201" s="174"/>
      <c r="GZ201" s="174"/>
      <c r="HA201" s="174"/>
      <c r="HB201" s="174"/>
      <c r="HC201" s="174"/>
      <c r="HD201" s="174"/>
      <c r="HE201" s="174"/>
      <c r="HF201" s="174"/>
      <c r="HG201" s="174"/>
      <c r="HH201" s="174"/>
      <c r="HI201" s="174"/>
      <c r="HJ201" s="174"/>
      <c r="HK201" s="174"/>
      <c r="HL201" s="174"/>
      <c r="HM201" s="174"/>
      <c r="HN201" s="174"/>
      <c r="HO201" s="174"/>
      <c r="HP201" s="174"/>
      <c r="HQ201" s="174"/>
      <c r="HR201" s="174"/>
      <c r="HS201" s="174"/>
      <c r="HT201" s="174"/>
      <c r="HU201" s="174"/>
      <c r="HV201" s="174"/>
      <c r="HW201" s="174"/>
      <c r="HX201" s="174"/>
      <c r="HY201" s="174"/>
      <c r="HZ201" s="174"/>
      <c r="IA201" s="174"/>
      <c r="IB201" s="174"/>
      <c r="IC201" s="174"/>
      <c r="ID201" s="174"/>
      <c r="IE201" s="174"/>
      <c r="IF201" s="174"/>
      <c r="IG201" s="174"/>
      <c r="IH201" s="174"/>
      <c r="II201" s="174"/>
      <c r="IJ201" s="174"/>
      <c r="IK201" s="174"/>
      <c r="IL201" s="174"/>
      <c r="IM201" s="174"/>
      <c r="IN201" s="174"/>
      <c r="IO201" s="174"/>
      <c r="IP201" s="174"/>
      <c r="IQ201" s="174"/>
      <c r="IR201" s="174"/>
      <c r="IS201" s="174"/>
      <c r="IT201" s="174"/>
      <c r="IU201" s="75"/>
      <c r="IV201" s="75"/>
      <c r="IW201" s="75"/>
      <c r="IX201" s="75"/>
      <c r="IY201" s="75"/>
      <c r="IZ201" s="75"/>
      <c r="JA201" s="75"/>
      <c r="JB201" s="75"/>
      <c r="JC201" s="75"/>
      <c r="JD201" s="75"/>
      <c r="JF201" s="710"/>
      <c r="JG201" s="710"/>
      <c r="JH201" s="178">
        <f t="shared" si="17"/>
        <v>0</v>
      </c>
      <c r="JI201" s="174">
        <f t="shared" si="18"/>
        <v>0</v>
      </c>
    </row>
    <row r="202" spans="2:269" ht="15" customHeight="1" x14ac:dyDescent="0.25">
      <c r="B202" s="113">
        <v>199</v>
      </c>
      <c r="C202" s="353" t="str">
        <f t="shared" ref="C202:C203" si="19">IF(JF202&lt;&gt;"",JF202,"")</f>
        <v/>
      </c>
      <c r="D202" s="353" t="str">
        <f t="shared" ref="D202:D203" si="20">IF(JG202&lt;&gt;"",JG202,"")</f>
        <v/>
      </c>
      <c r="E202" s="174"/>
      <c r="F202" s="174"/>
      <c r="G202" s="174"/>
      <c r="H202" s="174"/>
      <c r="I202" s="174"/>
      <c r="J202" s="174"/>
      <c r="K202" s="174"/>
      <c r="L202" s="174"/>
      <c r="M202" s="174"/>
      <c r="N202" s="174"/>
      <c r="O202" s="174"/>
      <c r="P202" s="174"/>
      <c r="Q202" s="174"/>
      <c r="R202" s="174"/>
      <c r="S202" s="174"/>
      <c r="T202" s="174"/>
      <c r="U202" s="174"/>
      <c r="V202" s="174"/>
      <c r="W202" s="174"/>
      <c r="X202" s="174"/>
      <c r="Y202" s="174"/>
      <c r="Z202" s="174"/>
      <c r="AA202" s="174"/>
      <c r="AB202" s="174"/>
      <c r="AC202" s="174"/>
      <c r="AD202" s="174"/>
      <c r="AE202" s="174"/>
      <c r="AF202" s="174"/>
      <c r="AG202" s="174"/>
      <c r="AH202" s="174"/>
      <c r="AI202" s="174"/>
      <c r="AJ202" s="174"/>
      <c r="AK202" s="174"/>
      <c r="AL202" s="174"/>
      <c r="AM202" s="174"/>
      <c r="AN202" s="174"/>
      <c r="AO202" s="174"/>
      <c r="AP202" s="174"/>
      <c r="AQ202" s="174"/>
      <c r="AR202" s="174"/>
      <c r="AS202" s="174"/>
      <c r="AT202" s="174"/>
      <c r="AU202" s="174"/>
      <c r="AV202" s="174"/>
      <c r="AW202" s="174"/>
      <c r="AX202" s="174"/>
      <c r="AY202" s="174"/>
      <c r="AZ202" s="174"/>
      <c r="BA202" s="174"/>
      <c r="BB202" s="174"/>
      <c r="BC202" s="174"/>
      <c r="BD202" s="174"/>
      <c r="BE202" s="174"/>
      <c r="BF202" s="174"/>
      <c r="BG202" s="174"/>
      <c r="BH202" s="174"/>
      <c r="BI202" s="174"/>
      <c r="BJ202" s="174"/>
      <c r="BK202" s="174"/>
      <c r="BL202" s="174"/>
      <c r="BM202" s="174"/>
      <c r="BN202" s="174"/>
      <c r="BO202" s="174"/>
      <c r="BP202" s="174"/>
      <c r="BQ202" s="174"/>
      <c r="BR202" s="174"/>
      <c r="BS202" s="174"/>
      <c r="BT202" s="174"/>
      <c r="BU202" s="174"/>
      <c r="BV202" s="174"/>
      <c r="BW202" s="174"/>
      <c r="BX202" s="174"/>
      <c r="BY202" s="174"/>
      <c r="BZ202" s="174"/>
      <c r="CA202" s="174"/>
      <c r="CB202" s="174"/>
      <c r="CC202" s="174"/>
      <c r="CD202" s="174"/>
      <c r="CE202" s="174"/>
      <c r="CF202" s="174"/>
      <c r="CG202" s="174"/>
      <c r="CH202" s="174"/>
      <c r="CI202" s="174"/>
      <c r="CJ202" s="174"/>
      <c r="CK202" s="174"/>
      <c r="CL202" s="174"/>
      <c r="CM202" s="174"/>
      <c r="CN202" s="174"/>
      <c r="CO202" s="174"/>
      <c r="CP202" s="174"/>
      <c r="CQ202" s="174"/>
      <c r="CR202" s="174"/>
      <c r="CS202" s="174"/>
      <c r="CT202" s="174"/>
      <c r="CU202" s="174"/>
      <c r="CV202" s="174"/>
      <c r="CW202" s="174"/>
      <c r="CX202" s="174"/>
      <c r="CY202" s="174"/>
      <c r="CZ202" s="174"/>
      <c r="DA202" s="174"/>
      <c r="DB202" s="174"/>
      <c r="DC202" s="174"/>
      <c r="DD202" s="174"/>
      <c r="DE202" s="174"/>
      <c r="DF202" s="174"/>
      <c r="DG202" s="174"/>
      <c r="DH202" s="174"/>
      <c r="DI202" s="174"/>
      <c r="DJ202" s="174"/>
      <c r="DK202" s="174"/>
      <c r="DL202" s="174"/>
      <c r="DM202" s="174"/>
      <c r="DN202" s="174"/>
      <c r="DO202" s="174"/>
      <c r="DP202" s="174"/>
      <c r="DQ202" s="174"/>
      <c r="DR202" s="174"/>
      <c r="DS202" s="174"/>
      <c r="DT202" s="174"/>
      <c r="DU202" s="174"/>
      <c r="DV202" s="174"/>
      <c r="DW202" s="174"/>
      <c r="DX202" s="174"/>
      <c r="DY202" s="174"/>
      <c r="DZ202" s="174"/>
      <c r="EA202" s="174"/>
      <c r="EB202" s="174"/>
      <c r="EC202" s="174"/>
      <c r="ED202" s="174"/>
      <c r="EE202" s="174"/>
      <c r="EF202" s="174"/>
      <c r="EG202" s="174"/>
      <c r="EH202" s="174"/>
      <c r="EI202" s="174"/>
      <c r="EJ202" s="174"/>
      <c r="EK202" s="174"/>
      <c r="EL202" s="174"/>
      <c r="EM202" s="174"/>
      <c r="EN202" s="174"/>
      <c r="EO202" s="174"/>
      <c r="EP202" s="174"/>
      <c r="EQ202" s="174"/>
      <c r="ER202" s="174"/>
      <c r="ES202" s="174"/>
      <c r="ET202" s="174"/>
      <c r="EU202" s="174"/>
      <c r="EV202" s="174"/>
      <c r="EW202" s="174"/>
      <c r="EX202" s="174"/>
      <c r="EY202" s="174"/>
      <c r="EZ202" s="174"/>
      <c r="FA202" s="174"/>
      <c r="FB202" s="174"/>
      <c r="FC202" s="174"/>
      <c r="FD202" s="174"/>
      <c r="FE202" s="174"/>
      <c r="FF202" s="174"/>
      <c r="FG202" s="174"/>
      <c r="FH202" s="174"/>
      <c r="FI202" s="174"/>
      <c r="FJ202" s="174"/>
      <c r="FK202" s="174"/>
      <c r="FL202" s="174"/>
      <c r="FM202" s="174"/>
      <c r="FN202" s="174"/>
      <c r="FO202" s="174"/>
      <c r="FP202" s="174"/>
      <c r="FQ202" s="174"/>
      <c r="FR202" s="174"/>
      <c r="FS202" s="174"/>
      <c r="FT202" s="174"/>
      <c r="FU202" s="174"/>
      <c r="FV202" s="174"/>
      <c r="FW202" s="174"/>
      <c r="FX202" s="174"/>
      <c r="FY202" s="174"/>
      <c r="FZ202" s="174"/>
      <c r="GA202" s="174"/>
      <c r="GB202" s="174"/>
      <c r="GC202" s="174"/>
      <c r="GD202" s="174"/>
      <c r="GE202" s="174"/>
      <c r="GF202" s="174"/>
      <c r="GG202" s="174"/>
      <c r="GH202" s="174"/>
      <c r="GI202" s="174"/>
      <c r="GJ202" s="174"/>
      <c r="GK202" s="174"/>
      <c r="GL202" s="174"/>
      <c r="GM202" s="174"/>
      <c r="GN202" s="174"/>
      <c r="GO202" s="174"/>
      <c r="GP202" s="174"/>
      <c r="GQ202" s="174"/>
      <c r="GR202" s="174"/>
      <c r="GS202" s="174"/>
      <c r="GT202" s="174"/>
      <c r="GU202" s="174"/>
      <c r="GV202" s="174"/>
      <c r="GW202" s="174"/>
      <c r="GX202" s="174"/>
      <c r="GY202" s="174"/>
      <c r="GZ202" s="174"/>
      <c r="HA202" s="174"/>
      <c r="HB202" s="174"/>
      <c r="HC202" s="174"/>
      <c r="HD202" s="174"/>
      <c r="HE202" s="174"/>
      <c r="HF202" s="174"/>
      <c r="HG202" s="174"/>
      <c r="HH202" s="174"/>
      <c r="HI202" s="174"/>
      <c r="HJ202" s="174"/>
      <c r="HK202" s="174"/>
      <c r="HL202" s="174"/>
      <c r="HM202" s="174"/>
      <c r="HN202" s="174"/>
      <c r="HO202" s="174"/>
      <c r="HP202" s="174"/>
      <c r="HQ202" s="174"/>
      <c r="HR202" s="174"/>
      <c r="HS202" s="174"/>
      <c r="HT202" s="174"/>
      <c r="HU202" s="174"/>
      <c r="HV202" s="174"/>
      <c r="HW202" s="174"/>
      <c r="HX202" s="174"/>
      <c r="HY202" s="174"/>
      <c r="HZ202" s="174"/>
      <c r="IA202" s="174"/>
      <c r="IB202" s="174"/>
      <c r="IC202" s="174"/>
      <c r="ID202" s="174"/>
      <c r="IE202" s="174"/>
      <c r="IF202" s="174"/>
      <c r="IG202" s="174"/>
      <c r="IH202" s="174"/>
      <c r="II202" s="174"/>
      <c r="IJ202" s="174"/>
      <c r="IK202" s="174"/>
      <c r="IL202" s="174"/>
      <c r="IM202" s="174"/>
      <c r="IN202" s="174"/>
      <c r="IO202" s="174"/>
      <c r="IP202" s="174"/>
      <c r="IQ202" s="174"/>
      <c r="IR202" s="174"/>
      <c r="IS202" s="174"/>
      <c r="IT202" s="174"/>
      <c r="IU202" s="75"/>
      <c r="IV202" s="75"/>
      <c r="IW202" s="75"/>
      <c r="IX202" s="75"/>
      <c r="IY202" s="75"/>
      <c r="IZ202" s="75"/>
      <c r="JA202" s="75"/>
      <c r="JB202" s="75"/>
      <c r="JC202" s="75"/>
      <c r="JD202" s="75"/>
      <c r="JF202" s="710"/>
      <c r="JG202" s="710"/>
      <c r="JH202" s="178">
        <f t="shared" si="17"/>
        <v>0</v>
      </c>
      <c r="JI202" s="174">
        <f t="shared" si="18"/>
        <v>0</v>
      </c>
    </row>
    <row r="203" spans="2:269" ht="15" customHeight="1" x14ac:dyDescent="0.25">
      <c r="B203" s="113">
        <v>200</v>
      </c>
      <c r="C203" s="353" t="str">
        <f t="shared" si="19"/>
        <v/>
      </c>
      <c r="D203" s="353" t="str">
        <f t="shared" si="20"/>
        <v/>
      </c>
      <c r="E203" s="174"/>
      <c r="F203" s="174"/>
      <c r="G203" s="174"/>
      <c r="H203" s="174"/>
      <c r="I203" s="174"/>
      <c r="J203" s="174"/>
      <c r="K203" s="174"/>
      <c r="L203" s="174"/>
      <c r="M203" s="174"/>
      <c r="N203" s="174"/>
      <c r="O203" s="174"/>
      <c r="P203" s="174"/>
      <c r="Q203" s="174"/>
      <c r="R203" s="174"/>
      <c r="S203" s="174"/>
      <c r="T203" s="174"/>
      <c r="U203" s="174"/>
      <c r="V203" s="174"/>
      <c r="W203" s="174"/>
      <c r="X203" s="174"/>
      <c r="Y203" s="174"/>
      <c r="Z203" s="174"/>
      <c r="AA203" s="174"/>
      <c r="AB203" s="174"/>
      <c r="AC203" s="174"/>
      <c r="AD203" s="174"/>
      <c r="AE203" s="174"/>
      <c r="AF203" s="174"/>
      <c r="AG203" s="174"/>
      <c r="AH203" s="174"/>
      <c r="AI203" s="174"/>
      <c r="AJ203" s="174"/>
      <c r="AK203" s="174"/>
      <c r="AL203" s="174"/>
      <c r="AM203" s="174"/>
      <c r="AN203" s="174"/>
      <c r="AO203" s="174"/>
      <c r="AP203" s="174"/>
      <c r="AQ203" s="174"/>
      <c r="AR203" s="174"/>
      <c r="AS203" s="174"/>
      <c r="AT203" s="174"/>
      <c r="AU203" s="174"/>
      <c r="AV203" s="174"/>
      <c r="AW203" s="174"/>
      <c r="AX203" s="174"/>
      <c r="AY203" s="174"/>
      <c r="AZ203" s="174"/>
      <c r="BA203" s="174"/>
      <c r="BB203" s="174"/>
      <c r="BC203" s="174"/>
      <c r="BD203" s="174"/>
      <c r="BE203" s="174"/>
      <c r="BF203" s="174"/>
      <c r="BG203" s="174"/>
      <c r="BH203" s="174"/>
      <c r="BI203" s="174"/>
      <c r="BJ203" s="174"/>
      <c r="BK203" s="174"/>
      <c r="BL203" s="174"/>
      <c r="BM203" s="174"/>
      <c r="BN203" s="174"/>
      <c r="BO203" s="174"/>
      <c r="BP203" s="174"/>
      <c r="BQ203" s="174"/>
      <c r="BR203" s="174"/>
      <c r="BS203" s="174"/>
      <c r="BT203" s="174"/>
      <c r="BU203" s="174"/>
      <c r="BV203" s="174"/>
      <c r="BW203" s="174"/>
      <c r="BX203" s="174"/>
      <c r="BY203" s="174"/>
      <c r="BZ203" s="174"/>
      <c r="CA203" s="174"/>
      <c r="CB203" s="174"/>
      <c r="CC203" s="174"/>
      <c r="CD203" s="174"/>
      <c r="CE203" s="174"/>
      <c r="CF203" s="174"/>
      <c r="CG203" s="174"/>
      <c r="CH203" s="174"/>
      <c r="CI203" s="174"/>
      <c r="CJ203" s="174"/>
      <c r="CK203" s="174"/>
      <c r="CL203" s="174"/>
      <c r="CM203" s="174"/>
      <c r="CN203" s="174"/>
      <c r="CO203" s="174"/>
      <c r="CP203" s="174"/>
      <c r="CQ203" s="174"/>
      <c r="CR203" s="174"/>
      <c r="CS203" s="174"/>
      <c r="CT203" s="174"/>
      <c r="CU203" s="174"/>
      <c r="CV203" s="174"/>
      <c r="CW203" s="174"/>
      <c r="CX203" s="174"/>
      <c r="CY203" s="174"/>
      <c r="CZ203" s="174"/>
      <c r="DA203" s="174"/>
      <c r="DB203" s="174"/>
      <c r="DC203" s="174"/>
      <c r="DD203" s="174"/>
      <c r="DE203" s="174"/>
      <c r="DF203" s="174"/>
      <c r="DG203" s="174"/>
      <c r="DH203" s="174"/>
      <c r="DI203" s="174"/>
      <c r="DJ203" s="174"/>
      <c r="DK203" s="174"/>
      <c r="DL203" s="174"/>
      <c r="DM203" s="174"/>
      <c r="DN203" s="174"/>
      <c r="DO203" s="174"/>
      <c r="DP203" s="174"/>
      <c r="DQ203" s="174"/>
      <c r="DR203" s="174"/>
      <c r="DS203" s="174"/>
      <c r="DT203" s="174"/>
      <c r="DU203" s="174"/>
      <c r="DV203" s="174"/>
      <c r="DW203" s="174"/>
      <c r="DX203" s="174"/>
      <c r="DY203" s="174"/>
      <c r="DZ203" s="174"/>
      <c r="EA203" s="174"/>
      <c r="EB203" s="174"/>
      <c r="EC203" s="174"/>
      <c r="ED203" s="174"/>
      <c r="EE203" s="174"/>
      <c r="EF203" s="174"/>
      <c r="EG203" s="174"/>
      <c r="EH203" s="174"/>
      <c r="EI203" s="174"/>
      <c r="EJ203" s="174"/>
      <c r="EK203" s="174"/>
      <c r="EL203" s="174"/>
      <c r="EM203" s="174"/>
      <c r="EN203" s="174"/>
      <c r="EO203" s="174"/>
      <c r="EP203" s="174"/>
      <c r="EQ203" s="174"/>
      <c r="ER203" s="174"/>
      <c r="ES203" s="174"/>
      <c r="ET203" s="174"/>
      <c r="EU203" s="174"/>
      <c r="EV203" s="174"/>
      <c r="EW203" s="174"/>
      <c r="EX203" s="174"/>
      <c r="EY203" s="174"/>
      <c r="EZ203" s="174"/>
      <c r="FA203" s="174"/>
      <c r="FB203" s="174"/>
      <c r="FC203" s="174"/>
      <c r="FD203" s="174"/>
      <c r="FE203" s="174"/>
      <c r="FF203" s="174"/>
      <c r="FG203" s="174"/>
      <c r="FH203" s="174"/>
      <c r="FI203" s="174"/>
      <c r="FJ203" s="174"/>
      <c r="FK203" s="174"/>
      <c r="FL203" s="174"/>
      <c r="FM203" s="174"/>
      <c r="FN203" s="174"/>
      <c r="FO203" s="174"/>
      <c r="FP203" s="174"/>
      <c r="FQ203" s="174"/>
      <c r="FR203" s="174"/>
      <c r="FS203" s="174"/>
      <c r="FT203" s="174"/>
      <c r="FU203" s="174"/>
      <c r="FV203" s="174"/>
      <c r="FW203" s="174"/>
      <c r="FX203" s="174"/>
      <c r="FY203" s="174"/>
      <c r="FZ203" s="174"/>
      <c r="GA203" s="174"/>
      <c r="GB203" s="174"/>
      <c r="GC203" s="174"/>
      <c r="GD203" s="174"/>
      <c r="GE203" s="174"/>
      <c r="GF203" s="174"/>
      <c r="GG203" s="174"/>
      <c r="GH203" s="174"/>
      <c r="GI203" s="174"/>
      <c r="GJ203" s="174"/>
      <c r="GK203" s="174"/>
      <c r="GL203" s="174"/>
      <c r="GM203" s="174"/>
      <c r="GN203" s="174"/>
      <c r="GO203" s="174"/>
      <c r="GP203" s="174"/>
      <c r="GQ203" s="174"/>
      <c r="GR203" s="174"/>
      <c r="GS203" s="174"/>
      <c r="GT203" s="174"/>
      <c r="GU203" s="174"/>
      <c r="GV203" s="174"/>
      <c r="GW203" s="174"/>
      <c r="GX203" s="174"/>
      <c r="GY203" s="174"/>
      <c r="GZ203" s="174"/>
      <c r="HA203" s="174"/>
      <c r="HB203" s="174"/>
      <c r="HC203" s="174"/>
      <c r="HD203" s="174"/>
      <c r="HE203" s="174"/>
      <c r="HF203" s="174"/>
      <c r="HG203" s="174"/>
      <c r="HH203" s="174"/>
      <c r="HI203" s="174"/>
      <c r="HJ203" s="174"/>
      <c r="HK203" s="174"/>
      <c r="HL203" s="174"/>
      <c r="HM203" s="174"/>
      <c r="HN203" s="174"/>
      <c r="HO203" s="174"/>
      <c r="HP203" s="174"/>
      <c r="HQ203" s="174"/>
      <c r="HR203" s="174"/>
      <c r="HS203" s="174"/>
      <c r="HT203" s="174"/>
      <c r="HU203" s="174"/>
      <c r="HV203" s="174"/>
      <c r="HW203" s="174"/>
      <c r="HX203" s="174"/>
      <c r="HY203" s="174"/>
      <c r="HZ203" s="174"/>
      <c r="IA203" s="174"/>
      <c r="IB203" s="174"/>
      <c r="IC203" s="174"/>
      <c r="ID203" s="174"/>
      <c r="IE203" s="174"/>
      <c r="IF203" s="174"/>
      <c r="IG203" s="174"/>
      <c r="IH203" s="174"/>
      <c r="II203" s="174"/>
      <c r="IJ203" s="174"/>
      <c r="IK203" s="174"/>
      <c r="IL203" s="174"/>
      <c r="IM203" s="174"/>
      <c r="IN203" s="174"/>
      <c r="IO203" s="174"/>
      <c r="IP203" s="174"/>
      <c r="IQ203" s="174"/>
      <c r="IR203" s="174"/>
      <c r="IS203" s="174"/>
      <c r="IT203" s="174"/>
      <c r="IU203" s="75"/>
      <c r="IV203" s="75"/>
      <c r="IW203" s="75"/>
      <c r="IX203" s="75"/>
      <c r="IY203" s="75"/>
      <c r="IZ203" s="75"/>
      <c r="JA203" s="75"/>
      <c r="JB203" s="75"/>
      <c r="JC203" s="75"/>
      <c r="JD203" s="75"/>
      <c r="JF203" s="710"/>
      <c r="JG203" s="710"/>
      <c r="JH203" s="178">
        <f t="shared" si="17"/>
        <v>0</v>
      </c>
      <c r="JI203" s="174">
        <f t="shared" si="18"/>
        <v>0</v>
      </c>
    </row>
    <row r="204" spans="2:269" ht="15" customHeight="1" x14ac:dyDescent="0.25">
      <c r="B204" s="113">
        <v>201</v>
      </c>
      <c r="C204" s="353" t="str">
        <f t="shared" ref="C204:C213" si="21">IF(JF204&lt;&gt;"",JF204,"")</f>
        <v>FTLP10</v>
      </c>
      <c r="D204" s="353" t="str">
        <f t="shared" si="3"/>
        <v>chave FTLP10</v>
      </c>
      <c r="E204" s="75"/>
      <c r="F204" s="75"/>
      <c r="G204" s="75"/>
      <c r="H204" s="75"/>
      <c r="I204" s="75"/>
      <c r="J204" s="75"/>
      <c r="K204" s="75"/>
      <c r="L204" s="75"/>
      <c r="M204" s="75"/>
      <c r="N204" s="75"/>
      <c r="O204" s="75"/>
      <c r="P204" s="75"/>
      <c r="Q204" s="75"/>
      <c r="R204" s="75"/>
      <c r="S204" s="75"/>
      <c r="T204" s="75"/>
      <c r="U204" s="75"/>
      <c r="V204" s="75"/>
      <c r="W204" s="75"/>
      <c r="X204" s="75"/>
      <c r="Y204" s="75"/>
      <c r="Z204" s="75"/>
      <c r="AA204" s="75"/>
      <c r="AB204" s="75"/>
      <c r="AC204" s="75"/>
      <c r="AD204" s="75"/>
      <c r="AE204" s="75"/>
      <c r="AF204" s="75"/>
      <c r="AG204" s="75"/>
      <c r="AH204" s="75"/>
      <c r="AI204" s="75"/>
      <c r="AJ204" s="75"/>
      <c r="AK204" s="75"/>
      <c r="AL204" s="75"/>
      <c r="AM204" s="75"/>
      <c r="AN204" s="75"/>
      <c r="AO204" s="75"/>
      <c r="AP204" s="75"/>
      <c r="AQ204" s="75"/>
      <c r="AR204" s="75"/>
      <c r="AS204" s="75"/>
      <c r="AT204" s="75"/>
      <c r="AU204" s="75"/>
      <c r="AV204" s="75"/>
      <c r="AW204" s="75"/>
      <c r="AX204" s="75"/>
      <c r="AY204" s="75"/>
      <c r="AZ204" s="75"/>
      <c r="BA204" s="75"/>
      <c r="BB204" s="75"/>
      <c r="BC204" s="75"/>
      <c r="BD204" s="75"/>
      <c r="BE204" s="75"/>
      <c r="BF204" s="75"/>
      <c r="BG204" s="75"/>
      <c r="BH204" s="75"/>
      <c r="BI204" s="75"/>
      <c r="BJ204" s="75"/>
      <c r="BK204" s="75"/>
      <c r="BL204" s="75"/>
      <c r="BM204" s="75"/>
      <c r="BN204" s="75"/>
      <c r="BO204" s="75"/>
      <c r="BP204" s="75"/>
      <c r="BQ204" s="75"/>
      <c r="BR204" s="75"/>
      <c r="BS204" s="75"/>
      <c r="BT204" s="75"/>
      <c r="BU204" s="75"/>
      <c r="BV204" s="75"/>
      <c r="BW204" s="75"/>
      <c r="BX204" s="75"/>
      <c r="BY204" s="75"/>
      <c r="BZ204" s="75"/>
      <c r="CA204" s="75"/>
      <c r="CB204" s="75"/>
      <c r="CC204" s="75"/>
      <c r="CD204" s="75"/>
      <c r="CE204" s="75"/>
      <c r="CF204" s="75"/>
      <c r="CG204" s="75"/>
      <c r="CH204" s="75"/>
      <c r="CI204" s="75"/>
      <c r="CJ204" s="75"/>
      <c r="CK204" s="75"/>
      <c r="CL204" s="75"/>
      <c r="CM204" s="75"/>
      <c r="CN204" s="75"/>
      <c r="CO204" s="75"/>
      <c r="CP204" s="75"/>
      <c r="CQ204" s="75"/>
      <c r="CR204" s="75"/>
      <c r="CS204" s="75"/>
      <c r="CT204" s="75"/>
      <c r="CU204" s="75"/>
      <c r="CV204" s="75"/>
      <c r="CW204" s="75"/>
      <c r="CX204" s="75"/>
      <c r="CY204" s="75"/>
      <c r="CZ204" s="75"/>
      <c r="DA204" s="75"/>
      <c r="DB204" s="75"/>
      <c r="DC204" s="75"/>
      <c r="DD204" s="75"/>
      <c r="DE204" s="75"/>
      <c r="DF204" s="75"/>
      <c r="DG204" s="75"/>
      <c r="DH204" s="75"/>
      <c r="DI204" s="75"/>
      <c r="DJ204" s="75"/>
      <c r="DK204" s="75"/>
      <c r="DL204" s="75"/>
      <c r="DM204" s="75"/>
      <c r="DN204" s="75"/>
      <c r="DO204" s="75"/>
      <c r="DP204" s="75"/>
      <c r="DQ204" s="75"/>
      <c r="DR204" s="75"/>
      <c r="DS204" s="75"/>
      <c r="DT204" s="75"/>
      <c r="DU204" s="75"/>
      <c r="DV204" s="75"/>
      <c r="DW204" s="75"/>
      <c r="DX204" s="75"/>
      <c r="DY204" s="75"/>
      <c r="DZ204" s="75"/>
      <c r="EA204" s="75"/>
      <c r="EB204" s="75"/>
      <c r="EC204" s="75"/>
      <c r="ED204" s="75"/>
      <c r="EE204" s="75"/>
      <c r="EF204" s="75"/>
      <c r="EG204" s="75"/>
      <c r="EH204" s="75"/>
      <c r="EI204" s="75"/>
      <c r="EJ204" s="75"/>
      <c r="EK204" s="75"/>
      <c r="EL204" s="75"/>
      <c r="EM204" s="75"/>
      <c r="EN204" s="75"/>
      <c r="EO204" s="75"/>
      <c r="EP204" s="75"/>
      <c r="EQ204" s="75"/>
      <c r="ER204" s="75"/>
      <c r="ES204" s="75"/>
      <c r="ET204" s="75"/>
      <c r="EU204" s="75"/>
      <c r="EV204" s="75"/>
      <c r="EW204" s="75"/>
      <c r="EX204" s="75"/>
      <c r="EY204" s="75"/>
      <c r="EZ204" s="75"/>
      <c r="FA204" s="75"/>
      <c r="FB204" s="75"/>
      <c r="FC204" s="75"/>
      <c r="FD204" s="75"/>
      <c r="FE204" s="75"/>
      <c r="FF204" s="75"/>
      <c r="FG204" s="75"/>
      <c r="FH204" s="75"/>
      <c r="FI204" s="75"/>
      <c r="FJ204" s="75"/>
      <c r="FK204" s="75"/>
      <c r="FL204" s="75"/>
      <c r="FM204" s="75"/>
      <c r="FN204" s="75"/>
      <c r="FO204" s="75"/>
      <c r="FP204" s="75"/>
      <c r="FQ204" s="75"/>
      <c r="FR204" s="75"/>
      <c r="FS204" s="75"/>
      <c r="FT204" s="75"/>
      <c r="FU204" s="75"/>
      <c r="FV204" s="75"/>
      <c r="FW204" s="75"/>
      <c r="FX204" s="75"/>
      <c r="FY204" s="75"/>
      <c r="FZ204" s="75"/>
      <c r="GA204" s="75"/>
      <c r="GB204" s="75"/>
      <c r="GC204" s="75"/>
      <c r="GD204" s="75"/>
      <c r="GE204" s="75"/>
      <c r="GF204" s="75"/>
      <c r="GG204" s="75"/>
      <c r="GH204" s="75"/>
      <c r="GI204" s="75"/>
      <c r="GJ204" s="75"/>
      <c r="GK204" s="75"/>
      <c r="GL204" s="75"/>
      <c r="GM204" s="75"/>
      <c r="GN204" s="75"/>
      <c r="GO204" s="75"/>
      <c r="GP204" s="75"/>
      <c r="GQ204" s="75"/>
      <c r="GR204" s="75"/>
      <c r="GS204" s="75"/>
      <c r="GT204" s="75"/>
      <c r="GU204" s="75"/>
      <c r="GV204" s="75"/>
      <c r="GW204" s="75"/>
      <c r="GX204" s="75"/>
      <c r="GY204" s="75"/>
      <c r="GZ204" s="75"/>
      <c r="HA204" s="75"/>
      <c r="HB204" s="75"/>
      <c r="HC204" s="75"/>
      <c r="HD204" s="75"/>
      <c r="HE204" s="75"/>
      <c r="HF204" s="75"/>
      <c r="HG204" s="75"/>
      <c r="HH204" s="75"/>
      <c r="HI204" s="75"/>
      <c r="HJ204" s="75"/>
      <c r="HK204" s="75"/>
      <c r="HL204" s="75"/>
      <c r="HM204" s="75"/>
      <c r="HN204" s="75"/>
      <c r="HO204" s="75"/>
      <c r="HP204" s="75"/>
      <c r="HQ204" s="75"/>
      <c r="HR204" s="75"/>
      <c r="HS204" s="75"/>
      <c r="HT204" s="75"/>
      <c r="HU204" s="75"/>
      <c r="HV204" s="75"/>
      <c r="HW204" s="213"/>
      <c r="HX204" s="213"/>
      <c r="HY204" s="213"/>
      <c r="HZ204" s="213"/>
      <c r="IA204" s="213"/>
      <c r="IB204" s="213"/>
      <c r="IC204" s="213"/>
      <c r="ID204" s="213"/>
      <c r="IE204" s="213"/>
      <c r="IF204" s="213"/>
      <c r="IG204" s="213"/>
      <c r="IH204" s="213"/>
      <c r="II204" s="213"/>
      <c r="IJ204" s="213"/>
      <c r="IK204" s="213"/>
      <c r="IL204" s="213"/>
      <c r="IM204" s="213"/>
      <c r="IN204" s="213"/>
      <c r="IO204" s="213"/>
      <c r="IP204" s="213"/>
      <c r="IQ204" s="213"/>
      <c r="IR204" s="213"/>
      <c r="IS204" s="213"/>
      <c r="IT204" s="213"/>
      <c r="IU204" s="75">
        <v>1</v>
      </c>
      <c r="IV204" s="75"/>
      <c r="IW204" s="75"/>
      <c r="IX204" s="75"/>
      <c r="IY204" s="75"/>
      <c r="IZ204" s="75"/>
      <c r="JA204" s="75"/>
      <c r="JB204" s="75"/>
      <c r="JC204" s="75"/>
      <c r="JD204" s="75"/>
      <c r="JF204" s="383" t="s">
        <v>987</v>
      </c>
      <c r="JG204" s="383" t="s">
        <v>1023</v>
      </c>
      <c r="JH204" s="178">
        <f t="shared" si="17"/>
        <v>977.80725000000018</v>
      </c>
      <c r="JI204" s="174">
        <f t="shared" si="18"/>
        <v>0</v>
      </c>
    </row>
    <row r="205" spans="2:269" ht="15" customHeight="1" x14ac:dyDescent="0.25">
      <c r="B205" s="113">
        <v>202</v>
      </c>
      <c r="C205" s="353" t="str">
        <f t="shared" si="21"/>
        <v/>
      </c>
      <c r="D205" s="353" t="str">
        <f t="shared" si="3"/>
        <v/>
      </c>
      <c r="E205" s="75"/>
      <c r="F205" s="75"/>
      <c r="G205" s="75"/>
      <c r="H205" s="75"/>
      <c r="I205" s="75"/>
      <c r="J205" s="75"/>
      <c r="K205" s="75"/>
      <c r="L205" s="75"/>
      <c r="M205" s="75"/>
      <c r="N205" s="75"/>
      <c r="O205" s="75"/>
      <c r="P205" s="75"/>
      <c r="Q205" s="75"/>
      <c r="R205" s="75"/>
      <c r="S205" s="75"/>
      <c r="T205" s="75"/>
      <c r="U205" s="75"/>
      <c r="V205" s="75"/>
      <c r="W205" s="75"/>
      <c r="X205" s="75"/>
      <c r="Y205" s="75"/>
      <c r="Z205" s="75"/>
      <c r="AA205" s="75"/>
      <c r="AB205" s="75"/>
      <c r="AC205" s="75"/>
      <c r="AD205" s="75"/>
      <c r="AE205" s="75"/>
      <c r="AF205" s="75"/>
      <c r="AG205" s="75"/>
      <c r="AH205" s="75"/>
      <c r="AI205" s="75"/>
      <c r="AJ205" s="75"/>
      <c r="AK205" s="75"/>
      <c r="AL205" s="75"/>
      <c r="AM205" s="75"/>
      <c r="AN205" s="75"/>
      <c r="AO205" s="75"/>
      <c r="AP205" s="75"/>
      <c r="AQ205" s="75"/>
      <c r="AR205" s="75"/>
      <c r="AS205" s="75"/>
      <c r="AT205" s="75"/>
      <c r="AU205" s="75"/>
      <c r="AV205" s="75"/>
      <c r="AW205" s="75"/>
      <c r="AX205" s="75"/>
      <c r="AY205" s="75"/>
      <c r="AZ205" s="75"/>
      <c r="BA205" s="75"/>
      <c r="BB205" s="75"/>
      <c r="BC205" s="75"/>
      <c r="BD205" s="75"/>
      <c r="BE205" s="75"/>
      <c r="BF205" s="75"/>
      <c r="BG205" s="75"/>
      <c r="BH205" s="75"/>
      <c r="BI205" s="75"/>
      <c r="BJ205" s="75"/>
      <c r="BK205" s="75"/>
      <c r="BL205" s="75"/>
      <c r="BM205" s="75"/>
      <c r="BN205" s="75"/>
      <c r="BO205" s="75"/>
      <c r="BP205" s="75"/>
      <c r="BQ205" s="75"/>
      <c r="BR205" s="75"/>
      <c r="BS205" s="75"/>
      <c r="BT205" s="75"/>
      <c r="BU205" s="75"/>
      <c r="BV205" s="75"/>
      <c r="BW205" s="75"/>
      <c r="BX205" s="75"/>
      <c r="BY205" s="75"/>
      <c r="BZ205" s="75"/>
      <c r="CA205" s="75"/>
      <c r="CB205" s="75"/>
      <c r="CC205" s="75"/>
      <c r="CD205" s="75"/>
      <c r="CE205" s="75"/>
      <c r="CF205" s="75"/>
      <c r="CG205" s="75"/>
      <c r="CH205" s="75"/>
      <c r="CI205" s="75"/>
      <c r="CJ205" s="75"/>
      <c r="CK205" s="75"/>
      <c r="CL205" s="75"/>
      <c r="CM205" s="75"/>
      <c r="CN205" s="75"/>
      <c r="CO205" s="75"/>
      <c r="CP205" s="75"/>
      <c r="CQ205" s="75"/>
      <c r="CR205" s="75"/>
      <c r="CS205" s="75"/>
      <c r="CT205" s="75"/>
      <c r="CU205" s="75"/>
      <c r="CV205" s="75"/>
      <c r="CW205" s="75"/>
      <c r="CX205" s="75"/>
      <c r="CY205" s="75"/>
      <c r="CZ205" s="75"/>
      <c r="DA205" s="75"/>
      <c r="DB205" s="75"/>
      <c r="DC205" s="75"/>
      <c r="DD205" s="75"/>
      <c r="DE205" s="75"/>
      <c r="DF205" s="75"/>
      <c r="DG205" s="75"/>
      <c r="DH205" s="75"/>
      <c r="DI205" s="75"/>
      <c r="DJ205" s="75"/>
      <c r="DK205" s="75"/>
      <c r="DL205" s="75"/>
      <c r="DM205" s="75"/>
      <c r="DN205" s="75"/>
      <c r="DO205" s="75"/>
      <c r="DP205" s="75"/>
      <c r="DQ205" s="75"/>
      <c r="DR205" s="75"/>
      <c r="DS205" s="75"/>
      <c r="DT205" s="75"/>
      <c r="DU205" s="75"/>
      <c r="DV205" s="75"/>
      <c r="DW205" s="75"/>
      <c r="DX205" s="75"/>
      <c r="DY205" s="75"/>
      <c r="DZ205" s="75"/>
      <c r="EA205" s="75"/>
      <c r="EB205" s="75"/>
      <c r="EC205" s="75"/>
      <c r="ED205" s="75"/>
      <c r="EE205" s="75"/>
      <c r="EF205" s="75"/>
      <c r="EG205" s="75"/>
      <c r="EH205" s="75"/>
      <c r="EI205" s="75"/>
      <c r="EJ205" s="75"/>
      <c r="EK205" s="75"/>
      <c r="EL205" s="75"/>
      <c r="EM205" s="75"/>
      <c r="EN205" s="75"/>
      <c r="EO205" s="75"/>
      <c r="EP205" s="75"/>
      <c r="EQ205" s="75"/>
      <c r="ER205" s="75"/>
      <c r="ES205" s="75"/>
      <c r="ET205" s="75"/>
      <c r="EU205" s="75"/>
      <c r="EV205" s="75"/>
      <c r="EW205" s="75"/>
      <c r="EX205" s="75"/>
      <c r="EY205" s="75"/>
      <c r="EZ205" s="75"/>
      <c r="FA205" s="75"/>
      <c r="FB205" s="75"/>
      <c r="FC205" s="75"/>
      <c r="FD205" s="75"/>
      <c r="FE205" s="75"/>
      <c r="FF205" s="75"/>
      <c r="FG205" s="75"/>
      <c r="FH205" s="75"/>
      <c r="FI205" s="75"/>
      <c r="FJ205" s="75"/>
      <c r="FK205" s="75"/>
      <c r="FL205" s="75"/>
      <c r="FM205" s="75"/>
      <c r="FN205" s="75"/>
      <c r="FO205" s="75"/>
      <c r="FP205" s="75"/>
      <c r="FQ205" s="75"/>
      <c r="FR205" s="75"/>
      <c r="FS205" s="75"/>
      <c r="FT205" s="75"/>
      <c r="FU205" s="75"/>
      <c r="FV205" s="75"/>
      <c r="FW205" s="75"/>
      <c r="FX205" s="75"/>
      <c r="FY205" s="75"/>
      <c r="FZ205" s="75"/>
      <c r="GA205" s="75"/>
      <c r="GB205" s="75"/>
      <c r="GC205" s="75"/>
      <c r="GD205" s="75"/>
      <c r="GE205" s="75"/>
      <c r="GF205" s="75"/>
      <c r="GG205" s="75"/>
      <c r="GH205" s="75"/>
      <c r="GI205" s="75"/>
      <c r="GJ205" s="75"/>
      <c r="GK205" s="75"/>
      <c r="GL205" s="75"/>
      <c r="GM205" s="75"/>
      <c r="GN205" s="75"/>
      <c r="GO205" s="75"/>
      <c r="GP205" s="75"/>
      <c r="GQ205" s="75"/>
      <c r="GR205" s="75"/>
      <c r="GS205" s="75"/>
      <c r="GT205" s="75"/>
      <c r="GU205" s="75"/>
      <c r="GV205" s="75"/>
      <c r="GW205" s="75"/>
      <c r="GX205" s="75"/>
      <c r="GY205" s="75"/>
      <c r="GZ205" s="75"/>
      <c r="HA205" s="75"/>
      <c r="HB205" s="75"/>
      <c r="HC205" s="75"/>
      <c r="HD205" s="75"/>
      <c r="HE205" s="75"/>
      <c r="HF205" s="75"/>
      <c r="HG205" s="75"/>
      <c r="HH205" s="75"/>
      <c r="HI205" s="75"/>
      <c r="HJ205" s="75"/>
      <c r="HK205" s="75"/>
      <c r="HL205" s="75"/>
      <c r="HM205" s="75"/>
      <c r="HN205" s="75"/>
      <c r="HO205" s="75"/>
      <c r="HP205" s="75"/>
      <c r="HQ205" s="75"/>
      <c r="HR205" s="75"/>
      <c r="HS205" s="75"/>
      <c r="HT205" s="75"/>
      <c r="HU205" s="75"/>
      <c r="HV205" s="75"/>
      <c r="HW205" s="213"/>
      <c r="HX205" s="213"/>
      <c r="HY205" s="213"/>
      <c r="HZ205" s="213"/>
      <c r="IA205" s="213"/>
      <c r="IB205" s="213"/>
      <c r="IC205" s="213"/>
      <c r="ID205" s="213"/>
      <c r="IE205" s="213"/>
      <c r="IF205" s="213"/>
      <c r="IG205" s="213"/>
      <c r="IH205" s="213"/>
      <c r="II205" s="213"/>
      <c r="IJ205" s="213"/>
      <c r="IK205" s="213"/>
      <c r="IL205" s="213"/>
      <c r="IM205" s="213"/>
      <c r="IN205" s="213"/>
      <c r="IO205" s="213"/>
      <c r="IP205" s="213"/>
      <c r="IQ205" s="213"/>
      <c r="IR205" s="213"/>
      <c r="IS205" s="213"/>
      <c r="IT205" s="213"/>
      <c r="IU205" s="75"/>
      <c r="IV205" s="75"/>
      <c r="IW205" s="75"/>
      <c r="IX205" s="75"/>
      <c r="IY205" s="75"/>
      <c r="IZ205" s="75"/>
      <c r="JA205" s="75"/>
      <c r="JB205" s="75"/>
      <c r="JC205" s="75"/>
      <c r="JD205" s="75"/>
      <c r="JF205" s="383"/>
      <c r="JG205" s="383" t="str">
        <f t="shared" ref="JG205:JG211" si="22">IFERROR(VLOOKUP(JF205,tbl_materiais,COLUMN(head_mat_descricao)-COLUMN(head_mat_item)+1,FALSE),"")</f>
        <v/>
      </c>
      <c r="JH205" s="178">
        <f t="shared" si="17"/>
        <v>0</v>
      </c>
      <c r="JI205" s="174">
        <f t="shared" si="18"/>
        <v>0</v>
      </c>
    </row>
    <row r="206" spans="2:269" ht="15" customHeight="1" x14ac:dyDescent="0.25">
      <c r="B206" s="113">
        <v>203</v>
      </c>
      <c r="C206" s="353" t="str">
        <f t="shared" si="21"/>
        <v/>
      </c>
      <c r="D206" s="353" t="str">
        <f t="shared" si="3"/>
        <v/>
      </c>
      <c r="E206" s="75"/>
      <c r="F206" s="75"/>
      <c r="G206" s="75"/>
      <c r="H206" s="75"/>
      <c r="I206" s="75"/>
      <c r="J206" s="75"/>
      <c r="K206" s="75"/>
      <c r="L206" s="75"/>
      <c r="M206" s="75"/>
      <c r="N206" s="75"/>
      <c r="O206" s="75"/>
      <c r="P206" s="75"/>
      <c r="Q206" s="75"/>
      <c r="R206" s="75"/>
      <c r="S206" s="75"/>
      <c r="T206" s="75"/>
      <c r="U206" s="75"/>
      <c r="V206" s="75"/>
      <c r="W206" s="75"/>
      <c r="X206" s="75"/>
      <c r="Y206" s="75"/>
      <c r="Z206" s="75"/>
      <c r="AA206" s="75"/>
      <c r="AB206" s="75"/>
      <c r="AC206" s="75"/>
      <c r="AD206" s="75"/>
      <c r="AE206" s="75"/>
      <c r="AF206" s="75"/>
      <c r="AG206" s="75"/>
      <c r="AH206" s="75"/>
      <c r="AI206" s="75"/>
      <c r="AJ206" s="75"/>
      <c r="AK206" s="75"/>
      <c r="AL206" s="75"/>
      <c r="AM206" s="75"/>
      <c r="AN206" s="75"/>
      <c r="AO206" s="75"/>
      <c r="AP206" s="75"/>
      <c r="AQ206" s="75"/>
      <c r="AR206" s="75"/>
      <c r="AS206" s="75"/>
      <c r="AT206" s="75"/>
      <c r="AU206" s="75"/>
      <c r="AV206" s="75"/>
      <c r="AW206" s="75"/>
      <c r="AX206" s="75"/>
      <c r="AY206" s="75"/>
      <c r="AZ206" s="75"/>
      <c r="BA206" s="75"/>
      <c r="BB206" s="75"/>
      <c r="BC206" s="75"/>
      <c r="BD206" s="75"/>
      <c r="BE206" s="75"/>
      <c r="BF206" s="75"/>
      <c r="BG206" s="75"/>
      <c r="BH206" s="75"/>
      <c r="BI206" s="75"/>
      <c r="BJ206" s="75"/>
      <c r="BK206" s="75"/>
      <c r="BL206" s="75"/>
      <c r="BM206" s="75"/>
      <c r="BN206" s="75"/>
      <c r="BO206" s="75"/>
      <c r="BP206" s="75"/>
      <c r="BQ206" s="75"/>
      <c r="BR206" s="75"/>
      <c r="BS206" s="75"/>
      <c r="BT206" s="75"/>
      <c r="BU206" s="75"/>
      <c r="BV206" s="75"/>
      <c r="BW206" s="75"/>
      <c r="BX206" s="75"/>
      <c r="BY206" s="75"/>
      <c r="BZ206" s="75"/>
      <c r="CA206" s="75"/>
      <c r="CB206" s="75"/>
      <c r="CC206" s="75"/>
      <c r="CD206" s="75"/>
      <c r="CE206" s="75"/>
      <c r="CF206" s="75"/>
      <c r="CG206" s="75"/>
      <c r="CH206" s="75"/>
      <c r="CI206" s="75"/>
      <c r="CJ206" s="75"/>
      <c r="CK206" s="75"/>
      <c r="CL206" s="75"/>
      <c r="CM206" s="75"/>
      <c r="CN206" s="75"/>
      <c r="CO206" s="75"/>
      <c r="CP206" s="75"/>
      <c r="CQ206" s="75"/>
      <c r="CR206" s="75"/>
      <c r="CS206" s="75"/>
      <c r="CT206" s="75"/>
      <c r="CU206" s="75"/>
      <c r="CV206" s="75"/>
      <c r="CW206" s="75"/>
      <c r="CX206" s="75"/>
      <c r="CY206" s="75"/>
      <c r="CZ206" s="75"/>
      <c r="DA206" s="75"/>
      <c r="DB206" s="75"/>
      <c r="DC206" s="75"/>
      <c r="DD206" s="75"/>
      <c r="DE206" s="75"/>
      <c r="DF206" s="75"/>
      <c r="DG206" s="75"/>
      <c r="DH206" s="75"/>
      <c r="DI206" s="75"/>
      <c r="DJ206" s="75"/>
      <c r="DK206" s="75"/>
      <c r="DL206" s="75"/>
      <c r="DM206" s="75"/>
      <c r="DN206" s="75"/>
      <c r="DO206" s="75"/>
      <c r="DP206" s="75"/>
      <c r="DQ206" s="75"/>
      <c r="DR206" s="75"/>
      <c r="DS206" s="75"/>
      <c r="DT206" s="75"/>
      <c r="DU206" s="75"/>
      <c r="DV206" s="75"/>
      <c r="DW206" s="75"/>
      <c r="DX206" s="75"/>
      <c r="DY206" s="75"/>
      <c r="DZ206" s="75"/>
      <c r="EA206" s="75"/>
      <c r="EB206" s="75"/>
      <c r="EC206" s="75"/>
      <c r="ED206" s="75"/>
      <c r="EE206" s="75"/>
      <c r="EF206" s="75"/>
      <c r="EG206" s="75"/>
      <c r="EH206" s="75"/>
      <c r="EI206" s="75"/>
      <c r="EJ206" s="75"/>
      <c r="EK206" s="75"/>
      <c r="EL206" s="75"/>
      <c r="EM206" s="75"/>
      <c r="EN206" s="75"/>
      <c r="EO206" s="75"/>
      <c r="EP206" s="75"/>
      <c r="EQ206" s="75"/>
      <c r="ER206" s="75"/>
      <c r="ES206" s="75"/>
      <c r="ET206" s="75"/>
      <c r="EU206" s="75"/>
      <c r="EV206" s="75"/>
      <c r="EW206" s="75"/>
      <c r="EX206" s="75"/>
      <c r="EY206" s="75"/>
      <c r="EZ206" s="75"/>
      <c r="FA206" s="75"/>
      <c r="FB206" s="75"/>
      <c r="FC206" s="75"/>
      <c r="FD206" s="75"/>
      <c r="FE206" s="75"/>
      <c r="FF206" s="75"/>
      <c r="FG206" s="75"/>
      <c r="FH206" s="75"/>
      <c r="FI206" s="75"/>
      <c r="FJ206" s="75"/>
      <c r="FK206" s="75"/>
      <c r="FL206" s="75"/>
      <c r="FM206" s="75"/>
      <c r="FN206" s="75"/>
      <c r="FO206" s="75"/>
      <c r="FP206" s="75"/>
      <c r="FQ206" s="75"/>
      <c r="FR206" s="75"/>
      <c r="FS206" s="75"/>
      <c r="FT206" s="75"/>
      <c r="FU206" s="75"/>
      <c r="FV206" s="75"/>
      <c r="FW206" s="75"/>
      <c r="FX206" s="75"/>
      <c r="FY206" s="75"/>
      <c r="FZ206" s="75"/>
      <c r="GA206" s="75"/>
      <c r="GB206" s="75"/>
      <c r="GC206" s="75"/>
      <c r="GD206" s="75"/>
      <c r="GE206" s="75"/>
      <c r="GF206" s="75"/>
      <c r="GG206" s="75"/>
      <c r="GH206" s="75"/>
      <c r="GI206" s="75"/>
      <c r="GJ206" s="75"/>
      <c r="GK206" s="75"/>
      <c r="GL206" s="75"/>
      <c r="GM206" s="75"/>
      <c r="GN206" s="75"/>
      <c r="GO206" s="75"/>
      <c r="GP206" s="75"/>
      <c r="GQ206" s="75"/>
      <c r="GR206" s="75"/>
      <c r="GS206" s="75"/>
      <c r="GT206" s="75"/>
      <c r="GU206" s="75"/>
      <c r="GV206" s="75"/>
      <c r="GW206" s="75"/>
      <c r="GX206" s="75"/>
      <c r="GY206" s="75"/>
      <c r="GZ206" s="75"/>
      <c r="HA206" s="75"/>
      <c r="HB206" s="75"/>
      <c r="HC206" s="75"/>
      <c r="HD206" s="75"/>
      <c r="HE206" s="75"/>
      <c r="HF206" s="75"/>
      <c r="HG206" s="75"/>
      <c r="HH206" s="75"/>
      <c r="HI206" s="75"/>
      <c r="HJ206" s="75"/>
      <c r="HK206" s="75"/>
      <c r="HL206" s="75"/>
      <c r="HM206" s="75"/>
      <c r="HN206" s="75"/>
      <c r="HO206" s="75"/>
      <c r="HP206" s="75"/>
      <c r="HQ206" s="75"/>
      <c r="HR206" s="75"/>
      <c r="HS206" s="75"/>
      <c r="HT206" s="75"/>
      <c r="HU206" s="75"/>
      <c r="HV206" s="75"/>
      <c r="HW206" s="213"/>
      <c r="HX206" s="213"/>
      <c r="HY206" s="213"/>
      <c r="HZ206" s="213"/>
      <c r="IA206" s="213"/>
      <c r="IB206" s="213"/>
      <c r="IC206" s="213"/>
      <c r="ID206" s="213"/>
      <c r="IE206" s="213"/>
      <c r="IF206" s="213"/>
      <c r="IG206" s="213"/>
      <c r="IH206" s="213"/>
      <c r="II206" s="213"/>
      <c r="IJ206" s="213"/>
      <c r="IK206" s="213"/>
      <c r="IL206" s="213"/>
      <c r="IM206" s="213"/>
      <c r="IN206" s="213"/>
      <c r="IO206" s="213"/>
      <c r="IP206" s="213"/>
      <c r="IQ206" s="213"/>
      <c r="IR206" s="213"/>
      <c r="IS206" s="213"/>
      <c r="IT206" s="213"/>
      <c r="IU206" s="75"/>
      <c r="IV206" s="75"/>
      <c r="IW206" s="75"/>
      <c r="IX206" s="75"/>
      <c r="IY206" s="75"/>
      <c r="IZ206" s="75"/>
      <c r="JA206" s="75"/>
      <c r="JB206" s="75"/>
      <c r="JC206" s="75"/>
      <c r="JD206" s="75"/>
      <c r="JF206" s="383"/>
      <c r="JG206" s="383" t="str">
        <f t="shared" si="22"/>
        <v/>
      </c>
      <c r="JH206" s="178">
        <f t="shared" si="17"/>
        <v>0</v>
      </c>
      <c r="JI206" s="174">
        <f t="shared" si="18"/>
        <v>0</v>
      </c>
    </row>
    <row r="207" spans="2:269" ht="15" customHeight="1" x14ac:dyDescent="0.25">
      <c r="B207" s="113">
        <v>204</v>
      </c>
      <c r="C207" s="353" t="str">
        <f t="shared" si="21"/>
        <v/>
      </c>
      <c r="D207" s="353" t="str">
        <f t="shared" si="3"/>
        <v/>
      </c>
      <c r="E207" s="75"/>
      <c r="F207" s="75"/>
      <c r="G207" s="75"/>
      <c r="H207" s="75"/>
      <c r="I207" s="75"/>
      <c r="J207" s="75"/>
      <c r="K207" s="75"/>
      <c r="L207" s="75"/>
      <c r="M207" s="75"/>
      <c r="N207" s="75"/>
      <c r="O207" s="75"/>
      <c r="P207" s="75"/>
      <c r="Q207" s="75"/>
      <c r="R207" s="75"/>
      <c r="S207" s="75"/>
      <c r="T207" s="75"/>
      <c r="U207" s="75"/>
      <c r="V207" s="75"/>
      <c r="W207" s="75"/>
      <c r="X207" s="75"/>
      <c r="Y207" s="75"/>
      <c r="Z207" s="75"/>
      <c r="AA207" s="75"/>
      <c r="AB207" s="75"/>
      <c r="AC207" s="75"/>
      <c r="AD207" s="75"/>
      <c r="AE207" s="75"/>
      <c r="AF207" s="75"/>
      <c r="AG207" s="75"/>
      <c r="AH207" s="75"/>
      <c r="AI207" s="75"/>
      <c r="AJ207" s="75"/>
      <c r="AK207" s="75"/>
      <c r="AL207" s="75"/>
      <c r="AM207" s="75"/>
      <c r="AN207" s="75"/>
      <c r="AO207" s="75"/>
      <c r="AP207" s="75"/>
      <c r="AQ207" s="75"/>
      <c r="AR207" s="75"/>
      <c r="AS207" s="75"/>
      <c r="AT207" s="75"/>
      <c r="AU207" s="75"/>
      <c r="AV207" s="75"/>
      <c r="AW207" s="75"/>
      <c r="AX207" s="75"/>
      <c r="AY207" s="75"/>
      <c r="AZ207" s="75"/>
      <c r="BA207" s="75"/>
      <c r="BB207" s="75"/>
      <c r="BC207" s="75"/>
      <c r="BD207" s="75"/>
      <c r="BE207" s="75"/>
      <c r="BF207" s="75"/>
      <c r="BG207" s="75"/>
      <c r="BH207" s="75"/>
      <c r="BI207" s="75"/>
      <c r="BJ207" s="75"/>
      <c r="BK207" s="75"/>
      <c r="BL207" s="75"/>
      <c r="BM207" s="75"/>
      <c r="BN207" s="75"/>
      <c r="BO207" s="75"/>
      <c r="BP207" s="75"/>
      <c r="BQ207" s="75"/>
      <c r="BR207" s="75"/>
      <c r="BS207" s="75"/>
      <c r="BT207" s="75"/>
      <c r="BU207" s="75"/>
      <c r="BV207" s="75"/>
      <c r="BW207" s="75"/>
      <c r="BX207" s="75"/>
      <c r="BY207" s="75"/>
      <c r="BZ207" s="75"/>
      <c r="CA207" s="75"/>
      <c r="CB207" s="75"/>
      <c r="CC207" s="75"/>
      <c r="CD207" s="75"/>
      <c r="CE207" s="75"/>
      <c r="CF207" s="75"/>
      <c r="CG207" s="75"/>
      <c r="CH207" s="75"/>
      <c r="CI207" s="75"/>
      <c r="CJ207" s="75"/>
      <c r="CK207" s="75"/>
      <c r="CL207" s="75"/>
      <c r="CM207" s="75"/>
      <c r="CN207" s="75"/>
      <c r="CO207" s="75"/>
      <c r="CP207" s="75"/>
      <c r="CQ207" s="75"/>
      <c r="CR207" s="75"/>
      <c r="CS207" s="75"/>
      <c r="CT207" s="75"/>
      <c r="CU207" s="75"/>
      <c r="CV207" s="75"/>
      <c r="CW207" s="75"/>
      <c r="CX207" s="75"/>
      <c r="CY207" s="75"/>
      <c r="CZ207" s="75"/>
      <c r="DA207" s="75"/>
      <c r="DB207" s="75"/>
      <c r="DC207" s="75"/>
      <c r="DD207" s="75"/>
      <c r="DE207" s="75"/>
      <c r="DF207" s="75"/>
      <c r="DG207" s="75"/>
      <c r="DH207" s="75"/>
      <c r="DI207" s="75"/>
      <c r="DJ207" s="75"/>
      <c r="DK207" s="75"/>
      <c r="DL207" s="75"/>
      <c r="DM207" s="75"/>
      <c r="DN207" s="75"/>
      <c r="DO207" s="75"/>
      <c r="DP207" s="75"/>
      <c r="DQ207" s="75"/>
      <c r="DR207" s="75"/>
      <c r="DS207" s="75"/>
      <c r="DT207" s="75"/>
      <c r="DU207" s="75"/>
      <c r="DV207" s="75"/>
      <c r="DW207" s="75"/>
      <c r="DX207" s="75"/>
      <c r="DY207" s="75"/>
      <c r="DZ207" s="75"/>
      <c r="EA207" s="75"/>
      <c r="EB207" s="75"/>
      <c r="EC207" s="75"/>
      <c r="ED207" s="75"/>
      <c r="EE207" s="75"/>
      <c r="EF207" s="75"/>
      <c r="EG207" s="75"/>
      <c r="EH207" s="75"/>
      <c r="EI207" s="75"/>
      <c r="EJ207" s="75"/>
      <c r="EK207" s="75"/>
      <c r="EL207" s="75"/>
      <c r="EM207" s="75"/>
      <c r="EN207" s="75"/>
      <c r="EO207" s="75"/>
      <c r="EP207" s="75"/>
      <c r="EQ207" s="75"/>
      <c r="ER207" s="75"/>
      <c r="ES207" s="75"/>
      <c r="ET207" s="75"/>
      <c r="EU207" s="75"/>
      <c r="EV207" s="75"/>
      <c r="EW207" s="75"/>
      <c r="EX207" s="75"/>
      <c r="EY207" s="75"/>
      <c r="EZ207" s="75"/>
      <c r="FA207" s="75"/>
      <c r="FB207" s="75"/>
      <c r="FC207" s="75"/>
      <c r="FD207" s="75"/>
      <c r="FE207" s="75"/>
      <c r="FF207" s="75"/>
      <c r="FG207" s="75"/>
      <c r="FH207" s="75"/>
      <c r="FI207" s="75"/>
      <c r="FJ207" s="75"/>
      <c r="FK207" s="75"/>
      <c r="FL207" s="75"/>
      <c r="FM207" s="75"/>
      <c r="FN207" s="75"/>
      <c r="FO207" s="75"/>
      <c r="FP207" s="75"/>
      <c r="FQ207" s="75"/>
      <c r="FR207" s="75"/>
      <c r="FS207" s="75"/>
      <c r="FT207" s="75"/>
      <c r="FU207" s="75"/>
      <c r="FV207" s="75"/>
      <c r="FW207" s="75"/>
      <c r="FX207" s="75"/>
      <c r="FY207" s="75"/>
      <c r="FZ207" s="75"/>
      <c r="GA207" s="75"/>
      <c r="GB207" s="75"/>
      <c r="GC207" s="75"/>
      <c r="GD207" s="75"/>
      <c r="GE207" s="75"/>
      <c r="GF207" s="75"/>
      <c r="GG207" s="75"/>
      <c r="GH207" s="75"/>
      <c r="GI207" s="75"/>
      <c r="GJ207" s="75"/>
      <c r="GK207" s="75"/>
      <c r="GL207" s="75"/>
      <c r="GM207" s="75"/>
      <c r="GN207" s="75"/>
      <c r="GO207" s="75"/>
      <c r="GP207" s="75"/>
      <c r="GQ207" s="75"/>
      <c r="GR207" s="75"/>
      <c r="GS207" s="75"/>
      <c r="GT207" s="75"/>
      <c r="GU207" s="75"/>
      <c r="GV207" s="75"/>
      <c r="GW207" s="75"/>
      <c r="GX207" s="75"/>
      <c r="GY207" s="75"/>
      <c r="GZ207" s="75"/>
      <c r="HA207" s="75"/>
      <c r="HB207" s="75"/>
      <c r="HC207" s="75"/>
      <c r="HD207" s="75"/>
      <c r="HE207" s="75"/>
      <c r="HF207" s="75"/>
      <c r="HG207" s="75"/>
      <c r="HH207" s="75"/>
      <c r="HI207" s="75"/>
      <c r="HJ207" s="75"/>
      <c r="HK207" s="75"/>
      <c r="HL207" s="75"/>
      <c r="HM207" s="75"/>
      <c r="HN207" s="75"/>
      <c r="HO207" s="75"/>
      <c r="HP207" s="75"/>
      <c r="HQ207" s="75"/>
      <c r="HR207" s="75"/>
      <c r="HS207" s="75"/>
      <c r="HT207" s="75"/>
      <c r="HU207" s="75"/>
      <c r="HV207" s="75"/>
      <c r="HW207" s="213"/>
      <c r="HX207" s="213"/>
      <c r="HY207" s="213"/>
      <c r="HZ207" s="213"/>
      <c r="IA207" s="213"/>
      <c r="IB207" s="213"/>
      <c r="IC207" s="213"/>
      <c r="ID207" s="213"/>
      <c r="IE207" s="213"/>
      <c r="IF207" s="213"/>
      <c r="IG207" s="213"/>
      <c r="IH207" s="213"/>
      <c r="II207" s="213"/>
      <c r="IJ207" s="213"/>
      <c r="IK207" s="213"/>
      <c r="IL207" s="213"/>
      <c r="IM207" s="213"/>
      <c r="IN207" s="213"/>
      <c r="IO207" s="213"/>
      <c r="IP207" s="213"/>
      <c r="IQ207" s="213"/>
      <c r="IR207" s="213"/>
      <c r="IS207" s="213"/>
      <c r="IT207" s="213"/>
      <c r="IU207" s="75"/>
      <c r="IV207" s="75"/>
      <c r="IW207" s="75"/>
      <c r="IX207" s="75"/>
      <c r="IY207" s="75"/>
      <c r="IZ207" s="75"/>
      <c r="JA207" s="75"/>
      <c r="JB207" s="75"/>
      <c r="JC207" s="75"/>
      <c r="JD207" s="75"/>
      <c r="JF207" s="383"/>
      <c r="JG207" s="383" t="str">
        <f t="shared" si="22"/>
        <v/>
      </c>
      <c r="JH207" s="178">
        <f t="shared" si="17"/>
        <v>0</v>
      </c>
      <c r="JI207" s="174">
        <f t="shared" si="18"/>
        <v>0</v>
      </c>
    </row>
    <row r="208" spans="2:269" ht="15" customHeight="1" x14ac:dyDescent="0.25">
      <c r="B208" s="113">
        <v>205</v>
      </c>
      <c r="C208" s="353" t="str">
        <f t="shared" si="21"/>
        <v/>
      </c>
      <c r="D208" s="353" t="str">
        <f t="shared" si="3"/>
        <v/>
      </c>
      <c r="E208" s="75"/>
      <c r="F208" s="75"/>
      <c r="G208" s="75"/>
      <c r="H208" s="75"/>
      <c r="I208" s="75"/>
      <c r="J208" s="75"/>
      <c r="K208" s="75"/>
      <c r="L208" s="75"/>
      <c r="M208" s="75"/>
      <c r="N208" s="75"/>
      <c r="O208" s="75"/>
      <c r="P208" s="75"/>
      <c r="Q208" s="75"/>
      <c r="R208" s="75"/>
      <c r="S208" s="75"/>
      <c r="T208" s="75"/>
      <c r="U208" s="75"/>
      <c r="V208" s="75"/>
      <c r="W208" s="75"/>
      <c r="X208" s="75"/>
      <c r="Y208" s="75"/>
      <c r="Z208" s="75"/>
      <c r="AA208" s="75"/>
      <c r="AB208" s="75"/>
      <c r="AC208" s="75"/>
      <c r="AD208" s="75"/>
      <c r="AE208" s="75"/>
      <c r="AF208" s="75"/>
      <c r="AG208" s="75"/>
      <c r="AH208" s="75"/>
      <c r="AI208" s="75"/>
      <c r="AJ208" s="75"/>
      <c r="AK208" s="75"/>
      <c r="AL208" s="75"/>
      <c r="AM208" s="75"/>
      <c r="AN208" s="75"/>
      <c r="AO208" s="75"/>
      <c r="AP208" s="75"/>
      <c r="AQ208" s="75"/>
      <c r="AR208" s="75"/>
      <c r="AS208" s="75"/>
      <c r="AT208" s="75"/>
      <c r="AU208" s="75"/>
      <c r="AV208" s="75"/>
      <c r="AW208" s="75"/>
      <c r="AX208" s="75"/>
      <c r="AY208" s="75"/>
      <c r="AZ208" s="75"/>
      <c r="BA208" s="75"/>
      <c r="BB208" s="75"/>
      <c r="BC208" s="75"/>
      <c r="BD208" s="75"/>
      <c r="BE208" s="75"/>
      <c r="BF208" s="75"/>
      <c r="BG208" s="75"/>
      <c r="BH208" s="75"/>
      <c r="BI208" s="75"/>
      <c r="BJ208" s="75"/>
      <c r="BK208" s="75"/>
      <c r="BL208" s="75"/>
      <c r="BM208" s="75"/>
      <c r="BN208" s="75"/>
      <c r="BO208" s="75"/>
      <c r="BP208" s="75"/>
      <c r="BQ208" s="75"/>
      <c r="BR208" s="75"/>
      <c r="BS208" s="75"/>
      <c r="BT208" s="75"/>
      <c r="BU208" s="75"/>
      <c r="BV208" s="75"/>
      <c r="BW208" s="75"/>
      <c r="BX208" s="75"/>
      <c r="BY208" s="75"/>
      <c r="BZ208" s="75"/>
      <c r="CA208" s="75"/>
      <c r="CB208" s="75"/>
      <c r="CC208" s="75"/>
      <c r="CD208" s="75"/>
      <c r="CE208" s="75"/>
      <c r="CF208" s="75"/>
      <c r="CG208" s="75"/>
      <c r="CH208" s="75"/>
      <c r="CI208" s="75"/>
      <c r="CJ208" s="75"/>
      <c r="CK208" s="75"/>
      <c r="CL208" s="75"/>
      <c r="CM208" s="75"/>
      <c r="CN208" s="75"/>
      <c r="CO208" s="75"/>
      <c r="CP208" s="75"/>
      <c r="CQ208" s="75"/>
      <c r="CR208" s="75"/>
      <c r="CS208" s="75"/>
      <c r="CT208" s="75"/>
      <c r="CU208" s="75"/>
      <c r="CV208" s="75"/>
      <c r="CW208" s="75"/>
      <c r="CX208" s="75"/>
      <c r="CY208" s="75"/>
      <c r="CZ208" s="75"/>
      <c r="DA208" s="75"/>
      <c r="DB208" s="75"/>
      <c r="DC208" s="75"/>
      <c r="DD208" s="75"/>
      <c r="DE208" s="75"/>
      <c r="DF208" s="75"/>
      <c r="DG208" s="75"/>
      <c r="DH208" s="75"/>
      <c r="DI208" s="75"/>
      <c r="DJ208" s="75"/>
      <c r="DK208" s="75"/>
      <c r="DL208" s="75"/>
      <c r="DM208" s="75"/>
      <c r="DN208" s="75"/>
      <c r="DO208" s="75"/>
      <c r="DP208" s="75"/>
      <c r="DQ208" s="75"/>
      <c r="DR208" s="75"/>
      <c r="DS208" s="75"/>
      <c r="DT208" s="75"/>
      <c r="DU208" s="75"/>
      <c r="DV208" s="75"/>
      <c r="DW208" s="75"/>
      <c r="DX208" s="75"/>
      <c r="DY208" s="75"/>
      <c r="DZ208" s="75"/>
      <c r="EA208" s="75"/>
      <c r="EB208" s="75"/>
      <c r="EC208" s="75"/>
      <c r="ED208" s="75"/>
      <c r="EE208" s="75"/>
      <c r="EF208" s="75"/>
      <c r="EG208" s="75"/>
      <c r="EH208" s="75"/>
      <c r="EI208" s="75"/>
      <c r="EJ208" s="75"/>
      <c r="EK208" s="75"/>
      <c r="EL208" s="75"/>
      <c r="EM208" s="75"/>
      <c r="EN208" s="75"/>
      <c r="EO208" s="75"/>
      <c r="EP208" s="75"/>
      <c r="EQ208" s="75"/>
      <c r="ER208" s="75"/>
      <c r="ES208" s="75"/>
      <c r="ET208" s="75"/>
      <c r="EU208" s="75"/>
      <c r="EV208" s="75"/>
      <c r="EW208" s="75"/>
      <c r="EX208" s="75"/>
      <c r="EY208" s="75"/>
      <c r="EZ208" s="75"/>
      <c r="FA208" s="75"/>
      <c r="FB208" s="75"/>
      <c r="FC208" s="75"/>
      <c r="FD208" s="75"/>
      <c r="FE208" s="75"/>
      <c r="FF208" s="75"/>
      <c r="FG208" s="75"/>
      <c r="FH208" s="75"/>
      <c r="FI208" s="75"/>
      <c r="FJ208" s="75"/>
      <c r="FK208" s="75"/>
      <c r="FL208" s="75"/>
      <c r="FM208" s="75"/>
      <c r="FN208" s="75"/>
      <c r="FO208" s="75"/>
      <c r="FP208" s="75"/>
      <c r="FQ208" s="75"/>
      <c r="FR208" s="75"/>
      <c r="FS208" s="75"/>
      <c r="FT208" s="75"/>
      <c r="FU208" s="75"/>
      <c r="FV208" s="75"/>
      <c r="FW208" s="75"/>
      <c r="FX208" s="75"/>
      <c r="FY208" s="75"/>
      <c r="FZ208" s="75"/>
      <c r="GA208" s="75"/>
      <c r="GB208" s="75"/>
      <c r="GC208" s="75"/>
      <c r="GD208" s="75"/>
      <c r="GE208" s="75"/>
      <c r="GF208" s="75"/>
      <c r="GG208" s="75"/>
      <c r="GH208" s="75"/>
      <c r="GI208" s="75"/>
      <c r="GJ208" s="75"/>
      <c r="GK208" s="75"/>
      <c r="GL208" s="75"/>
      <c r="GM208" s="75"/>
      <c r="GN208" s="75"/>
      <c r="GO208" s="75"/>
      <c r="GP208" s="75"/>
      <c r="GQ208" s="75"/>
      <c r="GR208" s="75"/>
      <c r="GS208" s="75"/>
      <c r="GT208" s="75"/>
      <c r="GU208" s="75"/>
      <c r="GV208" s="75"/>
      <c r="GW208" s="75"/>
      <c r="GX208" s="75"/>
      <c r="GY208" s="75"/>
      <c r="GZ208" s="75"/>
      <c r="HA208" s="75"/>
      <c r="HB208" s="75"/>
      <c r="HC208" s="75"/>
      <c r="HD208" s="75"/>
      <c r="HE208" s="75"/>
      <c r="HF208" s="75"/>
      <c r="HG208" s="75"/>
      <c r="HH208" s="75"/>
      <c r="HI208" s="75"/>
      <c r="HJ208" s="75"/>
      <c r="HK208" s="75"/>
      <c r="HL208" s="75"/>
      <c r="HM208" s="75"/>
      <c r="HN208" s="75"/>
      <c r="HO208" s="75"/>
      <c r="HP208" s="75"/>
      <c r="HQ208" s="75"/>
      <c r="HR208" s="75"/>
      <c r="HS208" s="75"/>
      <c r="HT208" s="75"/>
      <c r="HU208" s="75"/>
      <c r="HV208" s="75"/>
      <c r="HW208" s="213"/>
      <c r="HX208" s="213"/>
      <c r="HY208" s="213"/>
      <c r="HZ208" s="213"/>
      <c r="IA208" s="213"/>
      <c r="IB208" s="213"/>
      <c r="IC208" s="213"/>
      <c r="ID208" s="213"/>
      <c r="IE208" s="213"/>
      <c r="IF208" s="213"/>
      <c r="IG208" s="213"/>
      <c r="IH208" s="213"/>
      <c r="II208" s="213"/>
      <c r="IJ208" s="213"/>
      <c r="IK208" s="213"/>
      <c r="IL208" s="213"/>
      <c r="IM208" s="213"/>
      <c r="IN208" s="213"/>
      <c r="IO208" s="213"/>
      <c r="IP208" s="213"/>
      <c r="IQ208" s="213"/>
      <c r="IR208" s="213"/>
      <c r="IS208" s="213"/>
      <c r="IT208" s="213"/>
      <c r="IU208" s="75"/>
      <c r="IV208" s="75"/>
      <c r="IW208" s="75"/>
      <c r="IX208" s="75"/>
      <c r="IY208" s="75"/>
      <c r="IZ208" s="75"/>
      <c r="JA208" s="75"/>
      <c r="JB208" s="75"/>
      <c r="JC208" s="75"/>
      <c r="JD208" s="75"/>
      <c r="JF208" s="383"/>
      <c r="JG208" s="383" t="str">
        <f t="shared" si="22"/>
        <v/>
      </c>
      <c r="JH208" s="178">
        <f t="shared" si="17"/>
        <v>0</v>
      </c>
      <c r="JI208" s="174">
        <f t="shared" si="18"/>
        <v>0</v>
      </c>
    </row>
    <row r="209" spans="2:269" ht="15" customHeight="1" x14ac:dyDescent="0.25">
      <c r="B209" s="113">
        <v>206</v>
      </c>
      <c r="C209" s="353" t="str">
        <f t="shared" si="21"/>
        <v/>
      </c>
      <c r="D209" s="353" t="str">
        <f t="shared" si="3"/>
        <v/>
      </c>
      <c r="E209" s="75"/>
      <c r="F209" s="75"/>
      <c r="G209" s="75"/>
      <c r="H209" s="75"/>
      <c r="I209" s="75"/>
      <c r="J209" s="75"/>
      <c r="K209" s="75"/>
      <c r="L209" s="75"/>
      <c r="M209" s="75"/>
      <c r="N209" s="75"/>
      <c r="O209" s="75"/>
      <c r="P209" s="75"/>
      <c r="Q209" s="75"/>
      <c r="R209" s="75"/>
      <c r="S209" s="75"/>
      <c r="T209" s="75"/>
      <c r="U209" s="75"/>
      <c r="V209" s="75"/>
      <c r="W209" s="75"/>
      <c r="X209" s="75"/>
      <c r="Y209" s="75"/>
      <c r="Z209" s="75"/>
      <c r="AA209" s="75"/>
      <c r="AB209" s="75"/>
      <c r="AC209" s="75"/>
      <c r="AD209" s="75"/>
      <c r="AE209" s="75"/>
      <c r="AF209" s="75"/>
      <c r="AG209" s="75"/>
      <c r="AH209" s="75"/>
      <c r="AI209" s="75"/>
      <c r="AJ209" s="75"/>
      <c r="AK209" s="75"/>
      <c r="AL209" s="75"/>
      <c r="AM209" s="75"/>
      <c r="AN209" s="75"/>
      <c r="AO209" s="75"/>
      <c r="AP209" s="75"/>
      <c r="AQ209" s="75"/>
      <c r="AR209" s="75"/>
      <c r="AS209" s="75"/>
      <c r="AT209" s="75"/>
      <c r="AU209" s="75"/>
      <c r="AV209" s="75"/>
      <c r="AW209" s="75"/>
      <c r="AX209" s="75"/>
      <c r="AY209" s="75"/>
      <c r="AZ209" s="75"/>
      <c r="BA209" s="75"/>
      <c r="BB209" s="75"/>
      <c r="BC209" s="75"/>
      <c r="BD209" s="75"/>
      <c r="BE209" s="75"/>
      <c r="BF209" s="75"/>
      <c r="BG209" s="75"/>
      <c r="BH209" s="75"/>
      <c r="BI209" s="75"/>
      <c r="BJ209" s="75"/>
      <c r="BK209" s="75"/>
      <c r="BL209" s="75"/>
      <c r="BM209" s="75"/>
      <c r="BN209" s="75"/>
      <c r="BO209" s="75"/>
      <c r="BP209" s="75"/>
      <c r="BQ209" s="75"/>
      <c r="BR209" s="75"/>
      <c r="BS209" s="75"/>
      <c r="BT209" s="75"/>
      <c r="BU209" s="75"/>
      <c r="BV209" s="75"/>
      <c r="BW209" s="75"/>
      <c r="BX209" s="75"/>
      <c r="BY209" s="75"/>
      <c r="BZ209" s="75"/>
      <c r="CA209" s="75"/>
      <c r="CB209" s="75"/>
      <c r="CC209" s="75"/>
      <c r="CD209" s="75"/>
      <c r="CE209" s="75"/>
      <c r="CF209" s="75"/>
      <c r="CG209" s="75"/>
      <c r="CH209" s="75"/>
      <c r="CI209" s="75"/>
      <c r="CJ209" s="75"/>
      <c r="CK209" s="75"/>
      <c r="CL209" s="75"/>
      <c r="CM209" s="75"/>
      <c r="CN209" s="75"/>
      <c r="CO209" s="75"/>
      <c r="CP209" s="75"/>
      <c r="CQ209" s="75"/>
      <c r="CR209" s="75"/>
      <c r="CS209" s="75"/>
      <c r="CT209" s="75"/>
      <c r="CU209" s="75"/>
      <c r="CV209" s="75"/>
      <c r="CW209" s="75"/>
      <c r="CX209" s="75"/>
      <c r="CY209" s="75"/>
      <c r="CZ209" s="75"/>
      <c r="DA209" s="75"/>
      <c r="DB209" s="75"/>
      <c r="DC209" s="75"/>
      <c r="DD209" s="75"/>
      <c r="DE209" s="75"/>
      <c r="DF209" s="75"/>
      <c r="DG209" s="75"/>
      <c r="DH209" s="75"/>
      <c r="DI209" s="75"/>
      <c r="DJ209" s="75"/>
      <c r="DK209" s="75"/>
      <c r="DL209" s="75"/>
      <c r="DM209" s="75"/>
      <c r="DN209" s="75"/>
      <c r="DO209" s="75"/>
      <c r="DP209" s="75"/>
      <c r="DQ209" s="75"/>
      <c r="DR209" s="75"/>
      <c r="DS209" s="75"/>
      <c r="DT209" s="75"/>
      <c r="DU209" s="75"/>
      <c r="DV209" s="75"/>
      <c r="DW209" s="75"/>
      <c r="DX209" s="75"/>
      <c r="DY209" s="75"/>
      <c r="DZ209" s="75"/>
      <c r="EA209" s="75"/>
      <c r="EB209" s="75"/>
      <c r="EC209" s="75"/>
      <c r="ED209" s="75"/>
      <c r="EE209" s="75"/>
      <c r="EF209" s="75"/>
      <c r="EG209" s="75"/>
      <c r="EH209" s="75"/>
      <c r="EI209" s="75"/>
      <c r="EJ209" s="75"/>
      <c r="EK209" s="75"/>
      <c r="EL209" s="75"/>
      <c r="EM209" s="75"/>
      <c r="EN209" s="75"/>
      <c r="EO209" s="75"/>
      <c r="EP209" s="75"/>
      <c r="EQ209" s="75"/>
      <c r="ER209" s="75"/>
      <c r="ES209" s="75"/>
      <c r="ET209" s="75"/>
      <c r="EU209" s="75"/>
      <c r="EV209" s="75"/>
      <c r="EW209" s="75"/>
      <c r="EX209" s="75"/>
      <c r="EY209" s="75"/>
      <c r="EZ209" s="75"/>
      <c r="FA209" s="75"/>
      <c r="FB209" s="75"/>
      <c r="FC209" s="75"/>
      <c r="FD209" s="75"/>
      <c r="FE209" s="75"/>
      <c r="FF209" s="75"/>
      <c r="FG209" s="75"/>
      <c r="FH209" s="75"/>
      <c r="FI209" s="75"/>
      <c r="FJ209" s="75"/>
      <c r="FK209" s="75"/>
      <c r="FL209" s="75"/>
      <c r="FM209" s="75"/>
      <c r="FN209" s="75"/>
      <c r="FO209" s="75"/>
      <c r="FP209" s="75"/>
      <c r="FQ209" s="75"/>
      <c r="FR209" s="75"/>
      <c r="FS209" s="75"/>
      <c r="FT209" s="75"/>
      <c r="FU209" s="75"/>
      <c r="FV209" s="75"/>
      <c r="FW209" s="75"/>
      <c r="FX209" s="75"/>
      <c r="FY209" s="75"/>
      <c r="FZ209" s="75"/>
      <c r="GA209" s="75"/>
      <c r="GB209" s="75"/>
      <c r="GC209" s="75"/>
      <c r="GD209" s="75"/>
      <c r="GE209" s="75"/>
      <c r="GF209" s="75"/>
      <c r="GG209" s="75"/>
      <c r="GH209" s="75"/>
      <c r="GI209" s="75"/>
      <c r="GJ209" s="75"/>
      <c r="GK209" s="75"/>
      <c r="GL209" s="75"/>
      <c r="GM209" s="75"/>
      <c r="GN209" s="75"/>
      <c r="GO209" s="75"/>
      <c r="GP209" s="75"/>
      <c r="GQ209" s="75"/>
      <c r="GR209" s="75"/>
      <c r="GS209" s="75"/>
      <c r="GT209" s="75"/>
      <c r="GU209" s="75"/>
      <c r="GV209" s="75"/>
      <c r="GW209" s="75"/>
      <c r="GX209" s="75"/>
      <c r="GY209" s="75"/>
      <c r="GZ209" s="75"/>
      <c r="HA209" s="75"/>
      <c r="HB209" s="75"/>
      <c r="HC209" s="75"/>
      <c r="HD209" s="75"/>
      <c r="HE209" s="75"/>
      <c r="HF209" s="75"/>
      <c r="HG209" s="75"/>
      <c r="HH209" s="75"/>
      <c r="HI209" s="75"/>
      <c r="HJ209" s="75"/>
      <c r="HK209" s="75"/>
      <c r="HL209" s="75"/>
      <c r="HM209" s="75"/>
      <c r="HN209" s="75"/>
      <c r="HO209" s="75"/>
      <c r="HP209" s="75"/>
      <c r="HQ209" s="75"/>
      <c r="HR209" s="75"/>
      <c r="HS209" s="75"/>
      <c r="HT209" s="75"/>
      <c r="HU209" s="75"/>
      <c r="HV209" s="75"/>
      <c r="HW209" s="213"/>
      <c r="HX209" s="213"/>
      <c r="HY209" s="213"/>
      <c r="HZ209" s="213"/>
      <c r="IA209" s="213"/>
      <c r="IB209" s="213"/>
      <c r="IC209" s="213"/>
      <c r="ID209" s="213"/>
      <c r="IE209" s="213"/>
      <c r="IF209" s="213"/>
      <c r="IG209" s="213"/>
      <c r="IH209" s="213"/>
      <c r="II209" s="213"/>
      <c r="IJ209" s="213"/>
      <c r="IK209" s="213"/>
      <c r="IL209" s="213"/>
      <c r="IM209" s="213"/>
      <c r="IN209" s="213"/>
      <c r="IO209" s="213"/>
      <c r="IP209" s="213"/>
      <c r="IQ209" s="213"/>
      <c r="IR209" s="213"/>
      <c r="IS209" s="213"/>
      <c r="IT209" s="213"/>
      <c r="IU209" s="75"/>
      <c r="IV209" s="75"/>
      <c r="IW209" s="75"/>
      <c r="IX209" s="75"/>
      <c r="IY209" s="75"/>
      <c r="IZ209" s="75"/>
      <c r="JA209" s="75"/>
      <c r="JB209" s="75"/>
      <c r="JC209" s="75"/>
      <c r="JD209" s="75"/>
      <c r="JF209" s="383"/>
      <c r="JG209" s="383" t="str">
        <f t="shared" si="22"/>
        <v/>
      </c>
      <c r="JH209" s="178">
        <f t="shared" si="17"/>
        <v>0</v>
      </c>
      <c r="JI209" s="174">
        <f t="shared" si="18"/>
        <v>0</v>
      </c>
    </row>
    <row r="210" spans="2:269" ht="15" customHeight="1" x14ac:dyDescent="0.25">
      <c r="B210" s="113">
        <v>207</v>
      </c>
      <c r="C210" s="353" t="str">
        <f t="shared" si="21"/>
        <v/>
      </c>
      <c r="D210" s="353" t="str">
        <f t="shared" si="3"/>
        <v/>
      </c>
      <c r="E210" s="75"/>
      <c r="F210" s="75"/>
      <c r="G210" s="75"/>
      <c r="H210" s="75"/>
      <c r="I210" s="75"/>
      <c r="J210" s="75"/>
      <c r="K210" s="75"/>
      <c r="L210" s="75"/>
      <c r="M210" s="75"/>
      <c r="N210" s="75"/>
      <c r="O210" s="75"/>
      <c r="P210" s="75"/>
      <c r="Q210" s="75"/>
      <c r="R210" s="75"/>
      <c r="S210" s="75"/>
      <c r="T210" s="75"/>
      <c r="U210" s="75"/>
      <c r="V210" s="75"/>
      <c r="W210" s="75"/>
      <c r="X210" s="75"/>
      <c r="Y210" s="75"/>
      <c r="Z210" s="75"/>
      <c r="AA210" s="75"/>
      <c r="AB210" s="75"/>
      <c r="AC210" s="75"/>
      <c r="AD210" s="75"/>
      <c r="AE210" s="75"/>
      <c r="AF210" s="75"/>
      <c r="AG210" s="75"/>
      <c r="AH210" s="75"/>
      <c r="AI210" s="75"/>
      <c r="AJ210" s="75"/>
      <c r="AK210" s="75"/>
      <c r="AL210" s="75"/>
      <c r="AM210" s="75"/>
      <c r="AN210" s="75"/>
      <c r="AO210" s="75"/>
      <c r="AP210" s="75"/>
      <c r="AQ210" s="75"/>
      <c r="AR210" s="75"/>
      <c r="AS210" s="75"/>
      <c r="AT210" s="75"/>
      <c r="AU210" s="75"/>
      <c r="AV210" s="75"/>
      <c r="AW210" s="75"/>
      <c r="AX210" s="75"/>
      <c r="AY210" s="75"/>
      <c r="AZ210" s="75"/>
      <c r="BA210" s="75"/>
      <c r="BB210" s="75"/>
      <c r="BC210" s="75"/>
      <c r="BD210" s="75"/>
      <c r="BE210" s="75"/>
      <c r="BF210" s="75"/>
      <c r="BG210" s="75"/>
      <c r="BH210" s="75"/>
      <c r="BI210" s="75"/>
      <c r="BJ210" s="75"/>
      <c r="BK210" s="75"/>
      <c r="BL210" s="75"/>
      <c r="BM210" s="75"/>
      <c r="BN210" s="75"/>
      <c r="BO210" s="75"/>
      <c r="BP210" s="75"/>
      <c r="BQ210" s="75"/>
      <c r="BR210" s="75"/>
      <c r="BS210" s="75"/>
      <c r="BT210" s="75"/>
      <c r="BU210" s="75"/>
      <c r="BV210" s="75"/>
      <c r="BW210" s="75"/>
      <c r="BX210" s="75"/>
      <c r="BY210" s="75"/>
      <c r="BZ210" s="75"/>
      <c r="CA210" s="75"/>
      <c r="CB210" s="75"/>
      <c r="CC210" s="75"/>
      <c r="CD210" s="75"/>
      <c r="CE210" s="75"/>
      <c r="CF210" s="75"/>
      <c r="CG210" s="75"/>
      <c r="CH210" s="75"/>
      <c r="CI210" s="75"/>
      <c r="CJ210" s="75"/>
      <c r="CK210" s="75"/>
      <c r="CL210" s="75"/>
      <c r="CM210" s="75"/>
      <c r="CN210" s="75"/>
      <c r="CO210" s="75"/>
      <c r="CP210" s="75"/>
      <c r="CQ210" s="75"/>
      <c r="CR210" s="75"/>
      <c r="CS210" s="75"/>
      <c r="CT210" s="75"/>
      <c r="CU210" s="75"/>
      <c r="CV210" s="75"/>
      <c r="CW210" s="75"/>
      <c r="CX210" s="75"/>
      <c r="CY210" s="75"/>
      <c r="CZ210" s="75"/>
      <c r="DA210" s="75"/>
      <c r="DB210" s="75"/>
      <c r="DC210" s="75"/>
      <c r="DD210" s="75"/>
      <c r="DE210" s="75"/>
      <c r="DF210" s="75"/>
      <c r="DG210" s="75"/>
      <c r="DH210" s="75"/>
      <c r="DI210" s="75"/>
      <c r="DJ210" s="75"/>
      <c r="DK210" s="75"/>
      <c r="DL210" s="75"/>
      <c r="DM210" s="75"/>
      <c r="DN210" s="75"/>
      <c r="DO210" s="75"/>
      <c r="DP210" s="75"/>
      <c r="DQ210" s="75"/>
      <c r="DR210" s="75"/>
      <c r="DS210" s="75"/>
      <c r="DT210" s="75"/>
      <c r="DU210" s="75"/>
      <c r="DV210" s="75"/>
      <c r="DW210" s="75"/>
      <c r="DX210" s="75"/>
      <c r="DY210" s="75"/>
      <c r="DZ210" s="75"/>
      <c r="EA210" s="75"/>
      <c r="EB210" s="75"/>
      <c r="EC210" s="75"/>
      <c r="ED210" s="75"/>
      <c r="EE210" s="75"/>
      <c r="EF210" s="75"/>
      <c r="EG210" s="75"/>
      <c r="EH210" s="75"/>
      <c r="EI210" s="75"/>
      <c r="EJ210" s="75"/>
      <c r="EK210" s="75"/>
      <c r="EL210" s="75"/>
      <c r="EM210" s="75"/>
      <c r="EN210" s="75"/>
      <c r="EO210" s="75"/>
      <c r="EP210" s="75"/>
      <c r="EQ210" s="75"/>
      <c r="ER210" s="75"/>
      <c r="ES210" s="75"/>
      <c r="ET210" s="75"/>
      <c r="EU210" s="75"/>
      <c r="EV210" s="75"/>
      <c r="EW210" s="75"/>
      <c r="EX210" s="75"/>
      <c r="EY210" s="75"/>
      <c r="EZ210" s="75"/>
      <c r="FA210" s="75"/>
      <c r="FB210" s="75"/>
      <c r="FC210" s="75"/>
      <c r="FD210" s="75"/>
      <c r="FE210" s="75"/>
      <c r="FF210" s="75"/>
      <c r="FG210" s="75"/>
      <c r="FH210" s="75"/>
      <c r="FI210" s="75"/>
      <c r="FJ210" s="75"/>
      <c r="FK210" s="75"/>
      <c r="FL210" s="75"/>
      <c r="FM210" s="75"/>
      <c r="FN210" s="75"/>
      <c r="FO210" s="75"/>
      <c r="FP210" s="75"/>
      <c r="FQ210" s="75"/>
      <c r="FR210" s="75"/>
      <c r="FS210" s="75"/>
      <c r="FT210" s="75"/>
      <c r="FU210" s="75"/>
      <c r="FV210" s="75"/>
      <c r="FW210" s="75"/>
      <c r="FX210" s="75"/>
      <c r="FY210" s="75"/>
      <c r="FZ210" s="75"/>
      <c r="GA210" s="75"/>
      <c r="GB210" s="75"/>
      <c r="GC210" s="75"/>
      <c r="GD210" s="75"/>
      <c r="GE210" s="75"/>
      <c r="GF210" s="75"/>
      <c r="GG210" s="75"/>
      <c r="GH210" s="75"/>
      <c r="GI210" s="75"/>
      <c r="GJ210" s="75"/>
      <c r="GK210" s="75"/>
      <c r="GL210" s="75"/>
      <c r="GM210" s="75"/>
      <c r="GN210" s="75"/>
      <c r="GO210" s="75"/>
      <c r="GP210" s="75"/>
      <c r="GQ210" s="75"/>
      <c r="GR210" s="75"/>
      <c r="GS210" s="75"/>
      <c r="GT210" s="75"/>
      <c r="GU210" s="75"/>
      <c r="GV210" s="75"/>
      <c r="GW210" s="75"/>
      <c r="GX210" s="75"/>
      <c r="GY210" s="75"/>
      <c r="GZ210" s="75"/>
      <c r="HA210" s="75"/>
      <c r="HB210" s="75"/>
      <c r="HC210" s="75"/>
      <c r="HD210" s="75"/>
      <c r="HE210" s="75"/>
      <c r="HF210" s="75"/>
      <c r="HG210" s="75"/>
      <c r="HH210" s="75"/>
      <c r="HI210" s="75"/>
      <c r="HJ210" s="75"/>
      <c r="HK210" s="75"/>
      <c r="HL210" s="75"/>
      <c r="HM210" s="75"/>
      <c r="HN210" s="75"/>
      <c r="HO210" s="75"/>
      <c r="HP210" s="75"/>
      <c r="HQ210" s="75"/>
      <c r="HR210" s="75"/>
      <c r="HS210" s="75"/>
      <c r="HT210" s="75"/>
      <c r="HU210" s="75"/>
      <c r="HV210" s="75"/>
      <c r="HW210" s="213"/>
      <c r="HX210" s="213"/>
      <c r="HY210" s="213"/>
      <c r="HZ210" s="213"/>
      <c r="IA210" s="213"/>
      <c r="IB210" s="213"/>
      <c r="IC210" s="213"/>
      <c r="ID210" s="213"/>
      <c r="IE210" s="213"/>
      <c r="IF210" s="213"/>
      <c r="IG210" s="213"/>
      <c r="IH210" s="213"/>
      <c r="II210" s="213"/>
      <c r="IJ210" s="213"/>
      <c r="IK210" s="213"/>
      <c r="IL210" s="213"/>
      <c r="IM210" s="213"/>
      <c r="IN210" s="213"/>
      <c r="IO210" s="213"/>
      <c r="IP210" s="213"/>
      <c r="IQ210" s="213"/>
      <c r="IR210" s="213"/>
      <c r="IS210" s="213"/>
      <c r="IT210" s="213"/>
      <c r="IU210" s="75"/>
      <c r="IV210" s="75"/>
      <c r="IW210" s="75"/>
      <c r="IX210" s="75"/>
      <c r="IY210" s="75"/>
      <c r="IZ210" s="75"/>
      <c r="JA210" s="75"/>
      <c r="JB210" s="75"/>
      <c r="JC210" s="75"/>
      <c r="JD210" s="75"/>
      <c r="JF210" s="383"/>
      <c r="JG210" s="383" t="str">
        <f t="shared" si="22"/>
        <v/>
      </c>
      <c r="JH210" s="178">
        <f t="shared" si="17"/>
        <v>0</v>
      </c>
      <c r="JI210" s="174">
        <f t="shared" si="18"/>
        <v>0</v>
      </c>
    </row>
    <row r="211" spans="2:269" ht="15" customHeight="1" x14ac:dyDescent="0.25">
      <c r="B211" s="113">
        <v>208</v>
      </c>
      <c r="C211" s="353" t="str">
        <f t="shared" si="21"/>
        <v/>
      </c>
      <c r="D211" s="353" t="str">
        <f t="shared" si="3"/>
        <v/>
      </c>
      <c r="E211" s="75"/>
      <c r="F211" s="75"/>
      <c r="G211" s="75"/>
      <c r="H211" s="75"/>
      <c r="I211" s="75"/>
      <c r="J211" s="75"/>
      <c r="K211" s="75"/>
      <c r="L211" s="75"/>
      <c r="M211" s="75"/>
      <c r="N211" s="75"/>
      <c r="O211" s="75"/>
      <c r="P211" s="75"/>
      <c r="Q211" s="75"/>
      <c r="R211" s="75"/>
      <c r="S211" s="75"/>
      <c r="T211" s="75"/>
      <c r="U211" s="75"/>
      <c r="V211" s="75"/>
      <c r="W211" s="75"/>
      <c r="X211" s="75"/>
      <c r="Y211" s="75"/>
      <c r="Z211" s="75"/>
      <c r="AA211" s="75"/>
      <c r="AB211" s="75"/>
      <c r="AC211" s="75"/>
      <c r="AD211" s="75"/>
      <c r="AE211" s="75"/>
      <c r="AF211" s="75"/>
      <c r="AG211" s="75"/>
      <c r="AH211" s="75"/>
      <c r="AI211" s="75"/>
      <c r="AJ211" s="75"/>
      <c r="AK211" s="75"/>
      <c r="AL211" s="75"/>
      <c r="AM211" s="75"/>
      <c r="AN211" s="75"/>
      <c r="AO211" s="75"/>
      <c r="AP211" s="75"/>
      <c r="AQ211" s="75"/>
      <c r="AR211" s="75"/>
      <c r="AS211" s="75"/>
      <c r="AT211" s="75"/>
      <c r="AU211" s="75"/>
      <c r="AV211" s="75"/>
      <c r="AW211" s="75"/>
      <c r="AX211" s="75"/>
      <c r="AY211" s="75"/>
      <c r="AZ211" s="75"/>
      <c r="BA211" s="75"/>
      <c r="BB211" s="75"/>
      <c r="BC211" s="75"/>
      <c r="BD211" s="75"/>
      <c r="BE211" s="75"/>
      <c r="BF211" s="75"/>
      <c r="BG211" s="75"/>
      <c r="BH211" s="75"/>
      <c r="BI211" s="75"/>
      <c r="BJ211" s="75"/>
      <c r="BK211" s="75"/>
      <c r="BL211" s="75"/>
      <c r="BM211" s="75"/>
      <c r="BN211" s="75"/>
      <c r="BO211" s="75"/>
      <c r="BP211" s="75"/>
      <c r="BQ211" s="75"/>
      <c r="BR211" s="75"/>
      <c r="BS211" s="75"/>
      <c r="BT211" s="75"/>
      <c r="BU211" s="75"/>
      <c r="BV211" s="75"/>
      <c r="BW211" s="75"/>
      <c r="BX211" s="75"/>
      <c r="BY211" s="75"/>
      <c r="BZ211" s="75"/>
      <c r="CA211" s="75"/>
      <c r="CB211" s="75"/>
      <c r="CC211" s="75"/>
      <c r="CD211" s="75"/>
      <c r="CE211" s="75"/>
      <c r="CF211" s="75"/>
      <c r="CG211" s="75"/>
      <c r="CH211" s="75"/>
      <c r="CI211" s="75"/>
      <c r="CJ211" s="75"/>
      <c r="CK211" s="75"/>
      <c r="CL211" s="75"/>
      <c r="CM211" s="75"/>
      <c r="CN211" s="75"/>
      <c r="CO211" s="75"/>
      <c r="CP211" s="75"/>
      <c r="CQ211" s="75"/>
      <c r="CR211" s="75"/>
      <c r="CS211" s="75"/>
      <c r="CT211" s="75"/>
      <c r="CU211" s="75"/>
      <c r="CV211" s="75"/>
      <c r="CW211" s="75"/>
      <c r="CX211" s="75"/>
      <c r="CY211" s="75"/>
      <c r="CZ211" s="75"/>
      <c r="DA211" s="75"/>
      <c r="DB211" s="75"/>
      <c r="DC211" s="75"/>
      <c r="DD211" s="75"/>
      <c r="DE211" s="75"/>
      <c r="DF211" s="75"/>
      <c r="DG211" s="75"/>
      <c r="DH211" s="75"/>
      <c r="DI211" s="75"/>
      <c r="DJ211" s="75"/>
      <c r="DK211" s="75"/>
      <c r="DL211" s="75"/>
      <c r="DM211" s="75"/>
      <c r="DN211" s="75"/>
      <c r="DO211" s="75"/>
      <c r="DP211" s="75"/>
      <c r="DQ211" s="75"/>
      <c r="DR211" s="75"/>
      <c r="DS211" s="75"/>
      <c r="DT211" s="75"/>
      <c r="DU211" s="75"/>
      <c r="DV211" s="75"/>
      <c r="DW211" s="75"/>
      <c r="DX211" s="75"/>
      <c r="DY211" s="75"/>
      <c r="DZ211" s="75"/>
      <c r="EA211" s="75"/>
      <c r="EB211" s="75"/>
      <c r="EC211" s="75"/>
      <c r="ED211" s="75"/>
      <c r="EE211" s="75"/>
      <c r="EF211" s="75"/>
      <c r="EG211" s="75"/>
      <c r="EH211" s="75"/>
      <c r="EI211" s="75"/>
      <c r="EJ211" s="75"/>
      <c r="EK211" s="75"/>
      <c r="EL211" s="75"/>
      <c r="EM211" s="75"/>
      <c r="EN211" s="75"/>
      <c r="EO211" s="75"/>
      <c r="EP211" s="75"/>
      <c r="EQ211" s="75"/>
      <c r="ER211" s="75"/>
      <c r="ES211" s="75"/>
      <c r="ET211" s="75"/>
      <c r="EU211" s="75"/>
      <c r="EV211" s="75"/>
      <c r="EW211" s="75"/>
      <c r="EX211" s="75"/>
      <c r="EY211" s="75"/>
      <c r="EZ211" s="75"/>
      <c r="FA211" s="75"/>
      <c r="FB211" s="75"/>
      <c r="FC211" s="75"/>
      <c r="FD211" s="75"/>
      <c r="FE211" s="75"/>
      <c r="FF211" s="75"/>
      <c r="FG211" s="75"/>
      <c r="FH211" s="75"/>
      <c r="FI211" s="75"/>
      <c r="FJ211" s="75"/>
      <c r="FK211" s="75"/>
      <c r="FL211" s="75"/>
      <c r="FM211" s="75"/>
      <c r="FN211" s="75"/>
      <c r="FO211" s="75"/>
      <c r="FP211" s="75"/>
      <c r="FQ211" s="75"/>
      <c r="FR211" s="75"/>
      <c r="FS211" s="75"/>
      <c r="FT211" s="75"/>
      <c r="FU211" s="75"/>
      <c r="FV211" s="75"/>
      <c r="FW211" s="75"/>
      <c r="FX211" s="75"/>
      <c r="FY211" s="75"/>
      <c r="FZ211" s="75"/>
      <c r="GA211" s="75"/>
      <c r="GB211" s="75"/>
      <c r="GC211" s="75"/>
      <c r="GD211" s="75"/>
      <c r="GE211" s="75"/>
      <c r="GF211" s="75"/>
      <c r="GG211" s="75"/>
      <c r="GH211" s="75"/>
      <c r="GI211" s="75"/>
      <c r="GJ211" s="75"/>
      <c r="GK211" s="75"/>
      <c r="GL211" s="75"/>
      <c r="GM211" s="75"/>
      <c r="GN211" s="75"/>
      <c r="GO211" s="75"/>
      <c r="GP211" s="75"/>
      <c r="GQ211" s="75"/>
      <c r="GR211" s="75"/>
      <c r="GS211" s="75"/>
      <c r="GT211" s="75"/>
      <c r="GU211" s="75"/>
      <c r="GV211" s="75"/>
      <c r="GW211" s="75"/>
      <c r="GX211" s="75"/>
      <c r="GY211" s="75"/>
      <c r="GZ211" s="75"/>
      <c r="HA211" s="75"/>
      <c r="HB211" s="75"/>
      <c r="HC211" s="75"/>
      <c r="HD211" s="75"/>
      <c r="HE211" s="75"/>
      <c r="HF211" s="75"/>
      <c r="HG211" s="75"/>
      <c r="HH211" s="75"/>
      <c r="HI211" s="75"/>
      <c r="HJ211" s="75"/>
      <c r="HK211" s="75"/>
      <c r="HL211" s="75"/>
      <c r="HM211" s="75"/>
      <c r="HN211" s="75"/>
      <c r="HO211" s="75"/>
      <c r="HP211" s="75"/>
      <c r="HQ211" s="75"/>
      <c r="HR211" s="75"/>
      <c r="HS211" s="75"/>
      <c r="HT211" s="75"/>
      <c r="HU211" s="75"/>
      <c r="HV211" s="75"/>
      <c r="HW211" s="213"/>
      <c r="HX211" s="213"/>
      <c r="HY211" s="213"/>
      <c r="HZ211" s="213"/>
      <c r="IA211" s="213"/>
      <c r="IB211" s="213"/>
      <c r="IC211" s="213"/>
      <c r="ID211" s="213"/>
      <c r="IE211" s="213"/>
      <c r="IF211" s="213"/>
      <c r="IG211" s="213"/>
      <c r="IH211" s="213"/>
      <c r="II211" s="213"/>
      <c r="IJ211" s="213"/>
      <c r="IK211" s="213"/>
      <c r="IL211" s="213"/>
      <c r="IM211" s="213"/>
      <c r="IN211" s="213"/>
      <c r="IO211" s="213"/>
      <c r="IP211" s="213"/>
      <c r="IQ211" s="213"/>
      <c r="IR211" s="213"/>
      <c r="IS211" s="213"/>
      <c r="IT211" s="213"/>
      <c r="IU211" s="75"/>
      <c r="IV211" s="75"/>
      <c r="IW211" s="75"/>
      <c r="IX211" s="75"/>
      <c r="IY211" s="75"/>
      <c r="IZ211" s="75"/>
      <c r="JA211" s="75"/>
      <c r="JB211" s="75"/>
      <c r="JC211" s="75"/>
      <c r="JD211" s="75"/>
      <c r="JF211" s="383"/>
      <c r="JG211" s="383" t="str">
        <f t="shared" si="22"/>
        <v/>
      </c>
      <c r="JH211" s="178">
        <f t="shared" si="17"/>
        <v>0</v>
      </c>
      <c r="JI211" s="174">
        <f t="shared" si="18"/>
        <v>0</v>
      </c>
    </row>
    <row r="212" spans="2:269" ht="15" customHeight="1" x14ac:dyDescent="0.25">
      <c r="B212" s="113">
        <v>209</v>
      </c>
      <c r="C212" s="353" t="str">
        <f t="shared" si="21"/>
        <v/>
      </c>
      <c r="D212" s="353" t="str">
        <f t="shared" si="3"/>
        <v/>
      </c>
      <c r="E212" s="75"/>
      <c r="F212" s="75"/>
      <c r="G212" s="75"/>
      <c r="H212" s="75"/>
      <c r="I212" s="75"/>
      <c r="J212" s="75"/>
      <c r="K212" s="75"/>
      <c r="L212" s="75"/>
      <c r="M212" s="75"/>
      <c r="N212" s="75"/>
      <c r="O212" s="75"/>
      <c r="P212" s="75"/>
      <c r="Q212" s="75"/>
      <c r="R212" s="75"/>
      <c r="S212" s="75"/>
      <c r="T212" s="75"/>
      <c r="U212" s="75"/>
      <c r="V212" s="75"/>
      <c r="W212" s="75"/>
      <c r="X212" s="75"/>
      <c r="Y212" s="75"/>
      <c r="Z212" s="75"/>
      <c r="AA212" s="75"/>
      <c r="AB212" s="75"/>
      <c r="AC212" s="75"/>
      <c r="AD212" s="75"/>
      <c r="AE212" s="75"/>
      <c r="AF212" s="75"/>
      <c r="AG212" s="75"/>
      <c r="AH212" s="75"/>
      <c r="AI212" s="75"/>
      <c r="AJ212" s="75"/>
      <c r="AK212" s="75"/>
      <c r="AL212" s="75"/>
      <c r="AM212" s="75"/>
      <c r="AN212" s="75"/>
      <c r="AO212" s="75"/>
      <c r="AP212" s="75"/>
      <c r="AQ212" s="75"/>
      <c r="AR212" s="75"/>
      <c r="AS212" s="75"/>
      <c r="AT212" s="75"/>
      <c r="AU212" s="75"/>
      <c r="AV212" s="75"/>
      <c r="AW212" s="75"/>
      <c r="AX212" s="75"/>
      <c r="AY212" s="75"/>
      <c r="AZ212" s="75"/>
      <c r="BA212" s="75"/>
      <c r="BB212" s="75"/>
      <c r="BC212" s="75"/>
      <c r="BD212" s="75"/>
      <c r="BE212" s="75"/>
      <c r="BF212" s="75"/>
      <c r="BG212" s="75"/>
      <c r="BH212" s="75"/>
      <c r="BI212" s="75"/>
      <c r="BJ212" s="75"/>
      <c r="BK212" s="75"/>
      <c r="BL212" s="75"/>
      <c r="BM212" s="75"/>
      <c r="BN212" s="75"/>
      <c r="BO212" s="75"/>
      <c r="BP212" s="75"/>
      <c r="BQ212" s="75"/>
      <c r="BR212" s="75"/>
      <c r="BS212" s="75"/>
      <c r="BT212" s="75"/>
      <c r="BU212" s="75"/>
      <c r="BV212" s="75"/>
      <c r="BW212" s="75"/>
      <c r="BX212" s="75"/>
      <c r="BY212" s="75"/>
      <c r="BZ212" s="75"/>
      <c r="CA212" s="75"/>
      <c r="CB212" s="75"/>
      <c r="CC212" s="75"/>
      <c r="CD212" s="75"/>
      <c r="CE212" s="75"/>
      <c r="CF212" s="75"/>
      <c r="CG212" s="75"/>
      <c r="CH212" s="75"/>
      <c r="CI212" s="75"/>
      <c r="CJ212" s="75"/>
      <c r="CK212" s="75"/>
      <c r="CL212" s="75"/>
      <c r="CM212" s="75"/>
      <c r="CN212" s="75"/>
      <c r="CO212" s="75"/>
      <c r="CP212" s="75"/>
      <c r="CQ212" s="75"/>
      <c r="CR212" s="75"/>
      <c r="CS212" s="75"/>
      <c r="CT212" s="75"/>
      <c r="CU212" s="75"/>
      <c r="CV212" s="75"/>
      <c r="CW212" s="75"/>
      <c r="CX212" s="75"/>
      <c r="CY212" s="75"/>
      <c r="CZ212" s="75"/>
      <c r="DA212" s="75"/>
      <c r="DB212" s="75"/>
      <c r="DC212" s="75"/>
      <c r="DD212" s="75"/>
      <c r="DE212" s="75"/>
      <c r="DF212" s="75"/>
      <c r="DG212" s="75"/>
      <c r="DH212" s="75"/>
      <c r="DI212" s="75"/>
      <c r="DJ212" s="75"/>
      <c r="DK212" s="75"/>
      <c r="DL212" s="75"/>
      <c r="DM212" s="75"/>
      <c r="DN212" s="75"/>
      <c r="DO212" s="75"/>
      <c r="DP212" s="75"/>
      <c r="DQ212" s="75"/>
      <c r="DR212" s="75"/>
      <c r="DS212" s="75"/>
      <c r="DT212" s="75"/>
      <c r="DU212" s="75"/>
      <c r="DV212" s="75"/>
      <c r="DW212" s="75"/>
      <c r="DX212" s="75"/>
      <c r="DY212" s="75"/>
      <c r="DZ212" s="75"/>
      <c r="EA212" s="75"/>
      <c r="EB212" s="75"/>
      <c r="EC212" s="75"/>
      <c r="ED212" s="75"/>
      <c r="EE212" s="75"/>
      <c r="EF212" s="75"/>
      <c r="EG212" s="75"/>
      <c r="EH212" s="75"/>
      <c r="EI212" s="75"/>
      <c r="EJ212" s="75"/>
      <c r="EK212" s="75"/>
      <c r="EL212" s="75"/>
      <c r="EM212" s="75"/>
      <c r="EN212" s="75"/>
      <c r="EO212" s="75"/>
      <c r="EP212" s="75"/>
      <c r="EQ212" s="75"/>
      <c r="ER212" s="75"/>
      <c r="ES212" s="75"/>
      <c r="ET212" s="75"/>
      <c r="EU212" s="75"/>
      <c r="EV212" s="75"/>
      <c r="EW212" s="75"/>
      <c r="EX212" s="75"/>
      <c r="EY212" s="75"/>
      <c r="EZ212" s="75"/>
      <c r="FA212" s="75"/>
      <c r="FB212" s="75"/>
      <c r="FC212" s="75"/>
      <c r="FD212" s="75"/>
      <c r="FE212" s="75"/>
      <c r="FF212" s="75"/>
      <c r="FG212" s="75"/>
      <c r="FH212" s="75"/>
      <c r="FI212" s="75"/>
      <c r="FJ212" s="75"/>
      <c r="FK212" s="75"/>
      <c r="FL212" s="75"/>
      <c r="FM212" s="75"/>
      <c r="FN212" s="75"/>
      <c r="FO212" s="75"/>
      <c r="FP212" s="75"/>
      <c r="FQ212" s="75"/>
      <c r="FR212" s="75"/>
      <c r="FS212" s="75"/>
      <c r="FT212" s="75"/>
      <c r="FU212" s="75"/>
      <c r="FV212" s="75"/>
      <c r="FW212" s="75"/>
      <c r="FX212" s="75"/>
      <c r="FY212" s="75"/>
      <c r="FZ212" s="75"/>
      <c r="GA212" s="75"/>
      <c r="GB212" s="75"/>
      <c r="GC212" s="75"/>
      <c r="GD212" s="75"/>
      <c r="GE212" s="75"/>
      <c r="GF212" s="75"/>
      <c r="GG212" s="75"/>
      <c r="GH212" s="75"/>
      <c r="GI212" s="75"/>
      <c r="GJ212" s="75"/>
      <c r="GK212" s="75"/>
      <c r="GL212" s="75"/>
      <c r="GM212" s="75"/>
      <c r="GN212" s="75"/>
      <c r="GO212" s="75"/>
      <c r="GP212" s="75"/>
      <c r="GQ212" s="75"/>
      <c r="GR212" s="75"/>
      <c r="GS212" s="75"/>
      <c r="GT212" s="75"/>
      <c r="GU212" s="75"/>
      <c r="GV212" s="75"/>
      <c r="GW212" s="75"/>
      <c r="GX212" s="75"/>
      <c r="GY212" s="75"/>
      <c r="GZ212" s="75"/>
      <c r="HA212" s="75"/>
      <c r="HB212" s="75"/>
      <c r="HC212" s="75"/>
      <c r="HD212" s="75"/>
      <c r="HE212" s="75"/>
      <c r="HF212" s="75"/>
      <c r="HG212" s="75"/>
      <c r="HH212" s="75"/>
      <c r="HI212" s="75"/>
      <c r="HJ212" s="75"/>
      <c r="HK212" s="75"/>
      <c r="HL212" s="75"/>
      <c r="HM212" s="75"/>
      <c r="HN212" s="75"/>
      <c r="HO212" s="75"/>
      <c r="HP212" s="75"/>
      <c r="HQ212" s="75"/>
      <c r="HR212" s="75"/>
      <c r="HS212" s="75"/>
      <c r="HT212" s="75"/>
      <c r="HU212" s="75"/>
      <c r="HV212" s="75"/>
      <c r="HW212" s="213"/>
      <c r="HX212" s="213"/>
      <c r="HY212" s="213"/>
      <c r="HZ212" s="213"/>
      <c r="IA212" s="213"/>
      <c r="IB212" s="213"/>
      <c r="IC212" s="213"/>
      <c r="ID212" s="213"/>
      <c r="IE212" s="213"/>
      <c r="IF212" s="213"/>
      <c r="IG212" s="213"/>
      <c r="IH212" s="213"/>
      <c r="II212" s="213"/>
      <c r="IJ212" s="213"/>
      <c r="IK212" s="213"/>
      <c r="IL212" s="213"/>
      <c r="IM212" s="213"/>
      <c r="IN212" s="213"/>
      <c r="IO212" s="213"/>
      <c r="IP212" s="213"/>
      <c r="IQ212" s="213"/>
      <c r="IR212" s="213"/>
      <c r="IS212" s="213"/>
      <c r="IT212" s="213"/>
      <c r="IU212" s="75"/>
      <c r="IV212" s="75"/>
      <c r="IW212" s="75"/>
      <c r="IX212" s="75"/>
      <c r="IY212" s="75"/>
      <c r="IZ212" s="75"/>
      <c r="JA212" s="75"/>
      <c r="JB212" s="75"/>
      <c r="JC212" s="75"/>
      <c r="JD212" s="75"/>
      <c r="JF212" s="383"/>
      <c r="JG212" s="383" t="str">
        <f t="shared" ref="JG212:JG213" si="23">IFERROR(VLOOKUP(JF212,tbl_materiais,COLUMN(head_mat_descricao)-COLUMN(head_mat_item)+1,FALSE),"")</f>
        <v/>
      </c>
      <c r="JH212" s="178">
        <f t="shared" si="17"/>
        <v>0</v>
      </c>
      <c r="JI212" s="174">
        <f t="shared" si="18"/>
        <v>0</v>
      </c>
    </row>
    <row r="213" spans="2:269" ht="15" customHeight="1" x14ac:dyDescent="0.25">
      <c r="B213" s="113">
        <v>210</v>
      </c>
      <c r="C213" s="353" t="str">
        <f t="shared" si="21"/>
        <v/>
      </c>
      <c r="D213" s="353" t="str">
        <f t="shared" si="3"/>
        <v/>
      </c>
      <c r="E213" s="75"/>
      <c r="F213" s="75"/>
      <c r="G213" s="75"/>
      <c r="H213" s="75"/>
      <c r="I213" s="75"/>
      <c r="J213" s="75"/>
      <c r="K213" s="75"/>
      <c r="L213" s="75"/>
      <c r="M213" s="75"/>
      <c r="N213" s="75"/>
      <c r="O213" s="75"/>
      <c r="P213" s="75"/>
      <c r="Q213" s="75"/>
      <c r="R213" s="75"/>
      <c r="S213" s="75"/>
      <c r="T213" s="75"/>
      <c r="U213" s="75"/>
      <c r="V213" s="75"/>
      <c r="W213" s="75"/>
      <c r="X213" s="75"/>
      <c r="Y213" s="75"/>
      <c r="Z213" s="75"/>
      <c r="AA213" s="75"/>
      <c r="AB213" s="75"/>
      <c r="AC213" s="75"/>
      <c r="AD213" s="75"/>
      <c r="AE213" s="75"/>
      <c r="AF213" s="75"/>
      <c r="AG213" s="75"/>
      <c r="AH213" s="75"/>
      <c r="AI213" s="75"/>
      <c r="AJ213" s="75"/>
      <c r="AK213" s="75"/>
      <c r="AL213" s="75"/>
      <c r="AM213" s="75"/>
      <c r="AN213" s="75"/>
      <c r="AO213" s="75"/>
      <c r="AP213" s="75"/>
      <c r="AQ213" s="75"/>
      <c r="AR213" s="75"/>
      <c r="AS213" s="75"/>
      <c r="AT213" s="75"/>
      <c r="AU213" s="75"/>
      <c r="AV213" s="75"/>
      <c r="AW213" s="75"/>
      <c r="AX213" s="75"/>
      <c r="AY213" s="75"/>
      <c r="AZ213" s="75"/>
      <c r="BA213" s="75"/>
      <c r="BB213" s="75"/>
      <c r="BC213" s="75"/>
      <c r="BD213" s="75"/>
      <c r="BE213" s="75"/>
      <c r="BF213" s="75"/>
      <c r="BG213" s="75"/>
      <c r="BH213" s="75"/>
      <c r="BI213" s="75"/>
      <c r="BJ213" s="75"/>
      <c r="BK213" s="75"/>
      <c r="BL213" s="75"/>
      <c r="BM213" s="75"/>
      <c r="BN213" s="75"/>
      <c r="BO213" s="75"/>
      <c r="BP213" s="75"/>
      <c r="BQ213" s="75"/>
      <c r="BR213" s="75"/>
      <c r="BS213" s="75"/>
      <c r="BT213" s="75"/>
      <c r="BU213" s="75"/>
      <c r="BV213" s="75"/>
      <c r="BW213" s="75"/>
      <c r="BX213" s="75"/>
      <c r="BY213" s="75"/>
      <c r="BZ213" s="75"/>
      <c r="CA213" s="75"/>
      <c r="CB213" s="75"/>
      <c r="CC213" s="75"/>
      <c r="CD213" s="75"/>
      <c r="CE213" s="75"/>
      <c r="CF213" s="75"/>
      <c r="CG213" s="75"/>
      <c r="CH213" s="75"/>
      <c r="CI213" s="75"/>
      <c r="CJ213" s="75"/>
      <c r="CK213" s="75"/>
      <c r="CL213" s="75"/>
      <c r="CM213" s="75"/>
      <c r="CN213" s="75"/>
      <c r="CO213" s="75"/>
      <c r="CP213" s="75"/>
      <c r="CQ213" s="75"/>
      <c r="CR213" s="75"/>
      <c r="CS213" s="75"/>
      <c r="CT213" s="75"/>
      <c r="CU213" s="75"/>
      <c r="CV213" s="75"/>
      <c r="CW213" s="75"/>
      <c r="CX213" s="75"/>
      <c r="CY213" s="75"/>
      <c r="CZ213" s="75"/>
      <c r="DA213" s="75"/>
      <c r="DB213" s="75"/>
      <c r="DC213" s="75"/>
      <c r="DD213" s="75"/>
      <c r="DE213" s="75"/>
      <c r="DF213" s="75"/>
      <c r="DG213" s="75"/>
      <c r="DH213" s="75"/>
      <c r="DI213" s="75"/>
      <c r="DJ213" s="75"/>
      <c r="DK213" s="75"/>
      <c r="DL213" s="75"/>
      <c r="DM213" s="75"/>
      <c r="DN213" s="75"/>
      <c r="DO213" s="75"/>
      <c r="DP213" s="75"/>
      <c r="DQ213" s="75"/>
      <c r="DR213" s="75"/>
      <c r="DS213" s="75"/>
      <c r="DT213" s="75"/>
      <c r="DU213" s="75"/>
      <c r="DV213" s="75"/>
      <c r="DW213" s="75"/>
      <c r="DX213" s="75"/>
      <c r="DY213" s="75"/>
      <c r="DZ213" s="75"/>
      <c r="EA213" s="75"/>
      <c r="EB213" s="75"/>
      <c r="EC213" s="75"/>
      <c r="ED213" s="75"/>
      <c r="EE213" s="75"/>
      <c r="EF213" s="75"/>
      <c r="EG213" s="75"/>
      <c r="EH213" s="75"/>
      <c r="EI213" s="75"/>
      <c r="EJ213" s="75"/>
      <c r="EK213" s="75"/>
      <c r="EL213" s="75"/>
      <c r="EM213" s="75"/>
      <c r="EN213" s="75"/>
      <c r="EO213" s="75"/>
      <c r="EP213" s="75"/>
      <c r="EQ213" s="75"/>
      <c r="ER213" s="75"/>
      <c r="ES213" s="75"/>
      <c r="ET213" s="75"/>
      <c r="EU213" s="75"/>
      <c r="EV213" s="75"/>
      <c r="EW213" s="75"/>
      <c r="EX213" s="75"/>
      <c r="EY213" s="75"/>
      <c r="EZ213" s="75"/>
      <c r="FA213" s="75"/>
      <c r="FB213" s="75"/>
      <c r="FC213" s="75"/>
      <c r="FD213" s="75"/>
      <c r="FE213" s="75"/>
      <c r="FF213" s="75"/>
      <c r="FG213" s="75"/>
      <c r="FH213" s="75"/>
      <c r="FI213" s="75"/>
      <c r="FJ213" s="75"/>
      <c r="FK213" s="75"/>
      <c r="FL213" s="75"/>
      <c r="FM213" s="75"/>
      <c r="FN213" s="75"/>
      <c r="FO213" s="75"/>
      <c r="FP213" s="75"/>
      <c r="FQ213" s="75"/>
      <c r="FR213" s="75"/>
      <c r="FS213" s="75"/>
      <c r="FT213" s="75"/>
      <c r="FU213" s="75"/>
      <c r="FV213" s="75"/>
      <c r="FW213" s="75"/>
      <c r="FX213" s="75"/>
      <c r="FY213" s="75"/>
      <c r="FZ213" s="75"/>
      <c r="GA213" s="75"/>
      <c r="GB213" s="75"/>
      <c r="GC213" s="75"/>
      <c r="GD213" s="75"/>
      <c r="GE213" s="75"/>
      <c r="GF213" s="75"/>
      <c r="GG213" s="75"/>
      <c r="GH213" s="75"/>
      <c r="GI213" s="75"/>
      <c r="GJ213" s="75"/>
      <c r="GK213" s="75"/>
      <c r="GL213" s="75"/>
      <c r="GM213" s="75"/>
      <c r="GN213" s="75"/>
      <c r="GO213" s="75"/>
      <c r="GP213" s="75"/>
      <c r="GQ213" s="75"/>
      <c r="GR213" s="75"/>
      <c r="GS213" s="75"/>
      <c r="GT213" s="75"/>
      <c r="GU213" s="75"/>
      <c r="GV213" s="75"/>
      <c r="GW213" s="75"/>
      <c r="GX213" s="75"/>
      <c r="GY213" s="75"/>
      <c r="GZ213" s="75"/>
      <c r="HA213" s="75"/>
      <c r="HB213" s="75"/>
      <c r="HC213" s="75"/>
      <c r="HD213" s="75"/>
      <c r="HE213" s="75"/>
      <c r="HF213" s="75"/>
      <c r="HG213" s="75"/>
      <c r="HH213" s="75"/>
      <c r="HI213" s="75"/>
      <c r="HJ213" s="75"/>
      <c r="HK213" s="75"/>
      <c r="HL213" s="75"/>
      <c r="HM213" s="75"/>
      <c r="HN213" s="75"/>
      <c r="HO213" s="75"/>
      <c r="HP213" s="75"/>
      <c r="HQ213" s="75"/>
      <c r="HR213" s="75"/>
      <c r="HS213" s="75"/>
      <c r="HT213" s="75"/>
      <c r="HU213" s="75"/>
      <c r="HV213" s="75"/>
      <c r="HW213" s="213"/>
      <c r="HX213" s="213"/>
      <c r="HY213" s="213"/>
      <c r="HZ213" s="213"/>
      <c r="IA213" s="213"/>
      <c r="IB213" s="213"/>
      <c r="IC213" s="213"/>
      <c r="ID213" s="213"/>
      <c r="IE213" s="213"/>
      <c r="IF213" s="213"/>
      <c r="IG213" s="213"/>
      <c r="IH213" s="213"/>
      <c r="II213" s="213"/>
      <c r="IJ213" s="213"/>
      <c r="IK213" s="213"/>
      <c r="IL213" s="213"/>
      <c r="IM213" s="213"/>
      <c r="IN213" s="213"/>
      <c r="IO213" s="213"/>
      <c r="IP213" s="213"/>
      <c r="IQ213" s="213"/>
      <c r="IR213" s="213"/>
      <c r="IS213" s="213"/>
      <c r="IT213" s="213"/>
      <c r="IU213" s="75"/>
      <c r="IV213" s="75"/>
      <c r="IW213" s="75"/>
      <c r="IX213" s="75"/>
      <c r="IY213" s="75"/>
      <c r="IZ213" s="75"/>
      <c r="JA213" s="75"/>
      <c r="JB213" s="75"/>
      <c r="JC213" s="75"/>
      <c r="JD213" s="75"/>
      <c r="JF213" s="383"/>
      <c r="JG213" s="383" t="str">
        <f t="shared" si="23"/>
        <v/>
      </c>
      <c r="JH213" s="178">
        <f t="shared" si="17"/>
        <v>0</v>
      </c>
      <c r="JI213" s="174">
        <f t="shared" si="18"/>
        <v>0</v>
      </c>
    </row>
    <row r="214" spans="2:269" ht="15" customHeight="1" x14ac:dyDescent="0.25">
      <c r="JE214" s="386"/>
    </row>
    <row r="215" spans="2:269" ht="15" customHeight="1" x14ac:dyDescent="0.25">
      <c r="C215" s="877" t="s">
        <v>268</v>
      </c>
      <c r="D215" s="353" t="s">
        <v>372</v>
      </c>
      <c r="E215" s="379">
        <f>SUMIFS(col_qtd,col_item,"="&amp;Padrões!E$3,col_regime,"="&amp;Padrões!$C$215)</f>
        <v>0</v>
      </c>
      <c r="F215" s="379">
        <f>SUMIFS(col_qtd,col_item,"="&amp;Padrões!F$3,col_regime,"="&amp;Padrões!$C$215)</f>
        <v>0</v>
      </c>
      <c r="G215" s="379">
        <f>SUMIFS(col_qtd,col_item,"="&amp;Padrões!G$3,col_regime,"="&amp;Padrões!$C$215)</f>
        <v>0</v>
      </c>
      <c r="H215" s="379">
        <f>SUMIFS(col_qtd,col_item,"="&amp;Padrões!H$3,col_regime,"="&amp;Padrões!$C$215)</f>
        <v>0</v>
      </c>
      <c r="I215" s="379">
        <f>SUMIFS(col_qtd,col_item,"="&amp;Padrões!I$3,col_regime,"="&amp;Padrões!$C$215)</f>
        <v>0</v>
      </c>
      <c r="J215" s="379">
        <f>SUMIFS(col_qtd,col_item,"="&amp;Padrões!J$3,col_regime,"="&amp;Padrões!$C$215)</f>
        <v>0</v>
      </c>
      <c r="K215" s="379">
        <f>SUMIFS(col_qtd,col_item,"="&amp;Padrões!K$3,col_regime,"="&amp;Padrões!$C$215)</f>
        <v>0</v>
      </c>
      <c r="L215" s="379">
        <f>SUMIFS(col_qtd,col_item,"="&amp;Padrões!L$3,col_regime,"="&amp;Padrões!$C$215)</f>
        <v>0</v>
      </c>
      <c r="M215" s="379">
        <f>SUMIFS(col_qtd,col_item,"="&amp;Padrões!M$3,col_regime,"="&amp;Padrões!$C$215)</f>
        <v>0</v>
      </c>
      <c r="N215" s="379">
        <f>SUMIFS(col_qtd,col_item,"="&amp;Padrões!N$3,col_regime,"="&amp;Padrões!$C$215)</f>
        <v>0</v>
      </c>
      <c r="O215" s="379">
        <f>SUMIFS(col_qtd,col_item,"="&amp;Padrões!O$3,col_regime,"="&amp;Padrões!$C$215)</f>
        <v>0</v>
      </c>
      <c r="P215" s="379">
        <f>SUMIFS(col_qtd,col_item,"="&amp;Padrões!P$3,col_regime,"="&amp;Padrões!$C$215)</f>
        <v>0</v>
      </c>
      <c r="Q215" s="379">
        <f>SUMIFS(col_qtd,col_item,"="&amp;Padrões!Q$3,col_regime,"="&amp;Padrões!$C$215)</f>
        <v>0</v>
      </c>
      <c r="R215" s="379">
        <f>SUMIFS(col_qtd,col_item,"="&amp;Padrões!R$3,col_regime,"="&amp;Padrões!$C$215)</f>
        <v>0</v>
      </c>
      <c r="S215" s="379">
        <f>SUMIFS(col_qtd,col_item,"="&amp;Padrões!S$3,col_regime,"="&amp;Padrões!$C$215)</f>
        <v>0</v>
      </c>
      <c r="T215" s="379">
        <f>SUMIFS(col_qtd,col_item,"="&amp;Padrões!T$3,col_regime,"="&amp;Padrões!$C$215)</f>
        <v>0</v>
      </c>
      <c r="U215" s="379">
        <f>SUMIFS(col_qtd,col_item,"="&amp;Padrões!U$3,col_regime,"="&amp;Padrões!$C$215)</f>
        <v>0</v>
      </c>
      <c r="V215" s="379">
        <f>SUMIFS(col_qtd,col_item,"="&amp;Padrões!V$3,col_regime,"="&amp;Padrões!$C$215)</f>
        <v>0</v>
      </c>
      <c r="W215" s="379">
        <f>SUMIFS(col_qtd,col_item,"="&amp;Padrões!W$3,col_regime,"="&amp;Padrões!$C$215)</f>
        <v>0</v>
      </c>
      <c r="X215" s="379">
        <f>SUMIFS(col_qtd,col_item,"="&amp;Padrões!X$3,col_regime,"="&amp;Padrões!$C$215)</f>
        <v>0</v>
      </c>
      <c r="Y215" s="379">
        <f>SUMIFS(col_qtd,col_item,"="&amp;Padrões!Y$3,col_regime,"="&amp;Padrões!$C$215)</f>
        <v>0</v>
      </c>
      <c r="Z215" s="379">
        <f>SUMIFS(col_qtd,col_item,"="&amp;Padrões!Z$3,col_regime,"="&amp;Padrões!$C$215)</f>
        <v>0</v>
      </c>
      <c r="AA215" s="379">
        <f>SUMIFS(col_qtd,col_item,"="&amp;Padrões!AA$3,col_regime,"="&amp;Padrões!$C$215)</f>
        <v>0</v>
      </c>
      <c r="AB215" s="379">
        <f>SUMIFS(col_qtd,col_item,"="&amp;Padrões!AB$3,col_regime,"="&amp;Padrões!$C$215)</f>
        <v>0</v>
      </c>
      <c r="AC215" s="379">
        <f>SUMIFS(col_qtd,col_item,"="&amp;Padrões!AC$3,col_regime,"="&amp;Padrões!$C$215)</f>
        <v>0</v>
      </c>
      <c r="AD215" s="379">
        <f>SUMIFS(col_qtd,col_item,"="&amp;Padrões!AD$3,col_regime,"="&amp;Padrões!$C$215)</f>
        <v>0</v>
      </c>
      <c r="AE215" s="379">
        <f>SUMIFS(col_qtd,col_item,"="&amp;Padrões!AE$3,col_regime,"="&amp;Padrões!$C$215)</f>
        <v>0</v>
      </c>
      <c r="AF215" s="379">
        <f>SUMIFS(col_qtd,col_item,"="&amp;Padrões!AF$3,col_regime,"="&amp;Padrões!$C$215)</f>
        <v>0</v>
      </c>
      <c r="AG215" s="379">
        <f>SUMIFS(col_qtd,col_item,"="&amp;Padrões!AG$3,col_regime,"="&amp;Padrões!$C$215)</f>
        <v>0</v>
      </c>
      <c r="AH215" s="379">
        <f>SUMIFS(col_qtd,col_item,"="&amp;Padrões!AH$3,col_regime,"="&amp;Padrões!$C$215)</f>
        <v>0</v>
      </c>
      <c r="AI215" s="379">
        <f>SUMIFS(col_qtd,col_item,"="&amp;Padrões!AI$3,col_regime,"="&amp;Padrões!$C$215)</f>
        <v>0</v>
      </c>
      <c r="AJ215" s="379">
        <f>SUMIFS(col_qtd,col_item,"="&amp;Padrões!AJ$3,col_regime,"="&amp;Padrões!$C$215)</f>
        <v>0</v>
      </c>
      <c r="AK215" s="379">
        <f>SUMIFS(col_qtd,col_item,"="&amp;Padrões!AK$3,col_regime,"="&amp;Padrões!$C$215)</f>
        <v>0</v>
      </c>
      <c r="AL215" s="379">
        <f>SUMIFS(col_qtd,col_item,"="&amp;Padrões!AL$3,col_regime,"="&amp;Padrões!$C$215)</f>
        <v>0</v>
      </c>
      <c r="AM215" s="379">
        <f>SUMIFS(col_qtd,col_item,"="&amp;Padrões!AM$3,col_regime,"="&amp;Padrões!$C$215)</f>
        <v>0</v>
      </c>
      <c r="AN215" s="379">
        <f>SUMIFS(col_qtd,col_item,"="&amp;Padrões!AN$3,col_regime,"="&amp;Padrões!$C$215)</f>
        <v>0</v>
      </c>
      <c r="AO215" s="379">
        <f>SUMIFS(col_qtd,col_item,"="&amp;Padrões!AO$3,col_regime,"="&amp;Padrões!$C$215)</f>
        <v>0</v>
      </c>
      <c r="AP215" s="379">
        <f>SUMIFS(col_qtd,col_item,"="&amp;Padrões!AP$3,col_regime,"="&amp;Padrões!$C$215)</f>
        <v>0</v>
      </c>
      <c r="AQ215" s="379">
        <f>SUMIFS(col_qtd,col_item,"="&amp;Padrões!AQ$3,col_regime,"="&amp;Padrões!$C$215)</f>
        <v>0</v>
      </c>
      <c r="AR215" s="379">
        <f>SUMIFS(col_qtd,col_item,"="&amp;Padrões!AR$3,col_regime,"="&amp;Padrões!$C$215)</f>
        <v>0</v>
      </c>
      <c r="AS215" s="379">
        <f>SUMIFS(col_qtd,col_item,"="&amp;Padrões!AS$3,col_regime,"="&amp;Padrões!$C$215)</f>
        <v>0</v>
      </c>
      <c r="AT215" s="379">
        <f>SUMIFS(col_qtd,col_item,"="&amp;Padrões!AT$3,col_regime,"="&amp;Padrões!$C$215)</f>
        <v>0</v>
      </c>
      <c r="AU215" s="379">
        <f>SUMIFS(col_qtd,col_item,"="&amp;Padrões!AU$3,col_regime,"="&amp;Padrões!$C$215)</f>
        <v>0</v>
      </c>
      <c r="AV215" s="379">
        <f>SUMIFS(col_qtd,col_item,"="&amp;Padrões!AV$3,col_regime,"="&amp;Padrões!$C$215)</f>
        <v>0</v>
      </c>
      <c r="AW215" s="379">
        <f>SUMIFS(col_qtd,col_item,"="&amp;Padrões!AW$3,col_regime,"="&amp;Padrões!$C$215)</f>
        <v>0</v>
      </c>
      <c r="AX215" s="379">
        <f>SUMIFS(col_qtd,col_item,"="&amp;Padrões!AX$3,col_regime,"="&amp;Padrões!$C$215)</f>
        <v>0</v>
      </c>
      <c r="AY215" s="379">
        <f>SUMIFS(col_qtd,col_item,"="&amp;Padrões!AY$3,col_regime,"="&amp;Padrões!$C$215)</f>
        <v>0</v>
      </c>
      <c r="AZ215" s="379">
        <f>SUMIFS(col_qtd,col_item,"="&amp;Padrões!AZ$3,col_regime,"="&amp;Padrões!$C$215)</f>
        <v>0</v>
      </c>
      <c r="BA215" s="379">
        <f>SUMIFS(col_qtd,col_item,"="&amp;Padrões!BA$3,col_regime,"="&amp;Padrões!$C$215)</f>
        <v>0</v>
      </c>
      <c r="BB215" s="379">
        <f>SUMIFS(col_qtd,col_item,"="&amp;Padrões!BB$3,col_regime,"="&amp;Padrões!$C$215)</f>
        <v>0</v>
      </c>
      <c r="BC215" s="379">
        <f>SUMIFS(col_qtd,col_item,"="&amp;Padrões!BC$3,col_regime,"="&amp;Padrões!$C$215)</f>
        <v>0</v>
      </c>
      <c r="BD215" s="379">
        <f>SUMIFS(col_qtd,col_item,"="&amp;Padrões!BD$3,col_regime,"="&amp;Padrões!$C$215)</f>
        <v>0</v>
      </c>
      <c r="BE215" s="379">
        <f>SUMIFS(col_qtd,col_item,"="&amp;Padrões!BE$3,col_regime,"="&amp;Padrões!$C$215)</f>
        <v>0</v>
      </c>
      <c r="BF215" s="379">
        <f>SUMIFS(col_qtd,col_item,"="&amp;Padrões!BF$3,col_regime,"="&amp;Padrões!$C$215)</f>
        <v>0</v>
      </c>
      <c r="BG215" s="379">
        <f>SUMIFS(col_qtd,col_item,"="&amp;Padrões!BG$3,col_regime,"="&amp;Padrões!$C$215)</f>
        <v>0</v>
      </c>
      <c r="BH215" s="379">
        <f>SUMIFS(col_qtd,col_item,"="&amp;Padrões!BH$3,col_regime,"="&amp;Padrões!$C$215)</f>
        <v>0</v>
      </c>
      <c r="BI215" s="379">
        <f>SUMIFS(col_qtd,col_item,"="&amp;Padrões!BI$3,col_regime,"="&amp;Padrões!$C$215)</f>
        <v>0</v>
      </c>
      <c r="BJ215" s="379">
        <f>SUMIFS(col_qtd,col_item,"="&amp;Padrões!BJ$3,col_regime,"="&amp;Padrões!$C$215)</f>
        <v>0</v>
      </c>
      <c r="BK215" s="379">
        <f>SUMIFS(col_qtd,col_item,"="&amp;Padrões!BK$3,col_regime,"="&amp;Padrões!$C$215)</f>
        <v>0</v>
      </c>
      <c r="BL215" s="379">
        <f>SUMIFS(col_qtd,col_item,"="&amp;Padrões!BL$3,col_regime,"="&amp;Padrões!$C$215)</f>
        <v>0</v>
      </c>
      <c r="BM215" s="379">
        <f>SUMIFS(col_qtd,col_item,"="&amp;Padrões!BM$3,col_regime,"="&amp;Padrões!$C$215)</f>
        <v>0</v>
      </c>
      <c r="BN215" s="379">
        <f>SUMIFS(col_qtd,col_item,"="&amp;Padrões!BN$3,col_regime,"="&amp;Padrões!$C$215)</f>
        <v>0</v>
      </c>
      <c r="BO215" s="379">
        <f>SUMIFS(col_qtd,col_item,"="&amp;Padrões!BO$3,col_regime,"="&amp;Padrões!$C$215)</f>
        <v>0</v>
      </c>
      <c r="BP215" s="379">
        <f>SUMIFS(col_qtd,col_item,"="&amp;Padrões!BP$3,col_regime,"="&amp;Padrões!$C$215)</f>
        <v>0</v>
      </c>
      <c r="BQ215" s="379">
        <f>SUMIFS(col_qtd,col_item,"="&amp;Padrões!BQ$3,col_regime,"="&amp;Padrões!$C$215)</f>
        <v>0</v>
      </c>
      <c r="BR215" s="379">
        <f>SUMIFS(col_qtd,col_item,"="&amp;Padrões!BR$3,col_regime,"="&amp;Padrões!$C$215)</f>
        <v>0</v>
      </c>
      <c r="BS215" s="379">
        <f>SUMIFS(col_qtd,col_item,"="&amp;Padrões!BS$3,col_regime,"="&amp;Padrões!$C$215)</f>
        <v>0</v>
      </c>
      <c r="BT215" s="379">
        <f>SUMIFS(col_qtd,col_item,"="&amp;Padrões!BT$3,col_regime,"="&amp;Padrões!$C$215)</f>
        <v>0</v>
      </c>
      <c r="BU215" s="379">
        <f>SUMIFS(col_qtd,col_item,"="&amp;Padrões!BU$3,col_regime,"="&amp;Padrões!$C$215)</f>
        <v>0</v>
      </c>
      <c r="BV215" s="379">
        <f>SUMIFS(col_qtd,col_item,"="&amp;Padrões!BV$3,col_regime,"="&amp;Padrões!$C$215)</f>
        <v>0</v>
      </c>
      <c r="BW215" s="379">
        <f>SUMIFS(col_qtd,col_item,"="&amp;Padrões!BW$3,col_regime,"="&amp;Padrões!$C$215)</f>
        <v>0</v>
      </c>
      <c r="BX215" s="379">
        <f>SUMIFS(col_qtd,col_item,"="&amp;Padrões!BX$3,col_regime,"="&amp;Padrões!$C$215)</f>
        <v>0</v>
      </c>
      <c r="BY215" s="379">
        <f>SUMIFS(col_qtd,col_item,"="&amp;Padrões!BY$3,col_regime,"="&amp;Padrões!$C$215)</f>
        <v>0</v>
      </c>
      <c r="BZ215" s="379">
        <f>SUMIFS(col_qtd,col_item,"="&amp;Padrões!BZ$3,col_regime,"="&amp;Padrões!$C$215)</f>
        <v>0</v>
      </c>
      <c r="CA215" s="379">
        <f>SUMIFS(col_qtd,col_item,"="&amp;Padrões!CA$3,col_regime,"="&amp;Padrões!$C$215)</f>
        <v>0</v>
      </c>
      <c r="CB215" s="379">
        <f>SUMIFS(col_qtd,col_item,"="&amp;Padrões!CB$3,col_regime,"="&amp;Padrões!$C$215)</f>
        <v>0</v>
      </c>
      <c r="CC215" s="379">
        <f>SUMIFS(col_qtd,col_item,"="&amp;Padrões!CC$3,col_regime,"="&amp;Padrões!$C$215)</f>
        <v>0</v>
      </c>
      <c r="CD215" s="379">
        <f>SUMIFS(col_qtd,col_item,"="&amp;Padrões!CD$3,col_regime,"="&amp;Padrões!$C$215)</f>
        <v>0</v>
      </c>
      <c r="CE215" s="379">
        <f>SUMIFS(col_qtd,col_item,"="&amp;Padrões!CE$3,col_regime,"="&amp;Padrões!$C$215)</f>
        <v>0</v>
      </c>
      <c r="CF215" s="379">
        <f>SUMIFS(col_qtd,col_item,"="&amp;Padrões!CF$3,col_regime,"="&amp;Padrões!$C$215)</f>
        <v>0</v>
      </c>
      <c r="CG215" s="379">
        <f>SUMIFS(col_qtd,col_item,"="&amp;Padrões!CG$3,col_regime,"="&amp;Padrões!$C$215)</f>
        <v>0</v>
      </c>
      <c r="CH215" s="379">
        <f>SUMIFS(col_qtd,col_item,"="&amp;Padrões!CH$3,col_regime,"="&amp;Padrões!$C$215)</f>
        <v>0</v>
      </c>
      <c r="CI215" s="379">
        <f>SUMIFS(col_qtd,col_item,"="&amp;Padrões!CI$3,col_regime,"="&amp;Padrões!$C$215)</f>
        <v>0</v>
      </c>
      <c r="CJ215" s="379">
        <f>SUMIFS(col_qtd,col_item,"="&amp;Padrões!CJ$3,col_regime,"="&amp;Padrões!$C$215)</f>
        <v>0</v>
      </c>
      <c r="CK215" s="379">
        <f>SUMIFS(col_qtd,col_item,"="&amp;Padrões!CK$3,col_regime,"="&amp;Padrões!$C$215)</f>
        <v>0</v>
      </c>
      <c r="CL215" s="379">
        <f>SUMIFS(col_qtd,col_item,"="&amp;Padrões!CL$3,col_regime,"="&amp;Padrões!$C$215)</f>
        <v>0</v>
      </c>
      <c r="CM215" s="379">
        <f>SUMIFS(col_qtd,col_item,"="&amp;Padrões!CM$3,col_regime,"="&amp;Padrões!$C$215)</f>
        <v>0</v>
      </c>
      <c r="CN215" s="379">
        <f>SUMIFS(col_qtd,col_item,"="&amp;Padrões!CN$3,col_regime,"="&amp;Padrões!$C$215)</f>
        <v>0</v>
      </c>
      <c r="CO215" s="379">
        <f>SUMIFS(col_qtd,col_item,"="&amp;Padrões!CO$3,col_regime,"="&amp;Padrões!$C$215)</f>
        <v>0</v>
      </c>
      <c r="CP215" s="379">
        <f>SUMIFS(col_qtd,col_item,"="&amp;Padrões!CP$3,col_regime,"="&amp;Padrões!$C$215)</f>
        <v>0</v>
      </c>
      <c r="CQ215" s="379">
        <f>SUMIFS(col_qtd,col_item,"="&amp;Padrões!CQ$3,col_regime,"="&amp;Padrões!$C$215)</f>
        <v>0</v>
      </c>
      <c r="CR215" s="379">
        <f>SUMIFS(col_qtd,col_item,"="&amp;Padrões!CR$3,col_regime,"="&amp;Padrões!$C$215)</f>
        <v>0</v>
      </c>
      <c r="CS215" s="379">
        <f>SUMIFS(col_qtd,col_item,"="&amp;Padrões!CS$3,col_regime,"="&amp;Padrões!$C$215)</f>
        <v>0</v>
      </c>
      <c r="CT215" s="379">
        <f>SUMIFS(col_qtd,col_item,"="&amp;Padrões!CT$3,col_regime,"="&amp;Padrões!$C$215)</f>
        <v>0</v>
      </c>
      <c r="CU215" s="379">
        <f>SUMIFS(col_qtd,col_item,"="&amp;Padrões!CU$3,col_regime,"="&amp;Padrões!$C$215)</f>
        <v>0</v>
      </c>
      <c r="CV215" s="379">
        <f>SUMIFS(col_qtd,col_item,"="&amp;Padrões!CV$3,col_regime,"="&amp;Padrões!$C$215)</f>
        <v>0</v>
      </c>
      <c r="CW215" s="379">
        <f>SUMIFS(col_qtd,col_item,"="&amp;Padrões!CW$3,col_regime,"="&amp;Padrões!$C$215)</f>
        <v>0</v>
      </c>
      <c r="CX215" s="379">
        <f>SUMIFS(col_qtd,col_item,"="&amp;Padrões!CX$3,col_regime,"="&amp;Padrões!$C$215)</f>
        <v>0</v>
      </c>
      <c r="CY215" s="379">
        <f>SUMIFS(col_qtd,col_item,"="&amp;Padrões!CY$3,col_regime,"="&amp;Padrões!$C$215)</f>
        <v>0</v>
      </c>
      <c r="CZ215" s="379">
        <f>SUMIFS(col_qtd,col_item,"="&amp;Padrões!CZ$3,col_regime,"="&amp;Padrões!$C$215)</f>
        <v>0</v>
      </c>
      <c r="DA215" s="379">
        <f>SUMIFS(col_qtd,col_item,"="&amp;Padrões!DA$3,col_regime,"="&amp;Padrões!$C$215)</f>
        <v>0</v>
      </c>
      <c r="DB215" s="379">
        <f>SUMIFS(col_qtd,col_item,"="&amp;Padrões!DB$3,col_regime,"="&amp;Padrões!$C$215)</f>
        <v>0</v>
      </c>
      <c r="DC215" s="379">
        <f>SUMIFS(col_qtd,col_item,"="&amp;Padrões!DC$3,col_regime,"="&amp;Padrões!$C$215)</f>
        <v>0</v>
      </c>
      <c r="DD215" s="379">
        <f>SUMIFS(col_qtd,col_item,"="&amp;Padrões!DD$3,col_regime,"="&amp;Padrões!$C$215)</f>
        <v>0</v>
      </c>
      <c r="DE215" s="379">
        <f>SUMIFS(col_qtd,col_item,"="&amp;Padrões!DE$3,col_regime,"="&amp;Padrões!$C$215)</f>
        <v>0</v>
      </c>
      <c r="DF215" s="379">
        <f>SUMIFS(col_qtd,col_item,"="&amp;Padrões!DF$3,col_regime,"="&amp;Padrões!$C$215)</f>
        <v>0</v>
      </c>
      <c r="DG215" s="379">
        <f>SUMIFS(col_qtd,col_item,"="&amp;Padrões!DG$3,col_regime,"="&amp;Padrões!$C$215)</f>
        <v>0</v>
      </c>
      <c r="DH215" s="379">
        <f>SUMIFS(col_qtd,col_item,"="&amp;Padrões!DH$3,col_regime,"="&amp;Padrões!$C$215)</f>
        <v>0</v>
      </c>
      <c r="DI215" s="379">
        <f>SUMIFS(col_qtd,col_item,"="&amp;Padrões!DI$3,col_regime,"="&amp;Padrões!$C$215)</f>
        <v>0</v>
      </c>
      <c r="DJ215" s="379">
        <f>SUMIFS(col_qtd,col_item,"="&amp;Padrões!DJ$3,col_regime,"="&amp;Padrões!$C$215)</f>
        <v>0</v>
      </c>
      <c r="DK215" s="379">
        <f>SUMIFS(col_qtd,col_item,"="&amp;Padrões!DK$3,col_regime,"="&amp;Padrões!$C$215)</f>
        <v>0</v>
      </c>
      <c r="DL215" s="379">
        <f>SUMIFS(col_qtd,col_item,"="&amp;Padrões!DL$3,col_regime,"="&amp;Padrões!$C$215)</f>
        <v>0</v>
      </c>
      <c r="DM215" s="379">
        <f>SUMIFS(col_qtd,col_item,"="&amp;Padrões!DM$3,col_regime,"="&amp;Padrões!$C$215)</f>
        <v>0</v>
      </c>
      <c r="DN215" s="379">
        <f>SUMIFS(col_qtd,col_item,"="&amp;Padrões!DN$3,col_regime,"="&amp;Padrões!$C$215)</f>
        <v>0</v>
      </c>
      <c r="DO215" s="379">
        <f>SUMIFS(col_qtd,col_item,"="&amp;Padrões!DO$3,col_regime,"="&amp;Padrões!$C$215)</f>
        <v>0</v>
      </c>
      <c r="DP215" s="379">
        <f>SUMIFS(col_qtd,col_item,"="&amp;Padrões!DP$3,col_regime,"="&amp;Padrões!$C$215)</f>
        <v>0</v>
      </c>
      <c r="DQ215" s="379">
        <f>SUMIFS(col_qtd,col_item,"="&amp;Padrões!DQ$3,col_regime,"="&amp;Padrões!$C$215)</f>
        <v>0</v>
      </c>
      <c r="DR215" s="379">
        <f>SUMIFS(col_qtd,col_item,"="&amp;Padrões!DR$3,col_regime,"="&amp;Padrões!$C$215)</f>
        <v>0</v>
      </c>
      <c r="DS215" s="379">
        <f>SUMIFS(col_qtd,col_item,"="&amp;Padrões!DS$3,col_regime,"="&amp;Padrões!$C$215)</f>
        <v>0</v>
      </c>
      <c r="DT215" s="379">
        <f>SUMIFS(col_qtd,col_item,"="&amp;Padrões!DT$3,col_regime,"="&amp;Padrões!$C$215)</f>
        <v>0</v>
      </c>
      <c r="DU215" s="379">
        <f>SUMIFS(col_qtd,col_item,"="&amp;Padrões!DU$3,col_regime,"="&amp;Padrões!$C$215)</f>
        <v>0</v>
      </c>
      <c r="DV215" s="379">
        <f>SUMIFS(col_qtd,col_item,"="&amp;Padrões!DV$3,col_regime,"="&amp;Padrões!$C$215)</f>
        <v>0</v>
      </c>
      <c r="DW215" s="379">
        <f>SUMIFS(col_qtd,col_item,"="&amp;Padrões!DW$3,col_regime,"="&amp;Padrões!$C$215)</f>
        <v>0</v>
      </c>
      <c r="DX215" s="379">
        <f>SUMIFS(col_qtd,col_item,"="&amp;Padrões!DX$3,col_regime,"="&amp;Padrões!$C$215)</f>
        <v>0</v>
      </c>
      <c r="DY215" s="379">
        <f>SUMIFS(col_qtd,col_item,"="&amp;Padrões!DY$3,col_regime,"="&amp;Padrões!$C$215)</f>
        <v>0</v>
      </c>
      <c r="DZ215" s="379">
        <f>SUMIFS(col_qtd,col_item,"="&amp;Padrões!DZ$3,col_regime,"="&amp;Padrões!$C$215)</f>
        <v>0</v>
      </c>
      <c r="EA215" s="379">
        <f>SUMIFS(col_qtd,col_item,"="&amp;Padrões!EA$3,col_regime,"="&amp;Padrões!$C$215)</f>
        <v>0</v>
      </c>
      <c r="EB215" s="379">
        <f>SUMIFS(col_qtd,col_item,"="&amp;Padrões!EB$3,col_regime,"="&amp;Padrões!$C$215)</f>
        <v>0</v>
      </c>
      <c r="EC215" s="379">
        <f>SUMIFS(col_qtd,col_item,"="&amp;Padrões!EC$3,col_regime,"="&amp;Padrões!$C$215)</f>
        <v>0</v>
      </c>
      <c r="ED215" s="379">
        <f>SUMIFS(col_qtd,col_item,"="&amp;Padrões!ED$3,col_regime,"="&amp;Padrões!$C$215)</f>
        <v>0</v>
      </c>
      <c r="EE215" s="379">
        <f>SUMIFS(col_qtd,col_item,"="&amp;Padrões!EE$3,col_regime,"="&amp;Padrões!$C$215)</f>
        <v>0</v>
      </c>
      <c r="EF215" s="379">
        <f>SUMIFS(col_qtd,col_item,"="&amp;Padrões!EF$3,col_regime,"="&amp;Padrões!$C$215)</f>
        <v>0</v>
      </c>
      <c r="EG215" s="379">
        <f>SUMIFS(col_qtd,col_item,"="&amp;Padrões!EG$3,col_regime,"="&amp;Padrões!$C$215)</f>
        <v>0</v>
      </c>
      <c r="EH215" s="379">
        <f>SUMIFS(col_qtd,col_item,"="&amp;Padrões!EH$3,col_regime,"="&amp;Padrões!$C$215)</f>
        <v>0</v>
      </c>
      <c r="EI215" s="379">
        <f>SUMIFS(col_qtd,col_item,"="&amp;Padrões!EI$3,col_regime,"="&amp;Padrões!$C$215)</f>
        <v>0</v>
      </c>
      <c r="EJ215" s="379">
        <f>SUMIFS(col_qtd,col_item,"="&amp;Padrões!EJ$3,col_regime,"="&amp;Padrões!$C$215)</f>
        <v>0</v>
      </c>
      <c r="EK215" s="379">
        <f>SUMIFS(col_qtd,col_item,"="&amp;Padrões!EK$3,col_regime,"="&amp;Padrões!$C$215)</f>
        <v>0</v>
      </c>
      <c r="EL215" s="379">
        <f>SUMIFS(col_qtd,col_item,"="&amp;Padrões!EL$3,col_regime,"="&amp;Padrões!$C$215)</f>
        <v>0</v>
      </c>
      <c r="EM215" s="379">
        <f>SUMIFS(col_qtd,col_item,"="&amp;Padrões!EM$3,col_regime,"="&amp;Padrões!$C$215)</f>
        <v>0</v>
      </c>
      <c r="EN215" s="379">
        <f>SUMIFS(col_qtd,col_item,"="&amp;Padrões!EN$3,col_regime,"="&amp;Padrões!$C$215)</f>
        <v>0</v>
      </c>
      <c r="EO215" s="379">
        <f>SUMIFS(col_qtd,col_item,"="&amp;Padrões!EO$3,col_regime,"="&amp;Padrões!$C$215)</f>
        <v>0</v>
      </c>
      <c r="EP215" s="379">
        <f>SUMIFS(col_qtd,col_item,"="&amp;Padrões!EP$3,col_regime,"="&amp;Padrões!$C$215)</f>
        <v>0</v>
      </c>
      <c r="EQ215" s="379">
        <f>SUMIFS(col_qtd,col_item,"="&amp;Padrões!EQ$3,col_regime,"="&amp;Padrões!$C$215)</f>
        <v>0</v>
      </c>
      <c r="ER215" s="379">
        <f>SUMIFS(col_qtd,col_item,"="&amp;Padrões!ER$3,col_regime,"="&amp;Padrões!$C$215)</f>
        <v>0</v>
      </c>
      <c r="ES215" s="379">
        <f>SUMIFS(col_qtd,col_item,"="&amp;Padrões!ES$3,col_regime,"="&amp;Padrões!$C$215)</f>
        <v>0</v>
      </c>
      <c r="ET215" s="379">
        <f>SUMIFS(col_qtd,col_item,"="&amp;Padrões!ET$3,col_regime,"="&amp;Padrões!$C$215)</f>
        <v>0</v>
      </c>
      <c r="EU215" s="379">
        <f>SUMIFS(col_qtd,col_item,"="&amp;Padrões!EU$3,col_regime,"="&amp;Padrões!$C$215)</f>
        <v>0</v>
      </c>
      <c r="EV215" s="379">
        <f>SUMIFS(col_qtd,col_item,"="&amp;Padrões!EV$3,col_regime,"="&amp;Padrões!$C$215)</f>
        <v>0</v>
      </c>
      <c r="EW215" s="379">
        <f>SUMIFS(col_qtd,col_item,"="&amp;Padrões!EW$3,col_regime,"="&amp;Padrões!$C$215)</f>
        <v>0</v>
      </c>
      <c r="EX215" s="379">
        <f>SUMIFS(col_qtd,col_item,"="&amp;Padrões!EX$3,col_regime,"="&amp;Padrões!$C$215)</f>
        <v>0</v>
      </c>
      <c r="EY215" s="379">
        <f>SUMIFS(col_qtd,col_item,"="&amp;Padrões!EY$3,col_regime,"="&amp;Padrões!$C$215)</f>
        <v>0</v>
      </c>
      <c r="EZ215" s="379">
        <f>SUMIFS(col_qtd,col_item,"="&amp;Padrões!EZ$3,col_regime,"="&amp;Padrões!$C$215)</f>
        <v>0</v>
      </c>
      <c r="FA215" s="379">
        <f>SUMIFS(col_qtd,col_item,"="&amp;Padrões!FA$3,col_regime,"="&amp;Padrões!$C$215)</f>
        <v>0</v>
      </c>
      <c r="FB215" s="379">
        <f>SUMIFS(col_qtd,col_item,"="&amp;Padrões!FB$3,col_regime,"="&amp;Padrões!$C$215)</f>
        <v>0</v>
      </c>
      <c r="FC215" s="379">
        <f>SUMIFS(col_qtd,col_item,"="&amp;Padrões!FC$3,col_regime,"="&amp;Padrões!$C$215)</f>
        <v>0</v>
      </c>
      <c r="FD215" s="379">
        <f>SUMIFS(col_qtd,col_item,"="&amp;Padrões!FD$3,col_regime,"="&amp;Padrões!$C$215)</f>
        <v>0</v>
      </c>
      <c r="FE215" s="379">
        <f>SUMIFS(col_qtd,col_item,"="&amp;Padrões!FE$3,col_regime,"="&amp;Padrões!$C$215)</f>
        <v>0</v>
      </c>
      <c r="FF215" s="379">
        <f>SUMIFS(col_qtd,col_item,"="&amp;Padrões!FF$3,col_regime,"="&amp;Padrões!$C$215)</f>
        <v>0</v>
      </c>
      <c r="FG215" s="379">
        <f>SUMIFS(col_qtd,col_item,"="&amp;Padrões!FG$3,col_regime,"="&amp;Padrões!$C$215)</f>
        <v>0</v>
      </c>
      <c r="FH215" s="379">
        <f>SUMIFS(col_qtd,col_item,"="&amp;Padrões!FH$3,col_regime,"="&amp;Padrões!$C$215)</f>
        <v>0</v>
      </c>
      <c r="FI215" s="379">
        <f>SUMIFS(col_qtd,col_item,"="&amp;Padrões!FI$3,col_regime,"="&amp;Padrões!$C$215)</f>
        <v>0</v>
      </c>
      <c r="FJ215" s="379">
        <f>SUMIFS(col_qtd,col_item,"="&amp;Padrões!FJ$3,col_regime,"="&amp;Padrões!$C$215)</f>
        <v>0</v>
      </c>
      <c r="FK215" s="379">
        <f>SUMIFS(col_qtd,col_item,"="&amp;Padrões!FK$3,col_regime,"="&amp;Padrões!$C$215)</f>
        <v>0</v>
      </c>
      <c r="FL215" s="379">
        <f>SUMIFS(col_qtd,col_item,"="&amp;Padrões!FL$3,col_regime,"="&amp;Padrões!$C$215)</f>
        <v>0</v>
      </c>
      <c r="FM215" s="379">
        <f>SUMIFS(col_qtd,col_item,"="&amp;Padrões!FM$3,col_regime,"="&amp;Padrões!$C$215)</f>
        <v>0</v>
      </c>
      <c r="FN215" s="379">
        <f>SUMIFS(col_qtd,col_item,"="&amp;Padrões!FN$3,col_regime,"="&amp;Padrões!$C$215)</f>
        <v>0</v>
      </c>
      <c r="FO215" s="379">
        <f>SUMIFS(col_qtd,col_item,"="&amp;Padrões!FO$3,col_regime,"="&amp;Padrões!$C$215)</f>
        <v>0</v>
      </c>
      <c r="FP215" s="379">
        <f>SUMIFS(col_qtd,col_item,"="&amp;Padrões!FP$3,col_regime,"="&amp;Padrões!$C$215)</f>
        <v>0</v>
      </c>
      <c r="FQ215" s="379">
        <f>SUMIFS(col_qtd,col_item,"="&amp;Padrões!FQ$3,col_regime,"="&amp;Padrões!$C$215)</f>
        <v>0</v>
      </c>
      <c r="FR215" s="379">
        <f>SUMIFS(col_qtd,col_item,"="&amp;Padrões!FR$3,col_regime,"="&amp;Padrões!$C$215)</f>
        <v>0</v>
      </c>
      <c r="FS215" s="379">
        <f>SUMIFS(col_qtd,col_item,"="&amp;Padrões!FS$3,col_regime,"="&amp;Padrões!$C$215)</f>
        <v>0</v>
      </c>
      <c r="FT215" s="379">
        <f>SUMIFS(col_qtd,col_item,"="&amp;Padrões!FT$3,col_regime,"="&amp;Padrões!$C$215)</f>
        <v>0</v>
      </c>
      <c r="FU215" s="379">
        <f>SUMIFS(col_qtd,col_item,"="&amp;Padrões!FU$3,col_regime,"="&amp;Padrões!$C$215)</f>
        <v>0</v>
      </c>
      <c r="FV215" s="379">
        <f>SUMIFS(col_qtd,col_item,"="&amp;Padrões!FV$3,col_regime,"="&amp;Padrões!$C$215)</f>
        <v>0</v>
      </c>
      <c r="FW215" s="379">
        <f>SUMIFS(col_qtd,col_item,"="&amp;Padrões!FW$3,col_regime,"="&amp;Padrões!$C$215)</f>
        <v>0</v>
      </c>
      <c r="FX215" s="379">
        <f>SUMIFS(col_qtd,col_item,"="&amp;Padrões!FX$3,col_regime,"="&amp;Padrões!$C$215)</f>
        <v>0</v>
      </c>
      <c r="FY215" s="379">
        <f>SUMIFS(col_qtd,col_item,"="&amp;Padrões!FY$3,col_regime,"="&amp;Padrões!$C$215)</f>
        <v>0</v>
      </c>
      <c r="FZ215" s="379">
        <f>SUMIFS(col_qtd,col_item,"="&amp;Padrões!FZ$3,col_regime,"="&amp;Padrões!$C$215)</f>
        <v>0</v>
      </c>
      <c r="GA215" s="379">
        <f>SUMIFS(col_qtd,col_item,"="&amp;Padrões!GA$3,col_regime,"="&amp;Padrões!$C$215)</f>
        <v>0</v>
      </c>
      <c r="GB215" s="379">
        <f>SUMIFS(col_qtd,col_item,"="&amp;Padrões!GB$3,col_regime,"="&amp;Padrões!$C$215)</f>
        <v>0</v>
      </c>
      <c r="GC215" s="379">
        <f>SUMIFS(col_qtd,col_item,"="&amp;Padrões!GC$3,col_regime,"="&amp;Padrões!$C$215)</f>
        <v>0</v>
      </c>
      <c r="GD215" s="379">
        <f>SUMIFS(col_qtd,col_item,"="&amp;Padrões!GD$3,col_regime,"="&amp;Padrões!$C$215)</f>
        <v>0</v>
      </c>
      <c r="GE215" s="379">
        <f>SUMIFS(col_qtd,col_item,"="&amp;Padrões!GE$3,col_regime,"="&amp;Padrões!$C$215)</f>
        <v>0</v>
      </c>
      <c r="GF215" s="379">
        <f>SUMIFS(col_qtd,col_item,"="&amp;Padrões!GF$3,col_regime,"="&amp;Padrões!$C$215)</f>
        <v>0</v>
      </c>
      <c r="GG215" s="379">
        <f>SUMIFS(col_qtd,col_item,"="&amp;Padrões!GG$3,col_regime,"="&amp;Padrões!$C$215)</f>
        <v>0</v>
      </c>
      <c r="GH215" s="379">
        <f>SUMIFS(col_qtd,col_item,"="&amp;Padrões!GH$3,col_regime,"="&amp;Padrões!$C$215)</f>
        <v>0</v>
      </c>
      <c r="GI215" s="379">
        <f>SUMIFS(col_qtd,col_item,"="&amp;Padrões!GI$3,col_regime,"="&amp;Padrões!$C$215)</f>
        <v>0</v>
      </c>
      <c r="GJ215" s="379">
        <f>SUMIFS(col_qtd,col_item,"="&amp;Padrões!GJ$3,col_regime,"="&amp;Padrões!$C$215)</f>
        <v>0</v>
      </c>
      <c r="GK215" s="379">
        <f>SUMIFS(col_qtd,col_item,"="&amp;Padrões!GK$3,col_regime,"="&amp;Padrões!$C$215)</f>
        <v>0</v>
      </c>
      <c r="GL215" s="379">
        <f>SUMIFS(col_qtd,col_item,"="&amp;Padrões!GL$3,col_regime,"="&amp;Padrões!$C$215)</f>
        <v>0</v>
      </c>
      <c r="GM215" s="379">
        <f>SUMIFS(col_qtd,col_item,"="&amp;Padrões!GM$3,col_regime,"="&amp;Padrões!$C$215)</f>
        <v>0</v>
      </c>
      <c r="GN215" s="379">
        <f>SUMIFS(col_qtd,col_item,"="&amp;Padrões!GN$3,col_regime,"="&amp;Padrões!$C$215)</f>
        <v>0</v>
      </c>
      <c r="GO215" s="379">
        <f>SUMIFS(col_qtd,col_item,"="&amp;Padrões!GO$3,col_regime,"="&amp;Padrões!$C$215)</f>
        <v>0</v>
      </c>
      <c r="GP215" s="379">
        <f>SUMIFS(col_qtd,col_item,"="&amp;Padrões!GP$3,col_regime,"="&amp;Padrões!$C$215)</f>
        <v>0</v>
      </c>
      <c r="GQ215" s="379">
        <f>SUMIFS(col_qtd,col_item,"="&amp;Padrões!GQ$3,col_regime,"="&amp;Padrões!$C$215)</f>
        <v>0</v>
      </c>
      <c r="GR215" s="379">
        <f>SUMIFS(col_qtd,col_item,"="&amp;Padrões!GR$3,col_regime,"="&amp;Padrões!$C$215)</f>
        <v>0</v>
      </c>
      <c r="GS215" s="379">
        <f>SUMIFS(col_qtd,col_item,"="&amp;Padrões!GS$3,col_regime,"="&amp;Padrões!$C$215)</f>
        <v>0</v>
      </c>
      <c r="GT215" s="379">
        <f>SUMIFS(col_qtd,col_item,"="&amp;Padrões!GT$3,col_regime,"="&amp;Padrões!$C$215)</f>
        <v>0</v>
      </c>
      <c r="GU215" s="379">
        <f>SUMIFS(col_qtd,col_item,"="&amp;Padrões!GU$3,col_regime,"="&amp;Padrões!$C$215)</f>
        <v>0</v>
      </c>
      <c r="GV215" s="379">
        <f>SUMIFS(col_qtd,col_item,"="&amp;Padrões!GV$3,col_regime,"="&amp;Padrões!$C$215)</f>
        <v>0</v>
      </c>
      <c r="GW215" s="379">
        <f>SUMIFS(col_qtd,col_item,"="&amp;Padrões!GW$3,col_regime,"="&amp;Padrões!$C$215)</f>
        <v>0</v>
      </c>
      <c r="GX215" s="379">
        <f>SUMIFS(col_qtd,col_item,"="&amp;Padrões!GX$3,col_regime,"="&amp;Padrões!$C$215)</f>
        <v>0</v>
      </c>
      <c r="GY215" s="379">
        <f>SUMIFS(col_qtd,col_item,"="&amp;Padrões!GY$3,col_regime,"="&amp;Padrões!$C$215)</f>
        <v>0</v>
      </c>
      <c r="GZ215" s="379">
        <f>SUMIFS(col_qtd,col_item,"="&amp;Padrões!GZ$3,col_regime,"="&amp;Padrões!$C$215)</f>
        <v>0</v>
      </c>
      <c r="HA215" s="379">
        <f>SUMIFS(col_qtd,col_item,"="&amp;Padrões!HA$3,col_regime,"="&amp;Padrões!$C$215)</f>
        <v>0</v>
      </c>
      <c r="HB215" s="379">
        <f>SUMIFS(col_qtd,col_item,"="&amp;Padrões!HB$3,col_regime,"="&amp;Padrões!$C$215)</f>
        <v>0</v>
      </c>
      <c r="HC215" s="379">
        <f>SUMIFS(col_qtd,col_item,"="&amp;Padrões!HC$3,col_regime,"="&amp;Padrões!$C$215)</f>
        <v>0</v>
      </c>
      <c r="HD215" s="379">
        <f>SUMIFS(col_qtd,col_item,"="&amp;Padrões!HD$3,col_regime,"="&amp;Padrões!$C$215)</f>
        <v>0</v>
      </c>
      <c r="HE215" s="379">
        <f>SUMIFS(col_qtd,col_item,"="&amp;Padrões!HE$3,col_regime,"="&amp;Padrões!$C$215)</f>
        <v>0</v>
      </c>
      <c r="HF215" s="379">
        <f>SUMIFS(col_qtd,col_item,"="&amp;Padrões!HF$3,col_regime,"="&amp;Padrões!$C$215)</f>
        <v>0</v>
      </c>
      <c r="HG215" s="379">
        <f>SUMIFS(col_qtd,col_item,"="&amp;Padrões!HG$3,col_regime,"="&amp;Padrões!$C$215)</f>
        <v>0</v>
      </c>
      <c r="HH215" s="379">
        <f>SUMIFS(col_qtd,col_item,"="&amp;Padrões!HH$3,col_regime,"="&amp;Padrões!$C$215)</f>
        <v>0</v>
      </c>
      <c r="HI215" s="379">
        <f>SUMIFS(col_qtd,col_item,"="&amp;Padrões!HI$3,col_regime,"="&amp;Padrões!$C$215)</f>
        <v>0</v>
      </c>
      <c r="HJ215" s="379">
        <f>SUMIFS(col_qtd,col_item,"="&amp;Padrões!HJ$3,col_regime,"="&amp;Padrões!$C$215)</f>
        <v>0</v>
      </c>
      <c r="HK215" s="379">
        <f>SUMIFS(col_qtd,col_item,"="&amp;Padrões!HK$3,col_regime,"="&amp;Padrões!$C$215)</f>
        <v>0</v>
      </c>
      <c r="HL215" s="379">
        <f>SUMIFS(col_qtd,col_item,"="&amp;Padrões!HL$3,col_regime,"="&amp;Padrões!$C$215)</f>
        <v>0</v>
      </c>
      <c r="HM215" s="379">
        <f>SUMIFS(col_qtd,col_item,"="&amp;Padrões!HM$3,col_regime,"="&amp;Padrões!$C$215)</f>
        <v>0</v>
      </c>
      <c r="HN215" s="379">
        <f>SUMIFS(col_qtd,col_item,"="&amp;Padrões!HN$3,col_regime,"="&amp;Padrões!$C$215)</f>
        <v>0</v>
      </c>
      <c r="HO215" s="379">
        <f>SUMIFS(col_qtd,col_item,"="&amp;Padrões!HO$3,col_regime,"="&amp;Padrões!$C$215)</f>
        <v>0</v>
      </c>
      <c r="HP215" s="379">
        <f>SUMIFS(col_qtd,col_item,"="&amp;Padrões!HP$3,col_regime,"="&amp;Padrões!$C$215)</f>
        <v>0</v>
      </c>
      <c r="HQ215" s="379">
        <f>SUMIFS(col_qtd,col_item,"="&amp;Padrões!HQ$3,col_regime,"="&amp;Padrões!$C$215)</f>
        <v>0</v>
      </c>
      <c r="HR215" s="379">
        <f>SUMIFS(col_qtd,col_item,"="&amp;Padrões!HR$3,col_regime,"="&amp;Padrões!$C$215)</f>
        <v>0</v>
      </c>
      <c r="HS215" s="379">
        <f>SUMIFS(col_qtd,col_item,"="&amp;Padrões!HS$3,col_regime,"="&amp;Padrões!$C$215)</f>
        <v>0</v>
      </c>
      <c r="HT215" s="379">
        <f>SUMIFS(col_qtd,col_item,"="&amp;Padrões!HT$3,col_regime,"="&amp;Padrões!$C$215)</f>
        <v>0</v>
      </c>
      <c r="HU215" s="379">
        <f>SUMIFS(col_qtd,col_item,"="&amp;Padrões!HU$3,col_regime,"="&amp;Padrões!$C$215)</f>
        <v>0</v>
      </c>
      <c r="HV215" s="379">
        <f>SUMIFS(col_qtd,col_item,"="&amp;Padrões!HV$3,col_regime,"="&amp;Padrões!$C$215)</f>
        <v>0</v>
      </c>
      <c r="HW215" s="379">
        <f>SUMIFS(col_qtd,col_item,"="&amp;Padrões!HW$3,col_regime,"="&amp;Padrões!$C$215)</f>
        <v>0</v>
      </c>
      <c r="HX215" s="379">
        <f>SUMIFS(col_qtd,col_item,"="&amp;Padrões!HX$3,col_regime,"="&amp;Padrões!$C$215)</f>
        <v>0</v>
      </c>
      <c r="HY215" s="379">
        <f>SUMIFS(col_qtd,col_item,"="&amp;Padrões!HY$3,col_regime,"="&amp;Padrões!$C$215)</f>
        <v>0</v>
      </c>
      <c r="HZ215" s="379">
        <f>SUMIFS(col_qtd,col_item,"="&amp;Padrões!HZ$3,col_regime,"="&amp;Padrões!$C$215)</f>
        <v>0</v>
      </c>
      <c r="IA215" s="379">
        <f>SUMIFS(col_qtd,col_item,"="&amp;Padrões!IA$3,col_regime,"="&amp;Padrões!$C$215)</f>
        <v>0</v>
      </c>
      <c r="IB215" s="379">
        <f>SUMIFS(col_qtd,col_item,"="&amp;Padrões!IB$3,col_regime,"="&amp;Padrões!$C$215)</f>
        <v>0</v>
      </c>
      <c r="IC215" s="379">
        <f>SUMIFS(col_qtd,col_item,"="&amp;Padrões!IC$3,col_regime,"="&amp;Padrões!$C$215)</f>
        <v>0</v>
      </c>
      <c r="ID215" s="379">
        <f>SUMIFS(col_qtd,col_item,"="&amp;Padrões!ID$3,col_regime,"="&amp;Padrões!$C$215)</f>
        <v>0</v>
      </c>
      <c r="IE215" s="379">
        <f>SUMIFS(col_qtd,col_item,"="&amp;Padrões!IE$3,col_regime,"="&amp;Padrões!$C$215)</f>
        <v>0</v>
      </c>
      <c r="IF215" s="379">
        <f>SUMIFS(col_qtd,col_item,"="&amp;Padrões!IF$3,col_regime,"="&amp;Padrões!$C$215)</f>
        <v>0</v>
      </c>
      <c r="IG215" s="379">
        <f>SUMIFS(col_qtd,col_item,"="&amp;Padrões!IG$3,col_regime,"="&amp;Padrões!$C$215)</f>
        <v>0</v>
      </c>
      <c r="IH215" s="379">
        <f>SUMIFS(col_qtd,col_item,"="&amp;Padrões!IH$3,col_regime,"="&amp;Padrões!$C$215)</f>
        <v>0</v>
      </c>
      <c r="II215" s="379">
        <f>SUMIFS(col_qtd,col_item,"="&amp;Padrões!II$3,col_regime,"="&amp;Padrões!$C$215)</f>
        <v>0</v>
      </c>
      <c r="IJ215" s="379">
        <f>SUMIFS(col_qtd,col_item,"="&amp;Padrões!IJ$3,col_regime,"="&amp;Padrões!$C$215)</f>
        <v>0</v>
      </c>
      <c r="IK215" s="379">
        <f>SUMIFS(col_qtd,col_item,"="&amp;Padrões!IK$3,col_regime,"="&amp;Padrões!$C$215)</f>
        <v>0</v>
      </c>
      <c r="IL215" s="379">
        <f>SUMIFS(col_qtd,col_item,"="&amp;Padrões!IL$3,col_regime,"="&amp;Padrões!$C$215)</f>
        <v>0</v>
      </c>
      <c r="IM215" s="379">
        <f>SUMIFS(col_qtd,col_item,"="&amp;Padrões!IM$3,col_regime,"="&amp;Padrões!$C$215)</f>
        <v>0</v>
      </c>
      <c r="IN215" s="379">
        <f>SUMIFS(col_qtd,col_item,"="&amp;Padrões!IN$3,col_regime,"="&amp;Padrões!$C$215)</f>
        <v>0</v>
      </c>
      <c r="IO215" s="379">
        <f>SUMIFS(col_qtd,col_item,"="&amp;Padrões!IO$3,col_regime,"="&amp;Padrões!$C$215)</f>
        <v>0</v>
      </c>
      <c r="IP215" s="379">
        <f>SUMIFS(col_qtd,col_item,"="&amp;Padrões!IP$3,col_regime,"="&amp;Padrões!$C$215)</f>
        <v>0</v>
      </c>
      <c r="IQ215" s="379">
        <f>SUMIFS(col_qtd,col_item,"="&amp;Padrões!IQ$3,col_regime,"="&amp;Padrões!$C$215)</f>
        <v>0</v>
      </c>
      <c r="IR215" s="379">
        <f>SUMIFS(col_qtd,col_item,"="&amp;Padrões!IR$3,col_regime,"="&amp;Padrões!$C$215)</f>
        <v>0</v>
      </c>
      <c r="IS215" s="379">
        <f>SUMIFS(col_qtd,col_item,"="&amp;Padrões!IS$3,col_regime,"="&amp;Padrões!$C$215)</f>
        <v>0</v>
      </c>
      <c r="IT215" s="379">
        <f>SUMIFS(col_qtd,col_item,"="&amp;Padrões!IT$3,col_regime,"="&amp;Padrões!$C$215)</f>
        <v>0</v>
      </c>
      <c r="IU215" s="379">
        <f>SUMIFS(col_qtd,col_item,"="&amp;Padrões!IU$3,col_regime,"="&amp;Padrões!$C$215)</f>
        <v>0</v>
      </c>
      <c r="IV215" s="379">
        <f>SUMIFS(col_qtd,col_item,"="&amp;Padrões!IV$3,col_regime,"="&amp;Padrões!$C$215)</f>
        <v>0</v>
      </c>
      <c r="IW215" s="379">
        <f>SUMIFS(col_qtd,col_item,"="&amp;Padrões!IW$3,col_regime,"="&amp;Padrões!$C$215)</f>
        <v>0</v>
      </c>
      <c r="IX215" s="379">
        <f>SUMIFS(col_qtd,col_item,"="&amp;Padrões!IX$3,col_regime,"="&amp;Padrões!$C$215)</f>
        <v>0</v>
      </c>
      <c r="IY215" s="379">
        <f>SUMIFS(col_qtd,col_item,"="&amp;Padrões!IY$3,col_regime,"="&amp;Padrões!$C$215)</f>
        <v>0</v>
      </c>
      <c r="IZ215" s="379">
        <f>SUMIFS(col_qtd,col_item,"="&amp;Padrões!IZ$3,col_regime,"="&amp;Padrões!$C$215)</f>
        <v>0</v>
      </c>
      <c r="JA215" s="379">
        <f>SUMIFS(col_qtd,col_item,"="&amp;Padrões!JA$3,col_regime,"="&amp;Padrões!$C$215)</f>
        <v>0</v>
      </c>
      <c r="JB215" s="379">
        <f>SUMIFS(col_qtd,col_item,"="&amp;Padrões!JB$3,col_regime,"="&amp;Padrões!$C$215)</f>
        <v>0</v>
      </c>
      <c r="JC215" s="379">
        <f>SUMIFS(col_qtd,col_item,"="&amp;Padrões!JC$3,col_regime,"="&amp;Padrões!$C$215)</f>
        <v>0</v>
      </c>
      <c r="JD215" s="379">
        <f>SUMIFS(col_qtd,col_item,"="&amp;Padrões!JD$3,col_regime,"="&amp;Padrões!$C$215)</f>
        <v>0</v>
      </c>
    </row>
    <row r="216" spans="2:269" ht="60" customHeight="1" x14ac:dyDescent="0.25">
      <c r="C216" s="877"/>
      <c r="D216" s="353" t="s">
        <v>61</v>
      </c>
      <c r="E216" s="354" t="e">
        <f t="shared" ref="E216:BP216" si="24">SUMPRODUCT(E4:E213,$JH$4:$JH$213)</f>
        <v>#N/A</v>
      </c>
      <c r="F216" s="354" t="e">
        <f t="shared" si="24"/>
        <v>#N/A</v>
      </c>
      <c r="G216" s="354" t="e">
        <f t="shared" si="24"/>
        <v>#N/A</v>
      </c>
      <c r="H216" s="354" t="e">
        <f t="shared" si="24"/>
        <v>#N/A</v>
      </c>
      <c r="I216" s="354" t="e">
        <f t="shared" si="24"/>
        <v>#N/A</v>
      </c>
      <c r="J216" s="354" t="e">
        <f t="shared" si="24"/>
        <v>#N/A</v>
      </c>
      <c r="K216" s="354" t="e">
        <f t="shared" si="24"/>
        <v>#N/A</v>
      </c>
      <c r="L216" s="354" t="e">
        <f t="shared" si="24"/>
        <v>#N/A</v>
      </c>
      <c r="M216" s="354" t="e">
        <f t="shared" si="24"/>
        <v>#N/A</v>
      </c>
      <c r="N216" s="354" t="e">
        <f t="shared" si="24"/>
        <v>#N/A</v>
      </c>
      <c r="O216" s="354" t="e">
        <f t="shared" si="24"/>
        <v>#N/A</v>
      </c>
      <c r="P216" s="354" t="e">
        <f t="shared" si="24"/>
        <v>#N/A</v>
      </c>
      <c r="Q216" s="354" t="e">
        <f t="shared" si="24"/>
        <v>#N/A</v>
      </c>
      <c r="R216" s="354" t="e">
        <f t="shared" si="24"/>
        <v>#N/A</v>
      </c>
      <c r="S216" s="354" t="e">
        <f t="shared" si="24"/>
        <v>#N/A</v>
      </c>
      <c r="T216" s="354" t="e">
        <f t="shared" si="24"/>
        <v>#N/A</v>
      </c>
      <c r="U216" s="354" t="e">
        <f t="shared" si="24"/>
        <v>#N/A</v>
      </c>
      <c r="V216" s="354" t="e">
        <f t="shared" si="24"/>
        <v>#N/A</v>
      </c>
      <c r="W216" s="354" t="e">
        <f t="shared" si="24"/>
        <v>#N/A</v>
      </c>
      <c r="X216" s="354" t="e">
        <f t="shared" si="24"/>
        <v>#N/A</v>
      </c>
      <c r="Y216" s="354" t="e">
        <f t="shared" si="24"/>
        <v>#N/A</v>
      </c>
      <c r="Z216" s="354" t="e">
        <f t="shared" si="24"/>
        <v>#N/A</v>
      </c>
      <c r="AA216" s="354" t="e">
        <f t="shared" si="24"/>
        <v>#N/A</v>
      </c>
      <c r="AB216" s="354" t="e">
        <f t="shared" si="24"/>
        <v>#N/A</v>
      </c>
      <c r="AC216" s="354" t="e">
        <f t="shared" si="24"/>
        <v>#N/A</v>
      </c>
      <c r="AD216" s="354" t="e">
        <f t="shared" si="24"/>
        <v>#N/A</v>
      </c>
      <c r="AE216" s="354" t="e">
        <f t="shared" si="24"/>
        <v>#N/A</v>
      </c>
      <c r="AF216" s="354" t="e">
        <f t="shared" si="24"/>
        <v>#N/A</v>
      </c>
      <c r="AG216" s="354" t="e">
        <f t="shared" si="24"/>
        <v>#N/A</v>
      </c>
      <c r="AH216" s="354" t="e">
        <f t="shared" si="24"/>
        <v>#N/A</v>
      </c>
      <c r="AI216" s="354" t="e">
        <f t="shared" si="24"/>
        <v>#N/A</v>
      </c>
      <c r="AJ216" s="354" t="e">
        <f t="shared" si="24"/>
        <v>#N/A</v>
      </c>
      <c r="AK216" s="354" t="e">
        <f t="shared" si="24"/>
        <v>#N/A</v>
      </c>
      <c r="AL216" s="354" t="e">
        <f t="shared" si="24"/>
        <v>#N/A</v>
      </c>
      <c r="AM216" s="354" t="e">
        <f t="shared" si="24"/>
        <v>#N/A</v>
      </c>
      <c r="AN216" s="354" t="e">
        <f t="shared" si="24"/>
        <v>#N/A</v>
      </c>
      <c r="AO216" s="354" t="e">
        <f t="shared" si="24"/>
        <v>#N/A</v>
      </c>
      <c r="AP216" s="354" t="e">
        <f t="shared" si="24"/>
        <v>#N/A</v>
      </c>
      <c r="AQ216" s="354" t="e">
        <f t="shared" si="24"/>
        <v>#N/A</v>
      </c>
      <c r="AR216" s="354" t="e">
        <f t="shared" si="24"/>
        <v>#N/A</v>
      </c>
      <c r="AS216" s="354" t="e">
        <f t="shared" si="24"/>
        <v>#N/A</v>
      </c>
      <c r="AT216" s="354" t="e">
        <f t="shared" si="24"/>
        <v>#N/A</v>
      </c>
      <c r="AU216" s="354" t="e">
        <f t="shared" si="24"/>
        <v>#N/A</v>
      </c>
      <c r="AV216" s="354" t="e">
        <f t="shared" si="24"/>
        <v>#N/A</v>
      </c>
      <c r="AW216" s="354" t="e">
        <f t="shared" si="24"/>
        <v>#N/A</v>
      </c>
      <c r="AX216" s="354" t="e">
        <f t="shared" si="24"/>
        <v>#N/A</v>
      </c>
      <c r="AY216" s="354" t="e">
        <f t="shared" si="24"/>
        <v>#N/A</v>
      </c>
      <c r="AZ216" s="354" t="e">
        <f t="shared" si="24"/>
        <v>#N/A</v>
      </c>
      <c r="BA216" s="354" t="e">
        <f t="shared" si="24"/>
        <v>#N/A</v>
      </c>
      <c r="BB216" s="354" t="e">
        <f t="shared" si="24"/>
        <v>#N/A</v>
      </c>
      <c r="BC216" s="354" t="e">
        <f t="shared" si="24"/>
        <v>#N/A</v>
      </c>
      <c r="BD216" s="354" t="e">
        <f t="shared" si="24"/>
        <v>#N/A</v>
      </c>
      <c r="BE216" s="354" t="e">
        <f t="shared" si="24"/>
        <v>#N/A</v>
      </c>
      <c r="BF216" s="354" t="e">
        <f t="shared" si="24"/>
        <v>#N/A</v>
      </c>
      <c r="BG216" s="354" t="e">
        <f t="shared" si="24"/>
        <v>#N/A</v>
      </c>
      <c r="BH216" s="354" t="e">
        <f t="shared" si="24"/>
        <v>#N/A</v>
      </c>
      <c r="BI216" s="354" t="e">
        <f t="shared" si="24"/>
        <v>#N/A</v>
      </c>
      <c r="BJ216" s="354" t="e">
        <f t="shared" si="24"/>
        <v>#N/A</v>
      </c>
      <c r="BK216" s="354" t="e">
        <f t="shared" si="24"/>
        <v>#N/A</v>
      </c>
      <c r="BL216" s="354" t="e">
        <f t="shared" si="24"/>
        <v>#N/A</v>
      </c>
      <c r="BM216" s="354" t="e">
        <f t="shared" si="24"/>
        <v>#N/A</v>
      </c>
      <c r="BN216" s="354" t="e">
        <f t="shared" si="24"/>
        <v>#N/A</v>
      </c>
      <c r="BO216" s="354" t="e">
        <f t="shared" si="24"/>
        <v>#N/A</v>
      </c>
      <c r="BP216" s="354" t="e">
        <f t="shared" si="24"/>
        <v>#N/A</v>
      </c>
      <c r="BQ216" s="354" t="e">
        <f t="shared" ref="BQ216:EB216" si="25">SUMPRODUCT(BQ4:BQ213,$JH$4:$JH$213)</f>
        <v>#N/A</v>
      </c>
      <c r="BR216" s="354" t="e">
        <f t="shared" si="25"/>
        <v>#N/A</v>
      </c>
      <c r="BS216" s="354" t="e">
        <f t="shared" si="25"/>
        <v>#N/A</v>
      </c>
      <c r="BT216" s="354" t="e">
        <f t="shared" si="25"/>
        <v>#N/A</v>
      </c>
      <c r="BU216" s="354" t="e">
        <f t="shared" si="25"/>
        <v>#N/A</v>
      </c>
      <c r="BV216" s="354" t="e">
        <f t="shared" si="25"/>
        <v>#N/A</v>
      </c>
      <c r="BW216" s="354" t="e">
        <f t="shared" si="25"/>
        <v>#N/A</v>
      </c>
      <c r="BX216" s="354" t="e">
        <f t="shared" si="25"/>
        <v>#N/A</v>
      </c>
      <c r="BY216" s="354" t="e">
        <f t="shared" si="25"/>
        <v>#N/A</v>
      </c>
      <c r="BZ216" s="354" t="e">
        <f t="shared" si="25"/>
        <v>#N/A</v>
      </c>
      <c r="CA216" s="354" t="e">
        <f t="shared" si="25"/>
        <v>#N/A</v>
      </c>
      <c r="CB216" s="354" t="e">
        <f t="shared" si="25"/>
        <v>#N/A</v>
      </c>
      <c r="CC216" s="354" t="e">
        <f t="shared" si="25"/>
        <v>#N/A</v>
      </c>
      <c r="CD216" s="354" t="e">
        <f t="shared" si="25"/>
        <v>#N/A</v>
      </c>
      <c r="CE216" s="354" t="e">
        <f t="shared" si="25"/>
        <v>#N/A</v>
      </c>
      <c r="CF216" s="354" t="e">
        <f t="shared" si="25"/>
        <v>#N/A</v>
      </c>
      <c r="CG216" s="354" t="e">
        <f t="shared" si="25"/>
        <v>#N/A</v>
      </c>
      <c r="CH216" s="354" t="e">
        <f t="shared" si="25"/>
        <v>#N/A</v>
      </c>
      <c r="CI216" s="354" t="e">
        <f t="shared" si="25"/>
        <v>#N/A</v>
      </c>
      <c r="CJ216" s="354" t="e">
        <f t="shared" si="25"/>
        <v>#N/A</v>
      </c>
      <c r="CK216" s="354" t="e">
        <f t="shared" si="25"/>
        <v>#N/A</v>
      </c>
      <c r="CL216" s="354" t="e">
        <f t="shared" si="25"/>
        <v>#N/A</v>
      </c>
      <c r="CM216" s="354" t="e">
        <f t="shared" si="25"/>
        <v>#N/A</v>
      </c>
      <c r="CN216" s="354" t="e">
        <f t="shared" si="25"/>
        <v>#N/A</v>
      </c>
      <c r="CO216" s="354" t="e">
        <f t="shared" si="25"/>
        <v>#N/A</v>
      </c>
      <c r="CP216" s="354" t="e">
        <f t="shared" si="25"/>
        <v>#N/A</v>
      </c>
      <c r="CQ216" s="354" t="e">
        <f t="shared" si="25"/>
        <v>#N/A</v>
      </c>
      <c r="CR216" s="354" t="e">
        <f t="shared" si="25"/>
        <v>#N/A</v>
      </c>
      <c r="CS216" s="354" t="e">
        <f t="shared" si="25"/>
        <v>#N/A</v>
      </c>
      <c r="CT216" s="354" t="e">
        <f t="shared" si="25"/>
        <v>#N/A</v>
      </c>
      <c r="CU216" s="354" t="e">
        <f t="shared" si="25"/>
        <v>#N/A</v>
      </c>
      <c r="CV216" s="354" t="e">
        <f t="shared" si="25"/>
        <v>#N/A</v>
      </c>
      <c r="CW216" s="354" t="e">
        <f t="shared" si="25"/>
        <v>#N/A</v>
      </c>
      <c r="CX216" s="354" t="e">
        <f t="shared" si="25"/>
        <v>#N/A</v>
      </c>
      <c r="CY216" s="354" t="e">
        <f t="shared" si="25"/>
        <v>#N/A</v>
      </c>
      <c r="CZ216" s="354" t="e">
        <f t="shared" si="25"/>
        <v>#N/A</v>
      </c>
      <c r="DA216" s="354" t="e">
        <f t="shared" si="25"/>
        <v>#N/A</v>
      </c>
      <c r="DB216" s="354" t="e">
        <f t="shared" si="25"/>
        <v>#N/A</v>
      </c>
      <c r="DC216" s="354" t="e">
        <f t="shared" si="25"/>
        <v>#N/A</v>
      </c>
      <c r="DD216" s="354" t="e">
        <f t="shared" si="25"/>
        <v>#N/A</v>
      </c>
      <c r="DE216" s="354" t="e">
        <f t="shared" si="25"/>
        <v>#N/A</v>
      </c>
      <c r="DF216" s="354" t="e">
        <f t="shared" si="25"/>
        <v>#N/A</v>
      </c>
      <c r="DG216" s="354" t="e">
        <f t="shared" si="25"/>
        <v>#N/A</v>
      </c>
      <c r="DH216" s="354" t="e">
        <f t="shared" si="25"/>
        <v>#N/A</v>
      </c>
      <c r="DI216" s="354" t="e">
        <f t="shared" si="25"/>
        <v>#N/A</v>
      </c>
      <c r="DJ216" s="354" t="e">
        <f t="shared" si="25"/>
        <v>#N/A</v>
      </c>
      <c r="DK216" s="354" t="e">
        <f t="shared" si="25"/>
        <v>#N/A</v>
      </c>
      <c r="DL216" s="354" t="e">
        <f t="shared" si="25"/>
        <v>#N/A</v>
      </c>
      <c r="DM216" s="354" t="e">
        <f t="shared" si="25"/>
        <v>#N/A</v>
      </c>
      <c r="DN216" s="354" t="e">
        <f t="shared" si="25"/>
        <v>#N/A</v>
      </c>
      <c r="DO216" s="354" t="e">
        <f t="shared" si="25"/>
        <v>#N/A</v>
      </c>
      <c r="DP216" s="354" t="e">
        <f t="shared" si="25"/>
        <v>#N/A</v>
      </c>
      <c r="DQ216" s="354" t="e">
        <f t="shared" si="25"/>
        <v>#N/A</v>
      </c>
      <c r="DR216" s="354" t="e">
        <f t="shared" si="25"/>
        <v>#N/A</v>
      </c>
      <c r="DS216" s="354" t="e">
        <f t="shared" si="25"/>
        <v>#N/A</v>
      </c>
      <c r="DT216" s="354" t="e">
        <f t="shared" si="25"/>
        <v>#N/A</v>
      </c>
      <c r="DU216" s="354" t="e">
        <f t="shared" si="25"/>
        <v>#N/A</v>
      </c>
      <c r="DV216" s="354" t="e">
        <f t="shared" si="25"/>
        <v>#N/A</v>
      </c>
      <c r="DW216" s="354" t="e">
        <f t="shared" si="25"/>
        <v>#N/A</v>
      </c>
      <c r="DX216" s="354" t="e">
        <f t="shared" si="25"/>
        <v>#N/A</v>
      </c>
      <c r="DY216" s="354" t="e">
        <f t="shared" si="25"/>
        <v>#N/A</v>
      </c>
      <c r="DZ216" s="354" t="e">
        <f t="shared" si="25"/>
        <v>#N/A</v>
      </c>
      <c r="EA216" s="354" t="e">
        <f t="shared" si="25"/>
        <v>#N/A</v>
      </c>
      <c r="EB216" s="354" t="e">
        <f t="shared" si="25"/>
        <v>#N/A</v>
      </c>
      <c r="EC216" s="354" t="e">
        <f t="shared" ref="EC216:GN216" si="26">SUMPRODUCT(EC4:EC213,$JH$4:$JH$213)</f>
        <v>#N/A</v>
      </c>
      <c r="ED216" s="354" t="e">
        <f t="shared" si="26"/>
        <v>#N/A</v>
      </c>
      <c r="EE216" s="354" t="e">
        <f t="shared" si="26"/>
        <v>#N/A</v>
      </c>
      <c r="EF216" s="354" t="e">
        <f t="shared" si="26"/>
        <v>#N/A</v>
      </c>
      <c r="EG216" s="354" t="e">
        <f t="shared" si="26"/>
        <v>#N/A</v>
      </c>
      <c r="EH216" s="354" t="e">
        <f t="shared" si="26"/>
        <v>#N/A</v>
      </c>
      <c r="EI216" s="354" t="e">
        <f t="shared" si="26"/>
        <v>#N/A</v>
      </c>
      <c r="EJ216" s="354" t="e">
        <f t="shared" si="26"/>
        <v>#N/A</v>
      </c>
      <c r="EK216" s="354" t="e">
        <f t="shared" si="26"/>
        <v>#N/A</v>
      </c>
      <c r="EL216" s="354" t="e">
        <f t="shared" si="26"/>
        <v>#N/A</v>
      </c>
      <c r="EM216" s="354" t="e">
        <f t="shared" si="26"/>
        <v>#N/A</v>
      </c>
      <c r="EN216" s="354" t="e">
        <f t="shared" si="26"/>
        <v>#N/A</v>
      </c>
      <c r="EO216" s="354" t="e">
        <f t="shared" si="26"/>
        <v>#N/A</v>
      </c>
      <c r="EP216" s="354" t="e">
        <f t="shared" si="26"/>
        <v>#N/A</v>
      </c>
      <c r="EQ216" s="354" t="e">
        <f t="shared" si="26"/>
        <v>#N/A</v>
      </c>
      <c r="ER216" s="354" t="e">
        <f t="shared" si="26"/>
        <v>#N/A</v>
      </c>
      <c r="ES216" s="354" t="e">
        <f t="shared" si="26"/>
        <v>#N/A</v>
      </c>
      <c r="ET216" s="354" t="e">
        <f t="shared" si="26"/>
        <v>#N/A</v>
      </c>
      <c r="EU216" s="354" t="e">
        <f t="shared" si="26"/>
        <v>#N/A</v>
      </c>
      <c r="EV216" s="354" t="e">
        <f t="shared" si="26"/>
        <v>#N/A</v>
      </c>
      <c r="EW216" s="354" t="e">
        <f t="shared" si="26"/>
        <v>#N/A</v>
      </c>
      <c r="EX216" s="354" t="e">
        <f t="shared" si="26"/>
        <v>#N/A</v>
      </c>
      <c r="EY216" s="354" t="e">
        <f t="shared" si="26"/>
        <v>#N/A</v>
      </c>
      <c r="EZ216" s="354" t="e">
        <f t="shared" si="26"/>
        <v>#N/A</v>
      </c>
      <c r="FA216" s="354" t="e">
        <f t="shared" si="26"/>
        <v>#N/A</v>
      </c>
      <c r="FB216" s="354" t="e">
        <f t="shared" si="26"/>
        <v>#N/A</v>
      </c>
      <c r="FC216" s="354" t="e">
        <f t="shared" si="26"/>
        <v>#N/A</v>
      </c>
      <c r="FD216" s="354" t="e">
        <f t="shared" si="26"/>
        <v>#N/A</v>
      </c>
      <c r="FE216" s="354" t="e">
        <f t="shared" si="26"/>
        <v>#N/A</v>
      </c>
      <c r="FF216" s="354" t="e">
        <f t="shared" si="26"/>
        <v>#N/A</v>
      </c>
      <c r="FG216" s="354" t="e">
        <f t="shared" si="26"/>
        <v>#N/A</v>
      </c>
      <c r="FH216" s="354" t="e">
        <f t="shared" si="26"/>
        <v>#N/A</v>
      </c>
      <c r="FI216" s="354" t="e">
        <f t="shared" si="26"/>
        <v>#N/A</v>
      </c>
      <c r="FJ216" s="354" t="e">
        <f t="shared" si="26"/>
        <v>#N/A</v>
      </c>
      <c r="FK216" s="354" t="e">
        <f t="shared" si="26"/>
        <v>#N/A</v>
      </c>
      <c r="FL216" s="354" t="e">
        <f t="shared" si="26"/>
        <v>#N/A</v>
      </c>
      <c r="FM216" s="354" t="e">
        <f t="shared" si="26"/>
        <v>#N/A</v>
      </c>
      <c r="FN216" s="354" t="e">
        <f t="shared" si="26"/>
        <v>#N/A</v>
      </c>
      <c r="FO216" s="354" t="e">
        <f t="shared" si="26"/>
        <v>#N/A</v>
      </c>
      <c r="FP216" s="354" t="e">
        <f t="shared" si="26"/>
        <v>#N/A</v>
      </c>
      <c r="FQ216" s="354" t="e">
        <f t="shared" si="26"/>
        <v>#N/A</v>
      </c>
      <c r="FR216" s="354" t="e">
        <f t="shared" si="26"/>
        <v>#N/A</v>
      </c>
      <c r="FS216" s="354" t="e">
        <f t="shared" si="26"/>
        <v>#N/A</v>
      </c>
      <c r="FT216" s="354" t="e">
        <f t="shared" si="26"/>
        <v>#N/A</v>
      </c>
      <c r="FU216" s="354" t="e">
        <f t="shared" si="26"/>
        <v>#N/A</v>
      </c>
      <c r="FV216" s="354" t="e">
        <f t="shared" si="26"/>
        <v>#N/A</v>
      </c>
      <c r="FW216" s="354" t="e">
        <f t="shared" si="26"/>
        <v>#N/A</v>
      </c>
      <c r="FX216" s="354" t="e">
        <f t="shared" si="26"/>
        <v>#N/A</v>
      </c>
      <c r="FY216" s="354" t="e">
        <f t="shared" si="26"/>
        <v>#N/A</v>
      </c>
      <c r="FZ216" s="354" t="e">
        <f t="shared" si="26"/>
        <v>#N/A</v>
      </c>
      <c r="GA216" s="354" t="e">
        <f t="shared" si="26"/>
        <v>#N/A</v>
      </c>
      <c r="GB216" s="354" t="e">
        <f t="shared" si="26"/>
        <v>#N/A</v>
      </c>
      <c r="GC216" s="354" t="e">
        <f t="shared" si="26"/>
        <v>#N/A</v>
      </c>
      <c r="GD216" s="354" t="e">
        <f t="shared" si="26"/>
        <v>#N/A</v>
      </c>
      <c r="GE216" s="354" t="e">
        <f t="shared" si="26"/>
        <v>#N/A</v>
      </c>
      <c r="GF216" s="354" t="e">
        <f t="shared" si="26"/>
        <v>#N/A</v>
      </c>
      <c r="GG216" s="354" t="e">
        <f t="shared" si="26"/>
        <v>#N/A</v>
      </c>
      <c r="GH216" s="354" t="e">
        <f t="shared" si="26"/>
        <v>#N/A</v>
      </c>
      <c r="GI216" s="354" t="e">
        <f t="shared" si="26"/>
        <v>#N/A</v>
      </c>
      <c r="GJ216" s="354" t="e">
        <f t="shared" si="26"/>
        <v>#N/A</v>
      </c>
      <c r="GK216" s="354" t="e">
        <f t="shared" si="26"/>
        <v>#N/A</v>
      </c>
      <c r="GL216" s="354" t="e">
        <f t="shared" si="26"/>
        <v>#N/A</v>
      </c>
      <c r="GM216" s="354" t="e">
        <f t="shared" si="26"/>
        <v>#N/A</v>
      </c>
      <c r="GN216" s="354" t="e">
        <f t="shared" si="26"/>
        <v>#N/A</v>
      </c>
      <c r="GO216" s="354" t="e">
        <f t="shared" ref="GO216:IL216" si="27">SUMPRODUCT(GO4:GO213,$JH$4:$JH$213)</f>
        <v>#N/A</v>
      </c>
      <c r="GP216" s="354" t="e">
        <f t="shared" si="27"/>
        <v>#N/A</v>
      </c>
      <c r="GQ216" s="354" t="e">
        <f t="shared" si="27"/>
        <v>#N/A</v>
      </c>
      <c r="GR216" s="354" t="e">
        <f t="shared" si="27"/>
        <v>#N/A</v>
      </c>
      <c r="GS216" s="354" t="e">
        <f t="shared" si="27"/>
        <v>#N/A</v>
      </c>
      <c r="GT216" s="354" t="e">
        <f t="shared" si="27"/>
        <v>#N/A</v>
      </c>
      <c r="GU216" s="354" t="e">
        <f t="shared" si="27"/>
        <v>#N/A</v>
      </c>
      <c r="GV216" s="354" t="e">
        <f t="shared" si="27"/>
        <v>#N/A</v>
      </c>
      <c r="GW216" s="354" t="e">
        <f t="shared" si="27"/>
        <v>#N/A</v>
      </c>
      <c r="GX216" s="354" t="e">
        <f t="shared" si="27"/>
        <v>#N/A</v>
      </c>
      <c r="GY216" s="354" t="e">
        <f t="shared" si="27"/>
        <v>#N/A</v>
      </c>
      <c r="GZ216" s="354" t="e">
        <f t="shared" si="27"/>
        <v>#N/A</v>
      </c>
      <c r="HA216" s="354" t="e">
        <f t="shared" si="27"/>
        <v>#N/A</v>
      </c>
      <c r="HB216" s="354" t="e">
        <f t="shared" si="27"/>
        <v>#N/A</v>
      </c>
      <c r="HC216" s="354" t="e">
        <f t="shared" si="27"/>
        <v>#N/A</v>
      </c>
      <c r="HD216" s="354" t="e">
        <f t="shared" si="27"/>
        <v>#N/A</v>
      </c>
      <c r="HE216" s="354" t="e">
        <f t="shared" si="27"/>
        <v>#N/A</v>
      </c>
      <c r="HF216" s="354" t="e">
        <f t="shared" si="27"/>
        <v>#N/A</v>
      </c>
      <c r="HG216" s="354" t="e">
        <f t="shared" si="27"/>
        <v>#N/A</v>
      </c>
      <c r="HH216" s="354" t="e">
        <f t="shared" si="27"/>
        <v>#N/A</v>
      </c>
      <c r="HI216" s="354" t="e">
        <f t="shared" si="27"/>
        <v>#N/A</v>
      </c>
      <c r="HJ216" s="354" t="e">
        <f t="shared" si="27"/>
        <v>#N/A</v>
      </c>
      <c r="HK216" s="354" t="e">
        <f t="shared" si="27"/>
        <v>#N/A</v>
      </c>
      <c r="HL216" s="354" t="e">
        <f t="shared" si="27"/>
        <v>#N/A</v>
      </c>
      <c r="HM216" s="354" t="e">
        <f t="shared" si="27"/>
        <v>#N/A</v>
      </c>
      <c r="HN216" s="354" t="e">
        <f t="shared" si="27"/>
        <v>#N/A</v>
      </c>
      <c r="HO216" s="354" t="e">
        <f t="shared" si="27"/>
        <v>#N/A</v>
      </c>
      <c r="HP216" s="354" t="e">
        <f t="shared" si="27"/>
        <v>#N/A</v>
      </c>
      <c r="HQ216" s="354" t="e">
        <f t="shared" si="27"/>
        <v>#N/A</v>
      </c>
      <c r="HR216" s="354" t="e">
        <f t="shared" si="27"/>
        <v>#N/A</v>
      </c>
      <c r="HS216" s="354" t="e">
        <f t="shared" si="27"/>
        <v>#N/A</v>
      </c>
      <c r="HT216" s="354" t="e">
        <f t="shared" si="27"/>
        <v>#N/A</v>
      </c>
      <c r="HU216" s="354" t="e">
        <f t="shared" si="27"/>
        <v>#N/A</v>
      </c>
      <c r="HV216" s="354" t="e">
        <f t="shared" si="27"/>
        <v>#N/A</v>
      </c>
      <c r="HW216" s="354" t="e">
        <f t="shared" si="27"/>
        <v>#N/A</v>
      </c>
      <c r="HX216" s="354" t="e">
        <f t="shared" si="27"/>
        <v>#N/A</v>
      </c>
      <c r="HY216" s="354" t="e">
        <f t="shared" si="27"/>
        <v>#N/A</v>
      </c>
      <c r="HZ216" s="354" t="e">
        <f t="shared" si="27"/>
        <v>#N/A</v>
      </c>
      <c r="IA216" s="354" t="e">
        <f t="shared" si="27"/>
        <v>#N/A</v>
      </c>
      <c r="IB216" s="354" t="e">
        <f t="shared" si="27"/>
        <v>#N/A</v>
      </c>
      <c r="IC216" s="354" t="e">
        <f t="shared" si="27"/>
        <v>#N/A</v>
      </c>
      <c r="ID216" s="354" t="e">
        <f t="shared" si="27"/>
        <v>#N/A</v>
      </c>
      <c r="IE216" s="354" t="e">
        <f t="shared" si="27"/>
        <v>#N/A</v>
      </c>
      <c r="IF216" s="354" t="e">
        <f t="shared" si="27"/>
        <v>#N/A</v>
      </c>
      <c r="IG216" s="354" t="e">
        <f t="shared" si="27"/>
        <v>#N/A</v>
      </c>
      <c r="IH216" s="354" t="e">
        <f t="shared" si="27"/>
        <v>#N/A</v>
      </c>
      <c r="II216" s="354" t="e">
        <f t="shared" si="27"/>
        <v>#N/A</v>
      </c>
      <c r="IJ216" s="354" t="e">
        <f t="shared" si="27"/>
        <v>#N/A</v>
      </c>
      <c r="IK216" s="354" t="e">
        <f t="shared" si="27"/>
        <v>#N/A</v>
      </c>
      <c r="IL216" s="354" t="e">
        <f t="shared" si="27"/>
        <v>#N/A</v>
      </c>
      <c r="IM216" s="354" t="e">
        <f t="shared" ref="IM216:IV216" si="28">SUMPRODUCT(IM4:IM213,$JH$4:$JH$213)</f>
        <v>#N/A</v>
      </c>
      <c r="IN216" s="354" t="e">
        <f t="shared" si="28"/>
        <v>#N/A</v>
      </c>
      <c r="IO216" s="354" t="e">
        <f t="shared" si="28"/>
        <v>#N/A</v>
      </c>
      <c r="IP216" s="354" t="e">
        <f t="shared" si="28"/>
        <v>#N/A</v>
      </c>
      <c r="IQ216" s="354" t="e">
        <f t="shared" si="28"/>
        <v>#N/A</v>
      </c>
      <c r="IR216" s="354" t="e">
        <f t="shared" si="28"/>
        <v>#N/A</v>
      </c>
      <c r="IS216" s="354" t="e">
        <f t="shared" si="28"/>
        <v>#N/A</v>
      </c>
      <c r="IT216" s="354" t="e">
        <f t="shared" si="28"/>
        <v>#N/A</v>
      </c>
      <c r="IU216" s="354" t="e">
        <f t="shared" si="28"/>
        <v>#N/A</v>
      </c>
      <c r="IV216" s="354" t="e">
        <f t="shared" si="28"/>
        <v>#N/A</v>
      </c>
      <c r="IW216" s="354" t="e">
        <f t="shared" ref="IW216:JD216" si="29">SUMPRODUCT(IW4:IW213,$JH$4:$JH$213)</f>
        <v>#N/A</v>
      </c>
      <c r="IX216" s="354" t="e">
        <f t="shared" si="29"/>
        <v>#N/A</v>
      </c>
      <c r="IY216" s="354" t="e">
        <f t="shared" si="29"/>
        <v>#N/A</v>
      </c>
      <c r="IZ216" s="354" t="e">
        <f t="shared" si="29"/>
        <v>#N/A</v>
      </c>
      <c r="JA216" s="354" t="e">
        <f t="shared" si="29"/>
        <v>#N/A</v>
      </c>
      <c r="JB216" s="354" t="e">
        <f t="shared" si="29"/>
        <v>#N/A</v>
      </c>
      <c r="JC216" s="354" t="e">
        <f t="shared" si="29"/>
        <v>#N/A</v>
      </c>
      <c r="JD216" s="354" t="e">
        <f t="shared" si="29"/>
        <v>#N/A</v>
      </c>
      <c r="JF216" s="87"/>
    </row>
    <row r="217" spans="2:269" ht="210" customHeight="1" x14ac:dyDescent="0.25">
      <c r="D217" s="387" t="s">
        <v>190</v>
      </c>
      <c r="E217" s="352" t="str">
        <f>StdDescricao(E3,$D$4:$D$213,E4:E213)</f>
        <v>LT 500kV composto por: 2x painel; 1x RDP (4TC/4TP); 2x relé de distância (4TC/4TP/40BI/30BO); 4x bloco de testes.</v>
      </c>
      <c r="F217" s="352" t="str">
        <f t="shared" ref="F217:BQ217" si="30">StdDescricao(F3,$D$4:$D$213,F4:F213)</f>
        <v>LT+RL 500kV composto por: 2x painel; 1x RDP (8TC/8TP); 2x relé de distância (4TC/4TP/40BI/30BO); 2x relé diferencial de reator (4TC/4TP/10BI/15BO); 1x UAC (4TC/4TP/35BI/20BO); 10x bloco de testes.</v>
      </c>
      <c r="G217" s="352" t="str">
        <f t="shared" si="30"/>
        <v>LT+CS 500kV composto por: 2x painel; 1x RDP (4TC/4TP); 2x relé de distância (4TC/4TP/40BI/30BO); 1x UAC (4TC/4TP/70BI/30BO); 4x bloco de testes.</v>
      </c>
      <c r="H217" s="352" t="str">
        <f t="shared" si="30"/>
        <v>LT+RL+CS 500kV composto por: 2x painel; 1x RDP (8TC/8TP); 2x relé de distância (4TC/4TP/40BI/30BO); 2x relé diferencial de reator (4TC/4TP/10BI/15BO); 1x UAC (4TC/4TP/35BI/20BO); 1x UAC (4TC/4TP/70BI/30BO); 10x bloco de testes.</v>
      </c>
      <c r="I217" s="352" t="str">
        <f t="shared" si="30"/>
        <v>DJC 500kV composto por: 1x painel; 2x relé falha disjuntor (4TC/4TP/30BI/20BO); 1x bloco de testes.</v>
      </c>
      <c r="J217" s="352" t="str">
        <f t="shared" si="30"/>
        <v>TR 500kV composto por: 2x painel; 1x RDP (12TC/12TP); 2x relé diferencial de transformador (12TC/4TP/10BI/15BO); 1x UAC (4TC/4TP/150BI/40BO); 15x bloco de testes.</v>
      </c>
      <c r="K217" s="352" t="str">
        <f t="shared" si="30"/>
        <v>87B 500kV 4 bays composto por: 2x painel; 2x relé diferencial de barras concentrador (até 4 bays, 16TC/40BI/20BO); 8x bloco de testes.</v>
      </c>
      <c r="L217" s="352" t="str">
        <f t="shared" si="30"/>
        <v>87B 500kV 6 bays composto por: 2x painel; 2x relé diferencial de barras concentrador (até 6 bays, 24TC/60BI/30BO); 12x bloco de testes.</v>
      </c>
      <c r="M217" s="352" t="str">
        <f t="shared" si="30"/>
        <v>87B 500kV 8 bays composto por: 2x painel; 2x relé diferencial de barras concentrador (até 8 bays, 32TC/80BI/40BO); 16x bloco de testes.</v>
      </c>
      <c r="N217" s="352" t="str">
        <f t="shared" si="30"/>
        <v>Reator de Barra 500kV composto por: 2x painel; 1x RDP (4TC/4TP); 2x relé diferencial de reator (4TC/4TP/10BI/15BO); 1x UAC (4TC/4TP/35BI/20BO); 7x bloco de testes.</v>
      </c>
      <c r="O217" s="352" t="str">
        <f t="shared" si="30"/>
        <v>LT 230kV composto por: 2x painel; 1x RDP (4TC/4TP); 2x relé de distância (4TC/4TP/40BI/30BO); 4x bloco de testes.</v>
      </c>
      <c r="P217" s="352" t="str">
        <f t="shared" si="30"/>
        <v>LT+RL 230kV composto por: 2x painel; 1x RDP (8TC/8TP); 2x relé de distância (4TC/4TP/40BI/30BO); 2x relé diferencial de reator (4TC/4TP/10BI/15BO); 1x UAC (4TC/4TP/35BI/20BO); 8x bloco de testes.</v>
      </c>
      <c r="Q217" s="352" t="str">
        <f t="shared" si="30"/>
        <v>TIE 230kV composto por: 1x painel; 1x UAC (4TC/4TP/70BI/30BO).</v>
      </c>
      <c r="R217" s="352" t="str">
        <f t="shared" si="30"/>
        <v>TR 230kV composto por: 2x painel; 1x RDP (12TC/12TP); 2x relé diferencial de transformador (12TC/4TP/10BI/15BO); 1x UAC (4TC/4TP/100BI/30BO); 10x bloco de testes.</v>
      </c>
      <c r="S217" s="352" t="str">
        <f t="shared" si="30"/>
        <v>Reator de Barra 230kV composto por: 2x painel; 1x RDP (4TC/4TP); 2x relé diferencial de reator (4TC/4TP/10BI/15BO); 1x UAC (4TC/4TP/35BI/20BO); 4x bloco de testes.</v>
      </c>
      <c r="T217" s="352" t="str">
        <f t="shared" si="30"/>
        <v>87B 230kV 4 bays composto por: 2x painel; 2x relé diferencial de barras concentrador (até 4 bays, 16TC/40BI/20BO); 8x bloco de testes.</v>
      </c>
      <c r="U217" s="352" t="str">
        <f t="shared" si="30"/>
        <v>87B 230kV 5 bays composto por: 2x painel; 2x relé diferencial de barras concentrador (até 5 bays, 20TC/50BI/25BO); 10x bloco de testes.</v>
      </c>
      <c r="V217" s="352" t="str">
        <f t="shared" si="30"/>
        <v>87B 230kV 6 bays composto por: 2x painel; 2x relé diferencial de barras concentrador (até 6 bays, 24TC/60BI/30BO); 12x bloco de testes.</v>
      </c>
      <c r="W217" s="352" t="str">
        <f t="shared" si="30"/>
        <v>87B 230kV 8 bays composto por: 2x painel; 2x relé diferencial de barras concentrador (até 8 bays, 32TC/80BI/40BO); 16x bloco de testes.</v>
      </c>
      <c r="X217" s="352" t="str">
        <f t="shared" si="30"/>
        <v>87B 230kV 10 bays composto por: 2x painel; 2x relé diferencial de barras concentrador (até 10 bays, 40TC/100BI/50BO); 20x bloco de testes.</v>
      </c>
      <c r="Y217" s="352" t="str">
        <f t="shared" si="30"/>
        <v>LT 138kV composto por: 1x painel; 1x RDP (4TC/4TP); 2x relé de distância (4TC/4TP/40BI/30BO); 4x bloco de testes.</v>
      </c>
      <c r="Z217" s="352" t="str">
        <f t="shared" si="30"/>
        <v>TIE 138kV composto por: 1x painel; 1x UAC (4TC/4TP/35BI/20BO).</v>
      </c>
      <c r="AA217" s="352" t="str">
        <f t="shared" si="30"/>
        <v>TR 138kV composto por: 2x painel; 1x RDP (8TC/8TP); 2x relé diferencial de transformador (12TC/4TP/10BI/15BO); 1x UAC (4TC/4TP/70BI/30BO); 10x bloco de testes.</v>
      </c>
      <c r="AB217" s="352" t="str">
        <f t="shared" si="30"/>
        <v>87B 138kV 4 bays composto por: 2x painel; 2x relé diferencial de barras concentrador (até 4 bays, 16TC/40BI/20BO); 4x bloco de testes.</v>
      </c>
      <c r="AC217" s="352" t="str">
        <f t="shared" si="30"/>
        <v>87B 138kV 5 bays composto por: 2x painel; 2x relé diferencial de barras concentrador (até 5 bays, 20TC/50BI/25BO); 5x bloco de testes.</v>
      </c>
      <c r="AD217" s="352" t="str">
        <f t="shared" si="30"/>
        <v>87B 138kV 6 bays composto por: 2x painel; 2x relé diferencial de barras concentrador (até 6 bays, 24TC/60BI/30BO); 6x bloco de testes.</v>
      </c>
      <c r="AE217" s="352" t="str">
        <f t="shared" si="30"/>
        <v>87B 138kV 8 bays composto por: 2x painel; 2x relé diferencial de barras concentrador (até 8 bays, 32TC/80BI/40BO); 8x bloco de testes.</v>
      </c>
      <c r="AF217" s="352" t="str">
        <f t="shared" si="30"/>
        <v>87B 138kV 10 bays composto por: 2x painel; 2x relé diferencial de barras concentrador (até 10 bays, 40TC/100BI/50BO); 10x bloco de testes.</v>
      </c>
      <c r="AG217" s="352" t="str">
        <f t="shared" si="30"/>
        <v>Banco de Capacitores 138kV composto por: 1x painel; 1x RDP (4TC/4TP); 1x relé de sobrecorrente (4TC/4TP/20BI/10BO); 1x UAC (4TC/4TP/70BI/30BO); 1x bloco de testes.</v>
      </c>
      <c r="AH217" s="352" t="str">
        <f t="shared" si="30"/>
        <v>LT 69kV composto por: 1x painel; 1x relé de sobrecorrente (4TC/4TP/20BI/10BO); 1x UAC (4TC/4TP/70BI/30BO); 3x bloco de testes.</v>
      </c>
      <c r="AI217" s="352" t="str">
        <f t="shared" si="30"/>
        <v>TIE 69kV composto por: 1x painel; 1x UAC (4TC/4TP/35BI/20BO).</v>
      </c>
      <c r="AJ217" s="352" t="str">
        <f t="shared" si="30"/>
        <v>TR 69kV composto por: 1x painel; 2x relé diferencial de transformador (12TC/4TP/10BI/15BO); 1x UAC (4TC/4TP/70BI/30BO); 5x bloco de testes.</v>
      </c>
      <c r="AK217" s="352" t="str">
        <f t="shared" si="30"/>
        <v>TR Aterramento 69kV composto por: 1x painel; 2x relé diferencial de transformador (12TC/4TP/10BI/15BO); 1x UAC (4TC/4TP/70BI/30BO); 2x bloco de testes.</v>
      </c>
      <c r="AL217" s="352" t="str">
        <f t="shared" si="30"/>
        <v>87B 69kV 4 bays composto por: 1x painel; 1x relé diferencial de barras concentrador (até 4 bays, 16TC/40BI/20BO).</v>
      </c>
      <c r="AM217" s="352" t="str">
        <f t="shared" si="30"/>
        <v>87B 69kV 5 bays composto por: 1x painel; 1x relé diferencial de barras concentrador (até 5 bays, 20TC/50BI/25BO).</v>
      </c>
      <c r="AN217" s="352" t="str">
        <f t="shared" si="30"/>
        <v>87B 69kV 6 bays composto por: 1x painel; 1x relé diferencial de barras concentrador (até 6 bays, 24TC/60BI/30BO).</v>
      </c>
      <c r="AO217" s="352" t="str">
        <f t="shared" si="30"/>
        <v>87B 69kV 8 bays composto por: 1x painel; 1x relé diferencial de barras concentrador (até 8 bays, 32TC/80BI/40BO).</v>
      </c>
      <c r="AP217" s="352" t="str">
        <f t="shared" si="30"/>
        <v>87B 69kV 10 bays composto por: 1x painel; 1x relé diferencial de barras concentrador (até 10 bays, 40TC/100BI/50BO).</v>
      </c>
      <c r="AQ217" s="352" t="str">
        <f t="shared" si="30"/>
        <v>Banco de Capacitores 69kV composto por: 1x painel; 1x relé de sobrecorrente (4TC/4TP/20BI/10BO); 1x UAC (4TC/4TP/35BI/20BO); 1x bloco de testes.</v>
      </c>
      <c r="AR217" s="352" t="str">
        <f t="shared" si="30"/>
        <v>Compensador Estático composto por: 1x painel; 1x UAC (4TC/4TP/70BI/30BO); 1x bloco de testes.</v>
      </c>
      <c r="AS217" s="352" t="str">
        <f t="shared" si="30"/>
        <v>SEP composto por: 1x painel; 1x UAC (4TC/4TP/70BI/30BO).</v>
      </c>
      <c r="AT217" s="352" t="str">
        <f t="shared" si="30"/>
        <v>Supervisão de Serviços Auxiliares composto por: 1x painel; 2x UAC (8TC/8TP/80BI/20BO/12mA).</v>
      </c>
      <c r="AU217" s="352" t="str">
        <f t="shared" si="30"/>
        <v>SAGE composto por: 2x painel; 2x licença SAGE; 2x driver IEC61850; 2x computador industrial (ventilação forçada, 1x SSD MLC 120GB, Intel Core i5 quad-core, 8GB DDR4); 2x monitor 21.5''; 1x KVM; 2x switch (fonte redundante, 8 FO-MM, 4 RJ45); 1x GPS (2 saídas SNTP eth).</v>
      </c>
      <c r="AV217" s="352" t="str">
        <f t="shared" si="30"/>
        <v>ELIPSE composto por: 1x painel; 2x licença Elipse Power HMI; 2x driver IEC61850; 2x driver IEC104; 2x driver modbus master; 2x driver DNP 3.0 master; 1x software de edição do Elipse Power; 2x computador industrial (ventilação forçada, 1x SSD MLC 120GB, Intel Core i5 quad-core, 8GB DDR4); 2x monitor 21.5''; 1x KVM; 2x switch (fonte redundante, 8 FO-MM, 4 RJ45); 1x GPS (2 saídas SNTP eth).</v>
      </c>
      <c r="AW217" s="352" t="str">
        <f t="shared" si="30"/>
        <v>Estação de Engenharia Oscilografia composto por: 1x painel; 1x computador industrial (ventilação forçada, 1x SSD MLC 120GB, Intel Core i5 quad-core, 8GB DDR4); 1x monitor 21.5''; 1x software de parametrização e engenharia.</v>
      </c>
      <c r="AX217" s="352" t="str">
        <f t="shared" si="30"/>
        <v>Interface (c/ UAC) composto por: 1x painel; 1x UAC (4TC/4TP/100BI/30BO).</v>
      </c>
      <c r="AY217" s="352" t="str">
        <f t="shared" si="30"/>
        <v>Interface (bornes) composto por: 1x painel.</v>
      </c>
      <c r="AZ217" s="352" t="str">
        <f t="shared" si="30"/>
        <v>Faturamento (2 med.) composto por: 1x painel; 2x medidor de faturamento; 1x switch não gerenciável; 1x roteador.</v>
      </c>
      <c r="BA217" s="352" t="str">
        <f t="shared" si="30"/>
        <v>Faturamento (4 med.) composto por: 1x painel; 4x medidor de faturamento; 1x switch não gerenciável; 1x roteador.</v>
      </c>
      <c r="BB217" s="352" t="str">
        <f t="shared" si="30"/>
        <v>Faturamento (6 med.) composto por: 1x painel; 6x medidor de faturamento; 1x switch não gerenciável; 1x roteador.</v>
      </c>
      <c r="BC217" s="352" t="str">
        <f t="shared" si="30"/>
        <v>Faturamento (8 med.) composto por: 1x painel; 8x medidor de faturamento; 1x switch não gerenciável; 1x roteador.</v>
      </c>
      <c r="BD217" s="352" t="str">
        <f t="shared" si="30"/>
        <v>Alimentador MT composto por: 1x relé de sobrecorrente (4TC/4TP/20BI/10BO).</v>
      </c>
      <c r="BE217" s="352" t="str">
        <f t="shared" si="30"/>
        <v>Serviço Auxiliar CA composto por: 1x painel de serviços auxiliares 220/127 VCA.</v>
      </c>
      <c r="BF217" s="352" t="str">
        <f t="shared" si="30"/>
        <v>Serviço Auxiliar CC composto por: 1x painel de serviços auxiliares 125 VCC.</v>
      </c>
      <c r="BG217" s="352" t="str">
        <f t="shared" si="30"/>
        <v>Vazio</v>
      </c>
      <c r="BH217" s="352" t="str">
        <f t="shared" si="30"/>
        <v>Vazio</v>
      </c>
      <c r="BI217" s="352" t="str">
        <f t="shared" si="30"/>
        <v>Vazio</v>
      </c>
      <c r="BJ217" s="352" t="str">
        <f t="shared" si="30"/>
        <v>Vazio</v>
      </c>
      <c r="BK217" s="352" t="str">
        <f t="shared" si="30"/>
        <v>Vazio</v>
      </c>
      <c r="BL217" s="352" t="str">
        <f t="shared" si="30"/>
        <v>Vazio</v>
      </c>
      <c r="BM217" s="352" t="str">
        <f t="shared" si="30"/>
        <v>Vazio</v>
      </c>
      <c r="BN217" s="352" t="str">
        <f t="shared" si="30"/>
        <v>Vazio</v>
      </c>
      <c r="BO217" s="352" t="str">
        <f t="shared" si="30"/>
        <v>Vazio</v>
      </c>
      <c r="BP217" s="352" t="str">
        <f t="shared" si="30"/>
        <v>Vazio</v>
      </c>
      <c r="BQ217" s="352" t="str">
        <f t="shared" si="30"/>
        <v>Vazio</v>
      </c>
      <c r="BR217" s="352" t="str">
        <f t="shared" ref="BR217:EC217" si="31">StdDescricao(BR3,$D$4:$D$213,BR4:BR213)</f>
        <v>Vazio</v>
      </c>
      <c r="BS217" s="352" t="str">
        <f t="shared" si="31"/>
        <v>Vazio</v>
      </c>
      <c r="BT217" s="352" t="str">
        <f t="shared" si="31"/>
        <v>Vazio</v>
      </c>
      <c r="BU217" s="352" t="str">
        <f t="shared" si="31"/>
        <v>Vazio</v>
      </c>
      <c r="BV217" s="352" t="str">
        <f t="shared" si="31"/>
        <v>Vazio</v>
      </c>
      <c r="BW217" s="352" t="str">
        <f t="shared" si="31"/>
        <v>Vazio</v>
      </c>
      <c r="BX217" s="352" t="str">
        <f t="shared" si="31"/>
        <v>Vazio</v>
      </c>
      <c r="BY217" s="352" t="str">
        <f t="shared" si="31"/>
        <v>Vazio</v>
      </c>
      <c r="BZ217" s="352" t="str">
        <f t="shared" si="31"/>
        <v>Vazio</v>
      </c>
      <c r="CA217" s="352" t="str">
        <f t="shared" si="31"/>
        <v>Vazio</v>
      </c>
      <c r="CB217" s="352" t="str">
        <f t="shared" si="31"/>
        <v>Vazio</v>
      </c>
      <c r="CC217" s="352" t="str">
        <f t="shared" si="31"/>
        <v>Vazio</v>
      </c>
      <c r="CD217" s="352" t="str">
        <f t="shared" si="31"/>
        <v>Vazio</v>
      </c>
      <c r="CE217" s="352" t="str">
        <f t="shared" si="31"/>
        <v>Vazio</v>
      </c>
      <c r="CF217" s="352" t="str">
        <f t="shared" si="31"/>
        <v>Vazio</v>
      </c>
      <c r="CG217" s="352" t="str">
        <f t="shared" si="31"/>
        <v>Vazio</v>
      </c>
      <c r="CH217" s="352" t="str">
        <f t="shared" si="31"/>
        <v>Vazio</v>
      </c>
      <c r="CI217" s="352" t="str">
        <f t="shared" si="31"/>
        <v>Vazio</v>
      </c>
      <c r="CJ217" s="352" t="str">
        <f t="shared" si="31"/>
        <v>Vazio</v>
      </c>
      <c r="CK217" s="352" t="str">
        <f t="shared" si="31"/>
        <v>Vazio</v>
      </c>
      <c r="CL217" s="352" t="str">
        <f t="shared" si="31"/>
        <v>Vazio</v>
      </c>
      <c r="CM217" s="352" t="str">
        <f t="shared" si="31"/>
        <v>Vazio</v>
      </c>
      <c r="CN217" s="352" t="str">
        <f t="shared" si="31"/>
        <v>Vazio</v>
      </c>
      <c r="CO217" s="352" t="str">
        <f t="shared" si="31"/>
        <v>Vazio</v>
      </c>
      <c r="CP217" s="352" t="str">
        <f t="shared" si="31"/>
        <v>Vazio</v>
      </c>
      <c r="CQ217" s="352" t="str">
        <f t="shared" si="31"/>
        <v>Vazio</v>
      </c>
      <c r="CR217" s="352" t="str">
        <f t="shared" si="31"/>
        <v>Vazio</v>
      </c>
      <c r="CS217" s="352" t="str">
        <f t="shared" si="31"/>
        <v>Vazio</v>
      </c>
      <c r="CT217" s="352" t="str">
        <f t="shared" si="31"/>
        <v>Vazio</v>
      </c>
      <c r="CU217" s="352" t="str">
        <f t="shared" si="31"/>
        <v>Vazio</v>
      </c>
      <c r="CV217" s="352" t="str">
        <f t="shared" si="31"/>
        <v>Vazio</v>
      </c>
      <c r="CW217" s="352" t="str">
        <f t="shared" si="31"/>
        <v>Vazio</v>
      </c>
      <c r="CX217" s="352" t="str">
        <f t="shared" si="31"/>
        <v>Vazio</v>
      </c>
      <c r="CY217" s="352" t="str">
        <f t="shared" si="31"/>
        <v>Vazio</v>
      </c>
      <c r="CZ217" s="352" t="str">
        <f t="shared" si="31"/>
        <v>Vazio</v>
      </c>
      <c r="DA217" s="352" t="str">
        <f t="shared" si="31"/>
        <v>Vazio</v>
      </c>
      <c r="DB217" s="352" t="str">
        <f t="shared" si="31"/>
        <v>Vazio</v>
      </c>
      <c r="DC217" s="352" t="str">
        <f t="shared" si="31"/>
        <v>Vazio</v>
      </c>
      <c r="DD217" s="352" t="str">
        <f t="shared" si="31"/>
        <v>Vazio</v>
      </c>
      <c r="DE217" s="352" t="str">
        <f t="shared" si="31"/>
        <v>Vazio</v>
      </c>
      <c r="DF217" s="352" t="str">
        <f t="shared" si="31"/>
        <v>Vazio</v>
      </c>
      <c r="DG217" s="352" t="str">
        <f t="shared" si="31"/>
        <v>Vazio</v>
      </c>
      <c r="DH217" s="352" t="str">
        <f t="shared" si="31"/>
        <v>Vazio</v>
      </c>
      <c r="DI217" s="352" t="str">
        <f t="shared" si="31"/>
        <v>Vazio</v>
      </c>
      <c r="DJ217" s="352" t="str">
        <f t="shared" si="31"/>
        <v>Vazio</v>
      </c>
      <c r="DK217" s="352" t="str">
        <f t="shared" si="31"/>
        <v>Vazio</v>
      </c>
      <c r="DL217" s="352" t="str">
        <f t="shared" si="31"/>
        <v>Vazio</v>
      </c>
      <c r="DM217" s="352" t="str">
        <f t="shared" si="31"/>
        <v>Vazio</v>
      </c>
      <c r="DN217" s="352" t="str">
        <f t="shared" si="31"/>
        <v>Vazio</v>
      </c>
      <c r="DO217" s="352" t="str">
        <f t="shared" si="31"/>
        <v>Vazio</v>
      </c>
      <c r="DP217" s="352" t="str">
        <f t="shared" si="31"/>
        <v>Vazio</v>
      </c>
      <c r="DQ217" s="352" t="str">
        <f t="shared" si="31"/>
        <v>Vazio</v>
      </c>
      <c r="DR217" s="352" t="str">
        <f t="shared" si="31"/>
        <v>Vazio</v>
      </c>
      <c r="DS217" s="352" t="str">
        <f t="shared" si="31"/>
        <v>Vazio</v>
      </c>
      <c r="DT217" s="352" t="str">
        <f t="shared" si="31"/>
        <v>Vazio</v>
      </c>
      <c r="DU217" s="352" t="str">
        <f t="shared" si="31"/>
        <v>Vazio</v>
      </c>
      <c r="DV217" s="352" t="str">
        <f t="shared" si="31"/>
        <v>Vazio</v>
      </c>
      <c r="DW217" s="352" t="str">
        <f t="shared" si="31"/>
        <v>Vazio</v>
      </c>
      <c r="DX217" s="352" t="str">
        <f t="shared" si="31"/>
        <v>Vazio</v>
      </c>
      <c r="DY217" s="352" t="str">
        <f t="shared" si="31"/>
        <v>Vazio</v>
      </c>
      <c r="DZ217" s="352" t="str">
        <f t="shared" si="31"/>
        <v>Vazio</v>
      </c>
      <c r="EA217" s="352" t="str">
        <f t="shared" si="31"/>
        <v>Vazio</v>
      </c>
      <c r="EB217" s="352" t="str">
        <f t="shared" si="31"/>
        <v>Vazio</v>
      </c>
      <c r="EC217" s="352" t="str">
        <f t="shared" si="31"/>
        <v>Vazio</v>
      </c>
      <c r="ED217" s="352" t="str">
        <f t="shared" ref="ED217:GO217" si="32">StdDescricao(ED3,$D$4:$D$213,ED4:ED213)</f>
        <v>Vazio</v>
      </c>
      <c r="EE217" s="352" t="str">
        <f t="shared" si="32"/>
        <v>Vazio</v>
      </c>
      <c r="EF217" s="352" t="str">
        <f t="shared" si="32"/>
        <v>Vazio</v>
      </c>
      <c r="EG217" s="352" t="str">
        <f t="shared" si="32"/>
        <v>Vazio</v>
      </c>
      <c r="EH217" s="352" t="str">
        <f t="shared" si="32"/>
        <v>Vazio</v>
      </c>
      <c r="EI217" s="352" t="str">
        <f t="shared" si="32"/>
        <v>Vazio</v>
      </c>
      <c r="EJ217" s="352" t="str">
        <f t="shared" si="32"/>
        <v>Vazio</v>
      </c>
      <c r="EK217" s="352" t="str">
        <f t="shared" si="32"/>
        <v>Vazio</v>
      </c>
      <c r="EL217" s="352" t="str">
        <f t="shared" si="32"/>
        <v>Vazio</v>
      </c>
      <c r="EM217" s="352" t="str">
        <f t="shared" si="32"/>
        <v>Vazio</v>
      </c>
      <c r="EN217" s="352" t="str">
        <f t="shared" si="32"/>
        <v>Vazio</v>
      </c>
      <c r="EO217" s="352" t="str">
        <f t="shared" si="32"/>
        <v>Vazio</v>
      </c>
      <c r="EP217" s="352" t="str">
        <f t="shared" si="32"/>
        <v>Vazio</v>
      </c>
      <c r="EQ217" s="352" t="str">
        <f t="shared" si="32"/>
        <v>Vazio</v>
      </c>
      <c r="ER217" s="352" t="str">
        <f t="shared" si="32"/>
        <v>Vazio</v>
      </c>
      <c r="ES217" s="352" t="str">
        <f t="shared" si="32"/>
        <v>Vazio</v>
      </c>
      <c r="ET217" s="352" t="str">
        <f t="shared" si="32"/>
        <v>Vazio</v>
      </c>
      <c r="EU217" s="352" t="str">
        <f t="shared" si="32"/>
        <v>Vazio</v>
      </c>
      <c r="EV217" s="352" t="str">
        <f t="shared" si="32"/>
        <v>Vazio</v>
      </c>
      <c r="EW217" s="352" t="str">
        <f t="shared" si="32"/>
        <v>Vazio</v>
      </c>
      <c r="EX217" s="352" t="str">
        <f t="shared" si="32"/>
        <v>Vazio</v>
      </c>
      <c r="EY217" s="352" t="str">
        <f t="shared" si="32"/>
        <v>Vazio</v>
      </c>
      <c r="EZ217" s="352" t="str">
        <f t="shared" si="32"/>
        <v>Vazio</v>
      </c>
      <c r="FA217" s="352" t="str">
        <f t="shared" si="32"/>
        <v>Vazio</v>
      </c>
      <c r="FB217" s="352" t="str">
        <f t="shared" si="32"/>
        <v>Vazio</v>
      </c>
      <c r="FC217" s="352" t="str">
        <f t="shared" si="32"/>
        <v>Vazio</v>
      </c>
      <c r="FD217" s="352" t="str">
        <f t="shared" si="32"/>
        <v>Vazio</v>
      </c>
      <c r="FE217" s="352" t="str">
        <f t="shared" si="32"/>
        <v>Vazio</v>
      </c>
      <c r="FF217" s="352" t="str">
        <f t="shared" si="32"/>
        <v>Vazio</v>
      </c>
      <c r="FG217" s="352" t="str">
        <f t="shared" si="32"/>
        <v>Vazio</v>
      </c>
      <c r="FH217" s="352" t="str">
        <f t="shared" si="32"/>
        <v>Vazio</v>
      </c>
      <c r="FI217" s="352" t="str">
        <f t="shared" si="32"/>
        <v>Vazio</v>
      </c>
      <c r="FJ217" s="352" t="str">
        <f t="shared" si="32"/>
        <v>Vazio</v>
      </c>
      <c r="FK217" s="352" t="str">
        <f t="shared" si="32"/>
        <v>Vazio</v>
      </c>
      <c r="FL217" s="352" t="str">
        <f t="shared" si="32"/>
        <v>Vazio</v>
      </c>
      <c r="FM217" s="352" t="str">
        <f t="shared" si="32"/>
        <v>Vazio</v>
      </c>
      <c r="FN217" s="352" t="str">
        <f t="shared" si="32"/>
        <v>Vazio</v>
      </c>
      <c r="FO217" s="352" t="str">
        <f t="shared" si="32"/>
        <v>Vazio</v>
      </c>
      <c r="FP217" s="352" t="str">
        <f t="shared" si="32"/>
        <v>Vazio</v>
      </c>
      <c r="FQ217" s="352" t="str">
        <f t="shared" si="32"/>
        <v>Vazio</v>
      </c>
      <c r="FR217" s="352" t="str">
        <f t="shared" si="32"/>
        <v>Vazio</v>
      </c>
      <c r="FS217" s="352" t="str">
        <f t="shared" si="32"/>
        <v>Vazio</v>
      </c>
      <c r="FT217" s="352" t="str">
        <f t="shared" si="32"/>
        <v>Vazio</v>
      </c>
      <c r="FU217" s="352" t="str">
        <f t="shared" si="32"/>
        <v>Vazio</v>
      </c>
      <c r="FV217" s="352" t="str">
        <f t="shared" si="32"/>
        <v>Vazio</v>
      </c>
      <c r="FW217" s="352" t="str">
        <f t="shared" si="32"/>
        <v>Vazio</v>
      </c>
      <c r="FX217" s="352" t="str">
        <f t="shared" si="32"/>
        <v>Vazio</v>
      </c>
      <c r="FY217" s="352" t="str">
        <f t="shared" si="32"/>
        <v>Vazio</v>
      </c>
      <c r="FZ217" s="352" t="str">
        <f t="shared" si="32"/>
        <v>Vazio</v>
      </c>
      <c r="GA217" s="352" t="str">
        <f t="shared" si="32"/>
        <v>Vazio</v>
      </c>
      <c r="GB217" s="352" t="str">
        <f t="shared" si="32"/>
        <v>Vazio</v>
      </c>
      <c r="GC217" s="352" t="str">
        <f t="shared" si="32"/>
        <v>Vazio</v>
      </c>
      <c r="GD217" s="352" t="str">
        <f t="shared" si="32"/>
        <v>Vazio</v>
      </c>
      <c r="GE217" s="352" t="str">
        <f t="shared" si="32"/>
        <v>Vazio</v>
      </c>
      <c r="GF217" s="352" t="str">
        <f t="shared" si="32"/>
        <v>Vazio</v>
      </c>
      <c r="GG217" s="352" t="str">
        <f t="shared" si="32"/>
        <v>Vazio</v>
      </c>
      <c r="GH217" s="352" t="str">
        <f t="shared" si="32"/>
        <v>Vazio</v>
      </c>
      <c r="GI217" s="352" t="str">
        <f t="shared" si="32"/>
        <v>Vazio</v>
      </c>
      <c r="GJ217" s="352" t="str">
        <f t="shared" si="32"/>
        <v>Vazio</v>
      </c>
      <c r="GK217" s="352" t="str">
        <f t="shared" si="32"/>
        <v>Vazio</v>
      </c>
      <c r="GL217" s="352" t="str">
        <f t="shared" si="32"/>
        <v>Vazio</v>
      </c>
      <c r="GM217" s="352" t="str">
        <f t="shared" si="32"/>
        <v>Vazio</v>
      </c>
      <c r="GN217" s="352" t="str">
        <f t="shared" si="32"/>
        <v>Vazio</v>
      </c>
      <c r="GO217" s="352" t="str">
        <f t="shared" si="32"/>
        <v>Vazio</v>
      </c>
      <c r="GP217" s="352" t="str">
        <f t="shared" ref="GP217:JA217" si="33">StdDescricao(GP3,$D$4:$D$213,GP4:GP213)</f>
        <v>Vazio</v>
      </c>
      <c r="GQ217" s="352" t="str">
        <f t="shared" si="33"/>
        <v>Vazio</v>
      </c>
      <c r="GR217" s="352" t="str">
        <f t="shared" si="33"/>
        <v>Vazio</v>
      </c>
      <c r="GS217" s="352" t="str">
        <f t="shared" si="33"/>
        <v>Vazio</v>
      </c>
      <c r="GT217" s="352" t="str">
        <f t="shared" si="33"/>
        <v>Vazio</v>
      </c>
      <c r="GU217" s="352" t="str">
        <f t="shared" si="33"/>
        <v>Vazio</v>
      </c>
      <c r="GV217" s="352" t="str">
        <f t="shared" si="33"/>
        <v>Vazio</v>
      </c>
      <c r="GW217" s="352" t="str">
        <f t="shared" si="33"/>
        <v>Vazio</v>
      </c>
      <c r="GX217" s="352" t="str">
        <f t="shared" si="33"/>
        <v>Vazio</v>
      </c>
      <c r="GY217" s="352" t="str">
        <f t="shared" si="33"/>
        <v>Vazio</v>
      </c>
      <c r="GZ217" s="352" t="str">
        <f t="shared" si="33"/>
        <v>Vazio</v>
      </c>
      <c r="HA217" s="352" t="str">
        <f t="shared" si="33"/>
        <v>Vazio</v>
      </c>
      <c r="HB217" s="352" t="str">
        <f t="shared" si="33"/>
        <v>Vazio</v>
      </c>
      <c r="HC217" s="352" t="str">
        <f t="shared" si="33"/>
        <v>Vazio</v>
      </c>
      <c r="HD217" s="352" t="str">
        <f t="shared" si="33"/>
        <v>Vazio</v>
      </c>
      <c r="HE217" s="352" t="str">
        <f t="shared" si="33"/>
        <v>Vazio</v>
      </c>
      <c r="HF217" s="352" t="str">
        <f t="shared" si="33"/>
        <v>Vazio</v>
      </c>
      <c r="HG217" s="352" t="str">
        <f t="shared" si="33"/>
        <v>Vazio</v>
      </c>
      <c r="HH217" s="352" t="str">
        <f t="shared" si="33"/>
        <v>Vazio</v>
      </c>
      <c r="HI217" s="352" t="str">
        <f t="shared" si="33"/>
        <v>Vazio</v>
      </c>
      <c r="HJ217" s="352" t="str">
        <f t="shared" si="33"/>
        <v>Vazio</v>
      </c>
      <c r="HK217" s="352" t="str">
        <f t="shared" si="33"/>
        <v>Vazio</v>
      </c>
      <c r="HL217" s="352" t="str">
        <f t="shared" si="33"/>
        <v>Vazio</v>
      </c>
      <c r="HM217" s="352" t="str">
        <f t="shared" si="33"/>
        <v>Vazio</v>
      </c>
      <c r="HN217" s="352" t="str">
        <f t="shared" si="33"/>
        <v>Vazio</v>
      </c>
      <c r="HO217" s="352" t="str">
        <f t="shared" si="33"/>
        <v>Vazio</v>
      </c>
      <c r="HP217" s="352" t="str">
        <f t="shared" si="33"/>
        <v>Vazio</v>
      </c>
      <c r="HQ217" s="352" t="str">
        <f t="shared" si="33"/>
        <v>Vazio</v>
      </c>
      <c r="HR217" s="352" t="str">
        <f t="shared" si="33"/>
        <v>Vazio</v>
      </c>
      <c r="HS217" s="352" t="str">
        <f t="shared" si="33"/>
        <v>Vazio</v>
      </c>
      <c r="HT217" s="352" t="str">
        <f t="shared" si="33"/>
        <v>Vazio</v>
      </c>
      <c r="HU217" s="352" t="str">
        <f t="shared" si="33"/>
        <v>Vazio</v>
      </c>
      <c r="HV217" s="352" t="str">
        <f t="shared" si="33"/>
        <v>Vazio</v>
      </c>
      <c r="HW217" s="352" t="str">
        <f t="shared" si="33"/>
        <v>Vazio</v>
      </c>
      <c r="HX217" s="352" t="str">
        <f t="shared" si="33"/>
        <v>Vazio</v>
      </c>
      <c r="HY217" s="352" t="str">
        <f t="shared" si="33"/>
        <v>Vazio</v>
      </c>
      <c r="HZ217" s="352" t="str">
        <f t="shared" si="33"/>
        <v>Vazio</v>
      </c>
      <c r="IA217" s="352" t="str">
        <f t="shared" si="33"/>
        <v>Vazio</v>
      </c>
      <c r="IB217" s="352" t="str">
        <f t="shared" si="33"/>
        <v>Vazio</v>
      </c>
      <c r="IC217" s="352" t="str">
        <f t="shared" si="33"/>
        <v>Vazio</v>
      </c>
      <c r="ID217" s="352" t="str">
        <f t="shared" si="33"/>
        <v>Vazio</v>
      </c>
      <c r="IE217" s="352" t="str">
        <f t="shared" si="33"/>
        <v>Vazio</v>
      </c>
      <c r="IF217" s="352" t="str">
        <f t="shared" si="33"/>
        <v>Vazio</v>
      </c>
      <c r="IG217" s="352" t="str">
        <f t="shared" si="33"/>
        <v>Vazio</v>
      </c>
      <c r="IH217" s="352" t="str">
        <f t="shared" si="33"/>
        <v>Vazio</v>
      </c>
      <c r="II217" s="352" t="str">
        <f t="shared" si="33"/>
        <v>Vazio</v>
      </c>
      <c r="IJ217" s="352" t="str">
        <f t="shared" si="33"/>
        <v>Vazio</v>
      </c>
      <c r="IK217" s="352" t="str">
        <f t="shared" si="33"/>
        <v>Vazio</v>
      </c>
      <c r="IL217" s="352" t="str">
        <f t="shared" si="33"/>
        <v>Vazio</v>
      </c>
      <c r="IM217" s="352" t="str">
        <f t="shared" si="33"/>
        <v>Vazio</v>
      </c>
      <c r="IN217" s="352" t="str">
        <f t="shared" si="33"/>
        <v>Vazio</v>
      </c>
      <c r="IO217" s="352" t="str">
        <f t="shared" si="33"/>
        <v>Vazio</v>
      </c>
      <c r="IP217" s="352" t="str">
        <f t="shared" si="33"/>
        <v>Vazio</v>
      </c>
      <c r="IQ217" s="352" t="str">
        <f t="shared" si="33"/>
        <v>Vazio</v>
      </c>
      <c r="IR217" s="352" t="str">
        <f t="shared" si="33"/>
        <v>Vazio</v>
      </c>
      <c r="IS217" s="352" t="str">
        <f t="shared" si="33"/>
        <v>Vazio</v>
      </c>
      <c r="IT217" s="352" t="str">
        <f t="shared" si="33"/>
        <v>Vazio</v>
      </c>
      <c r="IU217" s="352" t="str">
        <f t="shared" si="33"/>
        <v>Fabiano composto por: 2x painel; 1x relé falha disjuntor (4TC/4TP/30BI/20BO); 1x chave FTLP10.</v>
      </c>
      <c r="IV217" s="352" t="str">
        <f t="shared" si="33"/>
        <v>Padrão 252 composto por: 2x painel; 1x relé falha disjuntor (4TC/4TP/30BI/20BO).</v>
      </c>
      <c r="IW217" s="352" t="str">
        <f t="shared" si="33"/>
        <v>Padrão 253 composto por: 2x painel; 1x relé falha disjuntor (4TC/4TP/30BI/20BO).</v>
      </c>
      <c r="IX217" s="352" t="str">
        <f t="shared" si="33"/>
        <v>Padrão 254 composto por: 2x painel; 1x relé falha disjuntor (4TC/4TP/30BI/20BO).</v>
      </c>
      <c r="IY217" s="352" t="str">
        <f t="shared" si="33"/>
        <v>Padrão 255 composto por: 2x painel; 1x relé falha disjuntor (4TC/4TP/30BI/20BO).</v>
      </c>
      <c r="IZ217" s="352" t="str">
        <f t="shared" si="33"/>
        <v>Padrão 256 composto por: 2x painel; 1x relé falha disjuntor (4TC/4TP/30BI/20BO).</v>
      </c>
      <c r="JA217" s="352" t="str">
        <f t="shared" si="33"/>
        <v>Padrão 257 composto por: 2x painel; 1x relé falha disjuntor (4TC/4TP/30BI/20BO).</v>
      </c>
      <c r="JB217" s="352" t="str">
        <f t="shared" ref="JB217:JD217" si="34">StdDescricao(JB3,$D$4:$D$213,JB4:JB213)</f>
        <v>Padrão 258 composto por: 2x painel; 1x relé falha disjuntor (4TC/4TP/30BI/20BO).</v>
      </c>
      <c r="JC217" s="352" t="str">
        <f t="shared" si="34"/>
        <v>Padrão 259 composto por: 2x painel; 1x relé falha disjuntor (4TC/4TP/30BI/20BO).</v>
      </c>
      <c r="JD217" s="352" t="str">
        <f t="shared" si="34"/>
        <v>Padrão 260 composto por: 1x painel.</v>
      </c>
    </row>
    <row r="220" spans="2:269" ht="15" customHeight="1" x14ac:dyDescent="0.25">
      <c r="C220" s="223" t="s">
        <v>22</v>
      </c>
    </row>
    <row r="221" spans="2:269" ht="15" customHeight="1" x14ac:dyDescent="0.25">
      <c r="C221" s="389" t="s">
        <v>252</v>
      </c>
    </row>
    <row r="222" spans="2:269" ht="15" customHeight="1" x14ac:dyDescent="0.25">
      <c r="C222" s="388" t="e">
        <f>VLOOKUP(C221,offline_param_tbl1,2,FALSE)</f>
        <v>#N/A</v>
      </c>
    </row>
    <row r="224" spans="2:269" x14ac:dyDescent="0.25">
      <c r="C224" s="113" t="s">
        <v>1010</v>
      </c>
    </row>
    <row r="225" spans="3:4" x14ac:dyDescent="0.25">
      <c r="C225" s="87">
        <f>SUMIF(col_abertura1,"Padrões",col_custoTotal)</f>
        <v>0</v>
      </c>
      <c r="D225" s="113" t="s">
        <v>1011</v>
      </c>
    </row>
    <row r="226" spans="3:4" x14ac:dyDescent="0.25">
      <c r="C226" s="87" t="e">
        <f>SUMPRODUCT(E215:JD215,E216:JD216)</f>
        <v>#N/A</v>
      </c>
      <c r="D226" s="113" t="s">
        <v>1012</v>
      </c>
    </row>
    <row r="227" spans="3:4" x14ac:dyDescent="0.25">
      <c r="C227" s="522" t="e">
        <f>IF(ABS(C225-C226)&lt;0.01,TRUE,FALSE)</f>
        <v>#N/A</v>
      </c>
    </row>
  </sheetData>
  <mergeCells count="2">
    <mergeCell ref="JH2:JI2"/>
    <mergeCell ref="C215:C216"/>
  </mergeCells>
  <conditionalFormatting sqref="E215:JD215">
    <cfRule type="cellIs" dxfId="7" priority="8" operator="greaterThan">
      <formula>0</formula>
    </cfRule>
  </conditionalFormatting>
  <conditionalFormatting sqref="E3:JD213">
    <cfRule type="expression" dxfId="6" priority="3">
      <formula>IF(E$215&gt;0,TRUE,FALSE)</formula>
    </cfRule>
  </conditionalFormatting>
  <conditionalFormatting sqref="C4:C213">
    <cfRule type="expression" dxfId="5" priority="1">
      <formula>IF($JI4&gt;0,TRUE,FALSE)</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Parametrização!$B$10:$B$14</xm:f>
          </x14:formula1>
          <xm:sqref>C221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filterMode="1">
    <tabColor theme="9" tint="0.39997558519241921"/>
  </sheetPr>
  <dimension ref="A2:M306"/>
  <sheetViews>
    <sheetView workbookViewId="0">
      <pane xSplit="3" ySplit="4" topLeftCell="D5" activePane="bottomRight" state="frozen"/>
      <selection pane="topRight" activeCell="C1" sqref="C1"/>
      <selection pane="bottomLeft" activeCell="A4" sqref="A4"/>
      <selection pane="bottomRight" activeCell="C5" sqref="C5"/>
    </sheetView>
  </sheetViews>
  <sheetFormatPr defaultColWidth="9.109375" defaultRowHeight="13.2" x14ac:dyDescent="0.25"/>
  <cols>
    <col min="1" max="1" width="0" style="677" hidden="1" customWidth="1"/>
    <col min="2" max="2" width="2.6640625" style="657" customWidth="1"/>
    <col min="3" max="3" width="66.6640625" style="657" bestFit="1" customWidth="1"/>
    <col min="4" max="4" width="6.6640625" style="657" customWidth="1"/>
    <col min="5" max="5" width="10.6640625" style="657" customWidth="1"/>
    <col min="6" max="6" width="6.6640625" style="659" customWidth="1"/>
    <col min="7" max="7" width="12.6640625" style="657" customWidth="1"/>
    <col min="8" max="9" width="10.6640625" style="657" customWidth="1"/>
    <col min="10" max="11" width="12.6640625" style="657" customWidth="1"/>
    <col min="12" max="13" width="7.6640625" style="657" customWidth="1"/>
    <col min="14" max="16384" width="9.109375" style="657"/>
  </cols>
  <sheetData>
    <row r="2" spans="1:13" x14ac:dyDescent="0.25">
      <c r="E2" s="658"/>
      <c r="K2" s="660" t="b">
        <f>IF(ABS(K3-Dados!M112)&lt;0.01,TRUE,FALSE)</f>
        <v>0</v>
      </c>
      <c r="L2" s="676">
        <v>0.8</v>
      </c>
    </row>
    <row r="3" spans="1:13" ht="15" customHeight="1" x14ac:dyDescent="0.25">
      <c r="C3" s="657" t="str">
        <f>TEXT(L2,"0%")&amp;" do volume em "&amp;TEXT(COUNTIF($M$5:$M$305,"&lt;="&amp;L2)/COUNTA(tbl_8020_itens),"0%")&amp;" dos itens."</f>
        <v>80% do volume em 39% dos itens.</v>
      </c>
      <c r="G3" s="675">
        <f>SUM(G5:G305)</f>
        <v>623888.00601825479</v>
      </c>
      <c r="J3" s="675">
        <f>SUM(J5:J305)</f>
        <v>942531.10586281598</v>
      </c>
      <c r="K3" s="675">
        <f>SUM(K5:K305)</f>
        <v>1032709.8209748007</v>
      </c>
    </row>
    <row r="4" spans="1:13" ht="30" customHeight="1" x14ac:dyDescent="0.25">
      <c r="C4" s="659" t="s">
        <v>189</v>
      </c>
      <c r="D4" s="659"/>
      <c r="E4" s="661" t="s">
        <v>779</v>
      </c>
      <c r="F4" s="661" t="s">
        <v>261</v>
      </c>
      <c r="G4" s="661" t="s">
        <v>780</v>
      </c>
      <c r="H4" s="661" t="s">
        <v>778</v>
      </c>
      <c r="I4" s="661" t="s">
        <v>733</v>
      </c>
      <c r="J4" s="661" t="s">
        <v>781</v>
      </c>
      <c r="K4" s="661" t="s">
        <v>782</v>
      </c>
      <c r="L4" s="662"/>
    </row>
    <row r="5" spans="1:13" x14ac:dyDescent="0.2">
      <c r="A5" s="677" t="b">
        <f>IF(M5&lt;$L$2,TRUE,FALSE)</f>
        <v>1</v>
      </c>
      <c r="C5" s="666" t="s">
        <v>2416</v>
      </c>
      <c r="D5" s="667" t="str">
        <f t="shared" ref="D5:D68" si="0">IF(C5&lt;&gt;"",IF(ISERROR(VLOOKUP(C5,tbl_servicos,1,FALSE)),"MAT","SERV"),"")</f>
        <v>MAT</v>
      </c>
      <c r="E5" s="668">
        <f t="shared" ref="E5:E68" si="1">IFERROR(G5/F5,0)</f>
        <v>71059.793781321205</v>
      </c>
      <c r="F5" s="669">
        <f t="shared" ref="F5:F68" si="2">SUMIF(col_item,$C5,col_qtd)</f>
        <v>2</v>
      </c>
      <c r="G5" s="668">
        <f t="shared" ref="G5:G68" si="3">SUMIF(col_item,$C5,col_custoTotal)+SUMIF(col_item,$C5,col_fatdir_liquido_com_mn)</f>
        <v>142119.58756264241</v>
      </c>
      <c r="H5" s="670">
        <f t="shared" ref="H5:H68" si="4">IFERROR(1-G5/J5,0)</f>
        <v>0.16312434739687653</v>
      </c>
      <c r="I5" s="670">
        <f t="shared" ref="I5:I68" si="5">IFERROR(1-J5/K5,0)</f>
        <v>0.12</v>
      </c>
      <c r="J5" s="668">
        <f t="shared" ref="J5:J68" si="6">SUMIF(col_item,$C5,col_liquidototal)+SUMIF(col_item,$C5,col_fatdir_liquido_com_mn)</f>
        <v>169821.63015565783</v>
      </c>
      <c r="K5" s="671">
        <f t="shared" ref="K5:K68" si="7">SUMIF(col_item,$C5,col_brutototal)+SUMIF(col_item,$C5,col_fatdir_bruto_com_mn)</f>
        <v>192979.12517688388</v>
      </c>
      <c r="L5" s="663">
        <f>IFERROR(K5/$K$3,0)</f>
        <v>0.18686674732571637</v>
      </c>
      <c r="M5" s="663">
        <f>IF(K5&gt;0,SUM($L$5:L5),"")</f>
        <v>0.18686674732571637</v>
      </c>
    </row>
    <row r="6" spans="1:13" x14ac:dyDescent="0.2">
      <c r="A6" s="677" t="b">
        <f t="shared" ref="A6:A69" si="8">IF(M6&lt;$L$2,TRUE,FALSE)</f>
        <v>1</v>
      </c>
      <c r="C6" s="666" t="s">
        <v>696</v>
      </c>
      <c r="D6" s="667" t="str">
        <f t="shared" si="0"/>
        <v>MAT</v>
      </c>
      <c r="E6" s="668">
        <f t="shared" si="1"/>
        <v>32488.500000000004</v>
      </c>
      <c r="F6" s="669">
        <f t="shared" si="2"/>
        <v>2</v>
      </c>
      <c r="G6" s="668">
        <f t="shared" si="3"/>
        <v>64977.000000000007</v>
      </c>
      <c r="H6" s="670">
        <f t="shared" si="4"/>
        <v>0.16312434739687653</v>
      </c>
      <c r="I6" s="670">
        <f t="shared" si="5"/>
        <v>0.12000000000000011</v>
      </c>
      <c r="J6" s="668">
        <f t="shared" si="6"/>
        <v>77642.359169952382</v>
      </c>
      <c r="K6" s="671">
        <f t="shared" si="7"/>
        <v>88229.953602218622</v>
      </c>
      <c r="L6" s="663">
        <f t="shared" ref="L6:L69" si="9">IFERROR(K6/$K$3,0)</f>
        <v>8.5435377692967177E-2</v>
      </c>
      <c r="M6" s="663">
        <f>IF(K6&gt;0,SUM($L$5:L6),"")</f>
        <v>0.27230212501868356</v>
      </c>
    </row>
    <row r="7" spans="1:13" x14ac:dyDescent="0.2">
      <c r="A7" s="677" t="b">
        <f t="shared" si="8"/>
        <v>1</v>
      </c>
      <c r="C7" s="666" t="s">
        <v>762</v>
      </c>
      <c r="D7" s="667" t="str">
        <f t="shared" si="0"/>
        <v>SERV</v>
      </c>
      <c r="E7" s="668">
        <f t="shared" si="1"/>
        <v>24992</v>
      </c>
      <c r="F7" s="669">
        <f t="shared" si="2"/>
        <v>1</v>
      </c>
      <c r="G7" s="668">
        <f t="shared" si="3"/>
        <v>24992</v>
      </c>
      <c r="H7" s="670">
        <f t="shared" si="4"/>
        <v>0.66107211615627604</v>
      </c>
      <c r="I7" s="670">
        <f t="shared" si="5"/>
        <v>2.9999999999999916E-2</v>
      </c>
      <c r="J7" s="668">
        <f t="shared" si="6"/>
        <v>73738.400383497356</v>
      </c>
      <c r="K7" s="671">
        <f t="shared" si="7"/>
        <v>76018.969467523042</v>
      </c>
      <c r="L7" s="663">
        <f t="shared" si="9"/>
        <v>7.3611161551428675E-2</v>
      </c>
      <c r="M7" s="663">
        <f>IF(K7&gt;0,SUM($L$5:L7),"")</f>
        <v>0.34591328657011222</v>
      </c>
    </row>
    <row r="8" spans="1:13" x14ac:dyDescent="0.2">
      <c r="A8" s="677" t="b">
        <f t="shared" si="8"/>
        <v>1</v>
      </c>
      <c r="C8" s="666" t="s">
        <v>1121</v>
      </c>
      <c r="D8" s="667" t="str">
        <f t="shared" si="0"/>
        <v>MAT</v>
      </c>
      <c r="E8" s="668">
        <f t="shared" si="1"/>
        <v>22890.790125</v>
      </c>
      <c r="F8" s="669">
        <f t="shared" si="2"/>
        <v>2</v>
      </c>
      <c r="G8" s="668">
        <f t="shared" si="3"/>
        <v>45781.580249999999</v>
      </c>
      <c r="H8" s="670">
        <f t="shared" si="4"/>
        <v>0.16312434739687653</v>
      </c>
      <c r="I8" s="670">
        <f t="shared" si="5"/>
        <v>0.12</v>
      </c>
      <c r="J8" s="668">
        <f t="shared" si="6"/>
        <v>54705.355697223604</v>
      </c>
      <c r="K8" s="671">
        <f t="shared" si="7"/>
        <v>62165.176928663182</v>
      </c>
      <c r="L8" s="663">
        <f t="shared" si="9"/>
        <v>6.0196170953408686E-2</v>
      </c>
      <c r="M8" s="663">
        <f>IF(K8&gt;0,SUM($L$5:L8),"")</f>
        <v>0.4061094575235209</v>
      </c>
    </row>
    <row r="9" spans="1:13" x14ac:dyDescent="0.2">
      <c r="A9" s="677" t="b">
        <f t="shared" si="8"/>
        <v>1</v>
      </c>
      <c r="C9" s="666" t="s">
        <v>3115</v>
      </c>
      <c r="D9" s="667" t="str">
        <f t="shared" si="0"/>
        <v>MAT</v>
      </c>
      <c r="E9" s="668">
        <f t="shared" si="1"/>
        <v>21450.516350000002</v>
      </c>
      <c r="F9" s="669">
        <f t="shared" si="2"/>
        <v>2</v>
      </c>
      <c r="G9" s="668">
        <f t="shared" si="3"/>
        <v>42901.032700000003</v>
      </c>
      <c r="H9" s="670">
        <f t="shared" si="4"/>
        <v>0.16312434739687653</v>
      </c>
      <c r="I9" s="670">
        <f t="shared" si="5"/>
        <v>0.12</v>
      </c>
      <c r="J9" s="668">
        <f t="shared" si="6"/>
        <v>51263.329942214506</v>
      </c>
      <c r="K9" s="671">
        <f t="shared" si="7"/>
        <v>58253.78402524376</v>
      </c>
      <c r="L9" s="663">
        <f t="shared" si="9"/>
        <v>5.640866663808479E-2</v>
      </c>
      <c r="M9" s="663">
        <f>IF(K9&gt;0,SUM($L$5:L9),"")</f>
        <v>0.4625181241616057</v>
      </c>
    </row>
    <row r="10" spans="1:13" x14ac:dyDescent="0.2">
      <c r="A10" s="677" t="b">
        <f t="shared" si="8"/>
        <v>1</v>
      </c>
      <c r="C10" s="666" t="s">
        <v>589</v>
      </c>
      <c r="D10" s="667" t="str">
        <f t="shared" si="0"/>
        <v>SERV</v>
      </c>
      <c r="E10" s="668">
        <f t="shared" si="1"/>
        <v>18744</v>
      </c>
      <c r="F10" s="669">
        <f t="shared" si="2"/>
        <v>1</v>
      </c>
      <c r="G10" s="668">
        <f t="shared" si="3"/>
        <v>18744</v>
      </c>
      <c r="H10" s="670">
        <f t="shared" si="4"/>
        <v>0.66107211615627604</v>
      </c>
      <c r="I10" s="670">
        <f t="shared" si="5"/>
        <v>3.0000000000000027E-2</v>
      </c>
      <c r="J10" s="668">
        <f t="shared" si="6"/>
        <v>55303.800287623009</v>
      </c>
      <c r="K10" s="671">
        <f t="shared" si="7"/>
        <v>57014.227100642282</v>
      </c>
      <c r="L10" s="663">
        <f t="shared" si="9"/>
        <v>5.520837116357151E-2</v>
      </c>
      <c r="M10" s="663">
        <f>IF(K10&gt;0,SUM($L$5:L10),"")</f>
        <v>0.51772649532517723</v>
      </c>
    </row>
    <row r="11" spans="1:13" x14ac:dyDescent="0.2">
      <c r="A11" s="677" t="b">
        <f t="shared" si="8"/>
        <v>1</v>
      </c>
      <c r="C11" s="739" t="s">
        <v>29</v>
      </c>
      <c r="D11" s="667" t="str">
        <f t="shared" si="0"/>
        <v>SERV</v>
      </c>
      <c r="E11" s="668">
        <f t="shared" si="1"/>
        <v>32650</v>
      </c>
      <c r="F11" s="669">
        <f t="shared" si="2"/>
        <v>1</v>
      </c>
      <c r="G11" s="668">
        <f t="shared" si="3"/>
        <v>32650</v>
      </c>
      <c r="H11" s="670">
        <f t="shared" si="4"/>
        <v>0.41312434739687653</v>
      </c>
      <c r="I11" s="670">
        <f t="shared" si="5"/>
        <v>3.0000000000000027E-2</v>
      </c>
      <c r="J11" s="668">
        <f t="shared" si="6"/>
        <v>55633.590957775967</v>
      </c>
      <c r="K11" s="671">
        <f t="shared" si="7"/>
        <v>57354.217482243264</v>
      </c>
      <c r="L11" s="663">
        <f t="shared" si="9"/>
        <v>5.5537592765511977E-2</v>
      </c>
      <c r="M11" s="663">
        <f>IF(K11&gt;0,SUM($L$5:L11),"")</f>
        <v>0.57326408809068918</v>
      </c>
    </row>
    <row r="12" spans="1:13" x14ac:dyDescent="0.2">
      <c r="A12" s="677" t="b">
        <f t="shared" si="8"/>
        <v>1</v>
      </c>
      <c r="C12" s="739" t="s">
        <v>3052</v>
      </c>
      <c r="D12" s="667" t="str">
        <f t="shared" si="0"/>
        <v>MAT</v>
      </c>
      <c r="E12" s="668">
        <f t="shared" si="1"/>
        <v>20591.491825000001</v>
      </c>
      <c r="F12" s="669">
        <f t="shared" si="2"/>
        <v>2</v>
      </c>
      <c r="G12" s="668">
        <f t="shared" si="3"/>
        <v>41182.983650000002</v>
      </c>
      <c r="H12" s="670">
        <f t="shared" si="4"/>
        <v>0.16312434739687653</v>
      </c>
      <c r="I12" s="670">
        <f t="shared" si="5"/>
        <v>0.12</v>
      </c>
      <c r="J12" s="668">
        <f t="shared" si="6"/>
        <v>49210.397652147316</v>
      </c>
      <c r="K12" s="671">
        <f t="shared" si="7"/>
        <v>55920.906422894674</v>
      </c>
      <c r="L12" s="663">
        <f t="shared" si="9"/>
        <v>5.414968008158335E-2</v>
      </c>
      <c r="M12" s="663">
        <f>IF(K12&gt;0,SUM($L$5:L12),"")</f>
        <v>0.62741376817227257</v>
      </c>
    </row>
    <row r="13" spans="1:13" x14ac:dyDescent="0.2">
      <c r="A13" s="677" t="b">
        <f t="shared" si="8"/>
        <v>1</v>
      </c>
      <c r="C13" s="666" t="s">
        <v>1123</v>
      </c>
      <c r="D13" s="667" t="str">
        <f t="shared" si="0"/>
        <v>SERV</v>
      </c>
      <c r="E13" s="668">
        <f t="shared" si="1"/>
        <v>16368</v>
      </c>
      <c r="F13" s="669">
        <f t="shared" si="2"/>
        <v>1</v>
      </c>
      <c r="G13" s="668">
        <f t="shared" si="3"/>
        <v>16368</v>
      </c>
      <c r="H13" s="670">
        <f t="shared" si="4"/>
        <v>0.66107211615627604</v>
      </c>
      <c r="I13" s="670">
        <f t="shared" si="5"/>
        <v>3.0000000000000027E-2</v>
      </c>
      <c r="J13" s="668">
        <f t="shared" si="6"/>
        <v>48293.45940609333</v>
      </c>
      <c r="K13" s="671">
        <f t="shared" si="7"/>
        <v>49787.071552673537</v>
      </c>
      <c r="L13" s="663">
        <f t="shared" si="9"/>
        <v>4.821012693156948E-2</v>
      </c>
      <c r="M13" s="663">
        <f>IF(K13&gt;0,SUM($L$5:L13),"")</f>
        <v>0.67562389510384202</v>
      </c>
    </row>
    <row r="14" spans="1:13" x14ac:dyDescent="0.2">
      <c r="A14" s="677" t="b">
        <f t="shared" si="8"/>
        <v>1</v>
      </c>
      <c r="C14" s="666" t="s">
        <v>3053</v>
      </c>
      <c r="D14" s="667" t="str">
        <f t="shared" si="0"/>
        <v>MAT</v>
      </c>
      <c r="E14" s="668">
        <f t="shared" si="1"/>
        <v>17144.454550000002</v>
      </c>
      <c r="F14" s="669">
        <f t="shared" si="2"/>
        <v>2</v>
      </c>
      <c r="G14" s="668">
        <f t="shared" si="3"/>
        <v>34288.909100000004</v>
      </c>
      <c r="H14" s="670">
        <f t="shared" si="4"/>
        <v>0.16312434739687642</v>
      </c>
      <c r="I14" s="670">
        <f t="shared" si="5"/>
        <v>0.12</v>
      </c>
      <c r="J14" s="668">
        <f t="shared" si="6"/>
        <v>40972.525599643697</v>
      </c>
      <c r="K14" s="671">
        <f t="shared" si="7"/>
        <v>46559.688181413294</v>
      </c>
      <c r="L14" s="663">
        <f t="shared" si="9"/>
        <v>4.5084966982752654E-2</v>
      </c>
      <c r="M14" s="663">
        <f>IF(K14&gt;0,SUM($L$5:L14),"")</f>
        <v>0.72070886208659468</v>
      </c>
    </row>
    <row r="15" spans="1:13" x14ac:dyDescent="0.2">
      <c r="A15" s="677" t="b">
        <f t="shared" si="8"/>
        <v>1</v>
      </c>
      <c r="C15" s="666" t="s">
        <v>26</v>
      </c>
      <c r="D15" s="667" t="str">
        <f t="shared" si="0"/>
        <v>SERV</v>
      </c>
      <c r="E15" s="668">
        <f t="shared" si="1"/>
        <v>14403.004055612413</v>
      </c>
      <c r="F15" s="669">
        <f t="shared" si="2"/>
        <v>1</v>
      </c>
      <c r="G15" s="668">
        <f t="shared" si="3"/>
        <v>14403.004055612413</v>
      </c>
      <c r="H15" s="670">
        <f t="shared" si="4"/>
        <v>0.66107211615627604</v>
      </c>
      <c r="I15" s="670">
        <f t="shared" si="5"/>
        <v>3.0000000000000027E-2</v>
      </c>
      <c r="J15" s="668">
        <f t="shared" si="6"/>
        <v>42495.77784002418</v>
      </c>
      <c r="K15" s="671">
        <f t="shared" si="7"/>
        <v>43810.080247447608</v>
      </c>
      <c r="L15" s="663">
        <f t="shared" si="9"/>
        <v>4.2422449518388597E-2</v>
      </c>
      <c r="M15" s="663">
        <f>IF(K15&gt;0,SUM($L$5:L15),"")</f>
        <v>0.76313131160498326</v>
      </c>
    </row>
    <row r="16" spans="1:13" x14ac:dyDescent="0.2">
      <c r="A16" s="677" t="b">
        <f t="shared" si="8"/>
        <v>0</v>
      </c>
      <c r="C16" s="666" t="s">
        <v>3058</v>
      </c>
      <c r="D16" s="667" t="str">
        <f t="shared" si="0"/>
        <v>MAT</v>
      </c>
      <c r="E16" s="668">
        <f t="shared" si="1"/>
        <v>0</v>
      </c>
      <c r="F16" s="669">
        <f t="shared" si="2"/>
        <v>0</v>
      </c>
      <c r="G16" s="668">
        <f t="shared" si="3"/>
        <v>0</v>
      </c>
      <c r="H16" s="670">
        <f t="shared" si="4"/>
        <v>0</v>
      </c>
      <c r="I16" s="670">
        <f t="shared" si="5"/>
        <v>0</v>
      </c>
      <c r="J16" s="668">
        <f t="shared" si="6"/>
        <v>0</v>
      </c>
      <c r="K16" s="671">
        <f t="shared" si="7"/>
        <v>0</v>
      </c>
      <c r="L16" s="663">
        <f t="shared" si="9"/>
        <v>0</v>
      </c>
      <c r="M16" s="663" t="str">
        <f>IF(K16&gt;0,SUM($L$5:L16),"")</f>
        <v/>
      </c>
    </row>
    <row r="17" spans="1:13" x14ac:dyDescent="0.2">
      <c r="A17" s="677" t="b">
        <f t="shared" si="8"/>
        <v>1</v>
      </c>
      <c r="C17" s="666" t="s">
        <v>2309</v>
      </c>
      <c r="D17" s="667" t="str">
        <f t="shared" si="0"/>
        <v>MAT</v>
      </c>
      <c r="E17" s="668">
        <f t="shared" si="1"/>
        <v>11405.733850000001</v>
      </c>
      <c r="F17" s="669">
        <f t="shared" si="2"/>
        <v>2</v>
      </c>
      <c r="G17" s="668">
        <f t="shared" si="3"/>
        <v>22811.467700000001</v>
      </c>
      <c r="H17" s="670">
        <f t="shared" si="4"/>
        <v>0.16312434739687653</v>
      </c>
      <c r="I17" s="670">
        <f t="shared" si="5"/>
        <v>0.12</v>
      </c>
      <c r="J17" s="668">
        <f t="shared" si="6"/>
        <v>27257.893844855371</v>
      </c>
      <c r="K17" s="671">
        <f t="shared" si="7"/>
        <v>30974.87936915383</v>
      </c>
      <c r="L17" s="663">
        <f t="shared" si="9"/>
        <v>2.9993787935429783E-2</v>
      </c>
      <c r="M17" s="663">
        <f>IF(K17&gt;0,SUM($L$5:L17),"")</f>
        <v>0.7931250995404131</v>
      </c>
    </row>
    <row r="18" spans="1:13" x14ac:dyDescent="0.2">
      <c r="A18" s="677" t="b">
        <f t="shared" si="8"/>
        <v>0</v>
      </c>
      <c r="C18" s="666" t="s">
        <v>65</v>
      </c>
      <c r="D18" s="667" t="str">
        <f t="shared" si="0"/>
        <v>SERV</v>
      </c>
      <c r="E18" s="668">
        <f t="shared" si="1"/>
        <v>9372</v>
      </c>
      <c r="F18" s="669">
        <f t="shared" si="2"/>
        <v>1</v>
      </c>
      <c r="G18" s="668">
        <f t="shared" si="3"/>
        <v>9372</v>
      </c>
      <c r="H18" s="670">
        <f t="shared" si="4"/>
        <v>0.66107211615627604</v>
      </c>
      <c r="I18" s="670">
        <f t="shared" si="5"/>
        <v>3.0000000000000027E-2</v>
      </c>
      <c r="J18" s="668">
        <f t="shared" si="6"/>
        <v>27651.900143811505</v>
      </c>
      <c r="K18" s="671">
        <f t="shared" si="7"/>
        <v>28507.113550321141</v>
      </c>
      <c r="L18" s="663">
        <f t="shared" si="9"/>
        <v>2.7604185581785755E-2</v>
      </c>
      <c r="M18" s="663">
        <f>IF(K18&gt;0,SUM($L$5:L18),"")</f>
        <v>0.82072928512219889</v>
      </c>
    </row>
    <row r="19" spans="1:13" x14ac:dyDescent="0.2">
      <c r="A19" s="677" t="b">
        <f t="shared" si="8"/>
        <v>0</v>
      </c>
      <c r="C19" s="666" t="s">
        <v>1119</v>
      </c>
      <c r="D19" s="667" t="str">
        <f t="shared" si="0"/>
        <v>SERV</v>
      </c>
      <c r="E19" s="668">
        <f t="shared" si="1"/>
        <v>9372</v>
      </c>
      <c r="F19" s="669">
        <f t="shared" si="2"/>
        <v>1</v>
      </c>
      <c r="G19" s="668">
        <f t="shared" si="3"/>
        <v>9372</v>
      </c>
      <c r="H19" s="670">
        <f t="shared" si="4"/>
        <v>0.66107211615627604</v>
      </c>
      <c r="I19" s="670">
        <f t="shared" si="5"/>
        <v>3.0000000000000027E-2</v>
      </c>
      <c r="J19" s="668">
        <f t="shared" si="6"/>
        <v>27651.900143811505</v>
      </c>
      <c r="K19" s="671">
        <f t="shared" si="7"/>
        <v>28507.113550321141</v>
      </c>
      <c r="L19" s="663">
        <f t="shared" si="9"/>
        <v>2.7604185581785755E-2</v>
      </c>
      <c r="M19" s="663">
        <f>IF(K19&gt;0,SUM($L$5:L19),"")</f>
        <v>0.84833347070398468</v>
      </c>
    </row>
    <row r="20" spans="1:13" x14ac:dyDescent="0.2">
      <c r="A20" s="677" t="b">
        <f t="shared" si="8"/>
        <v>0</v>
      </c>
      <c r="C20" s="666" t="s">
        <v>3093</v>
      </c>
      <c r="D20" s="667" t="str">
        <f t="shared" si="0"/>
        <v>MAT</v>
      </c>
      <c r="E20" s="668">
        <f t="shared" si="1"/>
        <v>10432.7124</v>
      </c>
      <c r="F20" s="669">
        <f t="shared" si="2"/>
        <v>2</v>
      </c>
      <c r="G20" s="668">
        <f t="shared" si="3"/>
        <v>20865.424800000001</v>
      </c>
      <c r="H20" s="670">
        <f t="shared" si="4"/>
        <v>0.16312434739687653</v>
      </c>
      <c r="I20" s="670">
        <f t="shared" si="5"/>
        <v>0.12</v>
      </c>
      <c r="J20" s="668">
        <f t="shared" si="6"/>
        <v>24932.526995017186</v>
      </c>
      <c r="K20" s="671">
        <f t="shared" si="7"/>
        <v>28332.417039792257</v>
      </c>
      <c r="L20" s="663">
        <f t="shared" si="9"/>
        <v>2.7435022369641626E-2</v>
      </c>
      <c r="M20" s="663">
        <f>IF(K20&gt;0,SUM($L$5:L20),"")</f>
        <v>0.87576849307362625</v>
      </c>
    </row>
    <row r="21" spans="1:13" x14ac:dyDescent="0.2">
      <c r="A21" s="677" t="b">
        <f t="shared" si="8"/>
        <v>0</v>
      </c>
      <c r="C21" s="666" t="s">
        <v>1924</v>
      </c>
      <c r="D21" s="667" t="str">
        <f t="shared" si="0"/>
        <v>MAT</v>
      </c>
      <c r="E21" s="668">
        <f t="shared" si="1"/>
        <v>0</v>
      </c>
      <c r="F21" s="669">
        <f t="shared" si="2"/>
        <v>0</v>
      </c>
      <c r="G21" s="668">
        <f t="shared" si="3"/>
        <v>0</v>
      </c>
      <c r="H21" s="670">
        <f t="shared" si="4"/>
        <v>0</v>
      </c>
      <c r="I21" s="670">
        <f t="shared" si="5"/>
        <v>0</v>
      </c>
      <c r="J21" s="668">
        <f t="shared" si="6"/>
        <v>0</v>
      </c>
      <c r="K21" s="671">
        <f t="shared" si="7"/>
        <v>0</v>
      </c>
      <c r="L21" s="663">
        <f t="shared" si="9"/>
        <v>0</v>
      </c>
      <c r="M21" s="663" t="str">
        <f>IF(K21&gt;0,SUM($L$5:L21),"")</f>
        <v/>
      </c>
    </row>
    <row r="22" spans="1:13" x14ac:dyDescent="0.2">
      <c r="A22" s="677" t="b">
        <f t="shared" si="8"/>
        <v>0</v>
      </c>
      <c r="C22" s="666" t="s">
        <v>2427</v>
      </c>
      <c r="D22" s="667" t="str">
        <f t="shared" si="0"/>
        <v>MAT</v>
      </c>
      <c r="E22" s="668">
        <f t="shared" si="1"/>
        <v>12794.661</v>
      </c>
      <c r="F22" s="669">
        <f t="shared" si="2"/>
        <v>1</v>
      </c>
      <c r="G22" s="668">
        <f t="shared" si="3"/>
        <v>12794.661</v>
      </c>
      <c r="H22" s="670">
        <f t="shared" si="4"/>
        <v>0.2481243473968765</v>
      </c>
      <c r="I22" s="670">
        <f t="shared" si="5"/>
        <v>0.15147699757869237</v>
      </c>
      <c r="J22" s="668">
        <f t="shared" si="6"/>
        <v>17016.990716088054</v>
      </c>
      <c r="K22" s="671">
        <f t="shared" si="7"/>
        <v>20054.837249584423</v>
      </c>
      <c r="L22" s="663">
        <f t="shared" si="9"/>
        <v>1.9419624799010972E-2</v>
      </c>
      <c r="M22" s="663">
        <f>IF(K22&gt;0,SUM($L$5:L22),"")</f>
        <v>0.89518811787263719</v>
      </c>
    </row>
    <row r="23" spans="1:13" x14ac:dyDescent="0.2">
      <c r="A23" s="677" t="b">
        <f t="shared" si="8"/>
        <v>0</v>
      </c>
      <c r="C23" s="666" t="s">
        <v>698</v>
      </c>
      <c r="D23" s="667" t="str">
        <f t="shared" si="0"/>
        <v>MAT</v>
      </c>
      <c r="E23" s="668">
        <f t="shared" si="1"/>
        <v>7350.7500000000009</v>
      </c>
      <c r="F23" s="669">
        <f t="shared" si="2"/>
        <v>2</v>
      </c>
      <c r="G23" s="668">
        <f t="shared" si="3"/>
        <v>14701.500000000002</v>
      </c>
      <c r="H23" s="670">
        <f t="shared" si="4"/>
        <v>0.16312434739687653</v>
      </c>
      <c r="I23" s="670">
        <f t="shared" si="5"/>
        <v>0.11999999999999988</v>
      </c>
      <c r="J23" s="668">
        <f t="shared" si="6"/>
        <v>17567.125957447326</v>
      </c>
      <c r="K23" s="671">
        <f t="shared" si="7"/>
        <v>19962.643133462869</v>
      </c>
      <c r="L23" s="663">
        <f t="shared" si="9"/>
        <v>1.9330350818799833E-2</v>
      </c>
      <c r="M23" s="663">
        <f>IF(K23&gt;0,SUM($L$5:L23),"")</f>
        <v>0.91451846869143705</v>
      </c>
    </row>
    <row r="24" spans="1:13" x14ac:dyDescent="0.2">
      <c r="A24" s="677" t="b">
        <f t="shared" si="8"/>
        <v>0</v>
      </c>
      <c r="C24" s="666" t="s">
        <v>702</v>
      </c>
      <c r="D24" s="667" t="str">
        <f t="shared" si="0"/>
        <v>MAT</v>
      </c>
      <c r="E24" s="668">
        <f t="shared" si="1"/>
        <v>7350.7500000000009</v>
      </c>
      <c r="F24" s="669">
        <f t="shared" si="2"/>
        <v>2</v>
      </c>
      <c r="G24" s="668">
        <f t="shared" si="3"/>
        <v>14701.500000000002</v>
      </c>
      <c r="H24" s="670">
        <f t="shared" si="4"/>
        <v>0.16312434739687653</v>
      </c>
      <c r="I24" s="670">
        <f t="shared" si="5"/>
        <v>0.11999999999999988</v>
      </c>
      <c r="J24" s="668">
        <f t="shared" si="6"/>
        <v>17567.125957447326</v>
      </c>
      <c r="K24" s="671">
        <f t="shared" si="7"/>
        <v>19962.643133462869</v>
      </c>
      <c r="L24" s="663">
        <f t="shared" si="9"/>
        <v>1.9330350818799833E-2</v>
      </c>
      <c r="M24" s="663">
        <f>IF(K24&gt;0,SUM($L$5:L24),"")</f>
        <v>0.9338488195102369</v>
      </c>
    </row>
    <row r="25" spans="1:13" x14ac:dyDescent="0.2">
      <c r="A25" s="677" t="b">
        <f t="shared" si="8"/>
        <v>0</v>
      </c>
      <c r="C25" s="739" t="s">
        <v>30</v>
      </c>
      <c r="D25" s="667" t="str">
        <f t="shared" si="0"/>
        <v>SERV</v>
      </c>
      <c r="E25" s="668">
        <f t="shared" si="1"/>
        <v>3124</v>
      </c>
      <c r="F25" s="669">
        <f t="shared" si="2"/>
        <v>1</v>
      </c>
      <c r="G25" s="668">
        <f t="shared" si="3"/>
        <v>3124</v>
      </c>
      <c r="H25" s="670">
        <f t="shared" si="4"/>
        <v>0.74312434739687649</v>
      </c>
      <c r="I25" s="670">
        <f t="shared" si="5"/>
        <v>3.0000000000000027E-2</v>
      </c>
      <c r="J25" s="668">
        <f t="shared" si="6"/>
        <v>12161.526280681121</v>
      </c>
      <c r="K25" s="671">
        <f t="shared" si="7"/>
        <v>12537.655959465073</v>
      </c>
      <c r="L25" s="663">
        <f t="shared" si="9"/>
        <v>1.2140541035651684E-2</v>
      </c>
      <c r="M25" s="663">
        <f>IF(K25&gt;0,SUM($L$5:L25),"")</f>
        <v>0.94598936054588856</v>
      </c>
    </row>
    <row r="26" spans="1:13" x14ac:dyDescent="0.2">
      <c r="A26" s="677" t="b">
        <f t="shared" si="8"/>
        <v>0</v>
      </c>
      <c r="C26" s="739" t="s">
        <v>2308</v>
      </c>
      <c r="D26" s="667" t="str">
        <f t="shared" si="0"/>
        <v>MAT</v>
      </c>
      <c r="E26" s="668">
        <f t="shared" si="1"/>
        <v>3911.4013500000001</v>
      </c>
      <c r="F26" s="669">
        <f t="shared" si="2"/>
        <v>2</v>
      </c>
      <c r="G26" s="668">
        <f t="shared" si="3"/>
        <v>7822.8027000000002</v>
      </c>
      <c r="H26" s="670">
        <f t="shared" si="4"/>
        <v>0.16312434739687653</v>
      </c>
      <c r="I26" s="670">
        <f t="shared" si="5"/>
        <v>0.12</v>
      </c>
      <c r="J26" s="668">
        <f t="shared" si="6"/>
        <v>9347.628498531376</v>
      </c>
      <c r="K26" s="671">
        <f t="shared" si="7"/>
        <v>10622.305111967473</v>
      </c>
      <c r="L26" s="663">
        <f t="shared" si="9"/>
        <v>1.0285856584515496E-2</v>
      </c>
      <c r="M26" s="663">
        <f>IF(K26&gt;0,SUM($L$5:L26),"")</f>
        <v>0.95627521713040409</v>
      </c>
    </row>
    <row r="27" spans="1:13" x14ac:dyDescent="0.2">
      <c r="A27" s="677" t="b">
        <f t="shared" si="8"/>
        <v>0</v>
      </c>
      <c r="C27" s="666" t="s">
        <v>1118</v>
      </c>
      <c r="D27" s="667" t="str">
        <f t="shared" si="0"/>
        <v>SERV</v>
      </c>
      <c r="E27" s="668">
        <f t="shared" si="1"/>
        <v>7392.0000000000009</v>
      </c>
      <c r="F27" s="669">
        <f t="shared" si="2"/>
        <v>1</v>
      </c>
      <c r="G27" s="668">
        <f t="shared" si="3"/>
        <v>7392.0000000000009</v>
      </c>
      <c r="H27" s="670">
        <f t="shared" si="4"/>
        <v>0.16312434739687642</v>
      </c>
      <c r="I27" s="670">
        <f t="shared" si="5"/>
        <v>2.9999999999999916E-2</v>
      </c>
      <c r="J27" s="668">
        <f t="shared" si="6"/>
        <v>8832.8534555964106</v>
      </c>
      <c r="K27" s="671">
        <f t="shared" si="7"/>
        <v>9106.0344903055775</v>
      </c>
      <c r="L27" s="663">
        <f t="shared" si="9"/>
        <v>8.8176119809823851E-3</v>
      </c>
      <c r="M27" s="663">
        <f>IF(K27&gt;0,SUM($L$5:L27),"")</f>
        <v>0.9650928291113865</v>
      </c>
    </row>
    <row r="28" spans="1:13" x14ac:dyDescent="0.2">
      <c r="A28" s="677" t="b">
        <f t="shared" si="8"/>
        <v>0</v>
      </c>
      <c r="C28" s="666" t="s">
        <v>2410</v>
      </c>
      <c r="D28" s="667" t="str">
        <f t="shared" si="0"/>
        <v>MAT</v>
      </c>
      <c r="E28" s="668">
        <f t="shared" si="1"/>
        <v>1082.5011999999999</v>
      </c>
      <c r="F28" s="669">
        <f t="shared" si="2"/>
        <v>6</v>
      </c>
      <c r="G28" s="668">
        <f t="shared" si="3"/>
        <v>6495.0072</v>
      </c>
      <c r="H28" s="670">
        <f t="shared" si="4"/>
        <v>0.16312434739687653</v>
      </c>
      <c r="I28" s="670">
        <f t="shared" si="5"/>
        <v>0.11999999999999988</v>
      </c>
      <c r="J28" s="668">
        <f t="shared" si="6"/>
        <v>7761.0182346649844</v>
      </c>
      <c r="K28" s="671">
        <f t="shared" si="7"/>
        <v>8819.3389030283906</v>
      </c>
      <c r="L28" s="663">
        <f t="shared" si="9"/>
        <v>8.5399971259144166E-3</v>
      </c>
      <c r="M28" s="663">
        <f>IF(K28&gt;0,SUM($L$5:L28),"")</f>
        <v>0.97363282623730096</v>
      </c>
    </row>
    <row r="29" spans="1:13" x14ac:dyDescent="0.2">
      <c r="A29" s="677" t="b">
        <f t="shared" si="8"/>
        <v>0</v>
      </c>
      <c r="C29" s="739" t="s">
        <v>2355</v>
      </c>
      <c r="D29" s="667" t="str">
        <f t="shared" si="0"/>
        <v>SERV</v>
      </c>
      <c r="E29" s="668">
        <f t="shared" si="1"/>
        <v>2640</v>
      </c>
      <c r="F29" s="669">
        <f t="shared" si="2"/>
        <v>1</v>
      </c>
      <c r="G29" s="668">
        <f t="shared" si="3"/>
        <v>2640</v>
      </c>
      <c r="H29" s="670">
        <f t="shared" si="4"/>
        <v>0.66107211615627604</v>
      </c>
      <c r="I29" s="670">
        <f t="shared" si="5"/>
        <v>3.0000000000000027E-2</v>
      </c>
      <c r="J29" s="668">
        <f t="shared" si="6"/>
        <v>7789.267646144086</v>
      </c>
      <c r="K29" s="671">
        <f t="shared" si="7"/>
        <v>8030.1728310763774</v>
      </c>
      <c r="L29" s="663">
        <f t="shared" si="9"/>
        <v>7.7758269244466906E-3</v>
      </c>
      <c r="M29" s="663">
        <f>IF(K29&gt;0,SUM($L$5:L29),"")</f>
        <v>0.98140865316174763</v>
      </c>
    </row>
    <row r="30" spans="1:13" x14ac:dyDescent="0.2">
      <c r="A30" s="677" t="b">
        <f t="shared" si="8"/>
        <v>0</v>
      </c>
      <c r="C30" s="666" t="s">
        <v>793</v>
      </c>
      <c r="D30" s="667" t="str">
        <f t="shared" si="0"/>
        <v>MAT</v>
      </c>
      <c r="E30" s="668">
        <f t="shared" si="1"/>
        <v>80.096625000000003</v>
      </c>
      <c r="F30" s="669">
        <f t="shared" si="2"/>
        <v>78</v>
      </c>
      <c r="G30" s="668">
        <f t="shared" si="3"/>
        <v>6247.5367500000002</v>
      </c>
      <c r="H30" s="670">
        <f t="shared" si="4"/>
        <v>0.16312434739687653</v>
      </c>
      <c r="I30" s="670">
        <f t="shared" si="5"/>
        <v>3.0000000000000027E-2</v>
      </c>
      <c r="J30" s="668">
        <f t="shared" si="6"/>
        <v>7465.3106833337479</v>
      </c>
      <c r="K30" s="671">
        <f t="shared" si="7"/>
        <v>7696.1965807564411</v>
      </c>
      <c r="L30" s="663">
        <f t="shared" si="9"/>
        <v>7.4524289635318928E-3</v>
      </c>
      <c r="M30" s="663">
        <f>IF(K30&gt;0,SUM($L$5:L30),"")</f>
        <v>0.98886108212527957</v>
      </c>
    </row>
    <row r="31" spans="1:13" x14ac:dyDescent="0.2">
      <c r="A31" s="677" t="b">
        <f t="shared" si="8"/>
        <v>0</v>
      </c>
      <c r="C31" s="666" t="s">
        <v>1149</v>
      </c>
      <c r="D31" s="667" t="str">
        <f t="shared" si="0"/>
        <v>MAT</v>
      </c>
      <c r="E31" s="668">
        <f t="shared" si="1"/>
        <v>862.52400000000023</v>
      </c>
      <c r="F31" s="669">
        <f t="shared" si="2"/>
        <v>4</v>
      </c>
      <c r="G31" s="668">
        <f t="shared" si="3"/>
        <v>3450.0960000000009</v>
      </c>
      <c r="H31" s="670">
        <f t="shared" si="4"/>
        <v>0.16312434739687653</v>
      </c>
      <c r="I31" s="670">
        <f t="shared" si="5"/>
        <v>0.12</v>
      </c>
      <c r="J31" s="668">
        <f t="shared" si="6"/>
        <v>4122.5909599214501</v>
      </c>
      <c r="K31" s="671">
        <f t="shared" si="7"/>
        <v>4684.7624544561932</v>
      </c>
      <c r="L31" s="663">
        <f t="shared" si="9"/>
        <v>4.5363783313633332E-3</v>
      </c>
      <c r="M31" s="663">
        <f>IF(K31&gt;0,SUM($L$5:L31),"")</f>
        <v>0.9933974604566429</v>
      </c>
    </row>
    <row r="32" spans="1:13" x14ac:dyDescent="0.2">
      <c r="A32" s="677" t="b">
        <f t="shared" si="8"/>
        <v>0</v>
      </c>
      <c r="C32" s="666" t="s">
        <v>1133</v>
      </c>
      <c r="D32" s="667" t="str">
        <f t="shared" si="0"/>
        <v>SERV</v>
      </c>
      <c r="E32" s="668">
        <f t="shared" si="1"/>
        <v>1091.2</v>
      </c>
      <c r="F32" s="669">
        <f t="shared" si="2"/>
        <v>1</v>
      </c>
      <c r="G32" s="668">
        <f t="shared" si="3"/>
        <v>1091.2</v>
      </c>
      <c r="H32" s="670">
        <f t="shared" si="4"/>
        <v>0.66107211615627604</v>
      </c>
      <c r="I32" s="670">
        <f t="shared" si="5"/>
        <v>3.0000000000000027E-2</v>
      </c>
      <c r="J32" s="668">
        <f t="shared" si="6"/>
        <v>3219.5639604062226</v>
      </c>
      <c r="K32" s="671">
        <f t="shared" si="7"/>
        <v>3319.1381035115696</v>
      </c>
      <c r="L32" s="663">
        <f t="shared" si="9"/>
        <v>3.2140084621046323E-3</v>
      </c>
      <c r="M32" s="663">
        <f>IF(K32&gt;0,SUM($L$5:L32),"")</f>
        <v>0.99661146891874752</v>
      </c>
    </row>
    <row r="33" spans="1:13" x14ac:dyDescent="0.2">
      <c r="A33" s="677" t="b">
        <f t="shared" si="8"/>
        <v>0</v>
      </c>
      <c r="C33" s="739" t="s">
        <v>942</v>
      </c>
      <c r="D33" s="667" t="str">
        <f t="shared" si="0"/>
        <v>MAT</v>
      </c>
      <c r="E33" s="668">
        <f t="shared" si="1"/>
        <v>819.20627500000001</v>
      </c>
      <c r="F33" s="669">
        <f t="shared" si="2"/>
        <v>2</v>
      </c>
      <c r="G33" s="668">
        <f t="shared" si="3"/>
        <v>1638.41255</v>
      </c>
      <c r="H33" s="670">
        <f t="shared" si="4"/>
        <v>0.16312434739687653</v>
      </c>
      <c r="I33" s="670">
        <f t="shared" si="5"/>
        <v>0.12000000000000011</v>
      </c>
      <c r="J33" s="668">
        <f t="shared" si="6"/>
        <v>1957.7729916071464</v>
      </c>
      <c r="K33" s="671">
        <f t="shared" si="7"/>
        <v>2224.742035917212</v>
      </c>
      <c r="L33" s="663">
        <f t="shared" si="9"/>
        <v>2.1542760519283354E-3</v>
      </c>
      <c r="M33" s="663">
        <f>IF(K33&gt;0,SUM($L$5:L33),"")</f>
        <v>0.99876574497067583</v>
      </c>
    </row>
    <row r="34" spans="1:13" x14ac:dyDescent="0.2">
      <c r="A34" s="677" t="b">
        <f t="shared" si="8"/>
        <v>0</v>
      </c>
      <c r="C34" s="666" t="s">
        <v>1144</v>
      </c>
      <c r="D34" s="667" t="str">
        <f t="shared" si="0"/>
        <v>MAT</v>
      </c>
      <c r="E34" s="668">
        <f t="shared" si="1"/>
        <v>363.75000000000006</v>
      </c>
      <c r="F34" s="669">
        <f t="shared" si="2"/>
        <v>2</v>
      </c>
      <c r="G34" s="668">
        <f t="shared" si="3"/>
        <v>727.50000000000011</v>
      </c>
      <c r="H34" s="670">
        <f t="shared" si="4"/>
        <v>0.16312434739687653</v>
      </c>
      <c r="I34" s="670">
        <f t="shared" si="5"/>
        <v>0.12</v>
      </c>
      <c r="J34" s="668">
        <f t="shared" si="6"/>
        <v>869.30477393755268</v>
      </c>
      <c r="K34" s="671">
        <f t="shared" si="7"/>
        <v>987.8463340199462</v>
      </c>
      <c r="L34" s="663">
        <f t="shared" si="9"/>
        <v>9.5655750914375268E-4</v>
      </c>
      <c r="M34" s="663">
        <f>IF(K34&gt;0,SUM($L$5:L34),"")</f>
        <v>0.99972230247981964</v>
      </c>
    </row>
    <row r="35" spans="1:13" x14ac:dyDescent="0.2">
      <c r="A35" s="677" t="b">
        <f t="shared" si="8"/>
        <v>0</v>
      </c>
      <c r="C35" s="739" t="s">
        <v>795</v>
      </c>
      <c r="D35" s="667" t="str">
        <f t="shared" si="0"/>
        <v>MAT</v>
      </c>
      <c r="E35" s="668">
        <f t="shared" si="1"/>
        <v>2.3280000000000007</v>
      </c>
      <c r="F35" s="669">
        <f t="shared" si="2"/>
        <v>100</v>
      </c>
      <c r="G35" s="668">
        <f t="shared" si="3"/>
        <v>232.80000000000007</v>
      </c>
      <c r="H35" s="670">
        <f t="shared" si="4"/>
        <v>0.16312434739687653</v>
      </c>
      <c r="I35" s="670">
        <f t="shared" si="5"/>
        <v>3.0000000000000138E-2</v>
      </c>
      <c r="J35" s="668">
        <f t="shared" si="6"/>
        <v>278.17752766001689</v>
      </c>
      <c r="K35" s="671">
        <f t="shared" si="7"/>
        <v>286.7809563505329</v>
      </c>
      <c r="L35" s="663">
        <f t="shared" si="9"/>
        <v>2.776975201802895E-4</v>
      </c>
      <c r="M35" s="663">
        <f>IF(K35&gt;0,SUM($L$5:L35),"")</f>
        <v>0.99999999999999989</v>
      </c>
    </row>
    <row r="36" spans="1:13" hidden="1" x14ac:dyDescent="0.2">
      <c r="A36" s="677" t="b">
        <f t="shared" si="8"/>
        <v>0</v>
      </c>
      <c r="C36" s="666"/>
      <c r="D36" s="667" t="str">
        <f t="shared" si="0"/>
        <v/>
      </c>
      <c r="E36" s="668">
        <f t="shared" si="1"/>
        <v>0</v>
      </c>
      <c r="F36" s="669">
        <f t="shared" si="2"/>
        <v>0</v>
      </c>
      <c r="G36" s="668">
        <f t="shared" si="3"/>
        <v>0</v>
      </c>
      <c r="H36" s="670">
        <f t="shared" si="4"/>
        <v>0</v>
      </c>
      <c r="I36" s="670">
        <f t="shared" si="5"/>
        <v>0</v>
      </c>
      <c r="J36" s="668">
        <f t="shared" si="6"/>
        <v>0</v>
      </c>
      <c r="K36" s="671">
        <f t="shared" si="7"/>
        <v>0</v>
      </c>
      <c r="L36" s="663">
        <f t="shared" si="9"/>
        <v>0</v>
      </c>
      <c r="M36" s="663" t="str">
        <f>IF(K36&gt;0,SUM($L$5:L36),"")</f>
        <v/>
      </c>
    </row>
    <row r="37" spans="1:13" hidden="1" x14ac:dyDescent="0.2">
      <c r="A37" s="677" t="b">
        <f t="shared" si="8"/>
        <v>0</v>
      </c>
      <c r="C37" s="666"/>
      <c r="D37" s="667" t="str">
        <f t="shared" si="0"/>
        <v/>
      </c>
      <c r="E37" s="668">
        <f t="shared" si="1"/>
        <v>0</v>
      </c>
      <c r="F37" s="669">
        <f t="shared" si="2"/>
        <v>0</v>
      </c>
      <c r="G37" s="668">
        <f t="shared" si="3"/>
        <v>0</v>
      </c>
      <c r="H37" s="670">
        <f t="shared" si="4"/>
        <v>0</v>
      </c>
      <c r="I37" s="670">
        <f t="shared" si="5"/>
        <v>0</v>
      </c>
      <c r="J37" s="668">
        <f t="shared" si="6"/>
        <v>0</v>
      </c>
      <c r="K37" s="671">
        <f t="shared" si="7"/>
        <v>0</v>
      </c>
      <c r="L37" s="663">
        <f t="shared" si="9"/>
        <v>0</v>
      </c>
      <c r="M37" s="663" t="str">
        <f>IF(K37&gt;0,SUM($L$5:L37),"")</f>
        <v/>
      </c>
    </row>
    <row r="38" spans="1:13" hidden="1" x14ac:dyDescent="0.2">
      <c r="A38" s="677" t="b">
        <f t="shared" si="8"/>
        <v>0</v>
      </c>
      <c r="C38" s="739"/>
      <c r="D38" s="667" t="str">
        <f t="shared" si="0"/>
        <v/>
      </c>
      <c r="E38" s="668">
        <f t="shared" si="1"/>
        <v>0</v>
      </c>
      <c r="F38" s="669">
        <f t="shared" si="2"/>
        <v>0</v>
      </c>
      <c r="G38" s="668">
        <f t="shared" si="3"/>
        <v>0</v>
      </c>
      <c r="H38" s="670">
        <f t="shared" si="4"/>
        <v>0</v>
      </c>
      <c r="I38" s="670">
        <f t="shared" si="5"/>
        <v>0</v>
      </c>
      <c r="J38" s="668">
        <f t="shared" si="6"/>
        <v>0</v>
      </c>
      <c r="K38" s="671">
        <f t="shared" si="7"/>
        <v>0</v>
      </c>
      <c r="L38" s="663">
        <f t="shared" si="9"/>
        <v>0</v>
      </c>
      <c r="M38" s="663" t="str">
        <f>IF(K38&gt;0,SUM($L$5:L38),"")</f>
        <v/>
      </c>
    </row>
    <row r="39" spans="1:13" hidden="1" x14ac:dyDescent="0.2">
      <c r="A39" s="677" t="b">
        <f t="shared" si="8"/>
        <v>0</v>
      </c>
      <c r="C39" s="666"/>
      <c r="D39" s="667" t="str">
        <f t="shared" si="0"/>
        <v/>
      </c>
      <c r="E39" s="668">
        <f t="shared" si="1"/>
        <v>0</v>
      </c>
      <c r="F39" s="669">
        <f t="shared" si="2"/>
        <v>0</v>
      </c>
      <c r="G39" s="668">
        <f t="shared" si="3"/>
        <v>0</v>
      </c>
      <c r="H39" s="670">
        <f t="shared" si="4"/>
        <v>0</v>
      </c>
      <c r="I39" s="670">
        <f t="shared" si="5"/>
        <v>0</v>
      </c>
      <c r="J39" s="668">
        <f t="shared" si="6"/>
        <v>0</v>
      </c>
      <c r="K39" s="671">
        <f t="shared" si="7"/>
        <v>0</v>
      </c>
      <c r="L39" s="663">
        <f t="shared" si="9"/>
        <v>0</v>
      </c>
      <c r="M39" s="663" t="str">
        <f>IF(K39&gt;0,SUM($L$5:L39),"")</f>
        <v/>
      </c>
    </row>
    <row r="40" spans="1:13" hidden="1" x14ac:dyDescent="0.2">
      <c r="A40" s="677" t="b">
        <f t="shared" si="8"/>
        <v>0</v>
      </c>
      <c r="C40" s="666"/>
      <c r="D40" s="667" t="str">
        <f t="shared" si="0"/>
        <v/>
      </c>
      <c r="E40" s="668">
        <f t="shared" si="1"/>
        <v>0</v>
      </c>
      <c r="F40" s="669">
        <f t="shared" si="2"/>
        <v>0</v>
      </c>
      <c r="G40" s="668">
        <f t="shared" si="3"/>
        <v>0</v>
      </c>
      <c r="H40" s="670">
        <f t="shared" si="4"/>
        <v>0</v>
      </c>
      <c r="I40" s="670">
        <f t="shared" si="5"/>
        <v>0</v>
      </c>
      <c r="J40" s="668">
        <f t="shared" si="6"/>
        <v>0</v>
      </c>
      <c r="K40" s="671">
        <f t="shared" si="7"/>
        <v>0</v>
      </c>
      <c r="L40" s="663">
        <f t="shared" si="9"/>
        <v>0</v>
      </c>
      <c r="M40" s="663" t="str">
        <f>IF(K40&gt;0,SUM($L$5:L40),"")</f>
        <v/>
      </c>
    </row>
    <row r="41" spans="1:13" hidden="1" x14ac:dyDescent="0.2">
      <c r="A41" s="677" t="b">
        <f t="shared" si="8"/>
        <v>0</v>
      </c>
      <c r="C41" s="666"/>
      <c r="D41" s="667" t="str">
        <f t="shared" si="0"/>
        <v/>
      </c>
      <c r="E41" s="668">
        <f t="shared" si="1"/>
        <v>0</v>
      </c>
      <c r="F41" s="669">
        <f t="shared" si="2"/>
        <v>0</v>
      </c>
      <c r="G41" s="668">
        <f t="shared" si="3"/>
        <v>0</v>
      </c>
      <c r="H41" s="670">
        <f t="shared" si="4"/>
        <v>0</v>
      </c>
      <c r="I41" s="670">
        <f t="shared" si="5"/>
        <v>0</v>
      </c>
      <c r="J41" s="668">
        <f t="shared" si="6"/>
        <v>0</v>
      </c>
      <c r="K41" s="671">
        <f t="shared" si="7"/>
        <v>0</v>
      </c>
      <c r="L41" s="663">
        <f t="shared" si="9"/>
        <v>0</v>
      </c>
      <c r="M41" s="663" t="str">
        <f>IF(K41&gt;0,SUM($L$5:L41),"")</f>
        <v/>
      </c>
    </row>
    <row r="42" spans="1:13" hidden="1" x14ac:dyDescent="0.2">
      <c r="A42" s="677" t="b">
        <f t="shared" si="8"/>
        <v>0</v>
      </c>
      <c r="C42" s="666"/>
      <c r="D42" s="667" t="str">
        <f t="shared" si="0"/>
        <v/>
      </c>
      <c r="E42" s="668">
        <f t="shared" si="1"/>
        <v>0</v>
      </c>
      <c r="F42" s="669">
        <f t="shared" si="2"/>
        <v>0</v>
      </c>
      <c r="G42" s="668">
        <f t="shared" si="3"/>
        <v>0</v>
      </c>
      <c r="H42" s="670">
        <f t="shared" si="4"/>
        <v>0</v>
      </c>
      <c r="I42" s="670">
        <f t="shared" si="5"/>
        <v>0</v>
      </c>
      <c r="J42" s="668">
        <f t="shared" si="6"/>
        <v>0</v>
      </c>
      <c r="K42" s="671">
        <f t="shared" si="7"/>
        <v>0</v>
      </c>
      <c r="L42" s="663">
        <f t="shared" si="9"/>
        <v>0</v>
      </c>
      <c r="M42" s="663" t="str">
        <f>IF(K42&gt;0,SUM($L$5:L42),"")</f>
        <v/>
      </c>
    </row>
    <row r="43" spans="1:13" hidden="1" x14ac:dyDescent="0.2">
      <c r="A43" s="677" t="b">
        <f t="shared" si="8"/>
        <v>0</v>
      </c>
      <c r="C43" s="739"/>
      <c r="D43" s="667" t="str">
        <f t="shared" si="0"/>
        <v/>
      </c>
      <c r="E43" s="668">
        <f t="shared" si="1"/>
        <v>0</v>
      </c>
      <c r="F43" s="669">
        <f t="shared" si="2"/>
        <v>0</v>
      </c>
      <c r="G43" s="668">
        <f t="shared" si="3"/>
        <v>0</v>
      </c>
      <c r="H43" s="670">
        <f t="shared" si="4"/>
        <v>0</v>
      </c>
      <c r="I43" s="670">
        <f t="shared" si="5"/>
        <v>0</v>
      </c>
      <c r="J43" s="668">
        <f t="shared" si="6"/>
        <v>0</v>
      </c>
      <c r="K43" s="671">
        <f t="shared" si="7"/>
        <v>0</v>
      </c>
      <c r="L43" s="663">
        <f t="shared" si="9"/>
        <v>0</v>
      </c>
      <c r="M43" s="663" t="str">
        <f>IF(K43&gt;0,SUM($L$5:L43),"")</f>
        <v/>
      </c>
    </row>
    <row r="44" spans="1:13" hidden="1" x14ac:dyDescent="0.2">
      <c r="A44" s="677" t="b">
        <f t="shared" si="8"/>
        <v>0</v>
      </c>
      <c r="C44" s="739"/>
      <c r="D44" s="667" t="str">
        <f t="shared" si="0"/>
        <v/>
      </c>
      <c r="E44" s="668">
        <f t="shared" si="1"/>
        <v>0</v>
      </c>
      <c r="F44" s="669">
        <f t="shared" si="2"/>
        <v>0</v>
      </c>
      <c r="G44" s="668">
        <f t="shared" si="3"/>
        <v>0</v>
      </c>
      <c r="H44" s="670">
        <f t="shared" si="4"/>
        <v>0</v>
      </c>
      <c r="I44" s="670">
        <f t="shared" si="5"/>
        <v>0</v>
      </c>
      <c r="J44" s="668">
        <f t="shared" si="6"/>
        <v>0</v>
      </c>
      <c r="K44" s="671">
        <f t="shared" si="7"/>
        <v>0</v>
      </c>
      <c r="L44" s="663">
        <f t="shared" si="9"/>
        <v>0</v>
      </c>
      <c r="M44" s="663" t="str">
        <f>IF(K44&gt;0,SUM($L$5:L44),"")</f>
        <v/>
      </c>
    </row>
    <row r="45" spans="1:13" hidden="1" x14ac:dyDescent="0.2">
      <c r="A45" s="677" t="b">
        <f t="shared" si="8"/>
        <v>0</v>
      </c>
      <c r="C45" s="666"/>
      <c r="D45" s="667" t="str">
        <f t="shared" si="0"/>
        <v/>
      </c>
      <c r="E45" s="668">
        <f t="shared" si="1"/>
        <v>0</v>
      </c>
      <c r="F45" s="669">
        <f t="shared" si="2"/>
        <v>0</v>
      </c>
      <c r="G45" s="668">
        <f t="shared" si="3"/>
        <v>0</v>
      </c>
      <c r="H45" s="670">
        <f t="shared" si="4"/>
        <v>0</v>
      </c>
      <c r="I45" s="670">
        <f t="shared" si="5"/>
        <v>0</v>
      </c>
      <c r="J45" s="668">
        <f t="shared" si="6"/>
        <v>0</v>
      </c>
      <c r="K45" s="671">
        <f t="shared" si="7"/>
        <v>0</v>
      </c>
      <c r="L45" s="663">
        <f t="shared" si="9"/>
        <v>0</v>
      </c>
      <c r="M45" s="663" t="str">
        <f>IF(K45&gt;0,SUM($L$5:L45),"")</f>
        <v/>
      </c>
    </row>
    <row r="46" spans="1:13" hidden="1" x14ac:dyDescent="0.2">
      <c r="A46" s="677" t="b">
        <f t="shared" si="8"/>
        <v>0</v>
      </c>
      <c r="C46" s="739"/>
      <c r="D46" s="667" t="str">
        <f t="shared" si="0"/>
        <v/>
      </c>
      <c r="E46" s="668">
        <f t="shared" si="1"/>
        <v>0</v>
      </c>
      <c r="F46" s="669">
        <f t="shared" si="2"/>
        <v>0</v>
      </c>
      <c r="G46" s="668">
        <f t="shared" si="3"/>
        <v>0</v>
      </c>
      <c r="H46" s="670">
        <f t="shared" si="4"/>
        <v>0</v>
      </c>
      <c r="I46" s="670">
        <f t="shared" si="5"/>
        <v>0</v>
      </c>
      <c r="J46" s="668">
        <f t="shared" si="6"/>
        <v>0</v>
      </c>
      <c r="K46" s="671">
        <f t="shared" si="7"/>
        <v>0</v>
      </c>
      <c r="L46" s="663">
        <f t="shared" si="9"/>
        <v>0</v>
      </c>
      <c r="M46" s="663" t="str">
        <f>IF(K46&gt;0,SUM($L$5:L46),"")</f>
        <v/>
      </c>
    </row>
    <row r="47" spans="1:13" hidden="1" x14ac:dyDescent="0.2">
      <c r="A47" s="677" t="b">
        <f t="shared" si="8"/>
        <v>0</v>
      </c>
      <c r="C47" s="739"/>
      <c r="D47" s="667" t="str">
        <f t="shared" si="0"/>
        <v/>
      </c>
      <c r="E47" s="668">
        <f t="shared" si="1"/>
        <v>0</v>
      </c>
      <c r="F47" s="669">
        <f t="shared" si="2"/>
        <v>0</v>
      </c>
      <c r="G47" s="668">
        <f t="shared" si="3"/>
        <v>0</v>
      </c>
      <c r="H47" s="670">
        <f t="shared" si="4"/>
        <v>0</v>
      </c>
      <c r="I47" s="670">
        <f t="shared" si="5"/>
        <v>0</v>
      </c>
      <c r="J47" s="668">
        <f t="shared" si="6"/>
        <v>0</v>
      </c>
      <c r="K47" s="671">
        <f t="shared" si="7"/>
        <v>0</v>
      </c>
      <c r="L47" s="663">
        <f t="shared" si="9"/>
        <v>0</v>
      </c>
      <c r="M47" s="663" t="str">
        <f>IF(K47&gt;0,SUM($L$5:L47),"")</f>
        <v/>
      </c>
    </row>
    <row r="48" spans="1:13" hidden="1" x14ac:dyDescent="0.2">
      <c r="A48" s="677" t="b">
        <f t="shared" si="8"/>
        <v>0</v>
      </c>
      <c r="C48" s="739"/>
      <c r="D48" s="667" t="str">
        <f t="shared" si="0"/>
        <v/>
      </c>
      <c r="E48" s="668">
        <f t="shared" si="1"/>
        <v>0</v>
      </c>
      <c r="F48" s="669">
        <f t="shared" si="2"/>
        <v>0</v>
      </c>
      <c r="G48" s="668">
        <f t="shared" si="3"/>
        <v>0</v>
      </c>
      <c r="H48" s="670">
        <f t="shared" si="4"/>
        <v>0</v>
      </c>
      <c r="I48" s="670">
        <f t="shared" si="5"/>
        <v>0</v>
      </c>
      <c r="J48" s="668">
        <f t="shared" si="6"/>
        <v>0</v>
      </c>
      <c r="K48" s="671">
        <f t="shared" si="7"/>
        <v>0</v>
      </c>
      <c r="L48" s="663">
        <f t="shared" si="9"/>
        <v>0</v>
      </c>
      <c r="M48" s="663" t="str">
        <f>IF(K48&gt;0,SUM($L$5:L48),"")</f>
        <v/>
      </c>
    </row>
    <row r="49" spans="1:13" hidden="1" x14ac:dyDescent="0.2">
      <c r="A49" s="677" t="b">
        <f t="shared" si="8"/>
        <v>0</v>
      </c>
      <c r="C49" s="739"/>
      <c r="D49" s="667" t="str">
        <f t="shared" si="0"/>
        <v/>
      </c>
      <c r="E49" s="668">
        <f t="shared" si="1"/>
        <v>0</v>
      </c>
      <c r="F49" s="669">
        <f t="shared" si="2"/>
        <v>0</v>
      </c>
      <c r="G49" s="668">
        <f t="shared" si="3"/>
        <v>0</v>
      </c>
      <c r="H49" s="670">
        <f t="shared" si="4"/>
        <v>0</v>
      </c>
      <c r="I49" s="670">
        <f t="shared" si="5"/>
        <v>0</v>
      </c>
      <c r="J49" s="668">
        <f t="shared" si="6"/>
        <v>0</v>
      </c>
      <c r="K49" s="671">
        <f t="shared" si="7"/>
        <v>0</v>
      </c>
      <c r="L49" s="663">
        <f t="shared" si="9"/>
        <v>0</v>
      </c>
      <c r="M49" s="663" t="str">
        <f>IF(K49&gt;0,SUM($L$5:L49),"")</f>
        <v/>
      </c>
    </row>
    <row r="50" spans="1:13" hidden="1" x14ac:dyDescent="0.2">
      <c r="A50" s="677" t="b">
        <f t="shared" si="8"/>
        <v>0</v>
      </c>
      <c r="C50" s="666"/>
      <c r="D50" s="667" t="str">
        <f t="shared" si="0"/>
        <v/>
      </c>
      <c r="E50" s="668">
        <f t="shared" si="1"/>
        <v>0</v>
      </c>
      <c r="F50" s="669">
        <f t="shared" si="2"/>
        <v>0</v>
      </c>
      <c r="G50" s="668">
        <f t="shared" si="3"/>
        <v>0</v>
      </c>
      <c r="H50" s="670">
        <f t="shared" si="4"/>
        <v>0</v>
      </c>
      <c r="I50" s="670">
        <f t="shared" si="5"/>
        <v>0</v>
      </c>
      <c r="J50" s="668">
        <f t="shared" si="6"/>
        <v>0</v>
      </c>
      <c r="K50" s="671">
        <f t="shared" si="7"/>
        <v>0</v>
      </c>
      <c r="L50" s="663">
        <f t="shared" si="9"/>
        <v>0</v>
      </c>
      <c r="M50" s="663" t="str">
        <f>IF(K50&gt;0,SUM($L$5:L50),"")</f>
        <v/>
      </c>
    </row>
    <row r="51" spans="1:13" hidden="1" x14ac:dyDescent="0.2">
      <c r="A51" s="677" t="b">
        <f t="shared" si="8"/>
        <v>0</v>
      </c>
      <c r="C51" s="666"/>
      <c r="D51" s="667" t="str">
        <f t="shared" si="0"/>
        <v/>
      </c>
      <c r="E51" s="668">
        <f t="shared" si="1"/>
        <v>0</v>
      </c>
      <c r="F51" s="669">
        <f t="shared" si="2"/>
        <v>0</v>
      </c>
      <c r="G51" s="668">
        <f t="shared" si="3"/>
        <v>0</v>
      </c>
      <c r="H51" s="670">
        <f t="shared" si="4"/>
        <v>0</v>
      </c>
      <c r="I51" s="670">
        <f t="shared" si="5"/>
        <v>0</v>
      </c>
      <c r="J51" s="668">
        <f t="shared" si="6"/>
        <v>0</v>
      </c>
      <c r="K51" s="671">
        <f t="shared" si="7"/>
        <v>0</v>
      </c>
      <c r="L51" s="663">
        <f t="shared" si="9"/>
        <v>0</v>
      </c>
      <c r="M51" s="663" t="str">
        <f>IF(K51&gt;0,SUM($L$5:L51),"")</f>
        <v/>
      </c>
    </row>
    <row r="52" spans="1:13" hidden="1" x14ac:dyDescent="0.2">
      <c r="A52" s="677" t="b">
        <f t="shared" si="8"/>
        <v>0</v>
      </c>
      <c r="C52" s="666"/>
      <c r="D52" s="667" t="str">
        <f t="shared" si="0"/>
        <v/>
      </c>
      <c r="E52" s="668">
        <f t="shared" si="1"/>
        <v>0</v>
      </c>
      <c r="F52" s="669">
        <f t="shared" si="2"/>
        <v>0</v>
      </c>
      <c r="G52" s="668">
        <f t="shared" si="3"/>
        <v>0</v>
      </c>
      <c r="H52" s="670">
        <f t="shared" si="4"/>
        <v>0</v>
      </c>
      <c r="I52" s="670">
        <f t="shared" si="5"/>
        <v>0</v>
      </c>
      <c r="J52" s="668">
        <f t="shared" si="6"/>
        <v>0</v>
      </c>
      <c r="K52" s="671">
        <f t="shared" si="7"/>
        <v>0</v>
      </c>
      <c r="L52" s="663">
        <f t="shared" si="9"/>
        <v>0</v>
      </c>
      <c r="M52" s="663" t="str">
        <f>IF(K52&gt;0,SUM($L$5:L52),"")</f>
        <v/>
      </c>
    </row>
    <row r="53" spans="1:13" hidden="1" x14ac:dyDescent="0.2">
      <c r="A53" s="677" t="b">
        <f t="shared" si="8"/>
        <v>0</v>
      </c>
      <c r="C53" s="666"/>
      <c r="D53" s="667" t="str">
        <f t="shared" si="0"/>
        <v/>
      </c>
      <c r="E53" s="668">
        <f t="shared" si="1"/>
        <v>0</v>
      </c>
      <c r="F53" s="669">
        <f t="shared" si="2"/>
        <v>0</v>
      </c>
      <c r="G53" s="668">
        <f t="shared" si="3"/>
        <v>0</v>
      </c>
      <c r="H53" s="670">
        <f t="shared" si="4"/>
        <v>0</v>
      </c>
      <c r="I53" s="670">
        <f t="shared" si="5"/>
        <v>0</v>
      </c>
      <c r="J53" s="668">
        <f t="shared" si="6"/>
        <v>0</v>
      </c>
      <c r="K53" s="671">
        <f t="shared" si="7"/>
        <v>0</v>
      </c>
      <c r="L53" s="663">
        <f t="shared" si="9"/>
        <v>0</v>
      </c>
      <c r="M53" s="663" t="str">
        <f>IF(K53&gt;0,SUM($L$5:L53),"")</f>
        <v/>
      </c>
    </row>
    <row r="54" spans="1:13" hidden="1" x14ac:dyDescent="0.2">
      <c r="A54" s="677" t="b">
        <f t="shared" si="8"/>
        <v>0</v>
      </c>
      <c r="C54" s="666"/>
      <c r="D54" s="667" t="str">
        <f t="shared" si="0"/>
        <v/>
      </c>
      <c r="E54" s="668">
        <f t="shared" si="1"/>
        <v>0</v>
      </c>
      <c r="F54" s="669">
        <f t="shared" si="2"/>
        <v>0</v>
      </c>
      <c r="G54" s="668">
        <f t="shared" si="3"/>
        <v>0</v>
      </c>
      <c r="H54" s="670">
        <f t="shared" si="4"/>
        <v>0</v>
      </c>
      <c r="I54" s="670">
        <f t="shared" si="5"/>
        <v>0</v>
      </c>
      <c r="J54" s="668">
        <f t="shared" si="6"/>
        <v>0</v>
      </c>
      <c r="K54" s="671">
        <f t="shared" si="7"/>
        <v>0</v>
      </c>
      <c r="L54" s="663">
        <f t="shared" si="9"/>
        <v>0</v>
      </c>
      <c r="M54" s="663" t="str">
        <f>IF(K54&gt;0,SUM($L$5:L54),"")</f>
        <v/>
      </c>
    </row>
    <row r="55" spans="1:13" hidden="1" x14ac:dyDescent="0.2">
      <c r="A55" s="677" t="b">
        <f t="shared" si="8"/>
        <v>0</v>
      </c>
      <c r="C55" s="666"/>
      <c r="D55" s="667" t="str">
        <f t="shared" si="0"/>
        <v/>
      </c>
      <c r="E55" s="668">
        <f t="shared" si="1"/>
        <v>0</v>
      </c>
      <c r="F55" s="669">
        <f t="shared" si="2"/>
        <v>0</v>
      </c>
      <c r="G55" s="668">
        <f t="shared" si="3"/>
        <v>0</v>
      </c>
      <c r="H55" s="670">
        <f t="shared" si="4"/>
        <v>0</v>
      </c>
      <c r="I55" s="670">
        <f t="shared" si="5"/>
        <v>0</v>
      </c>
      <c r="J55" s="668">
        <f t="shared" si="6"/>
        <v>0</v>
      </c>
      <c r="K55" s="671">
        <f t="shared" si="7"/>
        <v>0</v>
      </c>
      <c r="L55" s="663">
        <f t="shared" si="9"/>
        <v>0</v>
      </c>
      <c r="M55" s="663" t="str">
        <f>IF(K55&gt;0,SUM($L$5:L55),"")</f>
        <v/>
      </c>
    </row>
    <row r="56" spans="1:13" hidden="1" x14ac:dyDescent="0.2">
      <c r="A56" s="677" t="b">
        <f t="shared" si="8"/>
        <v>0</v>
      </c>
      <c r="C56" s="666"/>
      <c r="D56" s="667" t="str">
        <f t="shared" si="0"/>
        <v/>
      </c>
      <c r="E56" s="668">
        <f t="shared" si="1"/>
        <v>0</v>
      </c>
      <c r="F56" s="669">
        <f t="shared" si="2"/>
        <v>0</v>
      </c>
      <c r="G56" s="668">
        <f t="shared" si="3"/>
        <v>0</v>
      </c>
      <c r="H56" s="670">
        <f t="shared" si="4"/>
        <v>0</v>
      </c>
      <c r="I56" s="670">
        <f t="shared" si="5"/>
        <v>0</v>
      </c>
      <c r="J56" s="668">
        <f t="shared" si="6"/>
        <v>0</v>
      </c>
      <c r="K56" s="671">
        <f t="shared" si="7"/>
        <v>0</v>
      </c>
      <c r="L56" s="663">
        <f t="shared" si="9"/>
        <v>0</v>
      </c>
      <c r="M56" s="663" t="str">
        <f>IF(K56&gt;0,SUM($L$5:L56),"")</f>
        <v/>
      </c>
    </row>
    <row r="57" spans="1:13" hidden="1" x14ac:dyDescent="0.2">
      <c r="A57" s="677" t="b">
        <f t="shared" si="8"/>
        <v>0</v>
      </c>
      <c r="C57" s="666"/>
      <c r="D57" s="667" t="str">
        <f t="shared" si="0"/>
        <v/>
      </c>
      <c r="E57" s="668">
        <f t="shared" si="1"/>
        <v>0</v>
      </c>
      <c r="F57" s="669">
        <f t="shared" si="2"/>
        <v>0</v>
      </c>
      <c r="G57" s="668">
        <f t="shared" si="3"/>
        <v>0</v>
      </c>
      <c r="H57" s="670">
        <f t="shared" si="4"/>
        <v>0</v>
      </c>
      <c r="I57" s="670">
        <f t="shared" si="5"/>
        <v>0</v>
      </c>
      <c r="J57" s="668">
        <f t="shared" si="6"/>
        <v>0</v>
      </c>
      <c r="K57" s="671">
        <f t="shared" si="7"/>
        <v>0</v>
      </c>
      <c r="L57" s="663">
        <f t="shared" si="9"/>
        <v>0</v>
      </c>
      <c r="M57" s="663" t="str">
        <f>IF(K57&gt;0,SUM($L$5:L57),"")</f>
        <v/>
      </c>
    </row>
    <row r="58" spans="1:13" hidden="1" x14ac:dyDescent="0.2">
      <c r="A58" s="677" t="b">
        <f t="shared" si="8"/>
        <v>0</v>
      </c>
      <c r="C58" s="666"/>
      <c r="D58" s="667" t="str">
        <f t="shared" si="0"/>
        <v/>
      </c>
      <c r="E58" s="668">
        <f t="shared" si="1"/>
        <v>0</v>
      </c>
      <c r="F58" s="669">
        <f t="shared" si="2"/>
        <v>0</v>
      </c>
      <c r="G58" s="668">
        <f t="shared" si="3"/>
        <v>0</v>
      </c>
      <c r="H58" s="670">
        <f t="shared" si="4"/>
        <v>0</v>
      </c>
      <c r="I58" s="670">
        <f t="shared" si="5"/>
        <v>0</v>
      </c>
      <c r="J58" s="668">
        <f t="shared" si="6"/>
        <v>0</v>
      </c>
      <c r="K58" s="671">
        <f t="shared" si="7"/>
        <v>0</v>
      </c>
      <c r="L58" s="663">
        <f t="shared" si="9"/>
        <v>0</v>
      </c>
      <c r="M58" s="663" t="str">
        <f>IF(K58&gt;0,SUM($L$5:L58),"")</f>
        <v/>
      </c>
    </row>
    <row r="59" spans="1:13" hidden="1" x14ac:dyDescent="0.2">
      <c r="A59" s="677" t="b">
        <f t="shared" si="8"/>
        <v>0</v>
      </c>
      <c r="C59" s="739"/>
      <c r="D59" s="667" t="str">
        <f t="shared" si="0"/>
        <v/>
      </c>
      <c r="E59" s="668">
        <f t="shared" si="1"/>
        <v>0</v>
      </c>
      <c r="F59" s="669">
        <f t="shared" si="2"/>
        <v>0</v>
      </c>
      <c r="G59" s="668">
        <f t="shared" si="3"/>
        <v>0</v>
      </c>
      <c r="H59" s="670">
        <f t="shared" si="4"/>
        <v>0</v>
      </c>
      <c r="I59" s="670">
        <f t="shared" si="5"/>
        <v>0</v>
      </c>
      <c r="J59" s="668">
        <f t="shared" si="6"/>
        <v>0</v>
      </c>
      <c r="K59" s="671">
        <f t="shared" si="7"/>
        <v>0</v>
      </c>
      <c r="L59" s="663">
        <f t="shared" si="9"/>
        <v>0</v>
      </c>
      <c r="M59" s="663" t="str">
        <f>IF(K59&gt;0,SUM($L$5:L59),"")</f>
        <v/>
      </c>
    </row>
    <row r="60" spans="1:13" hidden="1" x14ac:dyDescent="0.2">
      <c r="A60" s="677" t="b">
        <f t="shared" si="8"/>
        <v>0</v>
      </c>
      <c r="C60" s="666"/>
      <c r="D60" s="667" t="str">
        <f t="shared" si="0"/>
        <v/>
      </c>
      <c r="E60" s="668">
        <f t="shared" si="1"/>
        <v>0</v>
      </c>
      <c r="F60" s="669">
        <f t="shared" si="2"/>
        <v>0</v>
      </c>
      <c r="G60" s="668">
        <f t="shared" si="3"/>
        <v>0</v>
      </c>
      <c r="H60" s="670">
        <f t="shared" si="4"/>
        <v>0</v>
      </c>
      <c r="I60" s="670">
        <f t="shared" si="5"/>
        <v>0</v>
      </c>
      <c r="J60" s="668">
        <f t="shared" si="6"/>
        <v>0</v>
      </c>
      <c r="K60" s="671">
        <f t="shared" si="7"/>
        <v>0</v>
      </c>
      <c r="L60" s="663">
        <f t="shared" si="9"/>
        <v>0</v>
      </c>
      <c r="M60" s="663" t="str">
        <f>IF(K60&gt;0,SUM($L$5:L60),"")</f>
        <v/>
      </c>
    </row>
    <row r="61" spans="1:13" hidden="1" x14ac:dyDescent="0.2">
      <c r="A61" s="677" t="b">
        <f t="shared" si="8"/>
        <v>0</v>
      </c>
      <c r="C61" s="666"/>
      <c r="D61" s="667" t="str">
        <f t="shared" si="0"/>
        <v/>
      </c>
      <c r="E61" s="668">
        <f t="shared" si="1"/>
        <v>0</v>
      </c>
      <c r="F61" s="669">
        <f t="shared" si="2"/>
        <v>0</v>
      </c>
      <c r="G61" s="668">
        <f t="shared" si="3"/>
        <v>0</v>
      </c>
      <c r="H61" s="670">
        <f t="shared" si="4"/>
        <v>0</v>
      </c>
      <c r="I61" s="670">
        <f t="shared" si="5"/>
        <v>0</v>
      </c>
      <c r="J61" s="668">
        <f t="shared" si="6"/>
        <v>0</v>
      </c>
      <c r="K61" s="671">
        <f t="shared" si="7"/>
        <v>0</v>
      </c>
      <c r="L61" s="663">
        <f t="shared" si="9"/>
        <v>0</v>
      </c>
      <c r="M61" s="663" t="str">
        <f>IF(K61&gt;0,SUM($L$5:L61),"")</f>
        <v/>
      </c>
    </row>
    <row r="62" spans="1:13" hidden="1" x14ac:dyDescent="0.2">
      <c r="A62" s="677" t="b">
        <f t="shared" si="8"/>
        <v>0</v>
      </c>
      <c r="C62" s="666"/>
      <c r="D62" s="667" t="str">
        <f t="shared" si="0"/>
        <v/>
      </c>
      <c r="E62" s="668">
        <f t="shared" si="1"/>
        <v>0</v>
      </c>
      <c r="F62" s="669">
        <f t="shared" si="2"/>
        <v>0</v>
      </c>
      <c r="G62" s="668">
        <f t="shared" si="3"/>
        <v>0</v>
      </c>
      <c r="H62" s="670">
        <f t="shared" si="4"/>
        <v>0</v>
      </c>
      <c r="I62" s="670">
        <f t="shared" si="5"/>
        <v>0</v>
      </c>
      <c r="J62" s="668">
        <f t="shared" si="6"/>
        <v>0</v>
      </c>
      <c r="K62" s="671">
        <f t="shared" si="7"/>
        <v>0</v>
      </c>
      <c r="L62" s="663">
        <f t="shared" si="9"/>
        <v>0</v>
      </c>
      <c r="M62" s="663" t="str">
        <f>IF(K62&gt;0,SUM($L$5:L62),"")</f>
        <v/>
      </c>
    </row>
    <row r="63" spans="1:13" hidden="1" x14ac:dyDescent="0.2">
      <c r="A63" s="677" t="b">
        <f t="shared" si="8"/>
        <v>0</v>
      </c>
      <c r="C63" s="666"/>
      <c r="D63" s="667" t="str">
        <f t="shared" si="0"/>
        <v/>
      </c>
      <c r="E63" s="668">
        <f t="shared" si="1"/>
        <v>0</v>
      </c>
      <c r="F63" s="669">
        <f t="shared" si="2"/>
        <v>0</v>
      </c>
      <c r="G63" s="668">
        <f t="shared" si="3"/>
        <v>0</v>
      </c>
      <c r="H63" s="670">
        <f t="shared" si="4"/>
        <v>0</v>
      </c>
      <c r="I63" s="670">
        <f t="shared" si="5"/>
        <v>0</v>
      </c>
      <c r="J63" s="668">
        <f t="shared" si="6"/>
        <v>0</v>
      </c>
      <c r="K63" s="671">
        <f t="shared" si="7"/>
        <v>0</v>
      </c>
      <c r="L63" s="663">
        <f t="shared" si="9"/>
        <v>0</v>
      </c>
      <c r="M63" s="663" t="str">
        <f>IF(K63&gt;0,SUM($L$5:L63),"")</f>
        <v/>
      </c>
    </row>
    <row r="64" spans="1:13" hidden="1" x14ac:dyDescent="0.2">
      <c r="A64" s="677" t="b">
        <f t="shared" si="8"/>
        <v>0</v>
      </c>
      <c r="C64" s="666"/>
      <c r="D64" s="667" t="str">
        <f t="shared" si="0"/>
        <v/>
      </c>
      <c r="E64" s="668">
        <f t="shared" si="1"/>
        <v>0</v>
      </c>
      <c r="F64" s="669">
        <f t="shared" si="2"/>
        <v>0</v>
      </c>
      <c r="G64" s="668">
        <f t="shared" si="3"/>
        <v>0</v>
      </c>
      <c r="H64" s="670">
        <f t="shared" si="4"/>
        <v>0</v>
      </c>
      <c r="I64" s="670">
        <f t="shared" si="5"/>
        <v>0</v>
      </c>
      <c r="J64" s="668">
        <f t="shared" si="6"/>
        <v>0</v>
      </c>
      <c r="K64" s="671">
        <f t="shared" si="7"/>
        <v>0</v>
      </c>
      <c r="L64" s="663">
        <f t="shared" si="9"/>
        <v>0</v>
      </c>
      <c r="M64" s="663" t="str">
        <f>IF(K64&gt;0,SUM($L$5:L64),"")</f>
        <v/>
      </c>
    </row>
    <row r="65" spans="1:13" hidden="1" x14ac:dyDescent="0.2">
      <c r="A65" s="677" t="b">
        <f t="shared" si="8"/>
        <v>0</v>
      </c>
      <c r="C65" s="666"/>
      <c r="D65" s="667" t="str">
        <f t="shared" si="0"/>
        <v/>
      </c>
      <c r="E65" s="668">
        <f t="shared" si="1"/>
        <v>0</v>
      </c>
      <c r="F65" s="669">
        <f t="shared" si="2"/>
        <v>0</v>
      </c>
      <c r="G65" s="668">
        <f t="shared" si="3"/>
        <v>0</v>
      </c>
      <c r="H65" s="670">
        <f t="shared" si="4"/>
        <v>0</v>
      </c>
      <c r="I65" s="670">
        <f t="shared" si="5"/>
        <v>0</v>
      </c>
      <c r="J65" s="668">
        <f t="shared" si="6"/>
        <v>0</v>
      </c>
      <c r="K65" s="671">
        <f t="shared" si="7"/>
        <v>0</v>
      </c>
      <c r="L65" s="663">
        <f t="shared" si="9"/>
        <v>0</v>
      </c>
      <c r="M65" s="663" t="str">
        <f>IF(K65&gt;0,SUM($L$5:L65),"")</f>
        <v/>
      </c>
    </row>
    <row r="66" spans="1:13" hidden="1" x14ac:dyDescent="0.2">
      <c r="A66" s="677" t="b">
        <f t="shared" si="8"/>
        <v>0</v>
      </c>
      <c r="C66" s="739"/>
      <c r="D66" s="667" t="str">
        <f t="shared" si="0"/>
        <v/>
      </c>
      <c r="E66" s="668">
        <f t="shared" si="1"/>
        <v>0</v>
      </c>
      <c r="F66" s="669">
        <f t="shared" si="2"/>
        <v>0</v>
      </c>
      <c r="G66" s="668">
        <f t="shared" si="3"/>
        <v>0</v>
      </c>
      <c r="H66" s="670">
        <f t="shared" si="4"/>
        <v>0</v>
      </c>
      <c r="I66" s="670">
        <f t="shared" si="5"/>
        <v>0</v>
      </c>
      <c r="J66" s="668">
        <f t="shared" si="6"/>
        <v>0</v>
      </c>
      <c r="K66" s="671">
        <f t="shared" si="7"/>
        <v>0</v>
      </c>
      <c r="L66" s="663">
        <f t="shared" si="9"/>
        <v>0</v>
      </c>
      <c r="M66" s="663" t="str">
        <f>IF(K66&gt;0,SUM($L$5:L66),"")</f>
        <v/>
      </c>
    </row>
    <row r="67" spans="1:13" hidden="1" x14ac:dyDescent="0.2">
      <c r="A67" s="677" t="b">
        <f t="shared" si="8"/>
        <v>0</v>
      </c>
      <c r="C67" s="666"/>
      <c r="D67" s="667" t="str">
        <f t="shared" si="0"/>
        <v/>
      </c>
      <c r="E67" s="668">
        <f t="shared" si="1"/>
        <v>0</v>
      </c>
      <c r="F67" s="669">
        <f t="shared" si="2"/>
        <v>0</v>
      </c>
      <c r="G67" s="668">
        <f t="shared" si="3"/>
        <v>0</v>
      </c>
      <c r="H67" s="670">
        <f t="shared" si="4"/>
        <v>0</v>
      </c>
      <c r="I67" s="670">
        <f t="shared" si="5"/>
        <v>0</v>
      </c>
      <c r="J67" s="668">
        <f t="shared" si="6"/>
        <v>0</v>
      </c>
      <c r="K67" s="671">
        <f t="shared" si="7"/>
        <v>0</v>
      </c>
      <c r="L67" s="663">
        <f t="shared" si="9"/>
        <v>0</v>
      </c>
      <c r="M67" s="663" t="str">
        <f>IF(K67&gt;0,SUM($L$5:L67),"")</f>
        <v/>
      </c>
    </row>
    <row r="68" spans="1:13" hidden="1" x14ac:dyDescent="0.2">
      <c r="A68" s="677" t="b">
        <f t="shared" si="8"/>
        <v>0</v>
      </c>
      <c r="C68" s="666"/>
      <c r="D68" s="667" t="str">
        <f t="shared" si="0"/>
        <v/>
      </c>
      <c r="E68" s="668">
        <f t="shared" si="1"/>
        <v>0</v>
      </c>
      <c r="F68" s="669">
        <f t="shared" si="2"/>
        <v>0</v>
      </c>
      <c r="G68" s="668">
        <f t="shared" si="3"/>
        <v>0</v>
      </c>
      <c r="H68" s="670">
        <f t="shared" si="4"/>
        <v>0</v>
      </c>
      <c r="I68" s="670">
        <f t="shared" si="5"/>
        <v>0</v>
      </c>
      <c r="J68" s="668">
        <f t="shared" si="6"/>
        <v>0</v>
      </c>
      <c r="K68" s="671">
        <f t="shared" si="7"/>
        <v>0</v>
      </c>
      <c r="L68" s="663">
        <f t="shared" si="9"/>
        <v>0</v>
      </c>
      <c r="M68" s="663" t="str">
        <f>IF(K68&gt;0,SUM($L$5:L68),"")</f>
        <v/>
      </c>
    </row>
    <row r="69" spans="1:13" hidden="1" x14ac:dyDescent="0.2">
      <c r="A69" s="677" t="b">
        <f t="shared" si="8"/>
        <v>0</v>
      </c>
      <c r="C69" s="666"/>
      <c r="D69" s="667" t="str">
        <f t="shared" ref="D69:D132" si="10">IF(C69&lt;&gt;"",IF(ISERROR(VLOOKUP(C69,tbl_servicos,1,FALSE)),"MAT","SERV"),"")</f>
        <v/>
      </c>
      <c r="E69" s="668">
        <f t="shared" ref="E69:E132" si="11">IFERROR(G69/F69,0)</f>
        <v>0</v>
      </c>
      <c r="F69" s="669">
        <f t="shared" ref="F69:F132" si="12">SUMIF(col_item,$C69,col_qtd)</f>
        <v>0</v>
      </c>
      <c r="G69" s="668">
        <f t="shared" ref="G69:G132" si="13">SUMIF(col_item,$C69,col_custoTotal)+SUMIF(col_item,$C69,col_fatdir_liquido_com_mn)</f>
        <v>0</v>
      </c>
      <c r="H69" s="670">
        <f t="shared" ref="H69:H132" si="14">IFERROR(1-G69/J69,0)</f>
        <v>0</v>
      </c>
      <c r="I69" s="670">
        <f t="shared" ref="I69:I132" si="15">IFERROR(1-J69/K69,0)</f>
        <v>0</v>
      </c>
      <c r="J69" s="668">
        <f t="shared" ref="J69:J132" si="16">SUMIF(col_item,$C69,col_liquidototal)+SUMIF(col_item,$C69,col_fatdir_liquido_com_mn)</f>
        <v>0</v>
      </c>
      <c r="K69" s="671">
        <f t="shared" ref="K69:K132" si="17">SUMIF(col_item,$C69,col_brutototal)+SUMIF(col_item,$C69,col_fatdir_bruto_com_mn)</f>
        <v>0</v>
      </c>
      <c r="L69" s="663">
        <f t="shared" si="9"/>
        <v>0</v>
      </c>
      <c r="M69" s="663" t="str">
        <f>IF(K69&gt;0,SUM($L$5:L69),"")</f>
        <v/>
      </c>
    </row>
    <row r="70" spans="1:13" hidden="1" x14ac:dyDescent="0.2">
      <c r="A70" s="677" t="b">
        <f t="shared" ref="A70:A133" si="18">IF(M70&lt;$L$2,TRUE,FALSE)</f>
        <v>0</v>
      </c>
      <c r="C70" s="666"/>
      <c r="D70" s="667" t="str">
        <f t="shared" si="10"/>
        <v/>
      </c>
      <c r="E70" s="668">
        <f t="shared" si="11"/>
        <v>0</v>
      </c>
      <c r="F70" s="669">
        <f t="shared" si="12"/>
        <v>0</v>
      </c>
      <c r="G70" s="668">
        <f t="shared" si="13"/>
        <v>0</v>
      </c>
      <c r="H70" s="670">
        <f t="shared" si="14"/>
        <v>0</v>
      </c>
      <c r="I70" s="670">
        <f t="shared" si="15"/>
        <v>0</v>
      </c>
      <c r="J70" s="668">
        <f t="shared" si="16"/>
        <v>0</v>
      </c>
      <c r="K70" s="671">
        <f t="shared" si="17"/>
        <v>0</v>
      </c>
      <c r="L70" s="663">
        <f t="shared" ref="L70:L133" si="19">IFERROR(K70/$K$3,0)</f>
        <v>0</v>
      </c>
      <c r="M70" s="663" t="str">
        <f>IF(K70&gt;0,SUM($L$5:L70),"")</f>
        <v/>
      </c>
    </row>
    <row r="71" spans="1:13" hidden="1" x14ac:dyDescent="0.2">
      <c r="A71" s="677" t="b">
        <f t="shared" si="18"/>
        <v>0</v>
      </c>
      <c r="C71" s="666"/>
      <c r="D71" s="667" t="str">
        <f t="shared" si="10"/>
        <v/>
      </c>
      <c r="E71" s="668">
        <f t="shared" si="11"/>
        <v>0</v>
      </c>
      <c r="F71" s="669">
        <f t="shared" si="12"/>
        <v>0</v>
      </c>
      <c r="G71" s="668">
        <f t="shared" si="13"/>
        <v>0</v>
      </c>
      <c r="H71" s="670">
        <f t="shared" si="14"/>
        <v>0</v>
      </c>
      <c r="I71" s="670">
        <f t="shared" si="15"/>
        <v>0</v>
      </c>
      <c r="J71" s="668">
        <f t="shared" si="16"/>
        <v>0</v>
      </c>
      <c r="K71" s="671">
        <f t="shared" si="17"/>
        <v>0</v>
      </c>
      <c r="L71" s="663">
        <f t="shared" si="19"/>
        <v>0</v>
      </c>
      <c r="M71" s="663" t="str">
        <f>IF(K71&gt;0,SUM($L$5:L71),"")</f>
        <v/>
      </c>
    </row>
    <row r="72" spans="1:13" hidden="1" x14ac:dyDescent="0.2">
      <c r="A72" s="677" t="b">
        <f t="shared" si="18"/>
        <v>0</v>
      </c>
      <c r="C72" s="666"/>
      <c r="D72" s="667" t="str">
        <f t="shared" si="10"/>
        <v/>
      </c>
      <c r="E72" s="668">
        <f t="shared" si="11"/>
        <v>0</v>
      </c>
      <c r="F72" s="669">
        <f t="shared" si="12"/>
        <v>0</v>
      </c>
      <c r="G72" s="668">
        <f t="shared" si="13"/>
        <v>0</v>
      </c>
      <c r="H72" s="670">
        <f t="shared" si="14"/>
        <v>0</v>
      </c>
      <c r="I72" s="670">
        <f t="shared" si="15"/>
        <v>0</v>
      </c>
      <c r="J72" s="668">
        <f t="shared" si="16"/>
        <v>0</v>
      </c>
      <c r="K72" s="671">
        <f t="shared" si="17"/>
        <v>0</v>
      </c>
      <c r="L72" s="663">
        <f t="shared" si="19"/>
        <v>0</v>
      </c>
      <c r="M72" s="663" t="str">
        <f>IF(K72&gt;0,SUM($L$5:L72),"")</f>
        <v/>
      </c>
    </row>
    <row r="73" spans="1:13" hidden="1" x14ac:dyDescent="0.2">
      <c r="A73" s="677" t="b">
        <f t="shared" si="18"/>
        <v>0</v>
      </c>
      <c r="C73" s="666"/>
      <c r="D73" s="667" t="str">
        <f t="shared" si="10"/>
        <v/>
      </c>
      <c r="E73" s="668">
        <f t="shared" si="11"/>
        <v>0</v>
      </c>
      <c r="F73" s="669">
        <f t="shared" si="12"/>
        <v>0</v>
      </c>
      <c r="G73" s="668">
        <f t="shared" si="13"/>
        <v>0</v>
      </c>
      <c r="H73" s="670">
        <f t="shared" si="14"/>
        <v>0</v>
      </c>
      <c r="I73" s="670">
        <f t="shared" si="15"/>
        <v>0</v>
      </c>
      <c r="J73" s="668">
        <f t="shared" si="16"/>
        <v>0</v>
      </c>
      <c r="K73" s="671">
        <f t="shared" si="17"/>
        <v>0</v>
      </c>
      <c r="L73" s="663">
        <f t="shared" si="19"/>
        <v>0</v>
      </c>
      <c r="M73" s="663" t="str">
        <f>IF(K73&gt;0,SUM($L$5:L73),"")</f>
        <v/>
      </c>
    </row>
    <row r="74" spans="1:13" hidden="1" x14ac:dyDescent="0.2">
      <c r="A74" s="677" t="b">
        <f t="shared" si="18"/>
        <v>0</v>
      </c>
      <c r="C74" s="739"/>
      <c r="D74" s="667" t="str">
        <f t="shared" si="10"/>
        <v/>
      </c>
      <c r="E74" s="668">
        <f t="shared" si="11"/>
        <v>0</v>
      </c>
      <c r="F74" s="669">
        <f t="shared" si="12"/>
        <v>0</v>
      </c>
      <c r="G74" s="668">
        <f t="shared" si="13"/>
        <v>0</v>
      </c>
      <c r="H74" s="670">
        <f t="shared" si="14"/>
        <v>0</v>
      </c>
      <c r="I74" s="670">
        <f t="shared" si="15"/>
        <v>0</v>
      </c>
      <c r="J74" s="668">
        <f t="shared" si="16"/>
        <v>0</v>
      </c>
      <c r="K74" s="671">
        <f t="shared" si="17"/>
        <v>0</v>
      </c>
      <c r="L74" s="663">
        <f t="shared" si="19"/>
        <v>0</v>
      </c>
      <c r="M74" s="663" t="str">
        <f>IF(K74&gt;0,SUM($L$5:L74),"")</f>
        <v/>
      </c>
    </row>
    <row r="75" spans="1:13" hidden="1" x14ac:dyDescent="0.2">
      <c r="A75" s="677" t="b">
        <f t="shared" si="18"/>
        <v>0</v>
      </c>
      <c r="C75" s="666"/>
      <c r="D75" s="667" t="str">
        <f t="shared" si="10"/>
        <v/>
      </c>
      <c r="E75" s="668">
        <f t="shared" si="11"/>
        <v>0</v>
      </c>
      <c r="F75" s="669">
        <f t="shared" si="12"/>
        <v>0</v>
      </c>
      <c r="G75" s="668">
        <f t="shared" si="13"/>
        <v>0</v>
      </c>
      <c r="H75" s="670">
        <f t="shared" si="14"/>
        <v>0</v>
      </c>
      <c r="I75" s="670">
        <f t="shared" si="15"/>
        <v>0</v>
      </c>
      <c r="J75" s="668">
        <f t="shared" si="16"/>
        <v>0</v>
      </c>
      <c r="K75" s="671">
        <f t="shared" si="17"/>
        <v>0</v>
      </c>
      <c r="L75" s="663">
        <f t="shared" si="19"/>
        <v>0</v>
      </c>
      <c r="M75" s="663" t="str">
        <f>IF(K75&gt;0,SUM($L$5:L75),"")</f>
        <v/>
      </c>
    </row>
    <row r="76" spans="1:13" hidden="1" x14ac:dyDescent="0.2">
      <c r="A76" s="677" t="b">
        <f t="shared" si="18"/>
        <v>0</v>
      </c>
      <c r="C76" s="666"/>
      <c r="D76" s="667" t="str">
        <f t="shared" si="10"/>
        <v/>
      </c>
      <c r="E76" s="668">
        <f t="shared" si="11"/>
        <v>0</v>
      </c>
      <c r="F76" s="669">
        <f t="shared" si="12"/>
        <v>0</v>
      </c>
      <c r="G76" s="668">
        <f t="shared" si="13"/>
        <v>0</v>
      </c>
      <c r="H76" s="670">
        <f t="shared" si="14"/>
        <v>0</v>
      </c>
      <c r="I76" s="670">
        <f t="shared" si="15"/>
        <v>0</v>
      </c>
      <c r="J76" s="668">
        <f t="shared" si="16"/>
        <v>0</v>
      </c>
      <c r="K76" s="671">
        <f t="shared" si="17"/>
        <v>0</v>
      </c>
      <c r="L76" s="663">
        <f t="shared" si="19"/>
        <v>0</v>
      </c>
      <c r="M76" s="663" t="str">
        <f>IF(K76&gt;0,SUM($L$5:L76),"")</f>
        <v/>
      </c>
    </row>
    <row r="77" spans="1:13" hidden="1" x14ac:dyDescent="0.2">
      <c r="A77" s="677" t="b">
        <f t="shared" si="18"/>
        <v>0</v>
      </c>
      <c r="C77" s="739"/>
      <c r="D77" s="667" t="str">
        <f t="shared" si="10"/>
        <v/>
      </c>
      <c r="E77" s="668">
        <f t="shared" si="11"/>
        <v>0</v>
      </c>
      <c r="F77" s="669">
        <f t="shared" si="12"/>
        <v>0</v>
      </c>
      <c r="G77" s="668">
        <f t="shared" si="13"/>
        <v>0</v>
      </c>
      <c r="H77" s="670">
        <f t="shared" si="14"/>
        <v>0</v>
      </c>
      <c r="I77" s="670">
        <f t="shared" si="15"/>
        <v>0</v>
      </c>
      <c r="J77" s="668">
        <f t="shared" si="16"/>
        <v>0</v>
      </c>
      <c r="K77" s="671">
        <f t="shared" si="17"/>
        <v>0</v>
      </c>
      <c r="L77" s="663">
        <f t="shared" si="19"/>
        <v>0</v>
      </c>
      <c r="M77" s="663" t="str">
        <f>IF(K77&gt;0,SUM($L$5:L77),"")</f>
        <v/>
      </c>
    </row>
    <row r="78" spans="1:13" hidden="1" x14ac:dyDescent="0.2">
      <c r="A78" s="677" t="b">
        <f t="shared" si="18"/>
        <v>0</v>
      </c>
      <c r="C78" s="666"/>
      <c r="D78" s="667" t="str">
        <f t="shared" si="10"/>
        <v/>
      </c>
      <c r="E78" s="668">
        <f t="shared" si="11"/>
        <v>0</v>
      </c>
      <c r="F78" s="669">
        <f t="shared" si="12"/>
        <v>0</v>
      </c>
      <c r="G78" s="668">
        <f t="shared" si="13"/>
        <v>0</v>
      </c>
      <c r="H78" s="670">
        <f t="shared" si="14"/>
        <v>0</v>
      </c>
      <c r="I78" s="670">
        <f t="shared" si="15"/>
        <v>0</v>
      </c>
      <c r="J78" s="668">
        <f t="shared" si="16"/>
        <v>0</v>
      </c>
      <c r="K78" s="671">
        <f t="shared" si="17"/>
        <v>0</v>
      </c>
      <c r="L78" s="663">
        <f t="shared" si="19"/>
        <v>0</v>
      </c>
      <c r="M78" s="663" t="str">
        <f>IF(K78&gt;0,SUM($L$5:L78),"")</f>
        <v/>
      </c>
    </row>
    <row r="79" spans="1:13" hidden="1" x14ac:dyDescent="0.2">
      <c r="A79" s="677" t="b">
        <f t="shared" si="18"/>
        <v>0</v>
      </c>
      <c r="C79" s="666"/>
      <c r="D79" s="667" t="str">
        <f t="shared" si="10"/>
        <v/>
      </c>
      <c r="E79" s="668">
        <f t="shared" si="11"/>
        <v>0</v>
      </c>
      <c r="F79" s="669">
        <f t="shared" si="12"/>
        <v>0</v>
      </c>
      <c r="G79" s="668">
        <f t="shared" si="13"/>
        <v>0</v>
      </c>
      <c r="H79" s="670">
        <f t="shared" si="14"/>
        <v>0</v>
      </c>
      <c r="I79" s="670">
        <f t="shared" si="15"/>
        <v>0</v>
      </c>
      <c r="J79" s="668">
        <f t="shared" si="16"/>
        <v>0</v>
      </c>
      <c r="K79" s="671">
        <f t="shared" si="17"/>
        <v>0</v>
      </c>
      <c r="L79" s="663">
        <f t="shared" si="19"/>
        <v>0</v>
      </c>
      <c r="M79" s="663" t="str">
        <f>IF(K79&gt;0,SUM($L$5:L79),"")</f>
        <v/>
      </c>
    </row>
    <row r="80" spans="1:13" hidden="1" x14ac:dyDescent="0.2">
      <c r="A80" s="677" t="b">
        <f t="shared" si="18"/>
        <v>0</v>
      </c>
      <c r="C80" s="666"/>
      <c r="D80" s="667" t="str">
        <f t="shared" si="10"/>
        <v/>
      </c>
      <c r="E80" s="668">
        <f t="shared" si="11"/>
        <v>0</v>
      </c>
      <c r="F80" s="669">
        <f t="shared" si="12"/>
        <v>0</v>
      </c>
      <c r="G80" s="668">
        <f t="shared" si="13"/>
        <v>0</v>
      </c>
      <c r="H80" s="670">
        <f t="shared" si="14"/>
        <v>0</v>
      </c>
      <c r="I80" s="670">
        <f t="shared" si="15"/>
        <v>0</v>
      </c>
      <c r="J80" s="668">
        <f t="shared" si="16"/>
        <v>0</v>
      </c>
      <c r="K80" s="671">
        <f t="shared" si="17"/>
        <v>0</v>
      </c>
      <c r="L80" s="663">
        <f t="shared" si="19"/>
        <v>0</v>
      </c>
      <c r="M80" s="663" t="str">
        <f>IF(K80&gt;0,SUM($L$5:L80),"")</f>
        <v/>
      </c>
    </row>
    <row r="81" spans="1:13" hidden="1" x14ac:dyDescent="0.2">
      <c r="A81" s="677" t="b">
        <f t="shared" si="18"/>
        <v>0</v>
      </c>
      <c r="C81" s="666"/>
      <c r="D81" s="667" t="str">
        <f t="shared" si="10"/>
        <v/>
      </c>
      <c r="E81" s="668">
        <f t="shared" si="11"/>
        <v>0</v>
      </c>
      <c r="F81" s="669">
        <f t="shared" si="12"/>
        <v>0</v>
      </c>
      <c r="G81" s="668">
        <f t="shared" si="13"/>
        <v>0</v>
      </c>
      <c r="H81" s="670">
        <f t="shared" si="14"/>
        <v>0</v>
      </c>
      <c r="I81" s="670">
        <f t="shared" si="15"/>
        <v>0</v>
      </c>
      <c r="J81" s="668">
        <f t="shared" si="16"/>
        <v>0</v>
      </c>
      <c r="K81" s="671">
        <f t="shared" si="17"/>
        <v>0</v>
      </c>
      <c r="L81" s="663">
        <f t="shared" si="19"/>
        <v>0</v>
      </c>
      <c r="M81" s="663" t="str">
        <f>IF(K81&gt;0,SUM($L$5:L81),"")</f>
        <v/>
      </c>
    </row>
    <row r="82" spans="1:13" hidden="1" x14ac:dyDescent="0.2">
      <c r="A82" s="677" t="b">
        <f t="shared" si="18"/>
        <v>0</v>
      </c>
      <c r="C82" s="666"/>
      <c r="D82" s="667" t="str">
        <f t="shared" si="10"/>
        <v/>
      </c>
      <c r="E82" s="668">
        <f t="shared" si="11"/>
        <v>0</v>
      </c>
      <c r="F82" s="669">
        <f t="shared" si="12"/>
        <v>0</v>
      </c>
      <c r="G82" s="668">
        <f t="shared" si="13"/>
        <v>0</v>
      </c>
      <c r="H82" s="670">
        <f t="shared" si="14"/>
        <v>0</v>
      </c>
      <c r="I82" s="670">
        <f t="shared" si="15"/>
        <v>0</v>
      </c>
      <c r="J82" s="668">
        <f t="shared" si="16"/>
        <v>0</v>
      </c>
      <c r="K82" s="671">
        <f t="shared" si="17"/>
        <v>0</v>
      </c>
      <c r="L82" s="663">
        <f t="shared" si="19"/>
        <v>0</v>
      </c>
      <c r="M82" s="663" t="str">
        <f>IF(K82&gt;0,SUM($L$5:L82),"")</f>
        <v/>
      </c>
    </row>
    <row r="83" spans="1:13" hidden="1" x14ac:dyDescent="0.2">
      <c r="A83" s="677" t="b">
        <f t="shared" si="18"/>
        <v>0</v>
      </c>
      <c r="C83" s="666"/>
      <c r="D83" s="667" t="str">
        <f t="shared" si="10"/>
        <v/>
      </c>
      <c r="E83" s="668">
        <f t="shared" si="11"/>
        <v>0</v>
      </c>
      <c r="F83" s="669">
        <f t="shared" si="12"/>
        <v>0</v>
      </c>
      <c r="G83" s="668">
        <f t="shared" si="13"/>
        <v>0</v>
      </c>
      <c r="H83" s="670">
        <f t="shared" si="14"/>
        <v>0</v>
      </c>
      <c r="I83" s="670">
        <f t="shared" si="15"/>
        <v>0</v>
      </c>
      <c r="J83" s="668">
        <f t="shared" si="16"/>
        <v>0</v>
      </c>
      <c r="K83" s="671">
        <f t="shared" si="17"/>
        <v>0</v>
      </c>
      <c r="L83" s="663">
        <f t="shared" si="19"/>
        <v>0</v>
      </c>
      <c r="M83" s="663" t="str">
        <f>IF(K83&gt;0,SUM($L$5:L83),"")</f>
        <v/>
      </c>
    </row>
    <row r="84" spans="1:13" hidden="1" x14ac:dyDescent="0.2">
      <c r="A84" s="677" t="b">
        <f t="shared" si="18"/>
        <v>0</v>
      </c>
      <c r="C84" s="666"/>
      <c r="D84" s="667" t="str">
        <f t="shared" si="10"/>
        <v/>
      </c>
      <c r="E84" s="668">
        <f t="shared" si="11"/>
        <v>0</v>
      </c>
      <c r="F84" s="669">
        <f t="shared" si="12"/>
        <v>0</v>
      </c>
      <c r="G84" s="668">
        <f t="shared" si="13"/>
        <v>0</v>
      </c>
      <c r="H84" s="670">
        <f t="shared" si="14"/>
        <v>0</v>
      </c>
      <c r="I84" s="670">
        <f t="shared" si="15"/>
        <v>0</v>
      </c>
      <c r="J84" s="668">
        <f t="shared" si="16"/>
        <v>0</v>
      </c>
      <c r="K84" s="671">
        <f t="shared" si="17"/>
        <v>0</v>
      </c>
      <c r="L84" s="663">
        <f t="shared" si="19"/>
        <v>0</v>
      </c>
      <c r="M84" s="663" t="str">
        <f>IF(K84&gt;0,SUM($L$5:L84),"")</f>
        <v/>
      </c>
    </row>
    <row r="85" spans="1:13" hidden="1" x14ac:dyDescent="0.2">
      <c r="A85" s="677" t="b">
        <f t="shared" si="18"/>
        <v>0</v>
      </c>
      <c r="C85" s="739"/>
      <c r="D85" s="667" t="str">
        <f t="shared" si="10"/>
        <v/>
      </c>
      <c r="E85" s="668">
        <f t="shared" si="11"/>
        <v>0</v>
      </c>
      <c r="F85" s="669">
        <f t="shared" si="12"/>
        <v>0</v>
      </c>
      <c r="G85" s="668">
        <f t="shared" si="13"/>
        <v>0</v>
      </c>
      <c r="H85" s="670">
        <f t="shared" si="14"/>
        <v>0</v>
      </c>
      <c r="I85" s="670">
        <f t="shared" si="15"/>
        <v>0</v>
      </c>
      <c r="J85" s="668">
        <f t="shared" si="16"/>
        <v>0</v>
      </c>
      <c r="K85" s="671">
        <f t="shared" si="17"/>
        <v>0</v>
      </c>
      <c r="L85" s="663">
        <f t="shared" si="19"/>
        <v>0</v>
      </c>
      <c r="M85" s="663" t="str">
        <f>IF(K85&gt;0,SUM($L$5:L85),"")</f>
        <v/>
      </c>
    </row>
    <row r="86" spans="1:13" hidden="1" x14ac:dyDescent="0.2">
      <c r="A86" s="677" t="b">
        <f t="shared" si="18"/>
        <v>0</v>
      </c>
      <c r="C86" s="666"/>
      <c r="D86" s="667" t="str">
        <f t="shared" si="10"/>
        <v/>
      </c>
      <c r="E86" s="668">
        <f t="shared" si="11"/>
        <v>0</v>
      </c>
      <c r="F86" s="669">
        <f t="shared" si="12"/>
        <v>0</v>
      </c>
      <c r="G86" s="668">
        <f t="shared" si="13"/>
        <v>0</v>
      </c>
      <c r="H86" s="670">
        <f t="shared" si="14"/>
        <v>0</v>
      </c>
      <c r="I86" s="670">
        <f t="shared" si="15"/>
        <v>0</v>
      </c>
      <c r="J86" s="668">
        <f t="shared" si="16"/>
        <v>0</v>
      </c>
      <c r="K86" s="671">
        <f t="shared" si="17"/>
        <v>0</v>
      </c>
      <c r="L86" s="663">
        <f t="shared" si="19"/>
        <v>0</v>
      </c>
      <c r="M86" s="663" t="str">
        <f>IF(K86&gt;0,SUM($L$5:L86),"")</f>
        <v/>
      </c>
    </row>
    <row r="87" spans="1:13" hidden="1" x14ac:dyDescent="0.2">
      <c r="A87" s="677" t="b">
        <f t="shared" si="18"/>
        <v>0</v>
      </c>
      <c r="C87" s="666"/>
      <c r="D87" s="667" t="str">
        <f t="shared" si="10"/>
        <v/>
      </c>
      <c r="E87" s="668">
        <f t="shared" si="11"/>
        <v>0</v>
      </c>
      <c r="F87" s="669">
        <f t="shared" si="12"/>
        <v>0</v>
      </c>
      <c r="G87" s="668">
        <f t="shared" si="13"/>
        <v>0</v>
      </c>
      <c r="H87" s="670">
        <f t="shared" si="14"/>
        <v>0</v>
      </c>
      <c r="I87" s="670">
        <f t="shared" si="15"/>
        <v>0</v>
      </c>
      <c r="J87" s="668">
        <f t="shared" si="16"/>
        <v>0</v>
      </c>
      <c r="K87" s="671">
        <f t="shared" si="17"/>
        <v>0</v>
      </c>
      <c r="L87" s="663">
        <f t="shared" si="19"/>
        <v>0</v>
      </c>
      <c r="M87" s="663" t="str">
        <f>IF(K87&gt;0,SUM($L$5:L87),"")</f>
        <v/>
      </c>
    </row>
    <row r="88" spans="1:13" hidden="1" x14ac:dyDescent="0.2">
      <c r="A88" s="677" t="b">
        <f t="shared" si="18"/>
        <v>0</v>
      </c>
      <c r="C88" s="666"/>
      <c r="D88" s="667" t="str">
        <f t="shared" si="10"/>
        <v/>
      </c>
      <c r="E88" s="668">
        <f t="shared" si="11"/>
        <v>0</v>
      </c>
      <c r="F88" s="669">
        <f t="shared" si="12"/>
        <v>0</v>
      </c>
      <c r="G88" s="668">
        <f t="shared" si="13"/>
        <v>0</v>
      </c>
      <c r="H88" s="670">
        <f t="shared" si="14"/>
        <v>0</v>
      </c>
      <c r="I88" s="670">
        <f t="shared" si="15"/>
        <v>0</v>
      </c>
      <c r="J88" s="668">
        <f t="shared" si="16"/>
        <v>0</v>
      </c>
      <c r="K88" s="671">
        <f t="shared" si="17"/>
        <v>0</v>
      </c>
      <c r="L88" s="663">
        <f t="shared" si="19"/>
        <v>0</v>
      </c>
      <c r="M88" s="663" t="str">
        <f>IF(K88&gt;0,SUM($L$5:L88),"")</f>
        <v/>
      </c>
    </row>
    <row r="89" spans="1:13" hidden="1" x14ac:dyDescent="0.2">
      <c r="A89" s="677" t="b">
        <f t="shared" si="18"/>
        <v>0</v>
      </c>
      <c r="C89" s="666"/>
      <c r="D89" s="667" t="str">
        <f t="shared" si="10"/>
        <v/>
      </c>
      <c r="E89" s="668">
        <f t="shared" si="11"/>
        <v>0</v>
      </c>
      <c r="F89" s="669">
        <f t="shared" si="12"/>
        <v>0</v>
      </c>
      <c r="G89" s="668">
        <f t="shared" si="13"/>
        <v>0</v>
      </c>
      <c r="H89" s="670">
        <f t="shared" si="14"/>
        <v>0</v>
      </c>
      <c r="I89" s="670">
        <f t="shared" si="15"/>
        <v>0</v>
      </c>
      <c r="J89" s="668">
        <f t="shared" si="16"/>
        <v>0</v>
      </c>
      <c r="K89" s="671">
        <f t="shared" si="17"/>
        <v>0</v>
      </c>
      <c r="L89" s="663">
        <f t="shared" si="19"/>
        <v>0</v>
      </c>
      <c r="M89" s="663" t="str">
        <f>IF(K89&gt;0,SUM($L$5:L89),"")</f>
        <v/>
      </c>
    </row>
    <row r="90" spans="1:13" hidden="1" x14ac:dyDescent="0.2">
      <c r="A90" s="677" t="b">
        <f t="shared" si="18"/>
        <v>0</v>
      </c>
      <c r="C90" s="666"/>
      <c r="D90" s="667" t="str">
        <f t="shared" si="10"/>
        <v/>
      </c>
      <c r="E90" s="668">
        <f t="shared" si="11"/>
        <v>0</v>
      </c>
      <c r="F90" s="669">
        <f t="shared" si="12"/>
        <v>0</v>
      </c>
      <c r="G90" s="668">
        <f t="shared" si="13"/>
        <v>0</v>
      </c>
      <c r="H90" s="670">
        <f t="shared" si="14"/>
        <v>0</v>
      </c>
      <c r="I90" s="670">
        <f t="shared" si="15"/>
        <v>0</v>
      </c>
      <c r="J90" s="668">
        <f t="shared" si="16"/>
        <v>0</v>
      </c>
      <c r="K90" s="671">
        <f t="shared" si="17"/>
        <v>0</v>
      </c>
      <c r="L90" s="663">
        <f t="shared" si="19"/>
        <v>0</v>
      </c>
      <c r="M90" s="663" t="str">
        <f>IF(K90&gt;0,SUM($L$5:L90),"")</f>
        <v/>
      </c>
    </row>
    <row r="91" spans="1:13" hidden="1" x14ac:dyDescent="0.2">
      <c r="A91" s="677" t="b">
        <f t="shared" si="18"/>
        <v>0</v>
      </c>
      <c r="C91" s="666"/>
      <c r="D91" s="667" t="str">
        <f t="shared" si="10"/>
        <v/>
      </c>
      <c r="E91" s="668">
        <f t="shared" si="11"/>
        <v>0</v>
      </c>
      <c r="F91" s="669">
        <f t="shared" si="12"/>
        <v>0</v>
      </c>
      <c r="G91" s="668">
        <f t="shared" si="13"/>
        <v>0</v>
      </c>
      <c r="H91" s="670">
        <f t="shared" si="14"/>
        <v>0</v>
      </c>
      <c r="I91" s="670">
        <f t="shared" si="15"/>
        <v>0</v>
      </c>
      <c r="J91" s="668">
        <f t="shared" si="16"/>
        <v>0</v>
      </c>
      <c r="K91" s="671">
        <f t="shared" si="17"/>
        <v>0</v>
      </c>
      <c r="L91" s="663">
        <f t="shared" si="19"/>
        <v>0</v>
      </c>
      <c r="M91" s="663" t="str">
        <f>IF(K91&gt;0,SUM($L$5:L91),"")</f>
        <v/>
      </c>
    </row>
    <row r="92" spans="1:13" hidden="1" x14ac:dyDescent="0.2">
      <c r="A92" s="677" t="b">
        <f t="shared" si="18"/>
        <v>0</v>
      </c>
      <c r="C92" s="666"/>
      <c r="D92" s="667" t="str">
        <f t="shared" si="10"/>
        <v/>
      </c>
      <c r="E92" s="668">
        <f t="shared" si="11"/>
        <v>0</v>
      </c>
      <c r="F92" s="669">
        <f t="shared" si="12"/>
        <v>0</v>
      </c>
      <c r="G92" s="668">
        <f t="shared" si="13"/>
        <v>0</v>
      </c>
      <c r="H92" s="670">
        <f t="shared" si="14"/>
        <v>0</v>
      </c>
      <c r="I92" s="670">
        <f t="shared" si="15"/>
        <v>0</v>
      </c>
      <c r="J92" s="668">
        <f t="shared" si="16"/>
        <v>0</v>
      </c>
      <c r="K92" s="671">
        <f t="shared" si="17"/>
        <v>0</v>
      </c>
      <c r="L92" s="663">
        <f t="shared" si="19"/>
        <v>0</v>
      </c>
      <c r="M92" s="663" t="str">
        <f>IF(K92&gt;0,SUM($L$5:L92),"")</f>
        <v/>
      </c>
    </row>
    <row r="93" spans="1:13" hidden="1" x14ac:dyDescent="0.2">
      <c r="A93" s="677" t="b">
        <f t="shared" si="18"/>
        <v>0</v>
      </c>
      <c r="C93" s="739"/>
      <c r="D93" s="667" t="str">
        <f t="shared" si="10"/>
        <v/>
      </c>
      <c r="E93" s="668">
        <f t="shared" si="11"/>
        <v>0</v>
      </c>
      <c r="F93" s="669">
        <f t="shared" si="12"/>
        <v>0</v>
      </c>
      <c r="G93" s="668">
        <f t="shared" si="13"/>
        <v>0</v>
      </c>
      <c r="H93" s="670">
        <f t="shared" si="14"/>
        <v>0</v>
      </c>
      <c r="I93" s="670">
        <f t="shared" si="15"/>
        <v>0</v>
      </c>
      <c r="J93" s="668">
        <f t="shared" si="16"/>
        <v>0</v>
      </c>
      <c r="K93" s="671">
        <f t="shared" si="17"/>
        <v>0</v>
      </c>
      <c r="L93" s="663">
        <f t="shared" si="19"/>
        <v>0</v>
      </c>
      <c r="M93" s="663" t="str">
        <f>IF(K93&gt;0,SUM($L$5:L93),"")</f>
        <v/>
      </c>
    </row>
    <row r="94" spans="1:13" hidden="1" x14ac:dyDescent="0.2">
      <c r="A94" s="677" t="b">
        <f t="shared" si="18"/>
        <v>0</v>
      </c>
      <c r="C94" s="739"/>
      <c r="D94" s="667" t="str">
        <f t="shared" si="10"/>
        <v/>
      </c>
      <c r="E94" s="668">
        <f t="shared" si="11"/>
        <v>0</v>
      </c>
      <c r="F94" s="669">
        <f t="shared" si="12"/>
        <v>0</v>
      </c>
      <c r="G94" s="668">
        <f t="shared" si="13"/>
        <v>0</v>
      </c>
      <c r="H94" s="670">
        <f t="shared" si="14"/>
        <v>0</v>
      </c>
      <c r="I94" s="670">
        <f t="shared" si="15"/>
        <v>0</v>
      </c>
      <c r="J94" s="668">
        <f t="shared" si="16"/>
        <v>0</v>
      </c>
      <c r="K94" s="671">
        <f t="shared" si="17"/>
        <v>0</v>
      </c>
      <c r="L94" s="663">
        <f t="shared" si="19"/>
        <v>0</v>
      </c>
      <c r="M94" s="663" t="str">
        <f>IF(K94&gt;0,SUM($L$5:L94),"")</f>
        <v/>
      </c>
    </row>
    <row r="95" spans="1:13" hidden="1" x14ac:dyDescent="0.2">
      <c r="A95" s="677" t="b">
        <f t="shared" si="18"/>
        <v>0</v>
      </c>
      <c r="C95" s="666"/>
      <c r="D95" s="667" t="str">
        <f t="shared" si="10"/>
        <v/>
      </c>
      <c r="E95" s="668">
        <f t="shared" si="11"/>
        <v>0</v>
      </c>
      <c r="F95" s="669">
        <f t="shared" si="12"/>
        <v>0</v>
      </c>
      <c r="G95" s="668">
        <f t="shared" si="13"/>
        <v>0</v>
      </c>
      <c r="H95" s="670">
        <f t="shared" si="14"/>
        <v>0</v>
      </c>
      <c r="I95" s="670">
        <f t="shared" si="15"/>
        <v>0</v>
      </c>
      <c r="J95" s="668">
        <f t="shared" si="16"/>
        <v>0</v>
      </c>
      <c r="K95" s="671">
        <f t="shared" si="17"/>
        <v>0</v>
      </c>
      <c r="L95" s="663">
        <f t="shared" si="19"/>
        <v>0</v>
      </c>
      <c r="M95" s="663" t="str">
        <f>IF(K95&gt;0,SUM($L$5:L95),"")</f>
        <v/>
      </c>
    </row>
    <row r="96" spans="1:13" hidden="1" x14ac:dyDescent="0.2">
      <c r="A96" s="677" t="b">
        <f t="shared" si="18"/>
        <v>0</v>
      </c>
      <c r="C96" s="666"/>
      <c r="D96" s="667" t="str">
        <f t="shared" si="10"/>
        <v/>
      </c>
      <c r="E96" s="668">
        <f t="shared" si="11"/>
        <v>0</v>
      </c>
      <c r="F96" s="669">
        <f t="shared" si="12"/>
        <v>0</v>
      </c>
      <c r="G96" s="668">
        <f t="shared" si="13"/>
        <v>0</v>
      </c>
      <c r="H96" s="670">
        <f t="shared" si="14"/>
        <v>0</v>
      </c>
      <c r="I96" s="670">
        <f t="shared" si="15"/>
        <v>0</v>
      </c>
      <c r="J96" s="668">
        <f t="shared" si="16"/>
        <v>0</v>
      </c>
      <c r="K96" s="671">
        <f t="shared" si="17"/>
        <v>0</v>
      </c>
      <c r="L96" s="663">
        <f t="shared" si="19"/>
        <v>0</v>
      </c>
      <c r="M96" s="663" t="str">
        <f>IF(K96&gt;0,SUM($L$5:L96),"")</f>
        <v/>
      </c>
    </row>
    <row r="97" spans="1:13" hidden="1" x14ac:dyDescent="0.2">
      <c r="A97" s="677" t="b">
        <f t="shared" si="18"/>
        <v>0</v>
      </c>
      <c r="C97" s="666"/>
      <c r="D97" s="667" t="str">
        <f t="shared" si="10"/>
        <v/>
      </c>
      <c r="E97" s="668">
        <f t="shared" si="11"/>
        <v>0</v>
      </c>
      <c r="F97" s="669">
        <f t="shared" si="12"/>
        <v>0</v>
      </c>
      <c r="G97" s="668">
        <f t="shared" si="13"/>
        <v>0</v>
      </c>
      <c r="H97" s="670">
        <f t="shared" si="14"/>
        <v>0</v>
      </c>
      <c r="I97" s="670">
        <f t="shared" si="15"/>
        <v>0</v>
      </c>
      <c r="J97" s="668">
        <f t="shared" si="16"/>
        <v>0</v>
      </c>
      <c r="K97" s="671">
        <f t="shared" si="17"/>
        <v>0</v>
      </c>
      <c r="L97" s="663">
        <f t="shared" si="19"/>
        <v>0</v>
      </c>
      <c r="M97" s="663" t="str">
        <f>IF(K97&gt;0,SUM($L$5:L97),"")</f>
        <v/>
      </c>
    </row>
    <row r="98" spans="1:13" hidden="1" x14ac:dyDescent="0.2">
      <c r="A98" s="677" t="b">
        <f t="shared" si="18"/>
        <v>0</v>
      </c>
      <c r="C98" s="666"/>
      <c r="D98" s="667" t="str">
        <f t="shared" si="10"/>
        <v/>
      </c>
      <c r="E98" s="668">
        <f t="shared" si="11"/>
        <v>0</v>
      </c>
      <c r="F98" s="669">
        <f t="shared" si="12"/>
        <v>0</v>
      </c>
      <c r="G98" s="668">
        <f t="shared" si="13"/>
        <v>0</v>
      </c>
      <c r="H98" s="670">
        <f t="shared" si="14"/>
        <v>0</v>
      </c>
      <c r="I98" s="670">
        <f t="shared" si="15"/>
        <v>0</v>
      </c>
      <c r="J98" s="668">
        <f t="shared" si="16"/>
        <v>0</v>
      </c>
      <c r="K98" s="671">
        <f t="shared" si="17"/>
        <v>0</v>
      </c>
      <c r="L98" s="663">
        <f t="shared" si="19"/>
        <v>0</v>
      </c>
      <c r="M98" s="663" t="str">
        <f>IF(K98&gt;0,SUM($L$5:L98),"")</f>
        <v/>
      </c>
    </row>
    <row r="99" spans="1:13" hidden="1" x14ac:dyDescent="0.2">
      <c r="A99" s="677" t="b">
        <f t="shared" si="18"/>
        <v>0</v>
      </c>
      <c r="C99" s="666"/>
      <c r="D99" s="667" t="str">
        <f t="shared" si="10"/>
        <v/>
      </c>
      <c r="E99" s="668">
        <f t="shared" si="11"/>
        <v>0</v>
      </c>
      <c r="F99" s="669">
        <f t="shared" si="12"/>
        <v>0</v>
      </c>
      <c r="G99" s="668">
        <f t="shared" si="13"/>
        <v>0</v>
      </c>
      <c r="H99" s="670">
        <f t="shared" si="14"/>
        <v>0</v>
      </c>
      <c r="I99" s="670">
        <f t="shared" si="15"/>
        <v>0</v>
      </c>
      <c r="J99" s="668">
        <f t="shared" si="16"/>
        <v>0</v>
      </c>
      <c r="K99" s="671">
        <f t="shared" si="17"/>
        <v>0</v>
      </c>
      <c r="L99" s="663">
        <f t="shared" si="19"/>
        <v>0</v>
      </c>
      <c r="M99" s="663" t="str">
        <f>IF(K99&gt;0,SUM($L$5:L99),"")</f>
        <v/>
      </c>
    </row>
    <row r="100" spans="1:13" hidden="1" x14ac:dyDescent="0.2">
      <c r="A100" s="677" t="b">
        <f t="shared" si="18"/>
        <v>0</v>
      </c>
      <c r="C100" s="666"/>
      <c r="D100" s="667" t="str">
        <f t="shared" si="10"/>
        <v/>
      </c>
      <c r="E100" s="668">
        <f t="shared" si="11"/>
        <v>0</v>
      </c>
      <c r="F100" s="669">
        <f t="shared" si="12"/>
        <v>0</v>
      </c>
      <c r="G100" s="668">
        <f t="shared" si="13"/>
        <v>0</v>
      </c>
      <c r="H100" s="670">
        <f t="shared" si="14"/>
        <v>0</v>
      </c>
      <c r="I100" s="670">
        <f t="shared" si="15"/>
        <v>0</v>
      </c>
      <c r="J100" s="668">
        <f t="shared" si="16"/>
        <v>0</v>
      </c>
      <c r="K100" s="671">
        <f t="shared" si="17"/>
        <v>0</v>
      </c>
      <c r="L100" s="663">
        <f t="shared" si="19"/>
        <v>0</v>
      </c>
      <c r="M100" s="663" t="str">
        <f>IF(K100&gt;0,SUM($L$5:L100),"")</f>
        <v/>
      </c>
    </row>
    <row r="101" spans="1:13" hidden="1" x14ac:dyDescent="0.2">
      <c r="A101" s="677" t="b">
        <f t="shared" si="18"/>
        <v>0</v>
      </c>
      <c r="C101" s="666"/>
      <c r="D101" s="667" t="str">
        <f t="shared" si="10"/>
        <v/>
      </c>
      <c r="E101" s="668">
        <f t="shared" si="11"/>
        <v>0</v>
      </c>
      <c r="F101" s="669">
        <f t="shared" si="12"/>
        <v>0</v>
      </c>
      <c r="G101" s="668">
        <f t="shared" si="13"/>
        <v>0</v>
      </c>
      <c r="H101" s="670">
        <f t="shared" si="14"/>
        <v>0</v>
      </c>
      <c r="I101" s="670">
        <f t="shared" si="15"/>
        <v>0</v>
      </c>
      <c r="J101" s="668">
        <f t="shared" si="16"/>
        <v>0</v>
      </c>
      <c r="K101" s="671">
        <f t="shared" si="17"/>
        <v>0</v>
      </c>
      <c r="L101" s="663">
        <f t="shared" si="19"/>
        <v>0</v>
      </c>
      <c r="M101" s="663" t="str">
        <f>IF(K101&gt;0,SUM($L$5:L101),"")</f>
        <v/>
      </c>
    </row>
    <row r="102" spans="1:13" hidden="1" x14ac:dyDescent="0.2">
      <c r="A102" s="677" t="b">
        <f t="shared" si="18"/>
        <v>0</v>
      </c>
      <c r="C102" s="739"/>
      <c r="D102" s="667" t="str">
        <f t="shared" si="10"/>
        <v/>
      </c>
      <c r="E102" s="668">
        <f t="shared" si="11"/>
        <v>0</v>
      </c>
      <c r="F102" s="669">
        <f t="shared" si="12"/>
        <v>0</v>
      </c>
      <c r="G102" s="668">
        <f t="shared" si="13"/>
        <v>0</v>
      </c>
      <c r="H102" s="670">
        <f t="shared" si="14"/>
        <v>0</v>
      </c>
      <c r="I102" s="670">
        <f t="shared" si="15"/>
        <v>0</v>
      </c>
      <c r="J102" s="668">
        <f t="shared" si="16"/>
        <v>0</v>
      </c>
      <c r="K102" s="671">
        <f t="shared" si="17"/>
        <v>0</v>
      </c>
      <c r="L102" s="663">
        <f t="shared" si="19"/>
        <v>0</v>
      </c>
      <c r="M102" s="663" t="str">
        <f>IF(K102&gt;0,SUM($L$5:L102),"")</f>
        <v/>
      </c>
    </row>
    <row r="103" spans="1:13" hidden="1" x14ac:dyDescent="0.2">
      <c r="A103" s="677" t="b">
        <f t="shared" si="18"/>
        <v>0</v>
      </c>
      <c r="C103" s="666"/>
      <c r="D103" s="667" t="str">
        <f t="shared" si="10"/>
        <v/>
      </c>
      <c r="E103" s="668">
        <f t="shared" si="11"/>
        <v>0</v>
      </c>
      <c r="F103" s="669">
        <f t="shared" si="12"/>
        <v>0</v>
      </c>
      <c r="G103" s="668">
        <f t="shared" si="13"/>
        <v>0</v>
      </c>
      <c r="H103" s="670">
        <f t="shared" si="14"/>
        <v>0</v>
      </c>
      <c r="I103" s="670">
        <f t="shared" si="15"/>
        <v>0</v>
      </c>
      <c r="J103" s="668">
        <f t="shared" si="16"/>
        <v>0</v>
      </c>
      <c r="K103" s="671">
        <f t="shared" si="17"/>
        <v>0</v>
      </c>
      <c r="L103" s="663">
        <f t="shared" si="19"/>
        <v>0</v>
      </c>
      <c r="M103" s="663" t="str">
        <f>IF(K103&gt;0,SUM($L$5:L103),"")</f>
        <v/>
      </c>
    </row>
    <row r="104" spans="1:13" hidden="1" x14ac:dyDescent="0.2">
      <c r="A104" s="677" t="b">
        <f t="shared" si="18"/>
        <v>0</v>
      </c>
      <c r="C104" s="666"/>
      <c r="D104" s="667" t="str">
        <f t="shared" si="10"/>
        <v/>
      </c>
      <c r="E104" s="668">
        <f t="shared" si="11"/>
        <v>0</v>
      </c>
      <c r="F104" s="669">
        <f t="shared" si="12"/>
        <v>0</v>
      </c>
      <c r="G104" s="668">
        <f t="shared" si="13"/>
        <v>0</v>
      </c>
      <c r="H104" s="670">
        <f t="shared" si="14"/>
        <v>0</v>
      </c>
      <c r="I104" s="670">
        <f t="shared" si="15"/>
        <v>0</v>
      </c>
      <c r="J104" s="668">
        <f t="shared" si="16"/>
        <v>0</v>
      </c>
      <c r="K104" s="671">
        <f t="shared" si="17"/>
        <v>0</v>
      </c>
      <c r="L104" s="663">
        <f t="shared" si="19"/>
        <v>0</v>
      </c>
      <c r="M104" s="663" t="str">
        <f>IF(K104&gt;0,SUM($L$5:L104),"")</f>
        <v/>
      </c>
    </row>
    <row r="105" spans="1:13" hidden="1" x14ac:dyDescent="0.2">
      <c r="A105" s="677" t="b">
        <f t="shared" si="18"/>
        <v>0</v>
      </c>
      <c r="C105" s="666"/>
      <c r="D105" s="667" t="str">
        <f t="shared" si="10"/>
        <v/>
      </c>
      <c r="E105" s="668">
        <f t="shared" si="11"/>
        <v>0</v>
      </c>
      <c r="F105" s="669">
        <f t="shared" si="12"/>
        <v>0</v>
      </c>
      <c r="G105" s="668">
        <f t="shared" si="13"/>
        <v>0</v>
      </c>
      <c r="H105" s="670">
        <f t="shared" si="14"/>
        <v>0</v>
      </c>
      <c r="I105" s="670">
        <f t="shared" si="15"/>
        <v>0</v>
      </c>
      <c r="J105" s="668">
        <f t="shared" si="16"/>
        <v>0</v>
      </c>
      <c r="K105" s="671">
        <f t="shared" si="17"/>
        <v>0</v>
      </c>
      <c r="L105" s="663">
        <f t="shared" si="19"/>
        <v>0</v>
      </c>
      <c r="M105" s="663" t="str">
        <f>IF(K105&gt;0,SUM($L$5:L105),"")</f>
        <v/>
      </c>
    </row>
    <row r="106" spans="1:13" hidden="1" x14ac:dyDescent="0.2">
      <c r="A106" s="677" t="b">
        <f t="shared" si="18"/>
        <v>0</v>
      </c>
      <c r="C106" s="666"/>
      <c r="D106" s="667" t="str">
        <f t="shared" si="10"/>
        <v/>
      </c>
      <c r="E106" s="668">
        <f t="shared" si="11"/>
        <v>0</v>
      </c>
      <c r="F106" s="669">
        <f t="shared" si="12"/>
        <v>0</v>
      </c>
      <c r="G106" s="668">
        <f t="shared" si="13"/>
        <v>0</v>
      </c>
      <c r="H106" s="670">
        <f t="shared" si="14"/>
        <v>0</v>
      </c>
      <c r="I106" s="670">
        <f t="shared" si="15"/>
        <v>0</v>
      </c>
      <c r="J106" s="668">
        <f t="shared" si="16"/>
        <v>0</v>
      </c>
      <c r="K106" s="671">
        <f t="shared" si="17"/>
        <v>0</v>
      </c>
      <c r="L106" s="663">
        <f t="shared" si="19"/>
        <v>0</v>
      </c>
      <c r="M106" s="663" t="str">
        <f>IF(K106&gt;0,SUM($L$5:L106),"")</f>
        <v/>
      </c>
    </row>
    <row r="107" spans="1:13" hidden="1" x14ac:dyDescent="0.2">
      <c r="A107" s="677" t="b">
        <f t="shared" si="18"/>
        <v>0</v>
      </c>
      <c r="C107" s="666"/>
      <c r="D107" s="667" t="str">
        <f t="shared" si="10"/>
        <v/>
      </c>
      <c r="E107" s="668">
        <f t="shared" si="11"/>
        <v>0</v>
      </c>
      <c r="F107" s="669">
        <f t="shared" si="12"/>
        <v>0</v>
      </c>
      <c r="G107" s="668">
        <f t="shared" si="13"/>
        <v>0</v>
      </c>
      <c r="H107" s="670">
        <f t="shared" si="14"/>
        <v>0</v>
      </c>
      <c r="I107" s="670">
        <f t="shared" si="15"/>
        <v>0</v>
      </c>
      <c r="J107" s="668">
        <f t="shared" si="16"/>
        <v>0</v>
      </c>
      <c r="K107" s="671">
        <f t="shared" si="17"/>
        <v>0</v>
      </c>
      <c r="L107" s="663">
        <f t="shared" si="19"/>
        <v>0</v>
      </c>
      <c r="M107" s="663" t="str">
        <f>IF(K107&gt;0,SUM($L$5:L107),"")</f>
        <v/>
      </c>
    </row>
    <row r="108" spans="1:13" hidden="1" x14ac:dyDescent="0.2">
      <c r="A108" s="677" t="b">
        <f t="shared" si="18"/>
        <v>0</v>
      </c>
      <c r="C108" s="666"/>
      <c r="D108" s="667" t="str">
        <f t="shared" si="10"/>
        <v/>
      </c>
      <c r="E108" s="668">
        <f t="shared" si="11"/>
        <v>0</v>
      </c>
      <c r="F108" s="669">
        <f t="shared" si="12"/>
        <v>0</v>
      </c>
      <c r="G108" s="668">
        <f t="shared" si="13"/>
        <v>0</v>
      </c>
      <c r="H108" s="670">
        <f t="shared" si="14"/>
        <v>0</v>
      </c>
      <c r="I108" s="670">
        <f t="shared" si="15"/>
        <v>0</v>
      </c>
      <c r="J108" s="668">
        <f t="shared" si="16"/>
        <v>0</v>
      </c>
      <c r="K108" s="671">
        <f t="shared" si="17"/>
        <v>0</v>
      </c>
      <c r="L108" s="663">
        <f t="shared" si="19"/>
        <v>0</v>
      </c>
      <c r="M108" s="663" t="str">
        <f>IF(K108&gt;0,SUM($L$5:L108),"")</f>
        <v/>
      </c>
    </row>
    <row r="109" spans="1:13" hidden="1" x14ac:dyDescent="0.2">
      <c r="A109" s="677" t="b">
        <f t="shared" si="18"/>
        <v>0</v>
      </c>
      <c r="C109" s="666"/>
      <c r="D109" s="667" t="str">
        <f t="shared" si="10"/>
        <v/>
      </c>
      <c r="E109" s="668">
        <f t="shared" si="11"/>
        <v>0</v>
      </c>
      <c r="F109" s="669">
        <f t="shared" si="12"/>
        <v>0</v>
      </c>
      <c r="G109" s="668">
        <f t="shared" si="13"/>
        <v>0</v>
      </c>
      <c r="H109" s="670">
        <f t="shared" si="14"/>
        <v>0</v>
      </c>
      <c r="I109" s="670">
        <f t="shared" si="15"/>
        <v>0</v>
      </c>
      <c r="J109" s="668">
        <f t="shared" si="16"/>
        <v>0</v>
      </c>
      <c r="K109" s="671">
        <f t="shared" si="17"/>
        <v>0</v>
      </c>
      <c r="L109" s="663">
        <f t="shared" si="19"/>
        <v>0</v>
      </c>
      <c r="M109" s="663" t="str">
        <f>IF(K109&gt;0,SUM($L$5:L109),"")</f>
        <v/>
      </c>
    </row>
    <row r="110" spans="1:13" hidden="1" x14ac:dyDescent="0.2">
      <c r="A110" s="677" t="b">
        <f t="shared" si="18"/>
        <v>0</v>
      </c>
      <c r="C110" s="666"/>
      <c r="D110" s="667" t="str">
        <f t="shared" si="10"/>
        <v/>
      </c>
      <c r="E110" s="668">
        <f t="shared" si="11"/>
        <v>0</v>
      </c>
      <c r="F110" s="669">
        <f t="shared" si="12"/>
        <v>0</v>
      </c>
      <c r="G110" s="668">
        <f t="shared" si="13"/>
        <v>0</v>
      </c>
      <c r="H110" s="670">
        <f t="shared" si="14"/>
        <v>0</v>
      </c>
      <c r="I110" s="670">
        <f t="shared" si="15"/>
        <v>0</v>
      </c>
      <c r="J110" s="668">
        <f t="shared" si="16"/>
        <v>0</v>
      </c>
      <c r="K110" s="671">
        <f t="shared" si="17"/>
        <v>0</v>
      </c>
      <c r="L110" s="663">
        <f t="shared" si="19"/>
        <v>0</v>
      </c>
      <c r="M110" s="663" t="str">
        <f>IF(K110&gt;0,SUM($L$5:L110),"")</f>
        <v/>
      </c>
    </row>
    <row r="111" spans="1:13" hidden="1" x14ac:dyDescent="0.2">
      <c r="A111" s="677" t="b">
        <f t="shared" si="18"/>
        <v>0</v>
      </c>
      <c r="C111" s="739"/>
      <c r="D111" s="667" t="str">
        <f t="shared" si="10"/>
        <v/>
      </c>
      <c r="E111" s="668">
        <f t="shared" si="11"/>
        <v>0</v>
      </c>
      <c r="F111" s="669">
        <f t="shared" si="12"/>
        <v>0</v>
      </c>
      <c r="G111" s="668">
        <f t="shared" si="13"/>
        <v>0</v>
      </c>
      <c r="H111" s="670">
        <f t="shared" si="14"/>
        <v>0</v>
      </c>
      <c r="I111" s="670">
        <f t="shared" si="15"/>
        <v>0</v>
      </c>
      <c r="J111" s="668">
        <f t="shared" si="16"/>
        <v>0</v>
      </c>
      <c r="K111" s="671">
        <f t="shared" si="17"/>
        <v>0</v>
      </c>
      <c r="L111" s="663">
        <f t="shared" si="19"/>
        <v>0</v>
      </c>
      <c r="M111" s="663" t="str">
        <f>IF(K111&gt;0,SUM($L$5:L111),"")</f>
        <v/>
      </c>
    </row>
    <row r="112" spans="1:13" hidden="1" x14ac:dyDescent="0.2">
      <c r="A112" s="677" t="b">
        <f t="shared" si="18"/>
        <v>0</v>
      </c>
      <c r="C112" s="666"/>
      <c r="D112" s="667" t="str">
        <f t="shared" si="10"/>
        <v/>
      </c>
      <c r="E112" s="668">
        <f t="shared" si="11"/>
        <v>0</v>
      </c>
      <c r="F112" s="669">
        <f t="shared" si="12"/>
        <v>0</v>
      </c>
      <c r="G112" s="668">
        <f t="shared" si="13"/>
        <v>0</v>
      </c>
      <c r="H112" s="670">
        <f t="shared" si="14"/>
        <v>0</v>
      </c>
      <c r="I112" s="670">
        <f t="shared" si="15"/>
        <v>0</v>
      </c>
      <c r="J112" s="668">
        <f t="shared" si="16"/>
        <v>0</v>
      </c>
      <c r="K112" s="671">
        <f t="shared" si="17"/>
        <v>0</v>
      </c>
      <c r="L112" s="663">
        <f t="shared" si="19"/>
        <v>0</v>
      </c>
      <c r="M112" s="663" t="str">
        <f>IF(K112&gt;0,SUM($L$5:L112),"")</f>
        <v/>
      </c>
    </row>
    <row r="113" spans="1:13" hidden="1" x14ac:dyDescent="0.2">
      <c r="A113" s="677" t="b">
        <f t="shared" si="18"/>
        <v>0</v>
      </c>
      <c r="C113" s="666"/>
      <c r="D113" s="667" t="str">
        <f t="shared" si="10"/>
        <v/>
      </c>
      <c r="E113" s="668">
        <f t="shared" si="11"/>
        <v>0</v>
      </c>
      <c r="F113" s="669">
        <f t="shared" si="12"/>
        <v>0</v>
      </c>
      <c r="G113" s="668">
        <f t="shared" si="13"/>
        <v>0</v>
      </c>
      <c r="H113" s="670">
        <f t="shared" si="14"/>
        <v>0</v>
      </c>
      <c r="I113" s="670">
        <f t="shared" si="15"/>
        <v>0</v>
      </c>
      <c r="J113" s="668">
        <f t="shared" si="16"/>
        <v>0</v>
      </c>
      <c r="K113" s="671">
        <f t="shared" si="17"/>
        <v>0</v>
      </c>
      <c r="L113" s="663">
        <f t="shared" si="19"/>
        <v>0</v>
      </c>
      <c r="M113" s="663" t="str">
        <f>IF(K113&gt;0,SUM($L$5:L113),"")</f>
        <v/>
      </c>
    </row>
    <row r="114" spans="1:13" hidden="1" x14ac:dyDescent="0.2">
      <c r="A114" s="677" t="b">
        <f t="shared" si="18"/>
        <v>0</v>
      </c>
      <c r="C114" s="666"/>
      <c r="D114" s="667" t="str">
        <f t="shared" si="10"/>
        <v/>
      </c>
      <c r="E114" s="668">
        <f t="shared" si="11"/>
        <v>0</v>
      </c>
      <c r="F114" s="669">
        <f t="shared" si="12"/>
        <v>0</v>
      </c>
      <c r="G114" s="668">
        <f t="shared" si="13"/>
        <v>0</v>
      </c>
      <c r="H114" s="670">
        <f t="shared" si="14"/>
        <v>0</v>
      </c>
      <c r="I114" s="670">
        <f t="shared" si="15"/>
        <v>0</v>
      </c>
      <c r="J114" s="668">
        <f t="shared" si="16"/>
        <v>0</v>
      </c>
      <c r="K114" s="671">
        <f t="shared" si="17"/>
        <v>0</v>
      </c>
      <c r="L114" s="663">
        <f t="shared" si="19"/>
        <v>0</v>
      </c>
      <c r="M114" s="663" t="str">
        <f>IF(K114&gt;0,SUM($L$5:L114),"")</f>
        <v/>
      </c>
    </row>
    <row r="115" spans="1:13" hidden="1" x14ac:dyDescent="0.2">
      <c r="A115" s="677" t="b">
        <f t="shared" si="18"/>
        <v>0</v>
      </c>
      <c r="C115" s="666"/>
      <c r="D115" s="667" t="str">
        <f t="shared" si="10"/>
        <v/>
      </c>
      <c r="E115" s="668">
        <f t="shared" si="11"/>
        <v>0</v>
      </c>
      <c r="F115" s="669">
        <f t="shared" si="12"/>
        <v>0</v>
      </c>
      <c r="G115" s="668">
        <f t="shared" si="13"/>
        <v>0</v>
      </c>
      <c r="H115" s="670">
        <f t="shared" si="14"/>
        <v>0</v>
      </c>
      <c r="I115" s="670">
        <f t="shared" si="15"/>
        <v>0</v>
      </c>
      <c r="J115" s="668">
        <f t="shared" si="16"/>
        <v>0</v>
      </c>
      <c r="K115" s="671">
        <f t="shared" si="17"/>
        <v>0</v>
      </c>
      <c r="L115" s="663">
        <f t="shared" si="19"/>
        <v>0</v>
      </c>
      <c r="M115" s="663" t="str">
        <f>IF(K115&gt;0,SUM($L$5:L115),"")</f>
        <v/>
      </c>
    </row>
    <row r="116" spans="1:13" hidden="1" x14ac:dyDescent="0.2">
      <c r="A116" s="677" t="b">
        <f t="shared" si="18"/>
        <v>0</v>
      </c>
      <c r="C116" s="666"/>
      <c r="D116" s="667" t="str">
        <f t="shared" si="10"/>
        <v/>
      </c>
      <c r="E116" s="668">
        <f t="shared" si="11"/>
        <v>0</v>
      </c>
      <c r="F116" s="669">
        <f t="shared" si="12"/>
        <v>0</v>
      </c>
      <c r="G116" s="668">
        <f t="shared" si="13"/>
        <v>0</v>
      </c>
      <c r="H116" s="670">
        <f t="shared" si="14"/>
        <v>0</v>
      </c>
      <c r="I116" s="670">
        <f t="shared" si="15"/>
        <v>0</v>
      </c>
      <c r="J116" s="668">
        <f t="shared" si="16"/>
        <v>0</v>
      </c>
      <c r="K116" s="671">
        <f t="shared" si="17"/>
        <v>0</v>
      </c>
      <c r="L116" s="663">
        <f t="shared" si="19"/>
        <v>0</v>
      </c>
      <c r="M116" s="663" t="str">
        <f>IF(K116&gt;0,SUM($L$5:L116),"")</f>
        <v/>
      </c>
    </row>
    <row r="117" spans="1:13" hidden="1" x14ac:dyDescent="0.2">
      <c r="A117" s="677" t="b">
        <f t="shared" si="18"/>
        <v>0</v>
      </c>
      <c r="C117" s="666"/>
      <c r="D117" s="667" t="str">
        <f t="shared" si="10"/>
        <v/>
      </c>
      <c r="E117" s="668">
        <f t="shared" si="11"/>
        <v>0</v>
      </c>
      <c r="F117" s="669">
        <f t="shared" si="12"/>
        <v>0</v>
      </c>
      <c r="G117" s="668">
        <f t="shared" si="13"/>
        <v>0</v>
      </c>
      <c r="H117" s="670">
        <f t="shared" si="14"/>
        <v>0</v>
      </c>
      <c r="I117" s="670">
        <f t="shared" si="15"/>
        <v>0</v>
      </c>
      <c r="J117" s="668">
        <f t="shared" si="16"/>
        <v>0</v>
      </c>
      <c r="K117" s="671">
        <f t="shared" si="17"/>
        <v>0</v>
      </c>
      <c r="L117" s="663">
        <f t="shared" si="19"/>
        <v>0</v>
      </c>
      <c r="M117" s="663" t="str">
        <f>IF(K117&gt;0,SUM($L$5:L117),"")</f>
        <v/>
      </c>
    </row>
    <row r="118" spans="1:13" hidden="1" x14ac:dyDescent="0.2">
      <c r="A118" s="677" t="b">
        <f t="shared" si="18"/>
        <v>0</v>
      </c>
      <c r="C118" s="666"/>
      <c r="D118" s="667" t="str">
        <f t="shared" si="10"/>
        <v/>
      </c>
      <c r="E118" s="668">
        <f t="shared" si="11"/>
        <v>0</v>
      </c>
      <c r="F118" s="669">
        <f t="shared" si="12"/>
        <v>0</v>
      </c>
      <c r="G118" s="668">
        <f t="shared" si="13"/>
        <v>0</v>
      </c>
      <c r="H118" s="670">
        <f t="shared" si="14"/>
        <v>0</v>
      </c>
      <c r="I118" s="670">
        <f t="shared" si="15"/>
        <v>0</v>
      </c>
      <c r="J118" s="668">
        <f t="shared" si="16"/>
        <v>0</v>
      </c>
      <c r="K118" s="671">
        <f t="shared" si="17"/>
        <v>0</v>
      </c>
      <c r="L118" s="663">
        <f t="shared" si="19"/>
        <v>0</v>
      </c>
      <c r="M118" s="663" t="str">
        <f>IF(K118&gt;0,SUM($L$5:L118),"")</f>
        <v/>
      </c>
    </row>
    <row r="119" spans="1:13" hidden="1" x14ac:dyDescent="0.2">
      <c r="A119" s="677" t="b">
        <f t="shared" si="18"/>
        <v>0</v>
      </c>
      <c r="C119" s="666"/>
      <c r="D119" s="667" t="str">
        <f t="shared" si="10"/>
        <v/>
      </c>
      <c r="E119" s="668">
        <f t="shared" si="11"/>
        <v>0</v>
      </c>
      <c r="F119" s="669">
        <f t="shared" si="12"/>
        <v>0</v>
      </c>
      <c r="G119" s="668">
        <f t="shared" si="13"/>
        <v>0</v>
      </c>
      <c r="H119" s="670">
        <f t="shared" si="14"/>
        <v>0</v>
      </c>
      <c r="I119" s="670">
        <f t="shared" si="15"/>
        <v>0</v>
      </c>
      <c r="J119" s="668">
        <f t="shared" si="16"/>
        <v>0</v>
      </c>
      <c r="K119" s="671">
        <f t="shared" si="17"/>
        <v>0</v>
      </c>
      <c r="L119" s="663">
        <f t="shared" si="19"/>
        <v>0</v>
      </c>
      <c r="M119" s="663" t="str">
        <f>IF(K119&gt;0,SUM($L$5:L119),"")</f>
        <v/>
      </c>
    </row>
    <row r="120" spans="1:13" hidden="1" x14ac:dyDescent="0.2">
      <c r="A120" s="677" t="b">
        <f t="shared" si="18"/>
        <v>0</v>
      </c>
      <c r="C120" s="666"/>
      <c r="D120" s="667" t="str">
        <f t="shared" si="10"/>
        <v/>
      </c>
      <c r="E120" s="668">
        <f t="shared" si="11"/>
        <v>0</v>
      </c>
      <c r="F120" s="669">
        <f t="shared" si="12"/>
        <v>0</v>
      </c>
      <c r="G120" s="668">
        <f t="shared" si="13"/>
        <v>0</v>
      </c>
      <c r="H120" s="670">
        <f t="shared" si="14"/>
        <v>0</v>
      </c>
      <c r="I120" s="670">
        <f t="shared" si="15"/>
        <v>0</v>
      </c>
      <c r="J120" s="668">
        <f t="shared" si="16"/>
        <v>0</v>
      </c>
      <c r="K120" s="671">
        <f t="shared" si="17"/>
        <v>0</v>
      </c>
      <c r="L120" s="663">
        <f t="shared" si="19"/>
        <v>0</v>
      </c>
      <c r="M120" s="663" t="str">
        <f>IF(K120&gt;0,SUM($L$5:L120),"")</f>
        <v/>
      </c>
    </row>
    <row r="121" spans="1:13" hidden="1" x14ac:dyDescent="0.2">
      <c r="A121" s="677" t="b">
        <f t="shared" si="18"/>
        <v>0</v>
      </c>
      <c r="C121" s="666"/>
      <c r="D121" s="667" t="str">
        <f t="shared" si="10"/>
        <v/>
      </c>
      <c r="E121" s="668">
        <f t="shared" si="11"/>
        <v>0</v>
      </c>
      <c r="F121" s="669">
        <f t="shared" si="12"/>
        <v>0</v>
      </c>
      <c r="G121" s="668">
        <f t="shared" si="13"/>
        <v>0</v>
      </c>
      <c r="H121" s="670">
        <f t="shared" si="14"/>
        <v>0</v>
      </c>
      <c r="I121" s="670">
        <f t="shared" si="15"/>
        <v>0</v>
      </c>
      <c r="J121" s="668">
        <f t="shared" si="16"/>
        <v>0</v>
      </c>
      <c r="K121" s="671">
        <f t="shared" si="17"/>
        <v>0</v>
      </c>
      <c r="L121" s="663">
        <f t="shared" si="19"/>
        <v>0</v>
      </c>
      <c r="M121" s="663" t="str">
        <f>IF(K121&gt;0,SUM($L$5:L121),"")</f>
        <v/>
      </c>
    </row>
    <row r="122" spans="1:13" hidden="1" x14ac:dyDescent="0.2">
      <c r="A122" s="677" t="b">
        <f t="shared" si="18"/>
        <v>0</v>
      </c>
      <c r="C122" s="666"/>
      <c r="D122" s="667" t="str">
        <f t="shared" si="10"/>
        <v/>
      </c>
      <c r="E122" s="668">
        <f t="shared" si="11"/>
        <v>0</v>
      </c>
      <c r="F122" s="669">
        <f t="shared" si="12"/>
        <v>0</v>
      </c>
      <c r="G122" s="668">
        <f t="shared" si="13"/>
        <v>0</v>
      </c>
      <c r="H122" s="670">
        <f t="shared" si="14"/>
        <v>0</v>
      </c>
      <c r="I122" s="670">
        <f t="shared" si="15"/>
        <v>0</v>
      </c>
      <c r="J122" s="668">
        <f t="shared" si="16"/>
        <v>0</v>
      </c>
      <c r="K122" s="671">
        <f t="shared" si="17"/>
        <v>0</v>
      </c>
      <c r="L122" s="663">
        <f t="shared" si="19"/>
        <v>0</v>
      </c>
      <c r="M122" s="663" t="str">
        <f>IF(K122&gt;0,SUM($L$5:L122),"")</f>
        <v/>
      </c>
    </row>
    <row r="123" spans="1:13" hidden="1" x14ac:dyDescent="0.2">
      <c r="A123" s="677" t="b">
        <f t="shared" si="18"/>
        <v>0</v>
      </c>
      <c r="C123" s="666"/>
      <c r="D123" s="667" t="str">
        <f t="shared" si="10"/>
        <v/>
      </c>
      <c r="E123" s="668">
        <f t="shared" si="11"/>
        <v>0</v>
      </c>
      <c r="F123" s="669">
        <f t="shared" si="12"/>
        <v>0</v>
      </c>
      <c r="G123" s="668">
        <f t="shared" si="13"/>
        <v>0</v>
      </c>
      <c r="H123" s="670">
        <f t="shared" si="14"/>
        <v>0</v>
      </c>
      <c r="I123" s="670">
        <f t="shared" si="15"/>
        <v>0</v>
      </c>
      <c r="J123" s="668">
        <f t="shared" si="16"/>
        <v>0</v>
      </c>
      <c r="K123" s="671">
        <f t="shared" si="17"/>
        <v>0</v>
      </c>
      <c r="L123" s="663">
        <f t="shared" si="19"/>
        <v>0</v>
      </c>
      <c r="M123" s="663" t="str">
        <f>IF(K123&gt;0,SUM($L$5:L123),"")</f>
        <v/>
      </c>
    </row>
    <row r="124" spans="1:13" hidden="1" x14ac:dyDescent="0.2">
      <c r="A124" s="677" t="b">
        <f t="shared" si="18"/>
        <v>0</v>
      </c>
      <c r="C124" s="666"/>
      <c r="D124" s="667" t="str">
        <f t="shared" si="10"/>
        <v/>
      </c>
      <c r="E124" s="668">
        <f t="shared" si="11"/>
        <v>0</v>
      </c>
      <c r="F124" s="669">
        <f t="shared" si="12"/>
        <v>0</v>
      </c>
      <c r="G124" s="668">
        <f t="shared" si="13"/>
        <v>0</v>
      </c>
      <c r="H124" s="670">
        <f t="shared" si="14"/>
        <v>0</v>
      </c>
      <c r="I124" s="670">
        <f t="shared" si="15"/>
        <v>0</v>
      </c>
      <c r="J124" s="668">
        <f t="shared" si="16"/>
        <v>0</v>
      </c>
      <c r="K124" s="671">
        <f t="shared" si="17"/>
        <v>0</v>
      </c>
      <c r="L124" s="663">
        <f t="shared" si="19"/>
        <v>0</v>
      </c>
      <c r="M124" s="663" t="str">
        <f>IF(K124&gt;0,SUM($L$5:L124),"")</f>
        <v/>
      </c>
    </row>
    <row r="125" spans="1:13" hidden="1" x14ac:dyDescent="0.2">
      <c r="A125" s="677" t="b">
        <f t="shared" si="18"/>
        <v>0</v>
      </c>
      <c r="C125" s="739"/>
      <c r="D125" s="667" t="str">
        <f t="shared" si="10"/>
        <v/>
      </c>
      <c r="E125" s="668">
        <f t="shared" si="11"/>
        <v>0</v>
      </c>
      <c r="F125" s="669">
        <f t="shared" si="12"/>
        <v>0</v>
      </c>
      <c r="G125" s="668">
        <f t="shared" si="13"/>
        <v>0</v>
      </c>
      <c r="H125" s="670">
        <f t="shared" si="14"/>
        <v>0</v>
      </c>
      <c r="I125" s="670">
        <f t="shared" si="15"/>
        <v>0</v>
      </c>
      <c r="J125" s="668">
        <f t="shared" si="16"/>
        <v>0</v>
      </c>
      <c r="K125" s="671">
        <f t="shared" si="17"/>
        <v>0</v>
      </c>
      <c r="L125" s="663">
        <f t="shared" si="19"/>
        <v>0</v>
      </c>
      <c r="M125" s="663" t="str">
        <f>IF(K125&gt;0,SUM($L$5:L125),"")</f>
        <v/>
      </c>
    </row>
    <row r="126" spans="1:13" hidden="1" x14ac:dyDescent="0.2">
      <c r="A126" s="677" t="b">
        <f t="shared" si="18"/>
        <v>0</v>
      </c>
      <c r="C126" s="739"/>
      <c r="D126" s="667" t="str">
        <f t="shared" si="10"/>
        <v/>
      </c>
      <c r="E126" s="668">
        <f t="shared" si="11"/>
        <v>0</v>
      </c>
      <c r="F126" s="669">
        <f t="shared" si="12"/>
        <v>0</v>
      </c>
      <c r="G126" s="668">
        <f t="shared" si="13"/>
        <v>0</v>
      </c>
      <c r="H126" s="670">
        <f t="shared" si="14"/>
        <v>0</v>
      </c>
      <c r="I126" s="670">
        <f t="shared" si="15"/>
        <v>0</v>
      </c>
      <c r="J126" s="668">
        <f t="shared" si="16"/>
        <v>0</v>
      </c>
      <c r="K126" s="671">
        <f t="shared" si="17"/>
        <v>0</v>
      </c>
      <c r="L126" s="663">
        <f t="shared" si="19"/>
        <v>0</v>
      </c>
      <c r="M126" s="663" t="str">
        <f>IF(K126&gt;0,SUM($L$5:L126),"")</f>
        <v/>
      </c>
    </row>
    <row r="127" spans="1:13" hidden="1" x14ac:dyDescent="0.2">
      <c r="A127" s="677" t="b">
        <f t="shared" si="18"/>
        <v>0</v>
      </c>
      <c r="C127" s="666"/>
      <c r="D127" s="667" t="str">
        <f t="shared" si="10"/>
        <v/>
      </c>
      <c r="E127" s="668">
        <f t="shared" si="11"/>
        <v>0</v>
      </c>
      <c r="F127" s="669">
        <f t="shared" si="12"/>
        <v>0</v>
      </c>
      <c r="G127" s="668">
        <f t="shared" si="13"/>
        <v>0</v>
      </c>
      <c r="H127" s="670">
        <f t="shared" si="14"/>
        <v>0</v>
      </c>
      <c r="I127" s="670">
        <f t="shared" si="15"/>
        <v>0</v>
      </c>
      <c r="J127" s="668">
        <f t="shared" si="16"/>
        <v>0</v>
      </c>
      <c r="K127" s="671">
        <f t="shared" si="17"/>
        <v>0</v>
      </c>
      <c r="L127" s="663">
        <f t="shared" si="19"/>
        <v>0</v>
      </c>
      <c r="M127" s="663" t="str">
        <f>IF(K127&gt;0,SUM($L$5:L127),"")</f>
        <v/>
      </c>
    </row>
    <row r="128" spans="1:13" hidden="1" x14ac:dyDescent="0.2">
      <c r="A128" s="677" t="b">
        <f t="shared" si="18"/>
        <v>0</v>
      </c>
      <c r="C128" s="666"/>
      <c r="D128" s="667" t="str">
        <f t="shared" si="10"/>
        <v/>
      </c>
      <c r="E128" s="668">
        <f t="shared" si="11"/>
        <v>0</v>
      </c>
      <c r="F128" s="669">
        <f t="shared" si="12"/>
        <v>0</v>
      </c>
      <c r="G128" s="668">
        <f t="shared" si="13"/>
        <v>0</v>
      </c>
      <c r="H128" s="670">
        <f t="shared" si="14"/>
        <v>0</v>
      </c>
      <c r="I128" s="670">
        <f t="shared" si="15"/>
        <v>0</v>
      </c>
      <c r="J128" s="668">
        <f t="shared" si="16"/>
        <v>0</v>
      </c>
      <c r="K128" s="671">
        <f t="shared" si="17"/>
        <v>0</v>
      </c>
      <c r="L128" s="663">
        <f t="shared" si="19"/>
        <v>0</v>
      </c>
      <c r="M128" s="663" t="str">
        <f>IF(K128&gt;0,SUM($L$5:L128),"")</f>
        <v/>
      </c>
    </row>
    <row r="129" spans="1:13" hidden="1" x14ac:dyDescent="0.2">
      <c r="A129" s="677" t="b">
        <f t="shared" si="18"/>
        <v>0</v>
      </c>
      <c r="C129" s="666"/>
      <c r="D129" s="667" t="str">
        <f t="shared" si="10"/>
        <v/>
      </c>
      <c r="E129" s="668">
        <f t="shared" si="11"/>
        <v>0</v>
      </c>
      <c r="F129" s="669">
        <f t="shared" si="12"/>
        <v>0</v>
      </c>
      <c r="G129" s="668">
        <f t="shared" si="13"/>
        <v>0</v>
      </c>
      <c r="H129" s="670">
        <f t="shared" si="14"/>
        <v>0</v>
      </c>
      <c r="I129" s="670">
        <f t="shared" si="15"/>
        <v>0</v>
      </c>
      <c r="J129" s="668">
        <f t="shared" si="16"/>
        <v>0</v>
      </c>
      <c r="K129" s="671">
        <f t="shared" si="17"/>
        <v>0</v>
      </c>
      <c r="L129" s="663">
        <f t="shared" si="19"/>
        <v>0</v>
      </c>
      <c r="M129" s="663" t="str">
        <f>IF(K129&gt;0,SUM($L$5:L129),"")</f>
        <v/>
      </c>
    </row>
    <row r="130" spans="1:13" hidden="1" x14ac:dyDescent="0.2">
      <c r="A130" s="677" t="b">
        <f t="shared" si="18"/>
        <v>0</v>
      </c>
      <c r="C130" s="666"/>
      <c r="D130" s="667" t="str">
        <f t="shared" si="10"/>
        <v/>
      </c>
      <c r="E130" s="668">
        <f t="shared" si="11"/>
        <v>0</v>
      </c>
      <c r="F130" s="669">
        <f t="shared" si="12"/>
        <v>0</v>
      </c>
      <c r="G130" s="668">
        <f t="shared" si="13"/>
        <v>0</v>
      </c>
      <c r="H130" s="670">
        <f t="shared" si="14"/>
        <v>0</v>
      </c>
      <c r="I130" s="670">
        <f t="shared" si="15"/>
        <v>0</v>
      </c>
      <c r="J130" s="668">
        <f t="shared" si="16"/>
        <v>0</v>
      </c>
      <c r="K130" s="671">
        <f t="shared" si="17"/>
        <v>0</v>
      </c>
      <c r="L130" s="663">
        <f t="shared" si="19"/>
        <v>0</v>
      </c>
      <c r="M130" s="663" t="str">
        <f>IF(K130&gt;0,SUM($L$5:L130),"")</f>
        <v/>
      </c>
    </row>
    <row r="131" spans="1:13" hidden="1" x14ac:dyDescent="0.2">
      <c r="A131" s="677" t="b">
        <f t="shared" si="18"/>
        <v>0</v>
      </c>
      <c r="C131" s="666"/>
      <c r="D131" s="667" t="str">
        <f t="shared" si="10"/>
        <v/>
      </c>
      <c r="E131" s="668">
        <f t="shared" si="11"/>
        <v>0</v>
      </c>
      <c r="F131" s="669">
        <f t="shared" si="12"/>
        <v>0</v>
      </c>
      <c r="G131" s="668">
        <f t="shared" si="13"/>
        <v>0</v>
      </c>
      <c r="H131" s="670">
        <f t="shared" si="14"/>
        <v>0</v>
      </c>
      <c r="I131" s="670">
        <f t="shared" si="15"/>
        <v>0</v>
      </c>
      <c r="J131" s="668">
        <f t="shared" si="16"/>
        <v>0</v>
      </c>
      <c r="K131" s="671">
        <f t="shared" si="17"/>
        <v>0</v>
      </c>
      <c r="L131" s="663">
        <f t="shared" si="19"/>
        <v>0</v>
      </c>
      <c r="M131" s="663" t="str">
        <f>IF(K131&gt;0,SUM($L$5:L131),"")</f>
        <v/>
      </c>
    </row>
    <row r="132" spans="1:13" hidden="1" x14ac:dyDescent="0.2">
      <c r="A132" s="677" t="b">
        <f t="shared" si="18"/>
        <v>0</v>
      </c>
      <c r="C132" s="666"/>
      <c r="D132" s="667" t="str">
        <f t="shared" si="10"/>
        <v/>
      </c>
      <c r="E132" s="668">
        <f t="shared" si="11"/>
        <v>0</v>
      </c>
      <c r="F132" s="669">
        <f t="shared" si="12"/>
        <v>0</v>
      </c>
      <c r="G132" s="668">
        <f t="shared" si="13"/>
        <v>0</v>
      </c>
      <c r="H132" s="670">
        <f t="shared" si="14"/>
        <v>0</v>
      </c>
      <c r="I132" s="670">
        <f t="shared" si="15"/>
        <v>0</v>
      </c>
      <c r="J132" s="668">
        <f t="shared" si="16"/>
        <v>0</v>
      </c>
      <c r="K132" s="671">
        <f t="shared" si="17"/>
        <v>0</v>
      </c>
      <c r="L132" s="663">
        <f t="shared" si="19"/>
        <v>0</v>
      </c>
      <c r="M132" s="663" t="str">
        <f>IF(K132&gt;0,SUM($L$5:L132),"")</f>
        <v/>
      </c>
    </row>
    <row r="133" spans="1:13" hidden="1" x14ac:dyDescent="0.2">
      <c r="A133" s="677" t="b">
        <f t="shared" si="18"/>
        <v>0</v>
      </c>
      <c r="C133" s="666"/>
      <c r="D133" s="667" t="str">
        <f t="shared" ref="D133:D196" si="20">IF(C133&lt;&gt;"",IF(ISERROR(VLOOKUP(C133,tbl_servicos,1,FALSE)),"MAT","SERV"),"")</f>
        <v/>
      </c>
      <c r="E133" s="668">
        <f t="shared" ref="E133:E196" si="21">IFERROR(G133/F133,0)</f>
        <v>0</v>
      </c>
      <c r="F133" s="669">
        <f t="shared" ref="F133:F196" si="22">SUMIF(col_item,$C133,col_qtd)</f>
        <v>0</v>
      </c>
      <c r="G133" s="668">
        <f t="shared" ref="G133:G196" si="23">SUMIF(col_item,$C133,col_custoTotal)+SUMIF(col_item,$C133,col_fatdir_liquido_com_mn)</f>
        <v>0</v>
      </c>
      <c r="H133" s="670">
        <f t="shared" ref="H133:H196" si="24">IFERROR(1-G133/J133,0)</f>
        <v>0</v>
      </c>
      <c r="I133" s="670">
        <f t="shared" ref="I133:I196" si="25">IFERROR(1-J133/K133,0)</f>
        <v>0</v>
      </c>
      <c r="J133" s="668">
        <f t="shared" ref="J133:J196" si="26">SUMIF(col_item,$C133,col_liquidototal)+SUMIF(col_item,$C133,col_fatdir_liquido_com_mn)</f>
        <v>0</v>
      </c>
      <c r="K133" s="671">
        <f t="shared" ref="K133:K196" si="27">SUMIF(col_item,$C133,col_brutototal)+SUMIF(col_item,$C133,col_fatdir_bruto_com_mn)</f>
        <v>0</v>
      </c>
      <c r="L133" s="663">
        <f t="shared" si="19"/>
        <v>0</v>
      </c>
      <c r="M133" s="663" t="str">
        <f>IF(K133&gt;0,SUM($L$5:L133),"")</f>
        <v/>
      </c>
    </row>
    <row r="134" spans="1:13" hidden="1" x14ac:dyDescent="0.2">
      <c r="A134" s="677" t="b">
        <f t="shared" ref="A134:A197" si="28">IF(M134&lt;$L$2,TRUE,FALSE)</f>
        <v>0</v>
      </c>
      <c r="C134" s="666"/>
      <c r="D134" s="667" t="str">
        <f t="shared" si="20"/>
        <v/>
      </c>
      <c r="E134" s="668">
        <f t="shared" si="21"/>
        <v>0</v>
      </c>
      <c r="F134" s="669">
        <f t="shared" si="22"/>
        <v>0</v>
      </c>
      <c r="G134" s="668">
        <f t="shared" si="23"/>
        <v>0</v>
      </c>
      <c r="H134" s="670">
        <f t="shared" si="24"/>
        <v>0</v>
      </c>
      <c r="I134" s="670">
        <f t="shared" si="25"/>
        <v>0</v>
      </c>
      <c r="J134" s="668">
        <f t="shared" si="26"/>
        <v>0</v>
      </c>
      <c r="K134" s="671">
        <f t="shared" si="27"/>
        <v>0</v>
      </c>
      <c r="L134" s="663">
        <f t="shared" ref="L134:L197" si="29">IFERROR(K134/$K$3,0)</f>
        <v>0</v>
      </c>
      <c r="M134" s="663" t="str">
        <f>IF(K134&gt;0,SUM($L$5:L134),"")</f>
        <v/>
      </c>
    </row>
    <row r="135" spans="1:13" hidden="1" x14ac:dyDescent="0.2">
      <c r="A135" s="677" t="b">
        <f t="shared" si="28"/>
        <v>0</v>
      </c>
      <c r="C135" s="666"/>
      <c r="D135" s="667" t="str">
        <f t="shared" si="20"/>
        <v/>
      </c>
      <c r="E135" s="668">
        <f t="shared" si="21"/>
        <v>0</v>
      </c>
      <c r="F135" s="669">
        <f t="shared" si="22"/>
        <v>0</v>
      </c>
      <c r="G135" s="668">
        <f t="shared" si="23"/>
        <v>0</v>
      </c>
      <c r="H135" s="670">
        <f t="shared" si="24"/>
        <v>0</v>
      </c>
      <c r="I135" s="670">
        <f t="shared" si="25"/>
        <v>0</v>
      </c>
      <c r="J135" s="668">
        <f t="shared" si="26"/>
        <v>0</v>
      </c>
      <c r="K135" s="671">
        <f t="shared" si="27"/>
        <v>0</v>
      </c>
      <c r="L135" s="663">
        <f t="shared" si="29"/>
        <v>0</v>
      </c>
      <c r="M135" s="663" t="str">
        <f>IF(K135&gt;0,SUM($L$5:L135),"")</f>
        <v/>
      </c>
    </row>
    <row r="136" spans="1:13" hidden="1" x14ac:dyDescent="0.2">
      <c r="A136" s="677" t="b">
        <f t="shared" si="28"/>
        <v>0</v>
      </c>
      <c r="C136" s="666"/>
      <c r="D136" s="667" t="str">
        <f t="shared" si="20"/>
        <v/>
      </c>
      <c r="E136" s="668">
        <f t="shared" si="21"/>
        <v>0</v>
      </c>
      <c r="F136" s="669">
        <f t="shared" si="22"/>
        <v>0</v>
      </c>
      <c r="G136" s="668">
        <f t="shared" si="23"/>
        <v>0</v>
      </c>
      <c r="H136" s="670">
        <f t="shared" si="24"/>
        <v>0</v>
      </c>
      <c r="I136" s="670">
        <f t="shared" si="25"/>
        <v>0</v>
      </c>
      <c r="J136" s="668">
        <f t="shared" si="26"/>
        <v>0</v>
      </c>
      <c r="K136" s="671">
        <f t="shared" si="27"/>
        <v>0</v>
      </c>
      <c r="L136" s="663">
        <f t="shared" si="29"/>
        <v>0</v>
      </c>
      <c r="M136" s="663" t="str">
        <f>IF(K136&gt;0,SUM($L$5:L136),"")</f>
        <v/>
      </c>
    </row>
    <row r="137" spans="1:13" hidden="1" x14ac:dyDescent="0.2">
      <c r="A137" s="677" t="b">
        <f t="shared" si="28"/>
        <v>0</v>
      </c>
      <c r="C137" s="666"/>
      <c r="D137" s="667" t="str">
        <f t="shared" si="20"/>
        <v/>
      </c>
      <c r="E137" s="668">
        <f t="shared" si="21"/>
        <v>0</v>
      </c>
      <c r="F137" s="669">
        <f t="shared" si="22"/>
        <v>0</v>
      </c>
      <c r="G137" s="668">
        <f t="shared" si="23"/>
        <v>0</v>
      </c>
      <c r="H137" s="670">
        <f t="shared" si="24"/>
        <v>0</v>
      </c>
      <c r="I137" s="670">
        <f t="shared" si="25"/>
        <v>0</v>
      </c>
      <c r="J137" s="668">
        <f t="shared" si="26"/>
        <v>0</v>
      </c>
      <c r="K137" s="671">
        <f t="shared" si="27"/>
        <v>0</v>
      </c>
      <c r="L137" s="663">
        <f t="shared" si="29"/>
        <v>0</v>
      </c>
      <c r="M137" s="663" t="str">
        <f>IF(K137&gt;0,SUM($L$5:L137),"")</f>
        <v/>
      </c>
    </row>
    <row r="138" spans="1:13" hidden="1" x14ac:dyDescent="0.2">
      <c r="A138" s="677" t="b">
        <f t="shared" si="28"/>
        <v>0</v>
      </c>
      <c r="C138" s="666"/>
      <c r="D138" s="667" t="str">
        <f t="shared" si="20"/>
        <v/>
      </c>
      <c r="E138" s="668">
        <f t="shared" si="21"/>
        <v>0</v>
      </c>
      <c r="F138" s="669">
        <f t="shared" si="22"/>
        <v>0</v>
      </c>
      <c r="G138" s="668">
        <f t="shared" si="23"/>
        <v>0</v>
      </c>
      <c r="H138" s="670">
        <f t="shared" si="24"/>
        <v>0</v>
      </c>
      <c r="I138" s="670">
        <f t="shared" si="25"/>
        <v>0</v>
      </c>
      <c r="J138" s="668">
        <f t="shared" si="26"/>
        <v>0</v>
      </c>
      <c r="K138" s="671">
        <f t="shared" si="27"/>
        <v>0</v>
      </c>
      <c r="L138" s="663">
        <f t="shared" si="29"/>
        <v>0</v>
      </c>
      <c r="M138" s="663" t="str">
        <f>IF(K138&gt;0,SUM($L$5:L138),"")</f>
        <v/>
      </c>
    </row>
    <row r="139" spans="1:13" hidden="1" x14ac:dyDescent="0.2">
      <c r="A139" s="677" t="b">
        <f t="shared" si="28"/>
        <v>0</v>
      </c>
      <c r="C139" s="666"/>
      <c r="D139" s="667" t="str">
        <f t="shared" si="20"/>
        <v/>
      </c>
      <c r="E139" s="668">
        <f t="shared" si="21"/>
        <v>0</v>
      </c>
      <c r="F139" s="669">
        <f t="shared" si="22"/>
        <v>0</v>
      </c>
      <c r="G139" s="668">
        <f t="shared" si="23"/>
        <v>0</v>
      </c>
      <c r="H139" s="670">
        <f t="shared" si="24"/>
        <v>0</v>
      </c>
      <c r="I139" s="670">
        <f t="shared" si="25"/>
        <v>0</v>
      </c>
      <c r="J139" s="668">
        <f t="shared" si="26"/>
        <v>0</v>
      </c>
      <c r="K139" s="671">
        <f t="shared" si="27"/>
        <v>0</v>
      </c>
      <c r="L139" s="663">
        <f t="shared" si="29"/>
        <v>0</v>
      </c>
      <c r="M139" s="663" t="str">
        <f>IF(K139&gt;0,SUM($L$5:L139),"")</f>
        <v/>
      </c>
    </row>
    <row r="140" spans="1:13" hidden="1" x14ac:dyDescent="0.2">
      <c r="A140" s="677" t="b">
        <f t="shared" si="28"/>
        <v>0</v>
      </c>
      <c r="C140" s="666"/>
      <c r="D140" s="667" t="str">
        <f t="shared" si="20"/>
        <v/>
      </c>
      <c r="E140" s="668">
        <f t="shared" si="21"/>
        <v>0</v>
      </c>
      <c r="F140" s="669">
        <f t="shared" si="22"/>
        <v>0</v>
      </c>
      <c r="G140" s="668">
        <f t="shared" si="23"/>
        <v>0</v>
      </c>
      <c r="H140" s="670">
        <f t="shared" si="24"/>
        <v>0</v>
      </c>
      <c r="I140" s="670">
        <f t="shared" si="25"/>
        <v>0</v>
      </c>
      <c r="J140" s="668">
        <f t="shared" si="26"/>
        <v>0</v>
      </c>
      <c r="K140" s="671">
        <f t="shared" si="27"/>
        <v>0</v>
      </c>
      <c r="L140" s="663">
        <f t="shared" si="29"/>
        <v>0</v>
      </c>
      <c r="M140" s="663" t="str">
        <f>IF(K140&gt;0,SUM($L$5:L140),"")</f>
        <v/>
      </c>
    </row>
    <row r="141" spans="1:13" hidden="1" x14ac:dyDescent="0.2">
      <c r="A141" s="677" t="b">
        <f t="shared" si="28"/>
        <v>0</v>
      </c>
      <c r="C141" s="666"/>
      <c r="D141" s="667" t="str">
        <f t="shared" si="20"/>
        <v/>
      </c>
      <c r="E141" s="668">
        <f t="shared" si="21"/>
        <v>0</v>
      </c>
      <c r="F141" s="669">
        <f t="shared" si="22"/>
        <v>0</v>
      </c>
      <c r="G141" s="668">
        <f t="shared" si="23"/>
        <v>0</v>
      </c>
      <c r="H141" s="670">
        <f t="shared" si="24"/>
        <v>0</v>
      </c>
      <c r="I141" s="670">
        <f t="shared" si="25"/>
        <v>0</v>
      </c>
      <c r="J141" s="668">
        <f t="shared" si="26"/>
        <v>0</v>
      </c>
      <c r="K141" s="671">
        <f t="shared" si="27"/>
        <v>0</v>
      </c>
      <c r="L141" s="663">
        <f t="shared" si="29"/>
        <v>0</v>
      </c>
      <c r="M141" s="663" t="str">
        <f>IF(K141&gt;0,SUM($L$5:L141),"")</f>
        <v/>
      </c>
    </row>
    <row r="142" spans="1:13" hidden="1" x14ac:dyDescent="0.2">
      <c r="A142" s="677" t="b">
        <f t="shared" si="28"/>
        <v>0</v>
      </c>
      <c r="C142" s="666"/>
      <c r="D142" s="667" t="str">
        <f t="shared" si="20"/>
        <v/>
      </c>
      <c r="E142" s="668">
        <f t="shared" si="21"/>
        <v>0</v>
      </c>
      <c r="F142" s="669">
        <f t="shared" si="22"/>
        <v>0</v>
      </c>
      <c r="G142" s="668">
        <f t="shared" si="23"/>
        <v>0</v>
      </c>
      <c r="H142" s="670">
        <f t="shared" si="24"/>
        <v>0</v>
      </c>
      <c r="I142" s="670">
        <f t="shared" si="25"/>
        <v>0</v>
      </c>
      <c r="J142" s="668">
        <f t="shared" si="26"/>
        <v>0</v>
      </c>
      <c r="K142" s="671">
        <f t="shared" si="27"/>
        <v>0</v>
      </c>
      <c r="L142" s="663">
        <f t="shared" si="29"/>
        <v>0</v>
      </c>
      <c r="M142" s="663" t="str">
        <f>IF(K142&gt;0,SUM($L$5:L142),"")</f>
        <v/>
      </c>
    </row>
    <row r="143" spans="1:13" hidden="1" x14ac:dyDescent="0.2">
      <c r="A143" s="677" t="b">
        <f t="shared" si="28"/>
        <v>0</v>
      </c>
      <c r="C143" s="666"/>
      <c r="D143" s="667" t="str">
        <f t="shared" si="20"/>
        <v/>
      </c>
      <c r="E143" s="668">
        <f t="shared" si="21"/>
        <v>0</v>
      </c>
      <c r="F143" s="669">
        <f t="shared" si="22"/>
        <v>0</v>
      </c>
      <c r="G143" s="668">
        <f t="shared" si="23"/>
        <v>0</v>
      </c>
      <c r="H143" s="670">
        <f t="shared" si="24"/>
        <v>0</v>
      </c>
      <c r="I143" s="670">
        <f t="shared" si="25"/>
        <v>0</v>
      </c>
      <c r="J143" s="668">
        <f t="shared" si="26"/>
        <v>0</v>
      </c>
      <c r="K143" s="671">
        <f t="shared" si="27"/>
        <v>0</v>
      </c>
      <c r="L143" s="663">
        <f t="shared" si="29"/>
        <v>0</v>
      </c>
      <c r="M143" s="663" t="str">
        <f>IF(K143&gt;0,SUM($L$5:L143),"")</f>
        <v/>
      </c>
    </row>
    <row r="144" spans="1:13" hidden="1" x14ac:dyDescent="0.2">
      <c r="A144" s="677" t="b">
        <f t="shared" si="28"/>
        <v>0</v>
      </c>
      <c r="C144" s="666"/>
      <c r="D144" s="667" t="str">
        <f t="shared" si="20"/>
        <v/>
      </c>
      <c r="E144" s="668">
        <f t="shared" si="21"/>
        <v>0</v>
      </c>
      <c r="F144" s="669">
        <f t="shared" si="22"/>
        <v>0</v>
      </c>
      <c r="G144" s="668">
        <f t="shared" si="23"/>
        <v>0</v>
      </c>
      <c r="H144" s="670">
        <f t="shared" si="24"/>
        <v>0</v>
      </c>
      <c r="I144" s="670">
        <f t="shared" si="25"/>
        <v>0</v>
      </c>
      <c r="J144" s="668">
        <f t="shared" si="26"/>
        <v>0</v>
      </c>
      <c r="K144" s="671">
        <f t="shared" si="27"/>
        <v>0</v>
      </c>
      <c r="L144" s="663">
        <f t="shared" si="29"/>
        <v>0</v>
      </c>
      <c r="M144" s="663" t="str">
        <f>IF(K144&gt;0,SUM($L$5:L144),"")</f>
        <v/>
      </c>
    </row>
    <row r="145" spans="1:13" hidden="1" x14ac:dyDescent="0.2">
      <c r="A145" s="677" t="b">
        <f t="shared" si="28"/>
        <v>0</v>
      </c>
      <c r="C145" s="666"/>
      <c r="D145" s="667" t="str">
        <f t="shared" si="20"/>
        <v/>
      </c>
      <c r="E145" s="668">
        <f t="shared" si="21"/>
        <v>0</v>
      </c>
      <c r="F145" s="669">
        <f t="shared" si="22"/>
        <v>0</v>
      </c>
      <c r="G145" s="668">
        <f t="shared" si="23"/>
        <v>0</v>
      </c>
      <c r="H145" s="670">
        <f t="shared" si="24"/>
        <v>0</v>
      </c>
      <c r="I145" s="670">
        <f t="shared" si="25"/>
        <v>0</v>
      </c>
      <c r="J145" s="668">
        <f t="shared" si="26"/>
        <v>0</v>
      </c>
      <c r="K145" s="671">
        <f t="shared" si="27"/>
        <v>0</v>
      </c>
      <c r="L145" s="663">
        <f t="shared" si="29"/>
        <v>0</v>
      </c>
      <c r="M145" s="663" t="str">
        <f>IF(K145&gt;0,SUM($L$5:L145),"")</f>
        <v/>
      </c>
    </row>
    <row r="146" spans="1:13" hidden="1" x14ac:dyDescent="0.2">
      <c r="A146" s="677" t="b">
        <f t="shared" si="28"/>
        <v>0</v>
      </c>
      <c r="C146" s="666"/>
      <c r="D146" s="667" t="str">
        <f t="shared" si="20"/>
        <v/>
      </c>
      <c r="E146" s="668">
        <f t="shared" si="21"/>
        <v>0</v>
      </c>
      <c r="F146" s="669">
        <f t="shared" si="22"/>
        <v>0</v>
      </c>
      <c r="G146" s="668">
        <f t="shared" si="23"/>
        <v>0</v>
      </c>
      <c r="H146" s="670">
        <f t="shared" si="24"/>
        <v>0</v>
      </c>
      <c r="I146" s="670">
        <f t="shared" si="25"/>
        <v>0</v>
      </c>
      <c r="J146" s="668">
        <f t="shared" si="26"/>
        <v>0</v>
      </c>
      <c r="K146" s="671">
        <f t="shared" si="27"/>
        <v>0</v>
      </c>
      <c r="L146" s="663">
        <f t="shared" si="29"/>
        <v>0</v>
      </c>
      <c r="M146" s="663" t="str">
        <f>IF(K146&gt;0,SUM($L$5:L146),"")</f>
        <v/>
      </c>
    </row>
    <row r="147" spans="1:13" hidden="1" x14ac:dyDescent="0.2">
      <c r="A147" s="677" t="b">
        <f t="shared" si="28"/>
        <v>0</v>
      </c>
      <c r="C147" s="666"/>
      <c r="D147" s="667" t="str">
        <f t="shared" si="20"/>
        <v/>
      </c>
      <c r="E147" s="668">
        <f t="shared" si="21"/>
        <v>0</v>
      </c>
      <c r="F147" s="669">
        <f t="shared" si="22"/>
        <v>0</v>
      </c>
      <c r="G147" s="668">
        <f t="shared" si="23"/>
        <v>0</v>
      </c>
      <c r="H147" s="670">
        <f t="shared" si="24"/>
        <v>0</v>
      </c>
      <c r="I147" s="670">
        <f t="shared" si="25"/>
        <v>0</v>
      </c>
      <c r="J147" s="668">
        <f t="shared" si="26"/>
        <v>0</v>
      </c>
      <c r="K147" s="671">
        <f t="shared" si="27"/>
        <v>0</v>
      </c>
      <c r="L147" s="663">
        <f t="shared" si="29"/>
        <v>0</v>
      </c>
      <c r="M147" s="663" t="str">
        <f>IF(K147&gt;0,SUM($L$5:L147),"")</f>
        <v/>
      </c>
    </row>
    <row r="148" spans="1:13" hidden="1" x14ac:dyDescent="0.2">
      <c r="A148" s="677" t="b">
        <f t="shared" si="28"/>
        <v>0</v>
      </c>
      <c r="C148" s="666"/>
      <c r="D148" s="667" t="str">
        <f t="shared" si="20"/>
        <v/>
      </c>
      <c r="E148" s="668">
        <f t="shared" si="21"/>
        <v>0</v>
      </c>
      <c r="F148" s="669">
        <f t="shared" si="22"/>
        <v>0</v>
      </c>
      <c r="G148" s="668">
        <f t="shared" si="23"/>
        <v>0</v>
      </c>
      <c r="H148" s="670">
        <f t="shared" si="24"/>
        <v>0</v>
      </c>
      <c r="I148" s="670">
        <f t="shared" si="25"/>
        <v>0</v>
      </c>
      <c r="J148" s="668">
        <f t="shared" si="26"/>
        <v>0</v>
      </c>
      <c r="K148" s="671">
        <f t="shared" si="27"/>
        <v>0</v>
      </c>
      <c r="L148" s="663">
        <f t="shared" si="29"/>
        <v>0</v>
      </c>
      <c r="M148" s="663" t="str">
        <f>IF(K148&gt;0,SUM($L$5:L148),"")</f>
        <v/>
      </c>
    </row>
    <row r="149" spans="1:13" hidden="1" x14ac:dyDescent="0.2">
      <c r="A149" s="677" t="b">
        <f t="shared" si="28"/>
        <v>0</v>
      </c>
      <c r="C149" s="666"/>
      <c r="D149" s="667" t="str">
        <f t="shared" si="20"/>
        <v/>
      </c>
      <c r="E149" s="668">
        <f t="shared" si="21"/>
        <v>0</v>
      </c>
      <c r="F149" s="669">
        <f t="shared" si="22"/>
        <v>0</v>
      </c>
      <c r="G149" s="668">
        <f t="shared" si="23"/>
        <v>0</v>
      </c>
      <c r="H149" s="670">
        <f t="shared" si="24"/>
        <v>0</v>
      </c>
      <c r="I149" s="670">
        <f t="shared" si="25"/>
        <v>0</v>
      </c>
      <c r="J149" s="668">
        <f t="shared" si="26"/>
        <v>0</v>
      </c>
      <c r="K149" s="671">
        <f t="shared" si="27"/>
        <v>0</v>
      </c>
      <c r="L149" s="663">
        <f t="shared" si="29"/>
        <v>0</v>
      </c>
      <c r="M149" s="663" t="str">
        <f>IF(K149&gt;0,SUM($L$5:L149),"")</f>
        <v/>
      </c>
    </row>
    <row r="150" spans="1:13" hidden="1" x14ac:dyDescent="0.2">
      <c r="A150" s="677" t="b">
        <f t="shared" si="28"/>
        <v>0</v>
      </c>
      <c r="C150" s="666"/>
      <c r="D150" s="667" t="str">
        <f t="shared" si="20"/>
        <v/>
      </c>
      <c r="E150" s="668">
        <f t="shared" si="21"/>
        <v>0</v>
      </c>
      <c r="F150" s="669">
        <f t="shared" si="22"/>
        <v>0</v>
      </c>
      <c r="G150" s="668">
        <f t="shared" si="23"/>
        <v>0</v>
      </c>
      <c r="H150" s="670">
        <f t="shared" si="24"/>
        <v>0</v>
      </c>
      <c r="I150" s="670">
        <f t="shared" si="25"/>
        <v>0</v>
      </c>
      <c r="J150" s="668">
        <f t="shared" si="26"/>
        <v>0</v>
      </c>
      <c r="K150" s="671">
        <f t="shared" si="27"/>
        <v>0</v>
      </c>
      <c r="L150" s="663">
        <f t="shared" si="29"/>
        <v>0</v>
      </c>
      <c r="M150" s="663" t="str">
        <f>IF(K150&gt;0,SUM($L$5:L150),"")</f>
        <v/>
      </c>
    </row>
    <row r="151" spans="1:13" hidden="1" x14ac:dyDescent="0.2">
      <c r="A151" s="677" t="b">
        <f t="shared" si="28"/>
        <v>0</v>
      </c>
      <c r="C151" s="666"/>
      <c r="D151" s="667" t="str">
        <f t="shared" si="20"/>
        <v/>
      </c>
      <c r="E151" s="668">
        <f t="shared" si="21"/>
        <v>0</v>
      </c>
      <c r="F151" s="669">
        <f t="shared" si="22"/>
        <v>0</v>
      </c>
      <c r="G151" s="668">
        <f t="shared" si="23"/>
        <v>0</v>
      </c>
      <c r="H151" s="670">
        <f t="shared" si="24"/>
        <v>0</v>
      </c>
      <c r="I151" s="670">
        <f t="shared" si="25"/>
        <v>0</v>
      </c>
      <c r="J151" s="668">
        <f t="shared" si="26"/>
        <v>0</v>
      </c>
      <c r="K151" s="671">
        <f t="shared" si="27"/>
        <v>0</v>
      </c>
      <c r="L151" s="663">
        <f t="shared" si="29"/>
        <v>0</v>
      </c>
      <c r="M151" s="663" t="str">
        <f>IF(K151&gt;0,SUM($L$5:L151),"")</f>
        <v/>
      </c>
    </row>
    <row r="152" spans="1:13" hidden="1" x14ac:dyDescent="0.2">
      <c r="A152" s="677" t="b">
        <f t="shared" si="28"/>
        <v>0</v>
      </c>
      <c r="C152" s="666"/>
      <c r="D152" s="667" t="str">
        <f t="shared" si="20"/>
        <v/>
      </c>
      <c r="E152" s="668">
        <f t="shared" si="21"/>
        <v>0</v>
      </c>
      <c r="F152" s="669">
        <f t="shared" si="22"/>
        <v>0</v>
      </c>
      <c r="G152" s="668">
        <f t="shared" si="23"/>
        <v>0</v>
      </c>
      <c r="H152" s="670">
        <f t="shared" si="24"/>
        <v>0</v>
      </c>
      <c r="I152" s="670">
        <f t="shared" si="25"/>
        <v>0</v>
      </c>
      <c r="J152" s="668">
        <f t="shared" si="26"/>
        <v>0</v>
      </c>
      <c r="K152" s="671">
        <f t="shared" si="27"/>
        <v>0</v>
      </c>
      <c r="L152" s="663">
        <f t="shared" si="29"/>
        <v>0</v>
      </c>
      <c r="M152" s="663" t="str">
        <f>IF(K152&gt;0,SUM($L$5:L152),"")</f>
        <v/>
      </c>
    </row>
    <row r="153" spans="1:13" hidden="1" x14ac:dyDescent="0.2">
      <c r="A153" s="677" t="b">
        <f t="shared" si="28"/>
        <v>0</v>
      </c>
      <c r="C153" s="666"/>
      <c r="D153" s="667" t="str">
        <f t="shared" si="20"/>
        <v/>
      </c>
      <c r="E153" s="668">
        <f t="shared" si="21"/>
        <v>0</v>
      </c>
      <c r="F153" s="669">
        <f t="shared" si="22"/>
        <v>0</v>
      </c>
      <c r="G153" s="668">
        <f t="shared" si="23"/>
        <v>0</v>
      </c>
      <c r="H153" s="670">
        <f t="shared" si="24"/>
        <v>0</v>
      </c>
      <c r="I153" s="670">
        <f t="shared" si="25"/>
        <v>0</v>
      </c>
      <c r="J153" s="668">
        <f t="shared" si="26"/>
        <v>0</v>
      </c>
      <c r="K153" s="671">
        <f t="shared" si="27"/>
        <v>0</v>
      </c>
      <c r="L153" s="663">
        <f t="shared" si="29"/>
        <v>0</v>
      </c>
      <c r="M153" s="663" t="str">
        <f>IF(K153&gt;0,SUM($L$5:L153),"")</f>
        <v/>
      </c>
    </row>
    <row r="154" spans="1:13" hidden="1" x14ac:dyDescent="0.2">
      <c r="A154" s="677" t="b">
        <f t="shared" si="28"/>
        <v>0</v>
      </c>
      <c r="C154" s="666"/>
      <c r="D154" s="667" t="str">
        <f t="shared" si="20"/>
        <v/>
      </c>
      <c r="E154" s="668">
        <f t="shared" si="21"/>
        <v>0</v>
      </c>
      <c r="F154" s="669">
        <f t="shared" si="22"/>
        <v>0</v>
      </c>
      <c r="G154" s="668">
        <f t="shared" si="23"/>
        <v>0</v>
      </c>
      <c r="H154" s="670">
        <f t="shared" si="24"/>
        <v>0</v>
      </c>
      <c r="I154" s="670">
        <f t="shared" si="25"/>
        <v>0</v>
      </c>
      <c r="J154" s="668">
        <f t="shared" si="26"/>
        <v>0</v>
      </c>
      <c r="K154" s="671">
        <f t="shared" si="27"/>
        <v>0</v>
      </c>
      <c r="L154" s="663">
        <f t="shared" si="29"/>
        <v>0</v>
      </c>
      <c r="M154" s="663" t="str">
        <f>IF(K154&gt;0,SUM($L$5:L154),"")</f>
        <v/>
      </c>
    </row>
    <row r="155" spans="1:13" hidden="1" x14ac:dyDescent="0.2">
      <c r="A155" s="677" t="b">
        <f t="shared" si="28"/>
        <v>0</v>
      </c>
      <c r="C155" s="666"/>
      <c r="D155" s="667" t="str">
        <f t="shared" si="20"/>
        <v/>
      </c>
      <c r="E155" s="668">
        <f t="shared" si="21"/>
        <v>0</v>
      </c>
      <c r="F155" s="669">
        <f t="shared" si="22"/>
        <v>0</v>
      </c>
      <c r="G155" s="668">
        <f t="shared" si="23"/>
        <v>0</v>
      </c>
      <c r="H155" s="670">
        <f t="shared" si="24"/>
        <v>0</v>
      </c>
      <c r="I155" s="670">
        <f t="shared" si="25"/>
        <v>0</v>
      </c>
      <c r="J155" s="668">
        <f t="shared" si="26"/>
        <v>0</v>
      </c>
      <c r="K155" s="671">
        <f t="shared" si="27"/>
        <v>0</v>
      </c>
      <c r="L155" s="663">
        <f t="shared" si="29"/>
        <v>0</v>
      </c>
      <c r="M155" s="663" t="str">
        <f>IF(K155&gt;0,SUM($L$5:L155),"")</f>
        <v/>
      </c>
    </row>
    <row r="156" spans="1:13" hidden="1" x14ac:dyDescent="0.2">
      <c r="A156" s="677" t="b">
        <f t="shared" si="28"/>
        <v>0</v>
      </c>
      <c r="C156" s="666"/>
      <c r="D156" s="667" t="str">
        <f t="shared" si="20"/>
        <v/>
      </c>
      <c r="E156" s="668">
        <f t="shared" si="21"/>
        <v>0</v>
      </c>
      <c r="F156" s="669">
        <f t="shared" si="22"/>
        <v>0</v>
      </c>
      <c r="G156" s="668">
        <f t="shared" si="23"/>
        <v>0</v>
      </c>
      <c r="H156" s="670">
        <f t="shared" si="24"/>
        <v>0</v>
      </c>
      <c r="I156" s="670">
        <f t="shared" si="25"/>
        <v>0</v>
      </c>
      <c r="J156" s="668">
        <f t="shared" si="26"/>
        <v>0</v>
      </c>
      <c r="K156" s="671">
        <f t="shared" si="27"/>
        <v>0</v>
      </c>
      <c r="L156" s="663">
        <f t="shared" si="29"/>
        <v>0</v>
      </c>
      <c r="M156" s="663" t="str">
        <f>IF(K156&gt;0,SUM($L$5:L156),"")</f>
        <v/>
      </c>
    </row>
    <row r="157" spans="1:13" hidden="1" x14ac:dyDescent="0.2">
      <c r="A157" s="677" t="b">
        <f t="shared" si="28"/>
        <v>0</v>
      </c>
      <c r="C157" s="666"/>
      <c r="D157" s="667" t="str">
        <f t="shared" si="20"/>
        <v/>
      </c>
      <c r="E157" s="668">
        <f t="shared" si="21"/>
        <v>0</v>
      </c>
      <c r="F157" s="669">
        <f t="shared" si="22"/>
        <v>0</v>
      </c>
      <c r="G157" s="668">
        <f t="shared" si="23"/>
        <v>0</v>
      </c>
      <c r="H157" s="670">
        <f t="shared" si="24"/>
        <v>0</v>
      </c>
      <c r="I157" s="670">
        <f t="shared" si="25"/>
        <v>0</v>
      </c>
      <c r="J157" s="668">
        <f t="shared" si="26"/>
        <v>0</v>
      </c>
      <c r="K157" s="671">
        <f t="shared" si="27"/>
        <v>0</v>
      </c>
      <c r="L157" s="663">
        <f t="shared" si="29"/>
        <v>0</v>
      </c>
      <c r="M157" s="663" t="str">
        <f>IF(K157&gt;0,SUM($L$5:L157),"")</f>
        <v/>
      </c>
    </row>
    <row r="158" spans="1:13" hidden="1" x14ac:dyDescent="0.2">
      <c r="A158" s="677" t="b">
        <f t="shared" si="28"/>
        <v>0</v>
      </c>
      <c r="C158" s="666"/>
      <c r="D158" s="667" t="str">
        <f t="shared" si="20"/>
        <v/>
      </c>
      <c r="E158" s="668">
        <f t="shared" si="21"/>
        <v>0</v>
      </c>
      <c r="F158" s="669">
        <f t="shared" si="22"/>
        <v>0</v>
      </c>
      <c r="G158" s="668">
        <f t="shared" si="23"/>
        <v>0</v>
      </c>
      <c r="H158" s="670">
        <f t="shared" si="24"/>
        <v>0</v>
      </c>
      <c r="I158" s="670">
        <f t="shared" si="25"/>
        <v>0</v>
      </c>
      <c r="J158" s="668">
        <f t="shared" si="26"/>
        <v>0</v>
      </c>
      <c r="K158" s="671">
        <f t="shared" si="27"/>
        <v>0</v>
      </c>
      <c r="L158" s="663">
        <f t="shared" si="29"/>
        <v>0</v>
      </c>
      <c r="M158" s="663" t="str">
        <f>IF(K158&gt;0,SUM($L$5:L158),"")</f>
        <v/>
      </c>
    </row>
    <row r="159" spans="1:13" hidden="1" x14ac:dyDescent="0.2">
      <c r="A159" s="677" t="b">
        <f t="shared" si="28"/>
        <v>0</v>
      </c>
      <c r="C159" s="666"/>
      <c r="D159" s="667" t="str">
        <f t="shared" si="20"/>
        <v/>
      </c>
      <c r="E159" s="668">
        <f t="shared" si="21"/>
        <v>0</v>
      </c>
      <c r="F159" s="669">
        <f t="shared" si="22"/>
        <v>0</v>
      </c>
      <c r="G159" s="668">
        <f t="shared" si="23"/>
        <v>0</v>
      </c>
      <c r="H159" s="670">
        <f t="shared" si="24"/>
        <v>0</v>
      </c>
      <c r="I159" s="670">
        <f t="shared" si="25"/>
        <v>0</v>
      </c>
      <c r="J159" s="668">
        <f t="shared" si="26"/>
        <v>0</v>
      </c>
      <c r="K159" s="671">
        <f t="shared" si="27"/>
        <v>0</v>
      </c>
      <c r="L159" s="663">
        <f t="shared" si="29"/>
        <v>0</v>
      </c>
      <c r="M159" s="663" t="str">
        <f>IF(K159&gt;0,SUM($L$5:L159),"")</f>
        <v/>
      </c>
    </row>
    <row r="160" spans="1:13" hidden="1" x14ac:dyDescent="0.2">
      <c r="A160" s="677" t="b">
        <f t="shared" si="28"/>
        <v>0</v>
      </c>
      <c r="C160" s="666"/>
      <c r="D160" s="667" t="str">
        <f t="shared" si="20"/>
        <v/>
      </c>
      <c r="E160" s="668">
        <f t="shared" si="21"/>
        <v>0</v>
      </c>
      <c r="F160" s="669">
        <f t="shared" si="22"/>
        <v>0</v>
      </c>
      <c r="G160" s="668">
        <f t="shared" si="23"/>
        <v>0</v>
      </c>
      <c r="H160" s="670">
        <f t="shared" si="24"/>
        <v>0</v>
      </c>
      <c r="I160" s="670">
        <f t="shared" si="25"/>
        <v>0</v>
      </c>
      <c r="J160" s="668">
        <f t="shared" si="26"/>
        <v>0</v>
      </c>
      <c r="K160" s="671">
        <f t="shared" si="27"/>
        <v>0</v>
      </c>
      <c r="L160" s="663">
        <f t="shared" si="29"/>
        <v>0</v>
      </c>
      <c r="M160" s="663" t="str">
        <f>IF(K160&gt;0,SUM($L$5:L160),"")</f>
        <v/>
      </c>
    </row>
    <row r="161" spans="1:13" hidden="1" x14ac:dyDescent="0.2">
      <c r="A161" s="677" t="b">
        <f t="shared" si="28"/>
        <v>0</v>
      </c>
      <c r="C161" s="666"/>
      <c r="D161" s="667" t="str">
        <f t="shared" si="20"/>
        <v/>
      </c>
      <c r="E161" s="668">
        <f t="shared" si="21"/>
        <v>0</v>
      </c>
      <c r="F161" s="669">
        <f t="shared" si="22"/>
        <v>0</v>
      </c>
      <c r="G161" s="668">
        <f t="shared" si="23"/>
        <v>0</v>
      </c>
      <c r="H161" s="670">
        <f t="shared" si="24"/>
        <v>0</v>
      </c>
      <c r="I161" s="670">
        <f t="shared" si="25"/>
        <v>0</v>
      </c>
      <c r="J161" s="668">
        <f t="shared" si="26"/>
        <v>0</v>
      </c>
      <c r="K161" s="671">
        <f t="shared" si="27"/>
        <v>0</v>
      </c>
      <c r="L161" s="663">
        <f t="shared" si="29"/>
        <v>0</v>
      </c>
      <c r="M161" s="663" t="str">
        <f>IF(K161&gt;0,SUM($L$5:L161),"")</f>
        <v/>
      </c>
    </row>
    <row r="162" spans="1:13" hidden="1" x14ac:dyDescent="0.2">
      <c r="A162" s="677" t="b">
        <f t="shared" si="28"/>
        <v>0</v>
      </c>
      <c r="C162" s="666"/>
      <c r="D162" s="667" t="str">
        <f t="shared" si="20"/>
        <v/>
      </c>
      <c r="E162" s="668">
        <f t="shared" si="21"/>
        <v>0</v>
      </c>
      <c r="F162" s="669">
        <f t="shared" si="22"/>
        <v>0</v>
      </c>
      <c r="G162" s="668">
        <f t="shared" si="23"/>
        <v>0</v>
      </c>
      <c r="H162" s="670">
        <f t="shared" si="24"/>
        <v>0</v>
      </c>
      <c r="I162" s="670">
        <f t="shared" si="25"/>
        <v>0</v>
      </c>
      <c r="J162" s="668">
        <f t="shared" si="26"/>
        <v>0</v>
      </c>
      <c r="K162" s="671">
        <f t="shared" si="27"/>
        <v>0</v>
      </c>
      <c r="L162" s="663">
        <f t="shared" si="29"/>
        <v>0</v>
      </c>
      <c r="M162" s="663" t="str">
        <f>IF(K162&gt;0,SUM($L$5:L162),"")</f>
        <v/>
      </c>
    </row>
    <row r="163" spans="1:13" hidden="1" x14ac:dyDescent="0.2">
      <c r="A163" s="677" t="b">
        <f t="shared" si="28"/>
        <v>0</v>
      </c>
      <c r="C163" s="666"/>
      <c r="D163" s="667" t="str">
        <f t="shared" si="20"/>
        <v/>
      </c>
      <c r="E163" s="668">
        <f t="shared" si="21"/>
        <v>0</v>
      </c>
      <c r="F163" s="669">
        <f t="shared" si="22"/>
        <v>0</v>
      </c>
      <c r="G163" s="668">
        <f t="shared" si="23"/>
        <v>0</v>
      </c>
      <c r="H163" s="670">
        <f t="shared" si="24"/>
        <v>0</v>
      </c>
      <c r="I163" s="670">
        <f t="shared" si="25"/>
        <v>0</v>
      </c>
      <c r="J163" s="668">
        <f t="shared" si="26"/>
        <v>0</v>
      </c>
      <c r="K163" s="671">
        <f t="shared" si="27"/>
        <v>0</v>
      </c>
      <c r="L163" s="663">
        <f t="shared" si="29"/>
        <v>0</v>
      </c>
      <c r="M163" s="663" t="str">
        <f>IF(K163&gt;0,SUM($L$5:L163),"")</f>
        <v/>
      </c>
    </row>
    <row r="164" spans="1:13" hidden="1" x14ac:dyDescent="0.2">
      <c r="A164" s="677" t="b">
        <f t="shared" si="28"/>
        <v>0</v>
      </c>
      <c r="C164" s="666"/>
      <c r="D164" s="667" t="str">
        <f t="shared" si="20"/>
        <v/>
      </c>
      <c r="E164" s="668">
        <f t="shared" si="21"/>
        <v>0</v>
      </c>
      <c r="F164" s="669">
        <f t="shared" si="22"/>
        <v>0</v>
      </c>
      <c r="G164" s="668">
        <f t="shared" si="23"/>
        <v>0</v>
      </c>
      <c r="H164" s="670">
        <f t="shared" si="24"/>
        <v>0</v>
      </c>
      <c r="I164" s="670">
        <f t="shared" si="25"/>
        <v>0</v>
      </c>
      <c r="J164" s="668">
        <f t="shared" si="26"/>
        <v>0</v>
      </c>
      <c r="K164" s="671">
        <f t="shared" si="27"/>
        <v>0</v>
      </c>
      <c r="L164" s="663">
        <f t="shared" si="29"/>
        <v>0</v>
      </c>
      <c r="M164" s="663" t="str">
        <f>IF(K164&gt;0,SUM($L$5:L164),"")</f>
        <v/>
      </c>
    </row>
    <row r="165" spans="1:13" hidden="1" x14ac:dyDescent="0.2">
      <c r="A165" s="677" t="b">
        <f t="shared" si="28"/>
        <v>0</v>
      </c>
      <c r="C165" s="666"/>
      <c r="D165" s="667" t="str">
        <f t="shared" si="20"/>
        <v/>
      </c>
      <c r="E165" s="668">
        <f t="shared" si="21"/>
        <v>0</v>
      </c>
      <c r="F165" s="669">
        <f t="shared" si="22"/>
        <v>0</v>
      </c>
      <c r="G165" s="668">
        <f t="shared" si="23"/>
        <v>0</v>
      </c>
      <c r="H165" s="670">
        <f t="shared" si="24"/>
        <v>0</v>
      </c>
      <c r="I165" s="670">
        <f t="shared" si="25"/>
        <v>0</v>
      </c>
      <c r="J165" s="668">
        <f t="shared" si="26"/>
        <v>0</v>
      </c>
      <c r="K165" s="671">
        <f t="shared" si="27"/>
        <v>0</v>
      </c>
      <c r="L165" s="663">
        <f t="shared" si="29"/>
        <v>0</v>
      </c>
      <c r="M165" s="663" t="str">
        <f>IF(K165&gt;0,SUM($L$5:L165),"")</f>
        <v/>
      </c>
    </row>
    <row r="166" spans="1:13" hidden="1" x14ac:dyDescent="0.2">
      <c r="A166" s="677" t="b">
        <f t="shared" si="28"/>
        <v>0</v>
      </c>
      <c r="C166" s="666"/>
      <c r="D166" s="667" t="str">
        <f t="shared" si="20"/>
        <v/>
      </c>
      <c r="E166" s="668">
        <f t="shared" si="21"/>
        <v>0</v>
      </c>
      <c r="F166" s="669">
        <f t="shared" si="22"/>
        <v>0</v>
      </c>
      <c r="G166" s="668">
        <f t="shared" si="23"/>
        <v>0</v>
      </c>
      <c r="H166" s="670">
        <f t="shared" si="24"/>
        <v>0</v>
      </c>
      <c r="I166" s="670">
        <f t="shared" si="25"/>
        <v>0</v>
      </c>
      <c r="J166" s="668">
        <f t="shared" si="26"/>
        <v>0</v>
      </c>
      <c r="K166" s="671">
        <f t="shared" si="27"/>
        <v>0</v>
      </c>
      <c r="L166" s="663">
        <f t="shared" si="29"/>
        <v>0</v>
      </c>
      <c r="M166" s="663" t="str">
        <f>IF(K166&gt;0,SUM($L$5:L166),"")</f>
        <v/>
      </c>
    </row>
    <row r="167" spans="1:13" hidden="1" x14ac:dyDescent="0.2">
      <c r="A167" s="677" t="b">
        <f t="shared" si="28"/>
        <v>0</v>
      </c>
      <c r="C167" s="666"/>
      <c r="D167" s="667" t="str">
        <f t="shared" si="20"/>
        <v/>
      </c>
      <c r="E167" s="668">
        <f t="shared" si="21"/>
        <v>0</v>
      </c>
      <c r="F167" s="669">
        <f t="shared" si="22"/>
        <v>0</v>
      </c>
      <c r="G167" s="668">
        <f t="shared" si="23"/>
        <v>0</v>
      </c>
      <c r="H167" s="670">
        <f t="shared" si="24"/>
        <v>0</v>
      </c>
      <c r="I167" s="670">
        <f t="shared" si="25"/>
        <v>0</v>
      </c>
      <c r="J167" s="668">
        <f t="shared" si="26"/>
        <v>0</v>
      </c>
      <c r="K167" s="671">
        <f t="shared" si="27"/>
        <v>0</v>
      </c>
      <c r="L167" s="663">
        <f t="shared" si="29"/>
        <v>0</v>
      </c>
      <c r="M167" s="663" t="str">
        <f>IF(K167&gt;0,SUM($L$5:L167),"")</f>
        <v/>
      </c>
    </row>
    <row r="168" spans="1:13" hidden="1" x14ac:dyDescent="0.2">
      <c r="A168" s="677" t="b">
        <f t="shared" si="28"/>
        <v>0</v>
      </c>
      <c r="C168" s="666"/>
      <c r="D168" s="667" t="str">
        <f t="shared" si="20"/>
        <v/>
      </c>
      <c r="E168" s="668">
        <f t="shared" si="21"/>
        <v>0</v>
      </c>
      <c r="F168" s="669">
        <f t="shared" si="22"/>
        <v>0</v>
      </c>
      <c r="G168" s="668">
        <f t="shared" si="23"/>
        <v>0</v>
      </c>
      <c r="H168" s="670">
        <f t="shared" si="24"/>
        <v>0</v>
      </c>
      <c r="I168" s="670">
        <f t="shared" si="25"/>
        <v>0</v>
      </c>
      <c r="J168" s="668">
        <f t="shared" si="26"/>
        <v>0</v>
      </c>
      <c r="K168" s="671">
        <f t="shared" si="27"/>
        <v>0</v>
      </c>
      <c r="L168" s="663">
        <f t="shared" si="29"/>
        <v>0</v>
      </c>
      <c r="M168" s="663" t="str">
        <f>IF(K168&gt;0,SUM($L$5:L168),"")</f>
        <v/>
      </c>
    </row>
    <row r="169" spans="1:13" hidden="1" x14ac:dyDescent="0.2">
      <c r="A169" s="677" t="b">
        <f t="shared" si="28"/>
        <v>0</v>
      </c>
      <c r="C169" s="666"/>
      <c r="D169" s="667" t="str">
        <f t="shared" si="20"/>
        <v/>
      </c>
      <c r="E169" s="668">
        <f t="shared" si="21"/>
        <v>0</v>
      </c>
      <c r="F169" s="669">
        <f t="shared" si="22"/>
        <v>0</v>
      </c>
      <c r="G169" s="668">
        <f t="shared" si="23"/>
        <v>0</v>
      </c>
      <c r="H169" s="670">
        <f t="shared" si="24"/>
        <v>0</v>
      </c>
      <c r="I169" s="670">
        <f t="shared" si="25"/>
        <v>0</v>
      </c>
      <c r="J169" s="668">
        <f t="shared" si="26"/>
        <v>0</v>
      </c>
      <c r="K169" s="671">
        <f t="shared" si="27"/>
        <v>0</v>
      </c>
      <c r="L169" s="663">
        <f t="shared" si="29"/>
        <v>0</v>
      </c>
      <c r="M169" s="663" t="str">
        <f>IF(K169&gt;0,SUM($L$5:L169),"")</f>
        <v/>
      </c>
    </row>
    <row r="170" spans="1:13" hidden="1" x14ac:dyDescent="0.2">
      <c r="A170" s="677" t="b">
        <f t="shared" si="28"/>
        <v>0</v>
      </c>
      <c r="C170" s="666"/>
      <c r="D170" s="667" t="str">
        <f t="shared" si="20"/>
        <v/>
      </c>
      <c r="E170" s="668">
        <f t="shared" si="21"/>
        <v>0</v>
      </c>
      <c r="F170" s="669">
        <f t="shared" si="22"/>
        <v>0</v>
      </c>
      <c r="G170" s="668">
        <f t="shared" si="23"/>
        <v>0</v>
      </c>
      <c r="H170" s="670">
        <f t="shared" si="24"/>
        <v>0</v>
      </c>
      <c r="I170" s="670">
        <f t="shared" si="25"/>
        <v>0</v>
      </c>
      <c r="J170" s="668">
        <f t="shared" si="26"/>
        <v>0</v>
      </c>
      <c r="K170" s="671">
        <f t="shared" si="27"/>
        <v>0</v>
      </c>
      <c r="L170" s="663">
        <f t="shared" si="29"/>
        <v>0</v>
      </c>
      <c r="M170" s="663" t="str">
        <f>IF(K170&gt;0,SUM($L$5:L170),"")</f>
        <v/>
      </c>
    </row>
    <row r="171" spans="1:13" hidden="1" x14ac:dyDescent="0.2">
      <c r="A171" s="677" t="b">
        <f t="shared" si="28"/>
        <v>0</v>
      </c>
      <c r="C171" s="666"/>
      <c r="D171" s="667" t="str">
        <f t="shared" si="20"/>
        <v/>
      </c>
      <c r="E171" s="668">
        <f t="shared" si="21"/>
        <v>0</v>
      </c>
      <c r="F171" s="669">
        <f t="shared" si="22"/>
        <v>0</v>
      </c>
      <c r="G171" s="668">
        <f t="shared" si="23"/>
        <v>0</v>
      </c>
      <c r="H171" s="670">
        <f t="shared" si="24"/>
        <v>0</v>
      </c>
      <c r="I171" s="670">
        <f t="shared" si="25"/>
        <v>0</v>
      </c>
      <c r="J171" s="668">
        <f t="shared" si="26"/>
        <v>0</v>
      </c>
      <c r="K171" s="671">
        <f t="shared" si="27"/>
        <v>0</v>
      </c>
      <c r="L171" s="663">
        <f t="shared" si="29"/>
        <v>0</v>
      </c>
      <c r="M171" s="663" t="str">
        <f>IF(K171&gt;0,SUM($L$5:L171),"")</f>
        <v/>
      </c>
    </row>
    <row r="172" spans="1:13" hidden="1" x14ac:dyDescent="0.2">
      <c r="A172" s="677" t="b">
        <f t="shared" si="28"/>
        <v>0</v>
      </c>
      <c r="C172" s="666"/>
      <c r="D172" s="667" t="str">
        <f t="shared" si="20"/>
        <v/>
      </c>
      <c r="E172" s="668">
        <f t="shared" si="21"/>
        <v>0</v>
      </c>
      <c r="F172" s="669">
        <f t="shared" si="22"/>
        <v>0</v>
      </c>
      <c r="G172" s="668">
        <f t="shared" si="23"/>
        <v>0</v>
      </c>
      <c r="H172" s="670">
        <f t="shared" si="24"/>
        <v>0</v>
      </c>
      <c r="I172" s="670">
        <f t="shared" si="25"/>
        <v>0</v>
      </c>
      <c r="J172" s="668">
        <f t="shared" si="26"/>
        <v>0</v>
      </c>
      <c r="K172" s="671">
        <f t="shared" si="27"/>
        <v>0</v>
      </c>
      <c r="L172" s="663">
        <f t="shared" si="29"/>
        <v>0</v>
      </c>
      <c r="M172" s="663" t="str">
        <f>IF(K172&gt;0,SUM($L$5:L172),"")</f>
        <v/>
      </c>
    </row>
    <row r="173" spans="1:13" hidden="1" x14ac:dyDescent="0.2">
      <c r="A173" s="677" t="b">
        <f t="shared" si="28"/>
        <v>0</v>
      </c>
      <c r="C173" s="666"/>
      <c r="D173" s="667" t="str">
        <f t="shared" si="20"/>
        <v/>
      </c>
      <c r="E173" s="668">
        <f t="shared" si="21"/>
        <v>0</v>
      </c>
      <c r="F173" s="669">
        <f t="shared" si="22"/>
        <v>0</v>
      </c>
      <c r="G173" s="668">
        <f t="shared" si="23"/>
        <v>0</v>
      </c>
      <c r="H173" s="670">
        <f t="shared" si="24"/>
        <v>0</v>
      </c>
      <c r="I173" s="670">
        <f t="shared" si="25"/>
        <v>0</v>
      </c>
      <c r="J173" s="668">
        <f t="shared" si="26"/>
        <v>0</v>
      </c>
      <c r="K173" s="671">
        <f t="shared" si="27"/>
        <v>0</v>
      </c>
      <c r="L173" s="663">
        <f t="shared" si="29"/>
        <v>0</v>
      </c>
      <c r="M173" s="663" t="str">
        <f>IF(K173&gt;0,SUM($L$5:L173),"")</f>
        <v/>
      </c>
    </row>
    <row r="174" spans="1:13" hidden="1" x14ac:dyDescent="0.2">
      <c r="A174" s="677" t="b">
        <f t="shared" si="28"/>
        <v>0</v>
      </c>
      <c r="C174" s="666"/>
      <c r="D174" s="667" t="str">
        <f t="shared" si="20"/>
        <v/>
      </c>
      <c r="E174" s="668">
        <f t="shared" si="21"/>
        <v>0</v>
      </c>
      <c r="F174" s="669">
        <f t="shared" si="22"/>
        <v>0</v>
      </c>
      <c r="G174" s="668">
        <f t="shared" si="23"/>
        <v>0</v>
      </c>
      <c r="H174" s="670">
        <f t="shared" si="24"/>
        <v>0</v>
      </c>
      <c r="I174" s="670">
        <f t="shared" si="25"/>
        <v>0</v>
      </c>
      <c r="J174" s="668">
        <f t="shared" si="26"/>
        <v>0</v>
      </c>
      <c r="K174" s="671">
        <f t="shared" si="27"/>
        <v>0</v>
      </c>
      <c r="L174" s="663">
        <f t="shared" si="29"/>
        <v>0</v>
      </c>
      <c r="M174" s="663" t="str">
        <f>IF(K174&gt;0,SUM($L$5:L174),"")</f>
        <v/>
      </c>
    </row>
    <row r="175" spans="1:13" hidden="1" x14ac:dyDescent="0.2">
      <c r="A175" s="677" t="b">
        <f t="shared" si="28"/>
        <v>0</v>
      </c>
      <c r="C175" s="666"/>
      <c r="D175" s="667" t="str">
        <f t="shared" si="20"/>
        <v/>
      </c>
      <c r="E175" s="668">
        <f t="shared" si="21"/>
        <v>0</v>
      </c>
      <c r="F175" s="669">
        <f t="shared" si="22"/>
        <v>0</v>
      </c>
      <c r="G175" s="668">
        <f t="shared" si="23"/>
        <v>0</v>
      </c>
      <c r="H175" s="670">
        <f t="shared" si="24"/>
        <v>0</v>
      </c>
      <c r="I175" s="670">
        <f t="shared" si="25"/>
        <v>0</v>
      </c>
      <c r="J175" s="668">
        <f t="shared" si="26"/>
        <v>0</v>
      </c>
      <c r="K175" s="671">
        <f t="shared" si="27"/>
        <v>0</v>
      </c>
      <c r="L175" s="663">
        <f t="shared" si="29"/>
        <v>0</v>
      </c>
      <c r="M175" s="663" t="str">
        <f>IF(K175&gt;0,SUM($L$5:L175),"")</f>
        <v/>
      </c>
    </row>
    <row r="176" spans="1:13" hidden="1" x14ac:dyDescent="0.2">
      <c r="A176" s="677" t="b">
        <f t="shared" si="28"/>
        <v>0</v>
      </c>
      <c r="C176" s="666"/>
      <c r="D176" s="667" t="str">
        <f t="shared" si="20"/>
        <v/>
      </c>
      <c r="E176" s="668">
        <f t="shared" si="21"/>
        <v>0</v>
      </c>
      <c r="F176" s="669">
        <f t="shared" si="22"/>
        <v>0</v>
      </c>
      <c r="G176" s="668">
        <f t="shared" si="23"/>
        <v>0</v>
      </c>
      <c r="H176" s="670">
        <f t="shared" si="24"/>
        <v>0</v>
      </c>
      <c r="I176" s="670">
        <f t="shared" si="25"/>
        <v>0</v>
      </c>
      <c r="J176" s="668">
        <f t="shared" si="26"/>
        <v>0</v>
      </c>
      <c r="K176" s="671">
        <f t="shared" si="27"/>
        <v>0</v>
      </c>
      <c r="L176" s="663">
        <f t="shared" si="29"/>
        <v>0</v>
      </c>
      <c r="M176" s="663" t="str">
        <f>IF(K176&gt;0,SUM($L$5:L176),"")</f>
        <v/>
      </c>
    </row>
    <row r="177" spans="1:13" hidden="1" x14ac:dyDescent="0.2">
      <c r="A177" s="677" t="b">
        <f t="shared" si="28"/>
        <v>0</v>
      </c>
      <c r="C177" s="666"/>
      <c r="D177" s="667" t="str">
        <f t="shared" si="20"/>
        <v/>
      </c>
      <c r="E177" s="668">
        <f t="shared" si="21"/>
        <v>0</v>
      </c>
      <c r="F177" s="669">
        <f t="shared" si="22"/>
        <v>0</v>
      </c>
      <c r="G177" s="668">
        <f t="shared" si="23"/>
        <v>0</v>
      </c>
      <c r="H177" s="670">
        <f t="shared" si="24"/>
        <v>0</v>
      </c>
      <c r="I177" s="670">
        <f t="shared" si="25"/>
        <v>0</v>
      </c>
      <c r="J177" s="668">
        <f t="shared" si="26"/>
        <v>0</v>
      </c>
      <c r="K177" s="671">
        <f t="shared" si="27"/>
        <v>0</v>
      </c>
      <c r="L177" s="663">
        <f t="shared" si="29"/>
        <v>0</v>
      </c>
      <c r="M177" s="663" t="str">
        <f>IF(K177&gt;0,SUM($L$5:L177),"")</f>
        <v/>
      </c>
    </row>
    <row r="178" spans="1:13" hidden="1" x14ac:dyDescent="0.2">
      <c r="A178" s="677" t="b">
        <f t="shared" si="28"/>
        <v>0</v>
      </c>
      <c r="C178" s="666"/>
      <c r="D178" s="667" t="str">
        <f t="shared" si="20"/>
        <v/>
      </c>
      <c r="E178" s="668">
        <f t="shared" si="21"/>
        <v>0</v>
      </c>
      <c r="F178" s="669">
        <f t="shared" si="22"/>
        <v>0</v>
      </c>
      <c r="G178" s="668">
        <f t="shared" si="23"/>
        <v>0</v>
      </c>
      <c r="H178" s="670">
        <f t="shared" si="24"/>
        <v>0</v>
      </c>
      <c r="I178" s="670">
        <f t="shared" si="25"/>
        <v>0</v>
      </c>
      <c r="J178" s="668">
        <f t="shared" si="26"/>
        <v>0</v>
      </c>
      <c r="K178" s="671">
        <f t="shared" si="27"/>
        <v>0</v>
      </c>
      <c r="L178" s="663">
        <f t="shared" si="29"/>
        <v>0</v>
      </c>
      <c r="M178" s="663" t="str">
        <f>IF(K178&gt;0,SUM($L$5:L178),"")</f>
        <v/>
      </c>
    </row>
    <row r="179" spans="1:13" hidden="1" x14ac:dyDescent="0.2">
      <c r="A179" s="677" t="b">
        <f t="shared" si="28"/>
        <v>0</v>
      </c>
      <c r="C179" s="666"/>
      <c r="D179" s="667" t="str">
        <f t="shared" si="20"/>
        <v/>
      </c>
      <c r="E179" s="668">
        <f t="shared" si="21"/>
        <v>0</v>
      </c>
      <c r="F179" s="669">
        <f t="shared" si="22"/>
        <v>0</v>
      </c>
      <c r="G179" s="668">
        <f t="shared" si="23"/>
        <v>0</v>
      </c>
      <c r="H179" s="670">
        <f t="shared" si="24"/>
        <v>0</v>
      </c>
      <c r="I179" s="670">
        <f t="shared" si="25"/>
        <v>0</v>
      </c>
      <c r="J179" s="668">
        <f t="shared" si="26"/>
        <v>0</v>
      </c>
      <c r="K179" s="671">
        <f t="shared" si="27"/>
        <v>0</v>
      </c>
      <c r="L179" s="663">
        <f t="shared" si="29"/>
        <v>0</v>
      </c>
      <c r="M179" s="663" t="str">
        <f>IF(K179&gt;0,SUM($L$5:L179),"")</f>
        <v/>
      </c>
    </row>
    <row r="180" spans="1:13" hidden="1" x14ac:dyDescent="0.2">
      <c r="A180" s="677" t="b">
        <f t="shared" si="28"/>
        <v>0</v>
      </c>
      <c r="C180" s="666"/>
      <c r="D180" s="667" t="str">
        <f t="shared" si="20"/>
        <v/>
      </c>
      <c r="E180" s="668">
        <f t="shared" si="21"/>
        <v>0</v>
      </c>
      <c r="F180" s="669">
        <f t="shared" si="22"/>
        <v>0</v>
      </c>
      <c r="G180" s="668">
        <f t="shared" si="23"/>
        <v>0</v>
      </c>
      <c r="H180" s="670">
        <f t="shared" si="24"/>
        <v>0</v>
      </c>
      <c r="I180" s="670">
        <f t="shared" si="25"/>
        <v>0</v>
      </c>
      <c r="J180" s="668">
        <f t="shared" si="26"/>
        <v>0</v>
      </c>
      <c r="K180" s="671">
        <f t="shared" si="27"/>
        <v>0</v>
      </c>
      <c r="L180" s="663">
        <f t="shared" si="29"/>
        <v>0</v>
      </c>
      <c r="M180" s="663" t="str">
        <f>IF(K180&gt;0,SUM($L$5:L180),"")</f>
        <v/>
      </c>
    </row>
    <row r="181" spans="1:13" hidden="1" x14ac:dyDescent="0.2">
      <c r="A181" s="677" t="b">
        <f t="shared" si="28"/>
        <v>0</v>
      </c>
      <c r="C181" s="666"/>
      <c r="D181" s="667" t="str">
        <f t="shared" si="20"/>
        <v/>
      </c>
      <c r="E181" s="668">
        <f t="shared" si="21"/>
        <v>0</v>
      </c>
      <c r="F181" s="669">
        <f t="shared" si="22"/>
        <v>0</v>
      </c>
      <c r="G181" s="668">
        <f t="shared" si="23"/>
        <v>0</v>
      </c>
      <c r="H181" s="670">
        <f t="shared" si="24"/>
        <v>0</v>
      </c>
      <c r="I181" s="670">
        <f t="shared" si="25"/>
        <v>0</v>
      </c>
      <c r="J181" s="668">
        <f t="shared" si="26"/>
        <v>0</v>
      </c>
      <c r="K181" s="671">
        <f t="shared" si="27"/>
        <v>0</v>
      </c>
      <c r="L181" s="663">
        <f t="shared" si="29"/>
        <v>0</v>
      </c>
      <c r="M181" s="663" t="str">
        <f>IF(K181&gt;0,SUM($L$5:L181),"")</f>
        <v/>
      </c>
    </row>
    <row r="182" spans="1:13" hidden="1" x14ac:dyDescent="0.2">
      <c r="A182" s="677" t="b">
        <f t="shared" si="28"/>
        <v>0</v>
      </c>
      <c r="C182" s="666"/>
      <c r="D182" s="667" t="str">
        <f t="shared" si="20"/>
        <v/>
      </c>
      <c r="E182" s="668">
        <f t="shared" si="21"/>
        <v>0</v>
      </c>
      <c r="F182" s="669">
        <f t="shared" si="22"/>
        <v>0</v>
      </c>
      <c r="G182" s="668">
        <f t="shared" si="23"/>
        <v>0</v>
      </c>
      <c r="H182" s="670">
        <f t="shared" si="24"/>
        <v>0</v>
      </c>
      <c r="I182" s="670">
        <f t="shared" si="25"/>
        <v>0</v>
      </c>
      <c r="J182" s="668">
        <f t="shared" si="26"/>
        <v>0</v>
      </c>
      <c r="K182" s="671">
        <f t="shared" si="27"/>
        <v>0</v>
      </c>
      <c r="L182" s="663">
        <f t="shared" si="29"/>
        <v>0</v>
      </c>
      <c r="M182" s="663" t="str">
        <f>IF(K182&gt;0,SUM($L$5:L182),"")</f>
        <v/>
      </c>
    </row>
    <row r="183" spans="1:13" hidden="1" x14ac:dyDescent="0.2">
      <c r="A183" s="677" t="b">
        <f t="shared" si="28"/>
        <v>0</v>
      </c>
      <c r="C183" s="666"/>
      <c r="D183" s="667" t="str">
        <f t="shared" si="20"/>
        <v/>
      </c>
      <c r="E183" s="668">
        <f t="shared" si="21"/>
        <v>0</v>
      </c>
      <c r="F183" s="669">
        <f t="shared" si="22"/>
        <v>0</v>
      </c>
      <c r="G183" s="668">
        <f t="shared" si="23"/>
        <v>0</v>
      </c>
      <c r="H183" s="670">
        <f t="shared" si="24"/>
        <v>0</v>
      </c>
      <c r="I183" s="670">
        <f t="shared" si="25"/>
        <v>0</v>
      </c>
      <c r="J183" s="668">
        <f t="shared" si="26"/>
        <v>0</v>
      </c>
      <c r="K183" s="671">
        <f t="shared" si="27"/>
        <v>0</v>
      </c>
      <c r="L183" s="663">
        <f t="shared" si="29"/>
        <v>0</v>
      </c>
      <c r="M183" s="663" t="str">
        <f>IF(K183&gt;0,SUM($L$5:L183),"")</f>
        <v/>
      </c>
    </row>
    <row r="184" spans="1:13" hidden="1" x14ac:dyDescent="0.2">
      <c r="A184" s="677" t="b">
        <f t="shared" si="28"/>
        <v>0</v>
      </c>
      <c r="C184" s="666"/>
      <c r="D184" s="667" t="str">
        <f t="shared" si="20"/>
        <v/>
      </c>
      <c r="E184" s="668">
        <f t="shared" si="21"/>
        <v>0</v>
      </c>
      <c r="F184" s="669">
        <f t="shared" si="22"/>
        <v>0</v>
      </c>
      <c r="G184" s="668">
        <f t="shared" si="23"/>
        <v>0</v>
      </c>
      <c r="H184" s="670">
        <f t="shared" si="24"/>
        <v>0</v>
      </c>
      <c r="I184" s="670">
        <f t="shared" si="25"/>
        <v>0</v>
      </c>
      <c r="J184" s="668">
        <f t="shared" si="26"/>
        <v>0</v>
      </c>
      <c r="K184" s="671">
        <f t="shared" si="27"/>
        <v>0</v>
      </c>
      <c r="L184" s="663">
        <f t="shared" si="29"/>
        <v>0</v>
      </c>
      <c r="M184" s="663" t="str">
        <f>IF(K184&gt;0,SUM($L$5:L184),"")</f>
        <v/>
      </c>
    </row>
    <row r="185" spans="1:13" hidden="1" x14ac:dyDescent="0.2">
      <c r="A185" s="677" t="b">
        <f t="shared" si="28"/>
        <v>0</v>
      </c>
      <c r="C185" s="666"/>
      <c r="D185" s="667" t="str">
        <f t="shared" si="20"/>
        <v/>
      </c>
      <c r="E185" s="668">
        <f t="shared" si="21"/>
        <v>0</v>
      </c>
      <c r="F185" s="669">
        <f t="shared" si="22"/>
        <v>0</v>
      </c>
      <c r="G185" s="668">
        <f t="shared" si="23"/>
        <v>0</v>
      </c>
      <c r="H185" s="670">
        <f t="shared" si="24"/>
        <v>0</v>
      </c>
      <c r="I185" s="670">
        <f t="shared" si="25"/>
        <v>0</v>
      </c>
      <c r="J185" s="668">
        <f t="shared" si="26"/>
        <v>0</v>
      </c>
      <c r="K185" s="671">
        <f t="shared" si="27"/>
        <v>0</v>
      </c>
      <c r="L185" s="663">
        <f t="shared" si="29"/>
        <v>0</v>
      </c>
      <c r="M185" s="663" t="str">
        <f>IF(K185&gt;0,SUM($L$5:L185),"")</f>
        <v/>
      </c>
    </row>
    <row r="186" spans="1:13" hidden="1" x14ac:dyDescent="0.2">
      <c r="A186" s="677" t="b">
        <f t="shared" si="28"/>
        <v>0</v>
      </c>
      <c r="C186" s="666"/>
      <c r="D186" s="667" t="str">
        <f t="shared" si="20"/>
        <v/>
      </c>
      <c r="E186" s="668">
        <f t="shared" si="21"/>
        <v>0</v>
      </c>
      <c r="F186" s="669">
        <f t="shared" si="22"/>
        <v>0</v>
      </c>
      <c r="G186" s="668">
        <f t="shared" si="23"/>
        <v>0</v>
      </c>
      <c r="H186" s="670">
        <f t="shared" si="24"/>
        <v>0</v>
      </c>
      <c r="I186" s="670">
        <f t="shared" si="25"/>
        <v>0</v>
      </c>
      <c r="J186" s="668">
        <f t="shared" si="26"/>
        <v>0</v>
      </c>
      <c r="K186" s="671">
        <f t="shared" si="27"/>
        <v>0</v>
      </c>
      <c r="L186" s="663">
        <f t="shared" si="29"/>
        <v>0</v>
      </c>
      <c r="M186" s="663" t="str">
        <f>IF(K186&gt;0,SUM($L$5:L186),"")</f>
        <v/>
      </c>
    </row>
    <row r="187" spans="1:13" hidden="1" x14ac:dyDescent="0.2">
      <c r="A187" s="677" t="b">
        <f t="shared" si="28"/>
        <v>0</v>
      </c>
      <c r="C187" s="666"/>
      <c r="D187" s="667" t="str">
        <f t="shared" si="20"/>
        <v/>
      </c>
      <c r="E187" s="668">
        <f t="shared" si="21"/>
        <v>0</v>
      </c>
      <c r="F187" s="669">
        <f t="shared" si="22"/>
        <v>0</v>
      </c>
      <c r="G187" s="668">
        <f t="shared" si="23"/>
        <v>0</v>
      </c>
      <c r="H187" s="670">
        <f t="shared" si="24"/>
        <v>0</v>
      </c>
      <c r="I187" s="670">
        <f t="shared" si="25"/>
        <v>0</v>
      </c>
      <c r="J187" s="668">
        <f t="shared" si="26"/>
        <v>0</v>
      </c>
      <c r="K187" s="671">
        <f t="shared" si="27"/>
        <v>0</v>
      </c>
      <c r="L187" s="663">
        <f t="shared" si="29"/>
        <v>0</v>
      </c>
      <c r="M187" s="663" t="str">
        <f>IF(K187&gt;0,SUM($L$5:L187),"")</f>
        <v/>
      </c>
    </row>
    <row r="188" spans="1:13" hidden="1" x14ac:dyDescent="0.2">
      <c r="A188" s="677" t="b">
        <f t="shared" si="28"/>
        <v>0</v>
      </c>
      <c r="C188" s="666"/>
      <c r="D188" s="667" t="str">
        <f t="shared" si="20"/>
        <v/>
      </c>
      <c r="E188" s="668">
        <f t="shared" si="21"/>
        <v>0</v>
      </c>
      <c r="F188" s="669">
        <f t="shared" si="22"/>
        <v>0</v>
      </c>
      <c r="G188" s="668">
        <f t="shared" si="23"/>
        <v>0</v>
      </c>
      <c r="H188" s="670">
        <f t="shared" si="24"/>
        <v>0</v>
      </c>
      <c r="I188" s="670">
        <f t="shared" si="25"/>
        <v>0</v>
      </c>
      <c r="J188" s="668">
        <f t="shared" si="26"/>
        <v>0</v>
      </c>
      <c r="K188" s="671">
        <f t="shared" si="27"/>
        <v>0</v>
      </c>
      <c r="L188" s="663">
        <f t="shared" si="29"/>
        <v>0</v>
      </c>
      <c r="M188" s="663" t="str">
        <f>IF(K188&gt;0,SUM($L$5:L188),"")</f>
        <v/>
      </c>
    </row>
    <row r="189" spans="1:13" hidden="1" x14ac:dyDescent="0.2">
      <c r="A189" s="677" t="b">
        <f t="shared" si="28"/>
        <v>0</v>
      </c>
      <c r="C189" s="666"/>
      <c r="D189" s="667" t="str">
        <f t="shared" si="20"/>
        <v/>
      </c>
      <c r="E189" s="668">
        <f t="shared" si="21"/>
        <v>0</v>
      </c>
      <c r="F189" s="669">
        <f t="shared" si="22"/>
        <v>0</v>
      </c>
      <c r="G189" s="668">
        <f t="shared" si="23"/>
        <v>0</v>
      </c>
      <c r="H189" s="670">
        <f t="shared" si="24"/>
        <v>0</v>
      </c>
      <c r="I189" s="670">
        <f t="shared" si="25"/>
        <v>0</v>
      </c>
      <c r="J189" s="668">
        <f t="shared" si="26"/>
        <v>0</v>
      </c>
      <c r="K189" s="671">
        <f t="shared" si="27"/>
        <v>0</v>
      </c>
      <c r="L189" s="663">
        <f t="shared" si="29"/>
        <v>0</v>
      </c>
      <c r="M189" s="663" t="str">
        <f>IF(K189&gt;0,SUM($L$5:L189),"")</f>
        <v/>
      </c>
    </row>
    <row r="190" spans="1:13" hidden="1" x14ac:dyDescent="0.2">
      <c r="A190" s="677" t="b">
        <f t="shared" si="28"/>
        <v>0</v>
      </c>
      <c r="C190" s="666"/>
      <c r="D190" s="667" t="str">
        <f t="shared" si="20"/>
        <v/>
      </c>
      <c r="E190" s="668">
        <f t="shared" si="21"/>
        <v>0</v>
      </c>
      <c r="F190" s="669">
        <f t="shared" si="22"/>
        <v>0</v>
      </c>
      <c r="G190" s="668">
        <f t="shared" si="23"/>
        <v>0</v>
      </c>
      <c r="H190" s="670">
        <f t="shared" si="24"/>
        <v>0</v>
      </c>
      <c r="I190" s="670">
        <f t="shared" si="25"/>
        <v>0</v>
      </c>
      <c r="J190" s="668">
        <f t="shared" si="26"/>
        <v>0</v>
      </c>
      <c r="K190" s="671">
        <f t="shared" si="27"/>
        <v>0</v>
      </c>
      <c r="L190" s="663">
        <f t="shared" si="29"/>
        <v>0</v>
      </c>
      <c r="M190" s="663" t="str">
        <f>IF(K190&gt;0,SUM($L$5:L190),"")</f>
        <v/>
      </c>
    </row>
    <row r="191" spans="1:13" hidden="1" x14ac:dyDescent="0.2">
      <c r="A191" s="677" t="b">
        <f t="shared" si="28"/>
        <v>0</v>
      </c>
      <c r="C191" s="666"/>
      <c r="D191" s="667" t="str">
        <f t="shared" si="20"/>
        <v/>
      </c>
      <c r="E191" s="668">
        <f t="shared" si="21"/>
        <v>0</v>
      </c>
      <c r="F191" s="669">
        <f t="shared" si="22"/>
        <v>0</v>
      </c>
      <c r="G191" s="668">
        <f t="shared" si="23"/>
        <v>0</v>
      </c>
      <c r="H191" s="670">
        <f t="shared" si="24"/>
        <v>0</v>
      </c>
      <c r="I191" s="670">
        <f t="shared" si="25"/>
        <v>0</v>
      </c>
      <c r="J191" s="668">
        <f t="shared" si="26"/>
        <v>0</v>
      </c>
      <c r="K191" s="671">
        <f t="shared" si="27"/>
        <v>0</v>
      </c>
      <c r="L191" s="663">
        <f t="shared" si="29"/>
        <v>0</v>
      </c>
      <c r="M191" s="663" t="str">
        <f>IF(K191&gt;0,SUM($L$5:L191),"")</f>
        <v/>
      </c>
    </row>
    <row r="192" spans="1:13" hidden="1" x14ac:dyDescent="0.2">
      <c r="A192" s="677" t="b">
        <f t="shared" si="28"/>
        <v>0</v>
      </c>
      <c r="C192" s="666"/>
      <c r="D192" s="667" t="str">
        <f t="shared" si="20"/>
        <v/>
      </c>
      <c r="E192" s="668">
        <f t="shared" si="21"/>
        <v>0</v>
      </c>
      <c r="F192" s="669">
        <f t="shared" si="22"/>
        <v>0</v>
      </c>
      <c r="G192" s="668">
        <f t="shared" si="23"/>
        <v>0</v>
      </c>
      <c r="H192" s="670">
        <f t="shared" si="24"/>
        <v>0</v>
      </c>
      <c r="I192" s="670">
        <f t="shared" si="25"/>
        <v>0</v>
      </c>
      <c r="J192" s="668">
        <f t="shared" si="26"/>
        <v>0</v>
      </c>
      <c r="K192" s="671">
        <f t="shared" si="27"/>
        <v>0</v>
      </c>
      <c r="L192" s="663">
        <f t="shared" si="29"/>
        <v>0</v>
      </c>
      <c r="M192" s="663" t="str">
        <f>IF(K192&gt;0,SUM($L$5:L192),"")</f>
        <v/>
      </c>
    </row>
    <row r="193" spans="1:13" hidden="1" x14ac:dyDescent="0.2">
      <c r="A193" s="677" t="b">
        <f t="shared" si="28"/>
        <v>0</v>
      </c>
      <c r="C193" s="666"/>
      <c r="D193" s="667" t="str">
        <f t="shared" si="20"/>
        <v/>
      </c>
      <c r="E193" s="668">
        <f t="shared" si="21"/>
        <v>0</v>
      </c>
      <c r="F193" s="669">
        <f t="shared" si="22"/>
        <v>0</v>
      </c>
      <c r="G193" s="668">
        <f t="shared" si="23"/>
        <v>0</v>
      </c>
      <c r="H193" s="670">
        <f t="shared" si="24"/>
        <v>0</v>
      </c>
      <c r="I193" s="670">
        <f t="shared" si="25"/>
        <v>0</v>
      </c>
      <c r="J193" s="668">
        <f t="shared" si="26"/>
        <v>0</v>
      </c>
      <c r="K193" s="671">
        <f t="shared" si="27"/>
        <v>0</v>
      </c>
      <c r="L193" s="663">
        <f t="shared" si="29"/>
        <v>0</v>
      </c>
      <c r="M193" s="663" t="str">
        <f>IF(K193&gt;0,SUM($L$5:L193),"")</f>
        <v/>
      </c>
    </row>
    <row r="194" spans="1:13" hidden="1" x14ac:dyDescent="0.2">
      <c r="A194" s="677" t="b">
        <f t="shared" si="28"/>
        <v>0</v>
      </c>
      <c r="C194" s="666"/>
      <c r="D194" s="667" t="str">
        <f t="shared" si="20"/>
        <v/>
      </c>
      <c r="E194" s="668">
        <f t="shared" si="21"/>
        <v>0</v>
      </c>
      <c r="F194" s="669">
        <f t="shared" si="22"/>
        <v>0</v>
      </c>
      <c r="G194" s="668">
        <f t="shared" si="23"/>
        <v>0</v>
      </c>
      <c r="H194" s="670">
        <f t="shared" si="24"/>
        <v>0</v>
      </c>
      <c r="I194" s="670">
        <f t="shared" si="25"/>
        <v>0</v>
      </c>
      <c r="J194" s="668">
        <f t="shared" si="26"/>
        <v>0</v>
      </c>
      <c r="K194" s="671">
        <f t="shared" si="27"/>
        <v>0</v>
      </c>
      <c r="L194" s="663">
        <f t="shared" si="29"/>
        <v>0</v>
      </c>
      <c r="M194" s="663" t="str">
        <f>IF(K194&gt;0,SUM($L$5:L194),"")</f>
        <v/>
      </c>
    </row>
    <row r="195" spans="1:13" hidden="1" x14ac:dyDescent="0.2">
      <c r="A195" s="677" t="b">
        <f t="shared" si="28"/>
        <v>0</v>
      </c>
      <c r="C195" s="666"/>
      <c r="D195" s="667" t="str">
        <f t="shared" si="20"/>
        <v/>
      </c>
      <c r="E195" s="668">
        <f t="shared" si="21"/>
        <v>0</v>
      </c>
      <c r="F195" s="669">
        <f t="shared" si="22"/>
        <v>0</v>
      </c>
      <c r="G195" s="668">
        <f t="shared" si="23"/>
        <v>0</v>
      </c>
      <c r="H195" s="670">
        <f t="shared" si="24"/>
        <v>0</v>
      </c>
      <c r="I195" s="670">
        <f t="shared" si="25"/>
        <v>0</v>
      </c>
      <c r="J195" s="668">
        <f t="shared" si="26"/>
        <v>0</v>
      </c>
      <c r="K195" s="671">
        <f t="shared" si="27"/>
        <v>0</v>
      </c>
      <c r="L195" s="663">
        <f t="shared" si="29"/>
        <v>0</v>
      </c>
      <c r="M195" s="663" t="str">
        <f>IF(K195&gt;0,SUM($L$5:L195),"")</f>
        <v/>
      </c>
    </row>
    <row r="196" spans="1:13" hidden="1" x14ac:dyDescent="0.2">
      <c r="A196" s="677" t="b">
        <f t="shared" si="28"/>
        <v>0</v>
      </c>
      <c r="C196" s="666"/>
      <c r="D196" s="667" t="str">
        <f t="shared" si="20"/>
        <v/>
      </c>
      <c r="E196" s="668">
        <f t="shared" si="21"/>
        <v>0</v>
      </c>
      <c r="F196" s="669">
        <f t="shared" si="22"/>
        <v>0</v>
      </c>
      <c r="G196" s="668">
        <f t="shared" si="23"/>
        <v>0</v>
      </c>
      <c r="H196" s="670">
        <f t="shared" si="24"/>
        <v>0</v>
      </c>
      <c r="I196" s="670">
        <f t="shared" si="25"/>
        <v>0</v>
      </c>
      <c r="J196" s="668">
        <f t="shared" si="26"/>
        <v>0</v>
      </c>
      <c r="K196" s="671">
        <f t="shared" si="27"/>
        <v>0</v>
      </c>
      <c r="L196" s="663">
        <f t="shared" si="29"/>
        <v>0</v>
      </c>
      <c r="M196" s="663" t="str">
        <f>IF(K196&gt;0,SUM($L$5:L196),"")</f>
        <v/>
      </c>
    </row>
    <row r="197" spans="1:13" hidden="1" x14ac:dyDescent="0.2">
      <c r="A197" s="677" t="b">
        <f t="shared" si="28"/>
        <v>0</v>
      </c>
      <c r="C197" s="666"/>
      <c r="D197" s="667" t="str">
        <f t="shared" ref="D197:D260" si="30">IF(C197&lt;&gt;"",IF(ISERROR(VLOOKUP(C197,tbl_servicos,1,FALSE)),"MAT","SERV"),"")</f>
        <v/>
      </c>
      <c r="E197" s="668">
        <f t="shared" ref="E197:E260" si="31">IFERROR(G197/F197,0)</f>
        <v>0</v>
      </c>
      <c r="F197" s="669">
        <f t="shared" ref="F197:F260" si="32">SUMIF(col_item,$C197,col_qtd)</f>
        <v>0</v>
      </c>
      <c r="G197" s="668">
        <f t="shared" ref="G197:G260" si="33">SUMIF(col_item,$C197,col_custoTotal)+SUMIF(col_item,$C197,col_fatdir_liquido_com_mn)</f>
        <v>0</v>
      </c>
      <c r="H197" s="670">
        <f t="shared" ref="H197:H260" si="34">IFERROR(1-G197/J197,0)</f>
        <v>0</v>
      </c>
      <c r="I197" s="670">
        <f t="shared" ref="I197:I260" si="35">IFERROR(1-J197/K197,0)</f>
        <v>0</v>
      </c>
      <c r="J197" s="668">
        <f t="shared" ref="J197:J260" si="36">SUMIF(col_item,$C197,col_liquidototal)+SUMIF(col_item,$C197,col_fatdir_liquido_com_mn)</f>
        <v>0</v>
      </c>
      <c r="K197" s="671">
        <f t="shared" ref="K197:K260" si="37">SUMIF(col_item,$C197,col_brutototal)+SUMIF(col_item,$C197,col_fatdir_bruto_com_mn)</f>
        <v>0</v>
      </c>
      <c r="L197" s="663">
        <f t="shared" si="29"/>
        <v>0</v>
      </c>
      <c r="M197" s="663" t="str">
        <f>IF(K197&gt;0,SUM($L$5:L197),"")</f>
        <v/>
      </c>
    </row>
    <row r="198" spans="1:13" hidden="1" x14ac:dyDescent="0.2">
      <c r="A198" s="677" t="b">
        <f t="shared" ref="A198:A261" si="38">IF(M198&lt;$L$2,TRUE,FALSE)</f>
        <v>0</v>
      </c>
      <c r="C198" s="666"/>
      <c r="D198" s="667" t="str">
        <f t="shared" si="30"/>
        <v/>
      </c>
      <c r="E198" s="668">
        <f t="shared" si="31"/>
        <v>0</v>
      </c>
      <c r="F198" s="669">
        <f t="shared" si="32"/>
        <v>0</v>
      </c>
      <c r="G198" s="668">
        <f t="shared" si="33"/>
        <v>0</v>
      </c>
      <c r="H198" s="670">
        <f t="shared" si="34"/>
        <v>0</v>
      </c>
      <c r="I198" s="670">
        <f t="shared" si="35"/>
        <v>0</v>
      </c>
      <c r="J198" s="668">
        <f t="shared" si="36"/>
        <v>0</v>
      </c>
      <c r="K198" s="671">
        <f t="shared" si="37"/>
        <v>0</v>
      </c>
      <c r="L198" s="663">
        <f t="shared" ref="L198:L261" si="39">IFERROR(K198/$K$3,0)</f>
        <v>0</v>
      </c>
      <c r="M198" s="663" t="str">
        <f>IF(K198&gt;0,SUM($L$5:L198),"")</f>
        <v/>
      </c>
    </row>
    <row r="199" spans="1:13" hidden="1" x14ac:dyDescent="0.2">
      <c r="A199" s="677" t="b">
        <f t="shared" si="38"/>
        <v>0</v>
      </c>
      <c r="C199" s="666"/>
      <c r="D199" s="667" t="str">
        <f t="shared" si="30"/>
        <v/>
      </c>
      <c r="E199" s="668">
        <f t="shared" si="31"/>
        <v>0</v>
      </c>
      <c r="F199" s="669">
        <f t="shared" si="32"/>
        <v>0</v>
      </c>
      <c r="G199" s="668">
        <f t="shared" si="33"/>
        <v>0</v>
      </c>
      <c r="H199" s="670">
        <f t="shared" si="34"/>
        <v>0</v>
      </c>
      <c r="I199" s="670">
        <f t="shared" si="35"/>
        <v>0</v>
      </c>
      <c r="J199" s="668">
        <f t="shared" si="36"/>
        <v>0</v>
      </c>
      <c r="K199" s="671">
        <f t="shared" si="37"/>
        <v>0</v>
      </c>
      <c r="L199" s="663">
        <f t="shared" si="39"/>
        <v>0</v>
      </c>
      <c r="M199" s="663" t="str">
        <f>IF(K199&gt;0,SUM($L$5:L199),"")</f>
        <v/>
      </c>
    </row>
    <row r="200" spans="1:13" hidden="1" x14ac:dyDescent="0.2">
      <c r="A200" s="677" t="b">
        <f t="shared" si="38"/>
        <v>0</v>
      </c>
      <c r="C200" s="666"/>
      <c r="D200" s="667" t="str">
        <f t="shared" si="30"/>
        <v/>
      </c>
      <c r="E200" s="668">
        <f t="shared" si="31"/>
        <v>0</v>
      </c>
      <c r="F200" s="669">
        <f t="shared" si="32"/>
        <v>0</v>
      </c>
      <c r="G200" s="668">
        <f t="shared" si="33"/>
        <v>0</v>
      </c>
      <c r="H200" s="670">
        <f t="shared" si="34"/>
        <v>0</v>
      </c>
      <c r="I200" s="670">
        <f t="shared" si="35"/>
        <v>0</v>
      </c>
      <c r="J200" s="668">
        <f t="shared" si="36"/>
        <v>0</v>
      </c>
      <c r="K200" s="671">
        <f t="shared" si="37"/>
        <v>0</v>
      </c>
      <c r="L200" s="663">
        <f t="shared" si="39"/>
        <v>0</v>
      </c>
      <c r="M200" s="663" t="str">
        <f>IF(K200&gt;0,SUM($L$5:L200),"")</f>
        <v/>
      </c>
    </row>
    <row r="201" spans="1:13" hidden="1" x14ac:dyDescent="0.2">
      <c r="A201" s="677" t="b">
        <f t="shared" si="38"/>
        <v>0</v>
      </c>
      <c r="C201" s="666"/>
      <c r="D201" s="667" t="str">
        <f t="shared" si="30"/>
        <v/>
      </c>
      <c r="E201" s="668">
        <f t="shared" si="31"/>
        <v>0</v>
      </c>
      <c r="F201" s="669">
        <f t="shared" si="32"/>
        <v>0</v>
      </c>
      <c r="G201" s="668">
        <f t="shared" si="33"/>
        <v>0</v>
      </c>
      <c r="H201" s="670">
        <f t="shared" si="34"/>
        <v>0</v>
      </c>
      <c r="I201" s="670">
        <f t="shared" si="35"/>
        <v>0</v>
      </c>
      <c r="J201" s="668">
        <f t="shared" si="36"/>
        <v>0</v>
      </c>
      <c r="K201" s="671">
        <f t="shared" si="37"/>
        <v>0</v>
      </c>
      <c r="L201" s="663">
        <f t="shared" si="39"/>
        <v>0</v>
      </c>
      <c r="M201" s="663" t="str">
        <f>IF(K201&gt;0,SUM($L$5:L201),"")</f>
        <v/>
      </c>
    </row>
    <row r="202" spans="1:13" hidden="1" x14ac:dyDescent="0.2">
      <c r="A202" s="677" t="b">
        <f t="shared" si="38"/>
        <v>0</v>
      </c>
      <c r="C202" s="666"/>
      <c r="D202" s="667" t="str">
        <f t="shared" si="30"/>
        <v/>
      </c>
      <c r="E202" s="668">
        <f t="shared" si="31"/>
        <v>0</v>
      </c>
      <c r="F202" s="669">
        <f t="shared" si="32"/>
        <v>0</v>
      </c>
      <c r="G202" s="668">
        <f t="shared" si="33"/>
        <v>0</v>
      </c>
      <c r="H202" s="670">
        <f t="shared" si="34"/>
        <v>0</v>
      </c>
      <c r="I202" s="670">
        <f t="shared" si="35"/>
        <v>0</v>
      </c>
      <c r="J202" s="668">
        <f t="shared" si="36"/>
        <v>0</v>
      </c>
      <c r="K202" s="671">
        <f t="shared" si="37"/>
        <v>0</v>
      </c>
      <c r="L202" s="663">
        <f t="shared" si="39"/>
        <v>0</v>
      </c>
      <c r="M202" s="663" t="str">
        <f>IF(K202&gt;0,SUM($L$5:L202),"")</f>
        <v/>
      </c>
    </row>
    <row r="203" spans="1:13" hidden="1" x14ac:dyDescent="0.2">
      <c r="A203" s="677" t="b">
        <f t="shared" si="38"/>
        <v>0</v>
      </c>
      <c r="C203" s="666"/>
      <c r="D203" s="667" t="str">
        <f t="shared" si="30"/>
        <v/>
      </c>
      <c r="E203" s="668">
        <f t="shared" si="31"/>
        <v>0</v>
      </c>
      <c r="F203" s="669">
        <f t="shared" si="32"/>
        <v>0</v>
      </c>
      <c r="G203" s="668">
        <f t="shared" si="33"/>
        <v>0</v>
      </c>
      <c r="H203" s="670">
        <f t="shared" si="34"/>
        <v>0</v>
      </c>
      <c r="I203" s="670">
        <f t="shared" si="35"/>
        <v>0</v>
      </c>
      <c r="J203" s="668">
        <f t="shared" si="36"/>
        <v>0</v>
      </c>
      <c r="K203" s="671">
        <f t="shared" si="37"/>
        <v>0</v>
      </c>
      <c r="L203" s="663">
        <f t="shared" si="39"/>
        <v>0</v>
      </c>
      <c r="M203" s="663" t="str">
        <f>IF(K203&gt;0,SUM($L$5:L203),"")</f>
        <v/>
      </c>
    </row>
    <row r="204" spans="1:13" hidden="1" x14ac:dyDescent="0.2">
      <c r="A204" s="677" t="b">
        <f t="shared" si="38"/>
        <v>0</v>
      </c>
      <c r="C204" s="666"/>
      <c r="D204" s="667" t="str">
        <f t="shared" si="30"/>
        <v/>
      </c>
      <c r="E204" s="668">
        <f t="shared" si="31"/>
        <v>0</v>
      </c>
      <c r="F204" s="669">
        <f t="shared" si="32"/>
        <v>0</v>
      </c>
      <c r="G204" s="668">
        <f t="shared" si="33"/>
        <v>0</v>
      </c>
      <c r="H204" s="670">
        <f t="shared" si="34"/>
        <v>0</v>
      </c>
      <c r="I204" s="670">
        <f t="shared" si="35"/>
        <v>0</v>
      </c>
      <c r="J204" s="668">
        <f t="shared" si="36"/>
        <v>0</v>
      </c>
      <c r="K204" s="671">
        <f t="shared" si="37"/>
        <v>0</v>
      </c>
      <c r="L204" s="663">
        <f t="shared" si="39"/>
        <v>0</v>
      </c>
      <c r="M204" s="663" t="str">
        <f>IF(K204&gt;0,SUM($L$5:L204),"")</f>
        <v/>
      </c>
    </row>
    <row r="205" spans="1:13" hidden="1" x14ac:dyDescent="0.2">
      <c r="A205" s="677" t="b">
        <f t="shared" si="38"/>
        <v>0</v>
      </c>
      <c r="C205" s="666"/>
      <c r="D205" s="667" t="str">
        <f t="shared" si="30"/>
        <v/>
      </c>
      <c r="E205" s="668">
        <f t="shared" si="31"/>
        <v>0</v>
      </c>
      <c r="F205" s="669">
        <f t="shared" si="32"/>
        <v>0</v>
      </c>
      <c r="G205" s="668">
        <f t="shared" si="33"/>
        <v>0</v>
      </c>
      <c r="H205" s="670">
        <f t="shared" si="34"/>
        <v>0</v>
      </c>
      <c r="I205" s="670">
        <f t="shared" si="35"/>
        <v>0</v>
      </c>
      <c r="J205" s="668">
        <f t="shared" si="36"/>
        <v>0</v>
      </c>
      <c r="K205" s="671">
        <f t="shared" si="37"/>
        <v>0</v>
      </c>
      <c r="L205" s="663">
        <f t="shared" si="39"/>
        <v>0</v>
      </c>
      <c r="M205" s="663" t="str">
        <f>IF(K205&gt;0,SUM($L$5:L205),"")</f>
        <v/>
      </c>
    </row>
    <row r="206" spans="1:13" hidden="1" x14ac:dyDescent="0.2">
      <c r="A206" s="677" t="b">
        <f t="shared" si="38"/>
        <v>0</v>
      </c>
      <c r="C206" s="666"/>
      <c r="D206" s="667" t="str">
        <f t="shared" si="30"/>
        <v/>
      </c>
      <c r="E206" s="668">
        <f t="shared" si="31"/>
        <v>0</v>
      </c>
      <c r="F206" s="669">
        <f t="shared" si="32"/>
        <v>0</v>
      </c>
      <c r="G206" s="668">
        <f t="shared" si="33"/>
        <v>0</v>
      </c>
      <c r="H206" s="670">
        <f t="shared" si="34"/>
        <v>0</v>
      </c>
      <c r="I206" s="670">
        <f t="shared" si="35"/>
        <v>0</v>
      </c>
      <c r="J206" s="668">
        <f t="shared" si="36"/>
        <v>0</v>
      </c>
      <c r="K206" s="671">
        <f t="shared" si="37"/>
        <v>0</v>
      </c>
      <c r="L206" s="663">
        <f t="shared" si="39"/>
        <v>0</v>
      </c>
      <c r="M206" s="663" t="str">
        <f>IF(K206&gt;0,SUM($L$5:L206),"")</f>
        <v/>
      </c>
    </row>
    <row r="207" spans="1:13" hidden="1" x14ac:dyDescent="0.2">
      <c r="A207" s="677" t="b">
        <f t="shared" si="38"/>
        <v>0</v>
      </c>
      <c r="C207" s="666"/>
      <c r="D207" s="667" t="str">
        <f t="shared" si="30"/>
        <v/>
      </c>
      <c r="E207" s="668">
        <f t="shared" si="31"/>
        <v>0</v>
      </c>
      <c r="F207" s="669">
        <f t="shared" si="32"/>
        <v>0</v>
      </c>
      <c r="G207" s="668">
        <f t="shared" si="33"/>
        <v>0</v>
      </c>
      <c r="H207" s="670">
        <f t="shared" si="34"/>
        <v>0</v>
      </c>
      <c r="I207" s="670">
        <f t="shared" si="35"/>
        <v>0</v>
      </c>
      <c r="J207" s="668">
        <f t="shared" si="36"/>
        <v>0</v>
      </c>
      <c r="K207" s="671">
        <f t="shared" si="37"/>
        <v>0</v>
      </c>
      <c r="L207" s="663">
        <f t="shared" si="39"/>
        <v>0</v>
      </c>
      <c r="M207" s="663" t="str">
        <f>IF(K207&gt;0,SUM($L$5:L207),"")</f>
        <v/>
      </c>
    </row>
    <row r="208" spans="1:13" hidden="1" x14ac:dyDescent="0.2">
      <c r="A208" s="677" t="b">
        <f t="shared" si="38"/>
        <v>0</v>
      </c>
      <c r="C208" s="666"/>
      <c r="D208" s="667" t="str">
        <f t="shared" si="30"/>
        <v/>
      </c>
      <c r="E208" s="668">
        <f t="shared" si="31"/>
        <v>0</v>
      </c>
      <c r="F208" s="669">
        <f t="shared" si="32"/>
        <v>0</v>
      </c>
      <c r="G208" s="668">
        <f t="shared" si="33"/>
        <v>0</v>
      </c>
      <c r="H208" s="670">
        <f t="shared" si="34"/>
        <v>0</v>
      </c>
      <c r="I208" s="670">
        <f t="shared" si="35"/>
        <v>0</v>
      </c>
      <c r="J208" s="668">
        <f t="shared" si="36"/>
        <v>0</v>
      </c>
      <c r="K208" s="671">
        <f t="shared" si="37"/>
        <v>0</v>
      </c>
      <c r="L208" s="663">
        <f t="shared" si="39"/>
        <v>0</v>
      </c>
      <c r="M208" s="663" t="str">
        <f>IF(K208&gt;0,SUM($L$5:L208),"")</f>
        <v/>
      </c>
    </row>
    <row r="209" spans="1:13" hidden="1" x14ac:dyDescent="0.2">
      <c r="A209" s="677" t="b">
        <f t="shared" si="38"/>
        <v>0</v>
      </c>
      <c r="C209" s="666"/>
      <c r="D209" s="667" t="str">
        <f t="shared" si="30"/>
        <v/>
      </c>
      <c r="E209" s="668">
        <f t="shared" si="31"/>
        <v>0</v>
      </c>
      <c r="F209" s="669">
        <f t="shared" si="32"/>
        <v>0</v>
      </c>
      <c r="G209" s="668">
        <f t="shared" si="33"/>
        <v>0</v>
      </c>
      <c r="H209" s="670">
        <f t="shared" si="34"/>
        <v>0</v>
      </c>
      <c r="I209" s="670">
        <f t="shared" si="35"/>
        <v>0</v>
      </c>
      <c r="J209" s="668">
        <f t="shared" si="36"/>
        <v>0</v>
      </c>
      <c r="K209" s="671">
        <f t="shared" si="37"/>
        <v>0</v>
      </c>
      <c r="L209" s="663">
        <f t="shared" si="39"/>
        <v>0</v>
      </c>
      <c r="M209" s="663" t="str">
        <f>IF(K209&gt;0,SUM($L$5:L209),"")</f>
        <v/>
      </c>
    </row>
    <row r="210" spans="1:13" hidden="1" x14ac:dyDescent="0.2">
      <c r="A210" s="677" t="b">
        <f t="shared" si="38"/>
        <v>0</v>
      </c>
      <c r="C210" s="666"/>
      <c r="D210" s="667" t="str">
        <f t="shared" si="30"/>
        <v/>
      </c>
      <c r="E210" s="668">
        <f t="shared" si="31"/>
        <v>0</v>
      </c>
      <c r="F210" s="669">
        <f t="shared" si="32"/>
        <v>0</v>
      </c>
      <c r="G210" s="668">
        <f t="shared" si="33"/>
        <v>0</v>
      </c>
      <c r="H210" s="670">
        <f t="shared" si="34"/>
        <v>0</v>
      </c>
      <c r="I210" s="670">
        <f t="shared" si="35"/>
        <v>0</v>
      </c>
      <c r="J210" s="668">
        <f t="shared" si="36"/>
        <v>0</v>
      </c>
      <c r="K210" s="671">
        <f t="shared" si="37"/>
        <v>0</v>
      </c>
      <c r="L210" s="663">
        <f t="shared" si="39"/>
        <v>0</v>
      </c>
      <c r="M210" s="663" t="str">
        <f>IF(K210&gt;0,SUM($L$5:L210),"")</f>
        <v/>
      </c>
    </row>
    <row r="211" spans="1:13" hidden="1" x14ac:dyDescent="0.2">
      <c r="A211" s="677" t="b">
        <f t="shared" si="38"/>
        <v>0</v>
      </c>
      <c r="C211" s="666"/>
      <c r="D211" s="667" t="str">
        <f t="shared" si="30"/>
        <v/>
      </c>
      <c r="E211" s="668">
        <f t="shared" si="31"/>
        <v>0</v>
      </c>
      <c r="F211" s="669">
        <f t="shared" si="32"/>
        <v>0</v>
      </c>
      <c r="G211" s="668">
        <f t="shared" si="33"/>
        <v>0</v>
      </c>
      <c r="H211" s="670">
        <f t="shared" si="34"/>
        <v>0</v>
      </c>
      <c r="I211" s="670">
        <f t="shared" si="35"/>
        <v>0</v>
      </c>
      <c r="J211" s="668">
        <f t="shared" si="36"/>
        <v>0</v>
      </c>
      <c r="K211" s="671">
        <f t="shared" si="37"/>
        <v>0</v>
      </c>
      <c r="L211" s="663">
        <f t="shared" si="39"/>
        <v>0</v>
      </c>
      <c r="M211" s="663" t="str">
        <f>IF(K211&gt;0,SUM($L$5:L211),"")</f>
        <v/>
      </c>
    </row>
    <row r="212" spans="1:13" hidden="1" x14ac:dyDescent="0.2">
      <c r="A212" s="677" t="b">
        <f t="shared" si="38"/>
        <v>0</v>
      </c>
      <c r="C212" s="666"/>
      <c r="D212" s="667" t="str">
        <f t="shared" si="30"/>
        <v/>
      </c>
      <c r="E212" s="668">
        <f t="shared" si="31"/>
        <v>0</v>
      </c>
      <c r="F212" s="669">
        <f t="shared" si="32"/>
        <v>0</v>
      </c>
      <c r="G212" s="668">
        <f t="shared" si="33"/>
        <v>0</v>
      </c>
      <c r="H212" s="670">
        <f t="shared" si="34"/>
        <v>0</v>
      </c>
      <c r="I212" s="670">
        <f t="shared" si="35"/>
        <v>0</v>
      </c>
      <c r="J212" s="668">
        <f t="shared" si="36"/>
        <v>0</v>
      </c>
      <c r="K212" s="671">
        <f t="shared" si="37"/>
        <v>0</v>
      </c>
      <c r="L212" s="663">
        <f t="shared" si="39"/>
        <v>0</v>
      </c>
      <c r="M212" s="663" t="str">
        <f>IF(K212&gt;0,SUM($L$5:L212),"")</f>
        <v/>
      </c>
    </row>
    <row r="213" spans="1:13" hidden="1" x14ac:dyDescent="0.2">
      <c r="A213" s="677" t="b">
        <f t="shared" si="38"/>
        <v>0</v>
      </c>
      <c r="C213" s="666"/>
      <c r="D213" s="667" t="str">
        <f t="shared" si="30"/>
        <v/>
      </c>
      <c r="E213" s="668">
        <f t="shared" si="31"/>
        <v>0</v>
      </c>
      <c r="F213" s="669">
        <f t="shared" si="32"/>
        <v>0</v>
      </c>
      <c r="G213" s="668">
        <f t="shared" si="33"/>
        <v>0</v>
      </c>
      <c r="H213" s="670">
        <f t="shared" si="34"/>
        <v>0</v>
      </c>
      <c r="I213" s="670">
        <f t="shared" si="35"/>
        <v>0</v>
      </c>
      <c r="J213" s="668">
        <f t="shared" si="36"/>
        <v>0</v>
      </c>
      <c r="K213" s="671">
        <f t="shared" si="37"/>
        <v>0</v>
      </c>
      <c r="L213" s="663">
        <f t="shared" si="39"/>
        <v>0</v>
      </c>
      <c r="M213" s="663" t="str">
        <f>IF(K213&gt;0,SUM($L$5:L213),"")</f>
        <v/>
      </c>
    </row>
    <row r="214" spans="1:13" hidden="1" x14ac:dyDescent="0.2">
      <c r="A214" s="677" t="b">
        <f t="shared" si="38"/>
        <v>0</v>
      </c>
      <c r="C214" s="666"/>
      <c r="D214" s="667" t="str">
        <f t="shared" si="30"/>
        <v/>
      </c>
      <c r="E214" s="668">
        <f t="shared" si="31"/>
        <v>0</v>
      </c>
      <c r="F214" s="669">
        <f t="shared" si="32"/>
        <v>0</v>
      </c>
      <c r="G214" s="668">
        <f t="shared" si="33"/>
        <v>0</v>
      </c>
      <c r="H214" s="670">
        <f t="shared" si="34"/>
        <v>0</v>
      </c>
      <c r="I214" s="670">
        <f t="shared" si="35"/>
        <v>0</v>
      </c>
      <c r="J214" s="668">
        <f t="shared" si="36"/>
        <v>0</v>
      </c>
      <c r="K214" s="671">
        <f t="shared" si="37"/>
        <v>0</v>
      </c>
      <c r="L214" s="663">
        <f t="shared" si="39"/>
        <v>0</v>
      </c>
      <c r="M214" s="663" t="str">
        <f>IF(K214&gt;0,SUM($L$5:L214),"")</f>
        <v/>
      </c>
    </row>
    <row r="215" spans="1:13" hidden="1" x14ac:dyDescent="0.2">
      <c r="A215" s="677" t="b">
        <f t="shared" si="38"/>
        <v>0</v>
      </c>
      <c r="C215" s="666"/>
      <c r="D215" s="667" t="str">
        <f t="shared" si="30"/>
        <v/>
      </c>
      <c r="E215" s="668">
        <f t="shared" si="31"/>
        <v>0</v>
      </c>
      <c r="F215" s="669">
        <f t="shared" si="32"/>
        <v>0</v>
      </c>
      <c r="G215" s="668">
        <f t="shared" si="33"/>
        <v>0</v>
      </c>
      <c r="H215" s="670">
        <f t="shared" si="34"/>
        <v>0</v>
      </c>
      <c r="I215" s="670">
        <f t="shared" si="35"/>
        <v>0</v>
      </c>
      <c r="J215" s="668">
        <f t="shared" si="36"/>
        <v>0</v>
      </c>
      <c r="K215" s="671">
        <f t="shared" si="37"/>
        <v>0</v>
      </c>
      <c r="L215" s="663">
        <f t="shared" si="39"/>
        <v>0</v>
      </c>
      <c r="M215" s="663" t="str">
        <f>IF(K215&gt;0,SUM($L$5:L215),"")</f>
        <v/>
      </c>
    </row>
    <row r="216" spans="1:13" hidden="1" x14ac:dyDescent="0.2">
      <c r="A216" s="677" t="b">
        <f t="shared" si="38"/>
        <v>0</v>
      </c>
      <c r="C216" s="666"/>
      <c r="D216" s="667" t="str">
        <f t="shared" si="30"/>
        <v/>
      </c>
      <c r="E216" s="668">
        <f t="shared" si="31"/>
        <v>0</v>
      </c>
      <c r="F216" s="669">
        <f t="shared" si="32"/>
        <v>0</v>
      </c>
      <c r="G216" s="668">
        <f t="shared" si="33"/>
        <v>0</v>
      </c>
      <c r="H216" s="670">
        <f t="shared" si="34"/>
        <v>0</v>
      </c>
      <c r="I216" s="670">
        <f t="shared" si="35"/>
        <v>0</v>
      </c>
      <c r="J216" s="668">
        <f t="shared" si="36"/>
        <v>0</v>
      </c>
      <c r="K216" s="671">
        <f t="shared" si="37"/>
        <v>0</v>
      </c>
      <c r="L216" s="663">
        <f t="shared" si="39"/>
        <v>0</v>
      </c>
      <c r="M216" s="663" t="str">
        <f>IF(K216&gt;0,SUM($L$5:L216),"")</f>
        <v/>
      </c>
    </row>
    <row r="217" spans="1:13" hidden="1" x14ac:dyDescent="0.2">
      <c r="A217" s="677" t="b">
        <f t="shared" si="38"/>
        <v>0</v>
      </c>
      <c r="C217" s="666"/>
      <c r="D217" s="667" t="str">
        <f t="shared" si="30"/>
        <v/>
      </c>
      <c r="E217" s="668">
        <f t="shared" si="31"/>
        <v>0</v>
      </c>
      <c r="F217" s="669">
        <f t="shared" si="32"/>
        <v>0</v>
      </c>
      <c r="G217" s="668">
        <f t="shared" si="33"/>
        <v>0</v>
      </c>
      <c r="H217" s="670">
        <f t="shared" si="34"/>
        <v>0</v>
      </c>
      <c r="I217" s="670">
        <f t="shared" si="35"/>
        <v>0</v>
      </c>
      <c r="J217" s="668">
        <f t="shared" si="36"/>
        <v>0</v>
      </c>
      <c r="K217" s="671">
        <f t="shared" si="37"/>
        <v>0</v>
      </c>
      <c r="L217" s="663">
        <f t="shared" si="39"/>
        <v>0</v>
      </c>
      <c r="M217" s="663" t="str">
        <f>IF(K217&gt;0,SUM($L$5:L217),"")</f>
        <v/>
      </c>
    </row>
    <row r="218" spans="1:13" hidden="1" x14ac:dyDescent="0.2">
      <c r="A218" s="677" t="b">
        <f t="shared" si="38"/>
        <v>0</v>
      </c>
      <c r="C218" s="666"/>
      <c r="D218" s="667" t="str">
        <f t="shared" si="30"/>
        <v/>
      </c>
      <c r="E218" s="668">
        <f t="shared" si="31"/>
        <v>0</v>
      </c>
      <c r="F218" s="669">
        <f t="shared" si="32"/>
        <v>0</v>
      </c>
      <c r="G218" s="668">
        <f t="shared" si="33"/>
        <v>0</v>
      </c>
      <c r="H218" s="670">
        <f t="shared" si="34"/>
        <v>0</v>
      </c>
      <c r="I218" s="670">
        <f t="shared" si="35"/>
        <v>0</v>
      </c>
      <c r="J218" s="668">
        <f t="shared" si="36"/>
        <v>0</v>
      </c>
      <c r="K218" s="671">
        <f t="shared" si="37"/>
        <v>0</v>
      </c>
      <c r="L218" s="663">
        <f t="shared" si="39"/>
        <v>0</v>
      </c>
      <c r="M218" s="663" t="str">
        <f>IF(K218&gt;0,SUM($L$5:L218),"")</f>
        <v/>
      </c>
    </row>
    <row r="219" spans="1:13" hidden="1" x14ac:dyDescent="0.2">
      <c r="A219" s="677" t="b">
        <f t="shared" si="38"/>
        <v>0</v>
      </c>
      <c r="C219" s="666"/>
      <c r="D219" s="667" t="str">
        <f t="shared" si="30"/>
        <v/>
      </c>
      <c r="E219" s="668">
        <f t="shared" si="31"/>
        <v>0</v>
      </c>
      <c r="F219" s="669">
        <f t="shared" si="32"/>
        <v>0</v>
      </c>
      <c r="G219" s="668">
        <f t="shared" si="33"/>
        <v>0</v>
      </c>
      <c r="H219" s="670">
        <f t="shared" si="34"/>
        <v>0</v>
      </c>
      <c r="I219" s="670">
        <f t="shared" si="35"/>
        <v>0</v>
      </c>
      <c r="J219" s="668">
        <f t="shared" si="36"/>
        <v>0</v>
      </c>
      <c r="K219" s="671">
        <f t="shared" si="37"/>
        <v>0</v>
      </c>
      <c r="L219" s="663">
        <f t="shared" si="39"/>
        <v>0</v>
      </c>
      <c r="M219" s="663" t="str">
        <f>IF(K219&gt;0,SUM($L$5:L219),"")</f>
        <v/>
      </c>
    </row>
    <row r="220" spans="1:13" hidden="1" x14ac:dyDescent="0.2">
      <c r="A220" s="677" t="b">
        <f t="shared" si="38"/>
        <v>0</v>
      </c>
      <c r="C220" s="666"/>
      <c r="D220" s="667" t="str">
        <f t="shared" si="30"/>
        <v/>
      </c>
      <c r="E220" s="668">
        <f t="shared" si="31"/>
        <v>0</v>
      </c>
      <c r="F220" s="669">
        <f t="shared" si="32"/>
        <v>0</v>
      </c>
      <c r="G220" s="668">
        <f t="shared" si="33"/>
        <v>0</v>
      </c>
      <c r="H220" s="670">
        <f t="shared" si="34"/>
        <v>0</v>
      </c>
      <c r="I220" s="670">
        <f t="shared" si="35"/>
        <v>0</v>
      </c>
      <c r="J220" s="668">
        <f t="shared" si="36"/>
        <v>0</v>
      </c>
      <c r="K220" s="671">
        <f t="shared" si="37"/>
        <v>0</v>
      </c>
      <c r="L220" s="663">
        <f t="shared" si="39"/>
        <v>0</v>
      </c>
      <c r="M220" s="663" t="str">
        <f>IF(K220&gt;0,SUM($L$5:L220),"")</f>
        <v/>
      </c>
    </row>
    <row r="221" spans="1:13" hidden="1" x14ac:dyDescent="0.2">
      <c r="A221" s="677" t="b">
        <f t="shared" si="38"/>
        <v>0</v>
      </c>
      <c r="C221" s="666"/>
      <c r="D221" s="667" t="str">
        <f t="shared" si="30"/>
        <v/>
      </c>
      <c r="E221" s="668">
        <f t="shared" si="31"/>
        <v>0</v>
      </c>
      <c r="F221" s="669">
        <f t="shared" si="32"/>
        <v>0</v>
      </c>
      <c r="G221" s="668">
        <f t="shared" si="33"/>
        <v>0</v>
      </c>
      <c r="H221" s="670">
        <f t="shared" si="34"/>
        <v>0</v>
      </c>
      <c r="I221" s="670">
        <f t="shared" si="35"/>
        <v>0</v>
      </c>
      <c r="J221" s="668">
        <f t="shared" si="36"/>
        <v>0</v>
      </c>
      <c r="K221" s="671">
        <f t="shared" si="37"/>
        <v>0</v>
      </c>
      <c r="L221" s="663">
        <f t="shared" si="39"/>
        <v>0</v>
      </c>
      <c r="M221" s="663" t="str">
        <f>IF(K221&gt;0,SUM($L$5:L221),"")</f>
        <v/>
      </c>
    </row>
    <row r="222" spans="1:13" hidden="1" x14ac:dyDescent="0.2">
      <c r="A222" s="677" t="b">
        <f t="shared" si="38"/>
        <v>0</v>
      </c>
      <c r="C222" s="666"/>
      <c r="D222" s="667" t="str">
        <f t="shared" si="30"/>
        <v/>
      </c>
      <c r="E222" s="668">
        <f t="shared" si="31"/>
        <v>0</v>
      </c>
      <c r="F222" s="669">
        <f t="shared" si="32"/>
        <v>0</v>
      </c>
      <c r="G222" s="668">
        <f t="shared" si="33"/>
        <v>0</v>
      </c>
      <c r="H222" s="670">
        <f t="shared" si="34"/>
        <v>0</v>
      </c>
      <c r="I222" s="670">
        <f t="shared" si="35"/>
        <v>0</v>
      </c>
      <c r="J222" s="668">
        <f t="shared" si="36"/>
        <v>0</v>
      </c>
      <c r="K222" s="671">
        <f t="shared" si="37"/>
        <v>0</v>
      </c>
      <c r="L222" s="663">
        <f t="shared" si="39"/>
        <v>0</v>
      </c>
      <c r="M222" s="663" t="str">
        <f>IF(K222&gt;0,SUM($L$5:L222),"")</f>
        <v/>
      </c>
    </row>
    <row r="223" spans="1:13" hidden="1" x14ac:dyDescent="0.2">
      <c r="A223" s="677" t="b">
        <f t="shared" si="38"/>
        <v>0</v>
      </c>
      <c r="C223" s="666"/>
      <c r="D223" s="667" t="str">
        <f t="shared" si="30"/>
        <v/>
      </c>
      <c r="E223" s="668">
        <f t="shared" si="31"/>
        <v>0</v>
      </c>
      <c r="F223" s="669">
        <f t="shared" si="32"/>
        <v>0</v>
      </c>
      <c r="G223" s="668">
        <f t="shared" si="33"/>
        <v>0</v>
      </c>
      <c r="H223" s="670">
        <f t="shared" si="34"/>
        <v>0</v>
      </c>
      <c r="I223" s="670">
        <f t="shared" si="35"/>
        <v>0</v>
      </c>
      <c r="J223" s="668">
        <f t="shared" si="36"/>
        <v>0</v>
      </c>
      <c r="K223" s="671">
        <f t="shared" si="37"/>
        <v>0</v>
      </c>
      <c r="L223" s="663">
        <f t="shared" si="39"/>
        <v>0</v>
      </c>
      <c r="M223" s="663" t="str">
        <f>IF(K223&gt;0,SUM($L$5:L223),"")</f>
        <v/>
      </c>
    </row>
    <row r="224" spans="1:13" hidden="1" x14ac:dyDescent="0.2">
      <c r="A224" s="677" t="b">
        <f t="shared" si="38"/>
        <v>0</v>
      </c>
      <c r="C224" s="666"/>
      <c r="D224" s="667" t="str">
        <f t="shared" si="30"/>
        <v/>
      </c>
      <c r="E224" s="668">
        <f t="shared" si="31"/>
        <v>0</v>
      </c>
      <c r="F224" s="669">
        <f t="shared" si="32"/>
        <v>0</v>
      </c>
      <c r="G224" s="668">
        <f t="shared" si="33"/>
        <v>0</v>
      </c>
      <c r="H224" s="670">
        <f t="shared" si="34"/>
        <v>0</v>
      </c>
      <c r="I224" s="670">
        <f t="shared" si="35"/>
        <v>0</v>
      </c>
      <c r="J224" s="668">
        <f t="shared" si="36"/>
        <v>0</v>
      </c>
      <c r="K224" s="671">
        <f t="shared" si="37"/>
        <v>0</v>
      </c>
      <c r="L224" s="663">
        <f t="shared" si="39"/>
        <v>0</v>
      </c>
      <c r="M224" s="663" t="str">
        <f>IF(K224&gt;0,SUM($L$5:L224),"")</f>
        <v/>
      </c>
    </row>
    <row r="225" spans="1:13" hidden="1" x14ac:dyDescent="0.2">
      <c r="A225" s="677" t="b">
        <f t="shared" si="38"/>
        <v>0</v>
      </c>
      <c r="C225" s="666"/>
      <c r="D225" s="667" t="str">
        <f t="shared" si="30"/>
        <v/>
      </c>
      <c r="E225" s="668">
        <f t="shared" si="31"/>
        <v>0</v>
      </c>
      <c r="F225" s="669">
        <f t="shared" si="32"/>
        <v>0</v>
      </c>
      <c r="G225" s="668">
        <f t="shared" si="33"/>
        <v>0</v>
      </c>
      <c r="H225" s="670">
        <f t="shared" si="34"/>
        <v>0</v>
      </c>
      <c r="I225" s="670">
        <f t="shared" si="35"/>
        <v>0</v>
      </c>
      <c r="J225" s="668">
        <f t="shared" si="36"/>
        <v>0</v>
      </c>
      <c r="K225" s="671">
        <f t="shared" si="37"/>
        <v>0</v>
      </c>
      <c r="L225" s="663">
        <f t="shared" si="39"/>
        <v>0</v>
      </c>
      <c r="M225" s="663" t="str">
        <f>IF(K225&gt;0,SUM($L$5:L225),"")</f>
        <v/>
      </c>
    </row>
    <row r="226" spans="1:13" hidden="1" x14ac:dyDescent="0.2">
      <c r="A226" s="677" t="b">
        <f t="shared" si="38"/>
        <v>0</v>
      </c>
      <c r="C226" s="666"/>
      <c r="D226" s="667" t="str">
        <f t="shared" si="30"/>
        <v/>
      </c>
      <c r="E226" s="668">
        <f t="shared" si="31"/>
        <v>0</v>
      </c>
      <c r="F226" s="669">
        <f t="shared" si="32"/>
        <v>0</v>
      </c>
      <c r="G226" s="668">
        <f t="shared" si="33"/>
        <v>0</v>
      </c>
      <c r="H226" s="670">
        <f t="shared" si="34"/>
        <v>0</v>
      </c>
      <c r="I226" s="670">
        <f t="shared" si="35"/>
        <v>0</v>
      </c>
      <c r="J226" s="668">
        <f t="shared" si="36"/>
        <v>0</v>
      </c>
      <c r="K226" s="671">
        <f t="shared" si="37"/>
        <v>0</v>
      </c>
      <c r="L226" s="663">
        <f t="shared" si="39"/>
        <v>0</v>
      </c>
      <c r="M226" s="663" t="str">
        <f>IF(K226&gt;0,SUM($L$5:L226),"")</f>
        <v/>
      </c>
    </row>
    <row r="227" spans="1:13" hidden="1" x14ac:dyDescent="0.2">
      <c r="A227" s="677" t="b">
        <f t="shared" si="38"/>
        <v>0</v>
      </c>
      <c r="C227" s="666"/>
      <c r="D227" s="667" t="str">
        <f t="shared" si="30"/>
        <v/>
      </c>
      <c r="E227" s="668">
        <f t="shared" si="31"/>
        <v>0</v>
      </c>
      <c r="F227" s="669">
        <f t="shared" si="32"/>
        <v>0</v>
      </c>
      <c r="G227" s="668">
        <f t="shared" si="33"/>
        <v>0</v>
      </c>
      <c r="H227" s="670">
        <f t="shared" si="34"/>
        <v>0</v>
      </c>
      <c r="I227" s="670">
        <f t="shared" si="35"/>
        <v>0</v>
      </c>
      <c r="J227" s="668">
        <f t="shared" si="36"/>
        <v>0</v>
      </c>
      <c r="K227" s="671">
        <f t="shared" si="37"/>
        <v>0</v>
      </c>
      <c r="L227" s="663">
        <f t="shared" si="39"/>
        <v>0</v>
      </c>
      <c r="M227" s="663" t="str">
        <f>IF(K227&gt;0,SUM($L$5:L227),"")</f>
        <v/>
      </c>
    </row>
    <row r="228" spans="1:13" hidden="1" x14ac:dyDescent="0.2">
      <c r="A228" s="677" t="b">
        <f t="shared" si="38"/>
        <v>0</v>
      </c>
      <c r="C228" s="666"/>
      <c r="D228" s="667" t="str">
        <f t="shared" si="30"/>
        <v/>
      </c>
      <c r="E228" s="668">
        <f t="shared" si="31"/>
        <v>0</v>
      </c>
      <c r="F228" s="669">
        <f t="shared" si="32"/>
        <v>0</v>
      </c>
      <c r="G228" s="668">
        <f t="shared" si="33"/>
        <v>0</v>
      </c>
      <c r="H228" s="670">
        <f t="shared" si="34"/>
        <v>0</v>
      </c>
      <c r="I228" s="670">
        <f t="shared" si="35"/>
        <v>0</v>
      </c>
      <c r="J228" s="668">
        <f t="shared" si="36"/>
        <v>0</v>
      </c>
      <c r="K228" s="671">
        <f t="shared" si="37"/>
        <v>0</v>
      </c>
      <c r="L228" s="663">
        <f t="shared" si="39"/>
        <v>0</v>
      </c>
      <c r="M228" s="663" t="str">
        <f>IF(K228&gt;0,SUM($L$5:L228),"")</f>
        <v/>
      </c>
    </row>
    <row r="229" spans="1:13" hidden="1" x14ac:dyDescent="0.2">
      <c r="A229" s="677" t="b">
        <f t="shared" si="38"/>
        <v>0</v>
      </c>
      <c r="C229" s="666"/>
      <c r="D229" s="667" t="str">
        <f t="shared" si="30"/>
        <v/>
      </c>
      <c r="E229" s="668">
        <f t="shared" si="31"/>
        <v>0</v>
      </c>
      <c r="F229" s="669">
        <f t="shared" si="32"/>
        <v>0</v>
      </c>
      <c r="G229" s="668">
        <f t="shared" si="33"/>
        <v>0</v>
      </c>
      <c r="H229" s="670">
        <f t="shared" si="34"/>
        <v>0</v>
      </c>
      <c r="I229" s="670">
        <f t="shared" si="35"/>
        <v>0</v>
      </c>
      <c r="J229" s="668">
        <f t="shared" si="36"/>
        <v>0</v>
      </c>
      <c r="K229" s="671">
        <f t="shared" si="37"/>
        <v>0</v>
      </c>
      <c r="L229" s="663">
        <f t="shared" si="39"/>
        <v>0</v>
      </c>
      <c r="M229" s="663" t="str">
        <f>IF(K229&gt;0,SUM($L$5:L229),"")</f>
        <v/>
      </c>
    </row>
    <row r="230" spans="1:13" hidden="1" x14ac:dyDescent="0.2">
      <c r="A230" s="677" t="b">
        <f t="shared" si="38"/>
        <v>0</v>
      </c>
      <c r="C230" s="666"/>
      <c r="D230" s="667" t="str">
        <f t="shared" si="30"/>
        <v/>
      </c>
      <c r="E230" s="668">
        <f t="shared" si="31"/>
        <v>0</v>
      </c>
      <c r="F230" s="669">
        <f t="shared" si="32"/>
        <v>0</v>
      </c>
      <c r="G230" s="668">
        <f t="shared" si="33"/>
        <v>0</v>
      </c>
      <c r="H230" s="670">
        <f t="shared" si="34"/>
        <v>0</v>
      </c>
      <c r="I230" s="670">
        <f t="shared" si="35"/>
        <v>0</v>
      </c>
      <c r="J230" s="668">
        <f t="shared" si="36"/>
        <v>0</v>
      </c>
      <c r="K230" s="671">
        <f t="shared" si="37"/>
        <v>0</v>
      </c>
      <c r="L230" s="663">
        <f t="shared" si="39"/>
        <v>0</v>
      </c>
      <c r="M230" s="663" t="str">
        <f>IF(K230&gt;0,SUM($L$5:L230),"")</f>
        <v/>
      </c>
    </row>
    <row r="231" spans="1:13" hidden="1" x14ac:dyDescent="0.2">
      <c r="A231" s="677" t="b">
        <f t="shared" si="38"/>
        <v>0</v>
      </c>
      <c r="C231" s="666"/>
      <c r="D231" s="667" t="str">
        <f t="shared" si="30"/>
        <v/>
      </c>
      <c r="E231" s="668">
        <f t="shared" si="31"/>
        <v>0</v>
      </c>
      <c r="F231" s="669">
        <f t="shared" si="32"/>
        <v>0</v>
      </c>
      <c r="G231" s="668">
        <f t="shared" si="33"/>
        <v>0</v>
      </c>
      <c r="H231" s="670">
        <f t="shared" si="34"/>
        <v>0</v>
      </c>
      <c r="I231" s="670">
        <f t="shared" si="35"/>
        <v>0</v>
      </c>
      <c r="J231" s="668">
        <f t="shared" si="36"/>
        <v>0</v>
      </c>
      <c r="K231" s="671">
        <f t="shared" si="37"/>
        <v>0</v>
      </c>
      <c r="L231" s="663">
        <f t="shared" si="39"/>
        <v>0</v>
      </c>
      <c r="M231" s="663" t="str">
        <f>IF(K231&gt;0,SUM($L$5:L231),"")</f>
        <v/>
      </c>
    </row>
    <row r="232" spans="1:13" hidden="1" x14ac:dyDescent="0.2">
      <c r="A232" s="677" t="b">
        <f t="shared" si="38"/>
        <v>0</v>
      </c>
      <c r="C232" s="666"/>
      <c r="D232" s="667" t="str">
        <f t="shared" si="30"/>
        <v/>
      </c>
      <c r="E232" s="668">
        <f t="shared" si="31"/>
        <v>0</v>
      </c>
      <c r="F232" s="669">
        <f t="shared" si="32"/>
        <v>0</v>
      </c>
      <c r="G232" s="668">
        <f t="shared" si="33"/>
        <v>0</v>
      </c>
      <c r="H232" s="670">
        <f t="shared" si="34"/>
        <v>0</v>
      </c>
      <c r="I232" s="670">
        <f t="shared" si="35"/>
        <v>0</v>
      </c>
      <c r="J232" s="668">
        <f t="shared" si="36"/>
        <v>0</v>
      </c>
      <c r="K232" s="671">
        <f t="shared" si="37"/>
        <v>0</v>
      </c>
      <c r="L232" s="663">
        <f t="shared" si="39"/>
        <v>0</v>
      </c>
      <c r="M232" s="663" t="str">
        <f>IF(K232&gt;0,SUM($L$5:L232),"")</f>
        <v/>
      </c>
    </row>
    <row r="233" spans="1:13" hidden="1" x14ac:dyDescent="0.2">
      <c r="A233" s="677" t="b">
        <f t="shared" si="38"/>
        <v>0</v>
      </c>
      <c r="C233" s="666"/>
      <c r="D233" s="667" t="str">
        <f t="shared" si="30"/>
        <v/>
      </c>
      <c r="E233" s="668">
        <f t="shared" si="31"/>
        <v>0</v>
      </c>
      <c r="F233" s="669">
        <f t="shared" si="32"/>
        <v>0</v>
      </c>
      <c r="G233" s="668">
        <f t="shared" si="33"/>
        <v>0</v>
      </c>
      <c r="H233" s="670">
        <f t="shared" si="34"/>
        <v>0</v>
      </c>
      <c r="I233" s="670">
        <f t="shared" si="35"/>
        <v>0</v>
      </c>
      <c r="J233" s="668">
        <f t="shared" si="36"/>
        <v>0</v>
      </c>
      <c r="K233" s="671">
        <f t="shared" si="37"/>
        <v>0</v>
      </c>
      <c r="L233" s="663">
        <f t="shared" si="39"/>
        <v>0</v>
      </c>
      <c r="M233" s="663" t="str">
        <f>IF(K233&gt;0,SUM($L$5:L233),"")</f>
        <v/>
      </c>
    </row>
    <row r="234" spans="1:13" hidden="1" x14ac:dyDescent="0.2">
      <c r="A234" s="677" t="b">
        <f t="shared" si="38"/>
        <v>0</v>
      </c>
      <c r="C234" s="666"/>
      <c r="D234" s="667" t="str">
        <f t="shared" si="30"/>
        <v/>
      </c>
      <c r="E234" s="668">
        <f t="shared" si="31"/>
        <v>0</v>
      </c>
      <c r="F234" s="669">
        <f t="shared" si="32"/>
        <v>0</v>
      </c>
      <c r="G234" s="668">
        <f t="shared" si="33"/>
        <v>0</v>
      </c>
      <c r="H234" s="670">
        <f t="shared" si="34"/>
        <v>0</v>
      </c>
      <c r="I234" s="670">
        <f t="shared" si="35"/>
        <v>0</v>
      </c>
      <c r="J234" s="668">
        <f t="shared" si="36"/>
        <v>0</v>
      </c>
      <c r="K234" s="671">
        <f t="shared" si="37"/>
        <v>0</v>
      </c>
      <c r="L234" s="663">
        <f t="shared" si="39"/>
        <v>0</v>
      </c>
      <c r="M234" s="663" t="str">
        <f>IF(K234&gt;0,SUM($L$5:L234),"")</f>
        <v/>
      </c>
    </row>
    <row r="235" spans="1:13" hidden="1" x14ac:dyDescent="0.2">
      <c r="A235" s="677" t="b">
        <f t="shared" si="38"/>
        <v>0</v>
      </c>
      <c r="C235" s="666"/>
      <c r="D235" s="667" t="str">
        <f t="shared" si="30"/>
        <v/>
      </c>
      <c r="E235" s="668">
        <f t="shared" si="31"/>
        <v>0</v>
      </c>
      <c r="F235" s="669">
        <f t="shared" si="32"/>
        <v>0</v>
      </c>
      <c r="G235" s="668">
        <f t="shared" si="33"/>
        <v>0</v>
      </c>
      <c r="H235" s="670">
        <f t="shared" si="34"/>
        <v>0</v>
      </c>
      <c r="I235" s="670">
        <f t="shared" si="35"/>
        <v>0</v>
      </c>
      <c r="J235" s="668">
        <f t="shared" si="36"/>
        <v>0</v>
      </c>
      <c r="K235" s="671">
        <f t="shared" si="37"/>
        <v>0</v>
      </c>
      <c r="L235" s="663">
        <f t="shared" si="39"/>
        <v>0</v>
      </c>
      <c r="M235" s="663" t="str">
        <f>IF(K235&gt;0,SUM($L$5:L235),"")</f>
        <v/>
      </c>
    </row>
    <row r="236" spans="1:13" hidden="1" x14ac:dyDescent="0.2">
      <c r="A236" s="677" t="b">
        <f t="shared" si="38"/>
        <v>0</v>
      </c>
      <c r="C236" s="666"/>
      <c r="D236" s="667" t="str">
        <f t="shared" si="30"/>
        <v/>
      </c>
      <c r="E236" s="668">
        <f t="shared" si="31"/>
        <v>0</v>
      </c>
      <c r="F236" s="669">
        <f t="shared" si="32"/>
        <v>0</v>
      </c>
      <c r="G236" s="668">
        <f t="shared" si="33"/>
        <v>0</v>
      </c>
      <c r="H236" s="670">
        <f t="shared" si="34"/>
        <v>0</v>
      </c>
      <c r="I236" s="670">
        <f t="shared" si="35"/>
        <v>0</v>
      </c>
      <c r="J236" s="668">
        <f t="shared" si="36"/>
        <v>0</v>
      </c>
      <c r="K236" s="671">
        <f t="shared" si="37"/>
        <v>0</v>
      </c>
      <c r="L236" s="663">
        <f t="shared" si="39"/>
        <v>0</v>
      </c>
      <c r="M236" s="663" t="str">
        <f>IF(K236&gt;0,SUM($L$5:L236),"")</f>
        <v/>
      </c>
    </row>
    <row r="237" spans="1:13" hidden="1" x14ac:dyDescent="0.2">
      <c r="A237" s="677" t="b">
        <f t="shared" si="38"/>
        <v>0</v>
      </c>
      <c r="C237" s="666"/>
      <c r="D237" s="667" t="str">
        <f t="shared" si="30"/>
        <v/>
      </c>
      <c r="E237" s="668">
        <f t="shared" si="31"/>
        <v>0</v>
      </c>
      <c r="F237" s="669">
        <f t="shared" si="32"/>
        <v>0</v>
      </c>
      <c r="G237" s="668">
        <f t="shared" si="33"/>
        <v>0</v>
      </c>
      <c r="H237" s="670">
        <f t="shared" si="34"/>
        <v>0</v>
      </c>
      <c r="I237" s="670">
        <f t="shared" si="35"/>
        <v>0</v>
      </c>
      <c r="J237" s="668">
        <f t="shared" si="36"/>
        <v>0</v>
      </c>
      <c r="K237" s="671">
        <f t="shared" si="37"/>
        <v>0</v>
      </c>
      <c r="L237" s="663">
        <f t="shared" si="39"/>
        <v>0</v>
      </c>
      <c r="M237" s="663" t="str">
        <f>IF(K237&gt;0,SUM($L$5:L237),"")</f>
        <v/>
      </c>
    </row>
    <row r="238" spans="1:13" hidden="1" x14ac:dyDescent="0.2">
      <c r="A238" s="677" t="b">
        <f t="shared" si="38"/>
        <v>0</v>
      </c>
      <c r="C238" s="666"/>
      <c r="D238" s="667" t="str">
        <f t="shared" si="30"/>
        <v/>
      </c>
      <c r="E238" s="668">
        <f t="shared" si="31"/>
        <v>0</v>
      </c>
      <c r="F238" s="669">
        <f t="shared" si="32"/>
        <v>0</v>
      </c>
      <c r="G238" s="668">
        <f t="shared" si="33"/>
        <v>0</v>
      </c>
      <c r="H238" s="670">
        <f t="shared" si="34"/>
        <v>0</v>
      </c>
      <c r="I238" s="670">
        <f t="shared" si="35"/>
        <v>0</v>
      </c>
      <c r="J238" s="668">
        <f t="shared" si="36"/>
        <v>0</v>
      </c>
      <c r="K238" s="671">
        <f t="shared" si="37"/>
        <v>0</v>
      </c>
      <c r="L238" s="663">
        <f t="shared" si="39"/>
        <v>0</v>
      </c>
      <c r="M238" s="663" t="str">
        <f>IF(K238&gt;0,SUM($L$5:L238),"")</f>
        <v/>
      </c>
    </row>
    <row r="239" spans="1:13" hidden="1" x14ac:dyDescent="0.2">
      <c r="A239" s="677" t="b">
        <f t="shared" si="38"/>
        <v>0</v>
      </c>
      <c r="C239" s="666"/>
      <c r="D239" s="667" t="str">
        <f t="shared" si="30"/>
        <v/>
      </c>
      <c r="E239" s="668">
        <f t="shared" si="31"/>
        <v>0</v>
      </c>
      <c r="F239" s="669">
        <f t="shared" si="32"/>
        <v>0</v>
      </c>
      <c r="G239" s="668">
        <f t="shared" si="33"/>
        <v>0</v>
      </c>
      <c r="H239" s="670">
        <f t="shared" si="34"/>
        <v>0</v>
      </c>
      <c r="I239" s="670">
        <f t="shared" si="35"/>
        <v>0</v>
      </c>
      <c r="J239" s="668">
        <f t="shared" si="36"/>
        <v>0</v>
      </c>
      <c r="K239" s="671">
        <f t="shared" si="37"/>
        <v>0</v>
      </c>
      <c r="L239" s="663">
        <f t="shared" si="39"/>
        <v>0</v>
      </c>
      <c r="M239" s="663" t="str">
        <f>IF(K239&gt;0,SUM($L$5:L239),"")</f>
        <v/>
      </c>
    </row>
    <row r="240" spans="1:13" hidden="1" x14ac:dyDescent="0.2">
      <c r="A240" s="677" t="b">
        <f t="shared" si="38"/>
        <v>0</v>
      </c>
      <c r="C240" s="666"/>
      <c r="D240" s="667" t="str">
        <f t="shared" si="30"/>
        <v/>
      </c>
      <c r="E240" s="668">
        <f t="shared" si="31"/>
        <v>0</v>
      </c>
      <c r="F240" s="669">
        <f t="shared" si="32"/>
        <v>0</v>
      </c>
      <c r="G240" s="668">
        <f t="shared" si="33"/>
        <v>0</v>
      </c>
      <c r="H240" s="670">
        <f t="shared" si="34"/>
        <v>0</v>
      </c>
      <c r="I240" s="670">
        <f t="shared" si="35"/>
        <v>0</v>
      </c>
      <c r="J240" s="668">
        <f t="shared" si="36"/>
        <v>0</v>
      </c>
      <c r="K240" s="671">
        <f t="shared" si="37"/>
        <v>0</v>
      </c>
      <c r="L240" s="663">
        <f t="shared" si="39"/>
        <v>0</v>
      </c>
      <c r="M240" s="663" t="str">
        <f>IF(K240&gt;0,SUM($L$5:L240),"")</f>
        <v/>
      </c>
    </row>
    <row r="241" spans="1:13" hidden="1" x14ac:dyDescent="0.2">
      <c r="A241" s="677" t="b">
        <f t="shared" si="38"/>
        <v>0</v>
      </c>
      <c r="C241" s="666"/>
      <c r="D241" s="667" t="str">
        <f t="shared" si="30"/>
        <v/>
      </c>
      <c r="E241" s="668">
        <f t="shared" si="31"/>
        <v>0</v>
      </c>
      <c r="F241" s="669">
        <f t="shared" si="32"/>
        <v>0</v>
      </c>
      <c r="G241" s="668">
        <f t="shared" si="33"/>
        <v>0</v>
      </c>
      <c r="H241" s="670">
        <f t="shared" si="34"/>
        <v>0</v>
      </c>
      <c r="I241" s="670">
        <f t="shared" si="35"/>
        <v>0</v>
      </c>
      <c r="J241" s="668">
        <f t="shared" si="36"/>
        <v>0</v>
      </c>
      <c r="K241" s="671">
        <f t="shared" si="37"/>
        <v>0</v>
      </c>
      <c r="L241" s="663">
        <f t="shared" si="39"/>
        <v>0</v>
      </c>
      <c r="M241" s="663" t="str">
        <f>IF(K241&gt;0,SUM($L$5:L241),"")</f>
        <v/>
      </c>
    </row>
    <row r="242" spans="1:13" hidden="1" x14ac:dyDescent="0.2">
      <c r="A242" s="677" t="b">
        <f t="shared" si="38"/>
        <v>0</v>
      </c>
      <c r="C242" s="666"/>
      <c r="D242" s="667" t="str">
        <f t="shared" si="30"/>
        <v/>
      </c>
      <c r="E242" s="668">
        <f t="shared" si="31"/>
        <v>0</v>
      </c>
      <c r="F242" s="669">
        <f t="shared" si="32"/>
        <v>0</v>
      </c>
      <c r="G242" s="668">
        <f t="shared" si="33"/>
        <v>0</v>
      </c>
      <c r="H242" s="670">
        <f t="shared" si="34"/>
        <v>0</v>
      </c>
      <c r="I242" s="670">
        <f t="shared" si="35"/>
        <v>0</v>
      </c>
      <c r="J242" s="668">
        <f t="shared" si="36"/>
        <v>0</v>
      </c>
      <c r="K242" s="671">
        <f t="shared" si="37"/>
        <v>0</v>
      </c>
      <c r="L242" s="663">
        <f t="shared" si="39"/>
        <v>0</v>
      </c>
      <c r="M242" s="663" t="str">
        <f>IF(K242&gt;0,SUM($L$5:L242),"")</f>
        <v/>
      </c>
    </row>
    <row r="243" spans="1:13" hidden="1" x14ac:dyDescent="0.2">
      <c r="A243" s="677" t="b">
        <f t="shared" si="38"/>
        <v>0</v>
      </c>
      <c r="C243" s="666"/>
      <c r="D243" s="667" t="str">
        <f t="shared" si="30"/>
        <v/>
      </c>
      <c r="E243" s="668">
        <f t="shared" si="31"/>
        <v>0</v>
      </c>
      <c r="F243" s="669">
        <f t="shared" si="32"/>
        <v>0</v>
      </c>
      <c r="G243" s="668">
        <f t="shared" si="33"/>
        <v>0</v>
      </c>
      <c r="H243" s="670">
        <f t="shared" si="34"/>
        <v>0</v>
      </c>
      <c r="I243" s="670">
        <f t="shared" si="35"/>
        <v>0</v>
      </c>
      <c r="J243" s="668">
        <f t="shared" si="36"/>
        <v>0</v>
      </c>
      <c r="K243" s="671">
        <f t="shared" si="37"/>
        <v>0</v>
      </c>
      <c r="L243" s="663">
        <f t="shared" si="39"/>
        <v>0</v>
      </c>
      <c r="M243" s="663" t="str">
        <f>IF(K243&gt;0,SUM($L$5:L243),"")</f>
        <v/>
      </c>
    </row>
    <row r="244" spans="1:13" hidden="1" x14ac:dyDescent="0.2">
      <c r="A244" s="677" t="b">
        <f t="shared" si="38"/>
        <v>0</v>
      </c>
      <c r="C244" s="666"/>
      <c r="D244" s="667" t="str">
        <f t="shared" si="30"/>
        <v/>
      </c>
      <c r="E244" s="668">
        <f t="shared" si="31"/>
        <v>0</v>
      </c>
      <c r="F244" s="669">
        <f t="shared" si="32"/>
        <v>0</v>
      </c>
      <c r="G244" s="668">
        <f t="shared" si="33"/>
        <v>0</v>
      </c>
      <c r="H244" s="670">
        <f t="shared" si="34"/>
        <v>0</v>
      </c>
      <c r="I244" s="670">
        <f t="shared" si="35"/>
        <v>0</v>
      </c>
      <c r="J244" s="668">
        <f t="shared" si="36"/>
        <v>0</v>
      </c>
      <c r="K244" s="671">
        <f t="shared" si="37"/>
        <v>0</v>
      </c>
      <c r="L244" s="663">
        <f t="shared" si="39"/>
        <v>0</v>
      </c>
      <c r="M244" s="663" t="str">
        <f>IF(K244&gt;0,SUM($L$5:L244),"")</f>
        <v/>
      </c>
    </row>
    <row r="245" spans="1:13" hidden="1" x14ac:dyDescent="0.2">
      <c r="A245" s="677" t="b">
        <f t="shared" si="38"/>
        <v>0</v>
      </c>
      <c r="C245" s="666"/>
      <c r="D245" s="667" t="str">
        <f t="shared" si="30"/>
        <v/>
      </c>
      <c r="E245" s="668">
        <f t="shared" si="31"/>
        <v>0</v>
      </c>
      <c r="F245" s="669">
        <f t="shared" si="32"/>
        <v>0</v>
      </c>
      <c r="G245" s="668">
        <f t="shared" si="33"/>
        <v>0</v>
      </c>
      <c r="H245" s="670">
        <f t="shared" si="34"/>
        <v>0</v>
      </c>
      <c r="I245" s="670">
        <f t="shared" si="35"/>
        <v>0</v>
      </c>
      <c r="J245" s="668">
        <f t="shared" si="36"/>
        <v>0</v>
      </c>
      <c r="K245" s="671">
        <f t="shared" si="37"/>
        <v>0</v>
      </c>
      <c r="L245" s="663">
        <f t="shared" si="39"/>
        <v>0</v>
      </c>
      <c r="M245" s="663" t="str">
        <f>IF(K245&gt;0,SUM($L$5:L245),"")</f>
        <v/>
      </c>
    </row>
    <row r="246" spans="1:13" hidden="1" x14ac:dyDescent="0.2">
      <c r="A246" s="677" t="b">
        <f t="shared" si="38"/>
        <v>0</v>
      </c>
      <c r="C246" s="666"/>
      <c r="D246" s="667" t="str">
        <f t="shared" si="30"/>
        <v/>
      </c>
      <c r="E246" s="668">
        <f t="shared" si="31"/>
        <v>0</v>
      </c>
      <c r="F246" s="669">
        <f t="shared" si="32"/>
        <v>0</v>
      </c>
      <c r="G246" s="668">
        <f t="shared" si="33"/>
        <v>0</v>
      </c>
      <c r="H246" s="670">
        <f t="shared" si="34"/>
        <v>0</v>
      </c>
      <c r="I246" s="670">
        <f t="shared" si="35"/>
        <v>0</v>
      </c>
      <c r="J246" s="668">
        <f t="shared" si="36"/>
        <v>0</v>
      </c>
      <c r="K246" s="671">
        <f t="shared" si="37"/>
        <v>0</v>
      </c>
      <c r="L246" s="663">
        <f t="shared" si="39"/>
        <v>0</v>
      </c>
      <c r="M246" s="663" t="str">
        <f>IF(K246&gt;0,SUM($L$5:L246),"")</f>
        <v/>
      </c>
    </row>
    <row r="247" spans="1:13" hidden="1" x14ac:dyDescent="0.2">
      <c r="A247" s="677" t="b">
        <f t="shared" si="38"/>
        <v>0</v>
      </c>
      <c r="C247" s="666"/>
      <c r="D247" s="667" t="str">
        <f t="shared" si="30"/>
        <v/>
      </c>
      <c r="E247" s="668">
        <f t="shared" si="31"/>
        <v>0</v>
      </c>
      <c r="F247" s="669">
        <f t="shared" si="32"/>
        <v>0</v>
      </c>
      <c r="G247" s="668">
        <f t="shared" si="33"/>
        <v>0</v>
      </c>
      <c r="H247" s="670">
        <f t="shared" si="34"/>
        <v>0</v>
      </c>
      <c r="I247" s="670">
        <f t="shared" si="35"/>
        <v>0</v>
      </c>
      <c r="J247" s="668">
        <f t="shared" si="36"/>
        <v>0</v>
      </c>
      <c r="K247" s="671">
        <f t="shared" si="37"/>
        <v>0</v>
      </c>
      <c r="L247" s="663">
        <f t="shared" si="39"/>
        <v>0</v>
      </c>
      <c r="M247" s="663" t="str">
        <f>IF(K247&gt;0,SUM($L$5:L247),"")</f>
        <v/>
      </c>
    </row>
    <row r="248" spans="1:13" hidden="1" x14ac:dyDescent="0.2">
      <c r="A248" s="677" t="b">
        <f t="shared" si="38"/>
        <v>0</v>
      </c>
      <c r="C248" s="666"/>
      <c r="D248" s="667" t="str">
        <f t="shared" si="30"/>
        <v/>
      </c>
      <c r="E248" s="668">
        <f t="shared" si="31"/>
        <v>0</v>
      </c>
      <c r="F248" s="669">
        <f t="shared" si="32"/>
        <v>0</v>
      </c>
      <c r="G248" s="668">
        <f t="shared" si="33"/>
        <v>0</v>
      </c>
      <c r="H248" s="670">
        <f t="shared" si="34"/>
        <v>0</v>
      </c>
      <c r="I248" s="670">
        <f t="shared" si="35"/>
        <v>0</v>
      </c>
      <c r="J248" s="668">
        <f t="shared" si="36"/>
        <v>0</v>
      </c>
      <c r="K248" s="671">
        <f t="shared" si="37"/>
        <v>0</v>
      </c>
      <c r="L248" s="663">
        <f t="shared" si="39"/>
        <v>0</v>
      </c>
      <c r="M248" s="663" t="str">
        <f>IF(K248&gt;0,SUM($L$5:L248),"")</f>
        <v/>
      </c>
    </row>
    <row r="249" spans="1:13" hidden="1" x14ac:dyDescent="0.2">
      <c r="A249" s="677" t="b">
        <f t="shared" si="38"/>
        <v>0</v>
      </c>
      <c r="C249" s="666"/>
      <c r="D249" s="667" t="str">
        <f t="shared" si="30"/>
        <v/>
      </c>
      <c r="E249" s="668">
        <f t="shared" si="31"/>
        <v>0</v>
      </c>
      <c r="F249" s="669">
        <f t="shared" si="32"/>
        <v>0</v>
      </c>
      <c r="G249" s="668">
        <f t="shared" si="33"/>
        <v>0</v>
      </c>
      <c r="H249" s="670">
        <f t="shared" si="34"/>
        <v>0</v>
      </c>
      <c r="I249" s="670">
        <f t="shared" si="35"/>
        <v>0</v>
      </c>
      <c r="J249" s="668">
        <f t="shared" si="36"/>
        <v>0</v>
      </c>
      <c r="K249" s="671">
        <f t="shared" si="37"/>
        <v>0</v>
      </c>
      <c r="L249" s="663">
        <f t="shared" si="39"/>
        <v>0</v>
      </c>
      <c r="M249" s="663" t="str">
        <f>IF(K249&gt;0,SUM($L$5:L249),"")</f>
        <v/>
      </c>
    </row>
    <row r="250" spans="1:13" hidden="1" x14ac:dyDescent="0.2">
      <c r="A250" s="677" t="b">
        <f t="shared" si="38"/>
        <v>0</v>
      </c>
      <c r="C250" s="666"/>
      <c r="D250" s="667" t="str">
        <f t="shared" si="30"/>
        <v/>
      </c>
      <c r="E250" s="668">
        <f t="shared" si="31"/>
        <v>0</v>
      </c>
      <c r="F250" s="669">
        <f t="shared" si="32"/>
        <v>0</v>
      </c>
      <c r="G250" s="668">
        <f t="shared" si="33"/>
        <v>0</v>
      </c>
      <c r="H250" s="670">
        <f t="shared" si="34"/>
        <v>0</v>
      </c>
      <c r="I250" s="670">
        <f t="shared" si="35"/>
        <v>0</v>
      </c>
      <c r="J250" s="668">
        <f t="shared" si="36"/>
        <v>0</v>
      </c>
      <c r="K250" s="671">
        <f t="shared" si="37"/>
        <v>0</v>
      </c>
      <c r="L250" s="663">
        <f t="shared" si="39"/>
        <v>0</v>
      </c>
      <c r="M250" s="663" t="str">
        <f>IF(K250&gt;0,SUM($L$5:L250),"")</f>
        <v/>
      </c>
    </row>
    <row r="251" spans="1:13" hidden="1" x14ac:dyDescent="0.2">
      <c r="A251" s="677" t="b">
        <f t="shared" si="38"/>
        <v>0</v>
      </c>
      <c r="C251" s="666"/>
      <c r="D251" s="667" t="str">
        <f t="shared" si="30"/>
        <v/>
      </c>
      <c r="E251" s="668">
        <f t="shared" si="31"/>
        <v>0</v>
      </c>
      <c r="F251" s="669">
        <f t="shared" si="32"/>
        <v>0</v>
      </c>
      <c r="G251" s="668">
        <f t="shared" si="33"/>
        <v>0</v>
      </c>
      <c r="H251" s="670">
        <f t="shared" si="34"/>
        <v>0</v>
      </c>
      <c r="I251" s="670">
        <f t="shared" si="35"/>
        <v>0</v>
      </c>
      <c r="J251" s="668">
        <f t="shared" si="36"/>
        <v>0</v>
      </c>
      <c r="K251" s="671">
        <f t="shared" si="37"/>
        <v>0</v>
      </c>
      <c r="L251" s="663">
        <f t="shared" si="39"/>
        <v>0</v>
      </c>
      <c r="M251" s="663" t="str">
        <f>IF(K251&gt;0,SUM($L$5:L251),"")</f>
        <v/>
      </c>
    </row>
    <row r="252" spans="1:13" hidden="1" x14ac:dyDescent="0.2">
      <c r="A252" s="677" t="b">
        <f t="shared" si="38"/>
        <v>0</v>
      </c>
      <c r="C252" s="666"/>
      <c r="D252" s="667" t="str">
        <f t="shared" si="30"/>
        <v/>
      </c>
      <c r="E252" s="668">
        <f t="shared" si="31"/>
        <v>0</v>
      </c>
      <c r="F252" s="669">
        <f t="shared" si="32"/>
        <v>0</v>
      </c>
      <c r="G252" s="668">
        <f t="shared" si="33"/>
        <v>0</v>
      </c>
      <c r="H252" s="670">
        <f t="shared" si="34"/>
        <v>0</v>
      </c>
      <c r="I252" s="670">
        <f t="shared" si="35"/>
        <v>0</v>
      </c>
      <c r="J252" s="668">
        <f t="shared" si="36"/>
        <v>0</v>
      </c>
      <c r="K252" s="671">
        <f t="shared" si="37"/>
        <v>0</v>
      </c>
      <c r="L252" s="663">
        <f t="shared" si="39"/>
        <v>0</v>
      </c>
      <c r="M252" s="663" t="str">
        <f>IF(K252&gt;0,SUM($L$5:L252),"")</f>
        <v/>
      </c>
    </row>
    <row r="253" spans="1:13" hidden="1" x14ac:dyDescent="0.2">
      <c r="A253" s="677" t="b">
        <f t="shared" si="38"/>
        <v>0</v>
      </c>
      <c r="C253" s="666"/>
      <c r="D253" s="667" t="str">
        <f t="shared" si="30"/>
        <v/>
      </c>
      <c r="E253" s="668">
        <f t="shared" si="31"/>
        <v>0</v>
      </c>
      <c r="F253" s="669">
        <f t="shared" si="32"/>
        <v>0</v>
      </c>
      <c r="G253" s="668">
        <f t="shared" si="33"/>
        <v>0</v>
      </c>
      <c r="H253" s="670">
        <f t="shared" si="34"/>
        <v>0</v>
      </c>
      <c r="I253" s="670">
        <f t="shared" si="35"/>
        <v>0</v>
      </c>
      <c r="J253" s="668">
        <f t="shared" si="36"/>
        <v>0</v>
      </c>
      <c r="K253" s="671">
        <f t="shared" si="37"/>
        <v>0</v>
      </c>
      <c r="L253" s="663">
        <f t="shared" si="39"/>
        <v>0</v>
      </c>
      <c r="M253" s="663" t="str">
        <f>IF(K253&gt;0,SUM($L$5:L253),"")</f>
        <v/>
      </c>
    </row>
    <row r="254" spans="1:13" hidden="1" x14ac:dyDescent="0.2">
      <c r="A254" s="677" t="b">
        <f t="shared" si="38"/>
        <v>0</v>
      </c>
      <c r="C254" s="666"/>
      <c r="D254" s="667" t="str">
        <f t="shared" si="30"/>
        <v/>
      </c>
      <c r="E254" s="668">
        <f t="shared" si="31"/>
        <v>0</v>
      </c>
      <c r="F254" s="669">
        <f t="shared" si="32"/>
        <v>0</v>
      </c>
      <c r="G254" s="668">
        <f t="shared" si="33"/>
        <v>0</v>
      </c>
      <c r="H254" s="670">
        <f t="shared" si="34"/>
        <v>0</v>
      </c>
      <c r="I254" s="670">
        <f t="shared" si="35"/>
        <v>0</v>
      </c>
      <c r="J254" s="668">
        <f t="shared" si="36"/>
        <v>0</v>
      </c>
      <c r="K254" s="671">
        <f t="shared" si="37"/>
        <v>0</v>
      </c>
      <c r="L254" s="663">
        <f t="shared" si="39"/>
        <v>0</v>
      </c>
      <c r="M254" s="663" t="str">
        <f>IF(K254&gt;0,SUM($L$5:L254),"")</f>
        <v/>
      </c>
    </row>
    <row r="255" spans="1:13" hidden="1" x14ac:dyDescent="0.2">
      <c r="A255" s="677" t="b">
        <f t="shared" si="38"/>
        <v>0</v>
      </c>
      <c r="C255" s="666"/>
      <c r="D255" s="667" t="str">
        <f t="shared" si="30"/>
        <v/>
      </c>
      <c r="E255" s="668">
        <f t="shared" si="31"/>
        <v>0</v>
      </c>
      <c r="F255" s="669">
        <f t="shared" si="32"/>
        <v>0</v>
      </c>
      <c r="G255" s="668">
        <f t="shared" si="33"/>
        <v>0</v>
      </c>
      <c r="H255" s="670">
        <f t="shared" si="34"/>
        <v>0</v>
      </c>
      <c r="I255" s="670">
        <f t="shared" si="35"/>
        <v>0</v>
      </c>
      <c r="J255" s="668">
        <f t="shared" si="36"/>
        <v>0</v>
      </c>
      <c r="K255" s="671">
        <f t="shared" si="37"/>
        <v>0</v>
      </c>
      <c r="L255" s="663">
        <f t="shared" si="39"/>
        <v>0</v>
      </c>
      <c r="M255" s="663" t="str">
        <f>IF(K255&gt;0,SUM($L$5:L255),"")</f>
        <v/>
      </c>
    </row>
    <row r="256" spans="1:13" hidden="1" x14ac:dyDescent="0.2">
      <c r="A256" s="677" t="b">
        <f t="shared" si="38"/>
        <v>0</v>
      </c>
      <c r="C256" s="666"/>
      <c r="D256" s="667" t="str">
        <f t="shared" si="30"/>
        <v/>
      </c>
      <c r="E256" s="668">
        <f t="shared" si="31"/>
        <v>0</v>
      </c>
      <c r="F256" s="669">
        <f t="shared" si="32"/>
        <v>0</v>
      </c>
      <c r="G256" s="668">
        <f t="shared" si="33"/>
        <v>0</v>
      </c>
      <c r="H256" s="670">
        <f t="shared" si="34"/>
        <v>0</v>
      </c>
      <c r="I256" s="670">
        <f t="shared" si="35"/>
        <v>0</v>
      </c>
      <c r="J256" s="668">
        <f t="shared" si="36"/>
        <v>0</v>
      </c>
      <c r="K256" s="671">
        <f t="shared" si="37"/>
        <v>0</v>
      </c>
      <c r="L256" s="663">
        <f t="shared" si="39"/>
        <v>0</v>
      </c>
      <c r="M256" s="663" t="str">
        <f>IF(K256&gt;0,SUM($L$5:L256),"")</f>
        <v/>
      </c>
    </row>
    <row r="257" spans="1:13" hidden="1" x14ac:dyDescent="0.2">
      <c r="A257" s="677" t="b">
        <f t="shared" si="38"/>
        <v>0</v>
      </c>
      <c r="C257" s="666"/>
      <c r="D257" s="667" t="str">
        <f t="shared" si="30"/>
        <v/>
      </c>
      <c r="E257" s="668">
        <f t="shared" si="31"/>
        <v>0</v>
      </c>
      <c r="F257" s="669">
        <f t="shared" si="32"/>
        <v>0</v>
      </c>
      <c r="G257" s="668">
        <f t="shared" si="33"/>
        <v>0</v>
      </c>
      <c r="H257" s="670">
        <f t="shared" si="34"/>
        <v>0</v>
      </c>
      <c r="I257" s="670">
        <f t="shared" si="35"/>
        <v>0</v>
      </c>
      <c r="J257" s="668">
        <f t="shared" si="36"/>
        <v>0</v>
      </c>
      <c r="K257" s="671">
        <f t="shared" si="37"/>
        <v>0</v>
      </c>
      <c r="L257" s="663">
        <f t="shared" si="39"/>
        <v>0</v>
      </c>
      <c r="M257" s="663" t="str">
        <f>IF(K257&gt;0,SUM($L$5:L257),"")</f>
        <v/>
      </c>
    </row>
    <row r="258" spans="1:13" hidden="1" x14ac:dyDescent="0.2">
      <c r="A258" s="677" t="b">
        <f t="shared" si="38"/>
        <v>0</v>
      </c>
      <c r="C258" s="666"/>
      <c r="D258" s="667" t="str">
        <f t="shared" si="30"/>
        <v/>
      </c>
      <c r="E258" s="668">
        <f t="shared" si="31"/>
        <v>0</v>
      </c>
      <c r="F258" s="669">
        <f t="shared" si="32"/>
        <v>0</v>
      </c>
      <c r="G258" s="668">
        <f t="shared" si="33"/>
        <v>0</v>
      </c>
      <c r="H258" s="670">
        <f t="shared" si="34"/>
        <v>0</v>
      </c>
      <c r="I258" s="670">
        <f t="shared" si="35"/>
        <v>0</v>
      </c>
      <c r="J258" s="668">
        <f t="shared" si="36"/>
        <v>0</v>
      </c>
      <c r="K258" s="671">
        <f t="shared" si="37"/>
        <v>0</v>
      </c>
      <c r="L258" s="663">
        <f t="shared" si="39"/>
        <v>0</v>
      </c>
      <c r="M258" s="663" t="str">
        <f>IF(K258&gt;0,SUM($L$5:L258),"")</f>
        <v/>
      </c>
    </row>
    <row r="259" spans="1:13" hidden="1" x14ac:dyDescent="0.2">
      <c r="A259" s="677" t="b">
        <f t="shared" si="38"/>
        <v>0</v>
      </c>
      <c r="C259" s="666"/>
      <c r="D259" s="667" t="str">
        <f t="shared" si="30"/>
        <v/>
      </c>
      <c r="E259" s="668">
        <f t="shared" si="31"/>
        <v>0</v>
      </c>
      <c r="F259" s="669">
        <f t="shared" si="32"/>
        <v>0</v>
      </c>
      <c r="G259" s="668">
        <f t="shared" si="33"/>
        <v>0</v>
      </c>
      <c r="H259" s="670">
        <f t="shared" si="34"/>
        <v>0</v>
      </c>
      <c r="I259" s="670">
        <f t="shared" si="35"/>
        <v>0</v>
      </c>
      <c r="J259" s="668">
        <f t="shared" si="36"/>
        <v>0</v>
      </c>
      <c r="K259" s="671">
        <f t="shared" si="37"/>
        <v>0</v>
      </c>
      <c r="L259" s="663">
        <f t="shared" si="39"/>
        <v>0</v>
      </c>
      <c r="M259" s="663" t="str">
        <f>IF(K259&gt;0,SUM($L$5:L259),"")</f>
        <v/>
      </c>
    </row>
    <row r="260" spans="1:13" hidden="1" x14ac:dyDescent="0.2">
      <c r="A260" s="677" t="b">
        <f t="shared" si="38"/>
        <v>0</v>
      </c>
      <c r="C260" s="666"/>
      <c r="D260" s="667" t="str">
        <f t="shared" si="30"/>
        <v/>
      </c>
      <c r="E260" s="668">
        <f t="shared" si="31"/>
        <v>0</v>
      </c>
      <c r="F260" s="669">
        <f t="shared" si="32"/>
        <v>0</v>
      </c>
      <c r="G260" s="668">
        <f t="shared" si="33"/>
        <v>0</v>
      </c>
      <c r="H260" s="670">
        <f t="shared" si="34"/>
        <v>0</v>
      </c>
      <c r="I260" s="670">
        <f t="shared" si="35"/>
        <v>0</v>
      </c>
      <c r="J260" s="668">
        <f t="shared" si="36"/>
        <v>0</v>
      </c>
      <c r="K260" s="671">
        <f t="shared" si="37"/>
        <v>0</v>
      </c>
      <c r="L260" s="663">
        <f t="shared" si="39"/>
        <v>0</v>
      </c>
      <c r="M260" s="663" t="str">
        <f>IF(K260&gt;0,SUM($L$5:L260),"")</f>
        <v/>
      </c>
    </row>
    <row r="261" spans="1:13" hidden="1" x14ac:dyDescent="0.2">
      <c r="A261" s="677" t="b">
        <f t="shared" si="38"/>
        <v>0</v>
      </c>
      <c r="C261" s="666"/>
      <c r="D261" s="667" t="str">
        <f t="shared" ref="D261:D305" si="40">IF(C261&lt;&gt;"",IF(ISERROR(VLOOKUP(C261,tbl_servicos,1,FALSE)),"MAT","SERV"),"")</f>
        <v/>
      </c>
      <c r="E261" s="668">
        <f t="shared" ref="E261:E305" si="41">IFERROR(G261/F261,0)</f>
        <v>0</v>
      </c>
      <c r="F261" s="669">
        <f t="shared" ref="F261:F305" si="42">SUMIF(col_item,$C261,col_qtd)</f>
        <v>0</v>
      </c>
      <c r="G261" s="668">
        <f t="shared" ref="G261:G305" si="43">SUMIF(col_item,$C261,col_custoTotal)+SUMIF(col_item,$C261,col_fatdir_liquido_com_mn)</f>
        <v>0</v>
      </c>
      <c r="H261" s="670">
        <f t="shared" ref="H261:H305" si="44">IFERROR(1-G261/J261,0)</f>
        <v>0</v>
      </c>
      <c r="I261" s="670">
        <f t="shared" ref="I261:I305" si="45">IFERROR(1-J261/K261,0)</f>
        <v>0</v>
      </c>
      <c r="J261" s="668">
        <f t="shared" ref="J261:J305" si="46">SUMIF(col_item,$C261,col_liquidototal)+SUMIF(col_item,$C261,col_fatdir_liquido_com_mn)</f>
        <v>0</v>
      </c>
      <c r="K261" s="671">
        <f t="shared" ref="K261:K305" si="47">SUMIF(col_item,$C261,col_brutototal)+SUMIF(col_item,$C261,col_fatdir_bruto_com_mn)</f>
        <v>0</v>
      </c>
      <c r="L261" s="663">
        <f t="shared" si="39"/>
        <v>0</v>
      </c>
      <c r="M261" s="663" t="str">
        <f>IF(K261&gt;0,SUM($L$5:L261),"")</f>
        <v/>
      </c>
    </row>
    <row r="262" spans="1:13" hidden="1" x14ac:dyDescent="0.2">
      <c r="A262" s="677" t="b">
        <f t="shared" ref="A262:A305" si="48">IF(M262&lt;$L$2,TRUE,FALSE)</f>
        <v>0</v>
      </c>
      <c r="C262" s="666"/>
      <c r="D262" s="667" t="str">
        <f t="shared" si="40"/>
        <v/>
      </c>
      <c r="E262" s="668">
        <f t="shared" si="41"/>
        <v>0</v>
      </c>
      <c r="F262" s="669">
        <f t="shared" si="42"/>
        <v>0</v>
      </c>
      <c r="G262" s="668">
        <f t="shared" si="43"/>
        <v>0</v>
      </c>
      <c r="H262" s="670">
        <f t="shared" si="44"/>
        <v>0</v>
      </c>
      <c r="I262" s="670">
        <f t="shared" si="45"/>
        <v>0</v>
      </c>
      <c r="J262" s="668">
        <f t="shared" si="46"/>
        <v>0</v>
      </c>
      <c r="K262" s="671">
        <f t="shared" si="47"/>
        <v>0</v>
      </c>
      <c r="L262" s="663">
        <f t="shared" ref="L262:L305" si="49">IFERROR(K262/$K$3,0)</f>
        <v>0</v>
      </c>
      <c r="M262" s="663" t="str">
        <f>IF(K262&gt;0,SUM($L$5:L262),"")</f>
        <v/>
      </c>
    </row>
    <row r="263" spans="1:13" hidden="1" x14ac:dyDescent="0.2">
      <c r="A263" s="677" t="b">
        <f t="shared" si="48"/>
        <v>0</v>
      </c>
      <c r="C263" s="666"/>
      <c r="D263" s="667" t="str">
        <f t="shared" si="40"/>
        <v/>
      </c>
      <c r="E263" s="668">
        <f t="shared" si="41"/>
        <v>0</v>
      </c>
      <c r="F263" s="669">
        <f t="shared" si="42"/>
        <v>0</v>
      </c>
      <c r="G263" s="668">
        <f t="shared" si="43"/>
        <v>0</v>
      </c>
      <c r="H263" s="670">
        <f t="shared" si="44"/>
        <v>0</v>
      </c>
      <c r="I263" s="670">
        <f t="shared" si="45"/>
        <v>0</v>
      </c>
      <c r="J263" s="668">
        <f t="shared" si="46"/>
        <v>0</v>
      </c>
      <c r="K263" s="671">
        <f t="shared" si="47"/>
        <v>0</v>
      </c>
      <c r="L263" s="663">
        <f t="shared" si="49"/>
        <v>0</v>
      </c>
      <c r="M263" s="663" t="str">
        <f>IF(K263&gt;0,SUM($L$5:L263),"")</f>
        <v/>
      </c>
    </row>
    <row r="264" spans="1:13" hidden="1" x14ac:dyDescent="0.2">
      <c r="A264" s="677" t="b">
        <f t="shared" si="48"/>
        <v>0</v>
      </c>
      <c r="C264" s="666"/>
      <c r="D264" s="667" t="str">
        <f t="shared" si="40"/>
        <v/>
      </c>
      <c r="E264" s="668">
        <f t="shared" si="41"/>
        <v>0</v>
      </c>
      <c r="F264" s="669">
        <f t="shared" si="42"/>
        <v>0</v>
      </c>
      <c r="G264" s="668">
        <f t="shared" si="43"/>
        <v>0</v>
      </c>
      <c r="H264" s="670">
        <f t="shared" si="44"/>
        <v>0</v>
      </c>
      <c r="I264" s="670">
        <f t="shared" si="45"/>
        <v>0</v>
      </c>
      <c r="J264" s="668">
        <f t="shared" si="46"/>
        <v>0</v>
      </c>
      <c r="K264" s="671">
        <f t="shared" si="47"/>
        <v>0</v>
      </c>
      <c r="L264" s="663">
        <f t="shared" si="49"/>
        <v>0</v>
      </c>
      <c r="M264" s="663" t="str">
        <f>IF(K264&gt;0,SUM($L$5:L264),"")</f>
        <v/>
      </c>
    </row>
    <row r="265" spans="1:13" hidden="1" x14ac:dyDescent="0.2">
      <c r="A265" s="677" t="b">
        <f t="shared" si="48"/>
        <v>0</v>
      </c>
      <c r="C265" s="666"/>
      <c r="D265" s="667" t="str">
        <f t="shared" si="40"/>
        <v/>
      </c>
      <c r="E265" s="668">
        <f t="shared" si="41"/>
        <v>0</v>
      </c>
      <c r="F265" s="669">
        <f t="shared" si="42"/>
        <v>0</v>
      </c>
      <c r="G265" s="668">
        <f t="shared" si="43"/>
        <v>0</v>
      </c>
      <c r="H265" s="670">
        <f t="shared" si="44"/>
        <v>0</v>
      </c>
      <c r="I265" s="670">
        <f t="shared" si="45"/>
        <v>0</v>
      </c>
      <c r="J265" s="668">
        <f t="shared" si="46"/>
        <v>0</v>
      </c>
      <c r="K265" s="671">
        <f t="shared" si="47"/>
        <v>0</v>
      </c>
      <c r="L265" s="663">
        <f t="shared" si="49"/>
        <v>0</v>
      </c>
      <c r="M265" s="663" t="str">
        <f>IF(K265&gt;0,SUM($L$5:L265),"")</f>
        <v/>
      </c>
    </row>
    <row r="266" spans="1:13" hidden="1" x14ac:dyDescent="0.2">
      <c r="A266" s="677" t="b">
        <f t="shared" si="48"/>
        <v>0</v>
      </c>
      <c r="C266" s="666"/>
      <c r="D266" s="667" t="str">
        <f t="shared" si="40"/>
        <v/>
      </c>
      <c r="E266" s="668">
        <f t="shared" si="41"/>
        <v>0</v>
      </c>
      <c r="F266" s="669">
        <f t="shared" si="42"/>
        <v>0</v>
      </c>
      <c r="G266" s="668">
        <f t="shared" si="43"/>
        <v>0</v>
      </c>
      <c r="H266" s="670">
        <f t="shared" si="44"/>
        <v>0</v>
      </c>
      <c r="I266" s="670">
        <f t="shared" si="45"/>
        <v>0</v>
      </c>
      <c r="J266" s="668">
        <f t="shared" si="46"/>
        <v>0</v>
      </c>
      <c r="K266" s="671">
        <f t="shared" si="47"/>
        <v>0</v>
      </c>
      <c r="L266" s="663">
        <f t="shared" si="49"/>
        <v>0</v>
      </c>
      <c r="M266" s="663" t="str">
        <f>IF(K266&gt;0,SUM($L$5:L266),"")</f>
        <v/>
      </c>
    </row>
    <row r="267" spans="1:13" hidden="1" x14ac:dyDescent="0.2">
      <c r="A267" s="677" t="b">
        <f t="shared" si="48"/>
        <v>0</v>
      </c>
      <c r="C267" s="666"/>
      <c r="D267" s="667" t="str">
        <f t="shared" si="40"/>
        <v/>
      </c>
      <c r="E267" s="668">
        <f t="shared" si="41"/>
        <v>0</v>
      </c>
      <c r="F267" s="669">
        <f t="shared" si="42"/>
        <v>0</v>
      </c>
      <c r="G267" s="668">
        <f t="shared" si="43"/>
        <v>0</v>
      </c>
      <c r="H267" s="670">
        <f t="shared" si="44"/>
        <v>0</v>
      </c>
      <c r="I267" s="670">
        <f t="shared" si="45"/>
        <v>0</v>
      </c>
      <c r="J267" s="668">
        <f t="shared" si="46"/>
        <v>0</v>
      </c>
      <c r="K267" s="671">
        <f t="shared" si="47"/>
        <v>0</v>
      </c>
      <c r="L267" s="663">
        <f t="shared" si="49"/>
        <v>0</v>
      </c>
      <c r="M267" s="663" t="str">
        <f>IF(K267&gt;0,SUM($L$5:L267),"")</f>
        <v/>
      </c>
    </row>
    <row r="268" spans="1:13" hidden="1" x14ac:dyDescent="0.2">
      <c r="A268" s="677" t="b">
        <f t="shared" si="48"/>
        <v>0</v>
      </c>
      <c r="C268" s="666"/>
      <c r="D268" s="667" t="str">
        <f t="shared" si="40"/>
        <v/>
      </c>
      <c r="E268" s="668">
        <f t="shared" si="41"/>
        <v>0</v>
      </c>
      <c r="F268" s="669">
        <f t="shared" si="42"/>
        <v>0</v>
      </c>
      <c r="G268" s="668">
        <f t="shared" si="43"/>
        <v>0</v>
      </c>
      <c r="H268" s="670">
        <f t="shared" si="44"/>
        <v>0</v>
      </c>
      <c r="I268" s="670">
        <f t="shared" si="45"/>
        <v>0</v>
      </c>
      <c r="J268" s="668">
        <f t="shared" si="46"/>
        <v>0</v>
      </c>
      <c r="K268" s="671">
        <f t="shared" si="47"/>
        <v>0</v>
      </c>
      <c r="L268" s="663">
        <f t="shared" si="49"/>
        <v>0</v>
      </c>
      <c r="M268" s="663" t="str">
        <f>IF(K268&gt;0,SUM($L$5:L268),"")</f>
        <v/>
      </c>
    </row>
    <row r="269" spans="1:13" hidden="1" x14ac:dyDescent="0.2">
      <c r="A269" s="677" t="b">
        <f t="shared" si="48"/>
        <v>0</v>
      </c>
      <c r="C269" s="666"/>
      <c r="D269" s="667" t="str">
        <f t="shared" si="40"/>
        <v/>
      </c>
      <c r="E269" s="668">
        <f t="shared" si="41"/>
        <v>0</v>
      </c>
      <c r="F269" s="669">
        <f t="shared" si="42"/>
        <v>0</v>
      </c>
      <c r="G269" s="668">
        <f t="shared" si="43"/>
        <v>0</v>
      </c>
      <c r="H269" s="670">
        <f t="shared" si="44"/>
        <v>0</v>
      </c>
      <c r="I269" s="670">
        <f t="shared" si="45"/>
        <v>0</v>
      </c>
      <c r="J269" s="668">
        <f t="shared" si="46"/>
        <v>0</v>
      </c>
      <c r="K269" s="671">
        <f t="shared" si="47"/>
        <v>0</v>
      </c>
      <c r="L269" s="663">
        <f t="shared" si="49"/>
        <v>0</v>
      </c>
      <c r="M269" s="663" t="str">
        <f>IF(K269&gt;0,SUM($L$5:L269),"")</f>
        <v/>
      </c>
    </row>
    <row r="270" spans="1:13" hidden="1" x14ac:dyDescent="0.2">
      <c r="A270" s="677" t="b">
        <f t="shared" si="48"/>
        <v>0</v>
      </c>
      <c r="C270" s="666"/>
      <c r="D270" s="667" t="str">
        <f t="shared" si="40"/>
        <v/>
      </c>
      <c r="E270" s="668">
        <f t="shared" si="41"/>
        <v>0</v>
      </c>
      <c r="F270" s="669">
        <f t="shared" si="42"/>
        <v>0</v>
      </c>
      <c r="G270" s="668">
        <f t="shared" si="43"/>
        <v>0</v>
      </c>
      <c r="H270" s="670">
        <f t="shared" si="44"/>
        <v>0</v>
      </c>
      <c r="I270" s="670">
        <f t="shared" si="45"/>
        <v>0</v>
      </c>
      <c r="J270" s="668">
        <f t="shared" si="46"/>
        <v>0</v>
      </c>
      <c r="K270" s="671">
        <f t="shared" si="47"/>
        <v>0</v>
      </c>
      <c r="L270" s="663">
        <f t="shared" si="49"/>
        <v>0</v>
      </c>
      <c r="M270" s="663" t="str">
        <f>IF(K270&gt;0,SUM($L$5:L270),"")</f>
        <v/>
      </c>
    </row>
    <row r="271" spans="1:13" hidden="1" x14ac:dyDescent="0.2">
      <c r="A271" s="677" t="b">
        <f t="shared" si="48"/>
        <v>0</v>
      </c>
      <c r="C271" s="666"/>
      <c r="D271" s="667" t="str">
        <f t="shared" si="40"/>
        <v/>
      </c>
      <c r="E271" s="668">
        <f t="shared" si="41"/>
        <v>0</v>
      </c>
      <c r="F271" s="669">
        <f t="shared" si="42"/>
        <v>0</v>
      </c>
      <c r="G271" s="668">
        <f t="shared" si="43"/>
        <v>0</v>
      </c>
      <c r="H271" s="670">
        <f t="shared" si="44"/>
        <v>0</v>
      </c>
      <c r="I271" s="670">
        <f t="shared" si="45"/>
        <v>0</v>
      </c>
      <c r="J271" s="668">
        <f t="shared" si="46"/>
        <v>0</v>
      </c>
      <c r="K271" s="671">
        <f t="shared" si="47"/>
        <v>0</v>
      </c>
      <c r="L271" s="663">
        <f t="shared" si="49"/>
        <v>0</v>
      </c>
      <c r="M271" s="663" t="str">
        <f>IF(K271&gt;0,SUM($L$5:L271),"")</f>
        <v/>
      </c>
    </row>
    <row r="272" spans="1:13" hidden="1" x14ac:dyDescent="0.2">
      <c r="A272" s="677" t="b">
        <f t="shared" si="48"/>
        <v>0</v>
      </c>
      <c r="C272" s="666"/>
      <c r="D272" s="667" t="str">
        <f t="shared" si="40"/>
        <v/>
      </c>
      <c r="E272" s="668">
        <f t="shared" si="41"/>
        <v>0</v>
      </c>
      <c r="F272" s="669">
        <f t="shared" si="42"/>
        <v>0</v>
      </c>
      <c r="G272" s="668">
        <f t="shared" si="43"/>
        <v>0</v>
      </c>
      <c r="H272" s="670">
        <f t="shared" si="44"/>
        <v>0</v>
      </c>
      <c r="I272" s="670">
        <f t="shared" si="45"/>
        <v>0</v>
      </c>
      <c r="J272" s="668">
        <f t="shared" si="46"/>
        <v>0</v>
      </c>
      <c r="K272" s="671">
        <f t="shared" si="47"/>
        <v>0</v>
      </c>
      <c r="L272" s="663">
        <f t="shared" si="49"/>
        <v>0</v>
      </c>
      <c r="M272" s="663" t="str">
        <f>IF(K272&gt;0,SUM($L$5:L272),"")</f>
        <v/>
      </c>
    </row>
    <row r="273" spans="1:13" hidden="1" x14ac:dyDescent="0.2">
      <c r="A273" s="677" t="b">
        <f t="shared" si="48"/>
        <v>0</v>
      </c>
      <c r="C273" s="666"/>
      <c r="D273" s="667" t="str">
        <f t="shared" si="40"/>
        <v/>
      </c>
      <c r="E273" s="668">
        <f t="shared" si="41"/>
        <v>0</v>
      </c>
      <c r="F273" s="669">
        <f t="shared" si="42"/>
        <v>0</v>
      </c>
      <c r="G273" s="668">
        <f t="shared" si="43"/>
        <v>0</v>
      </c>
      <c r="H273" s="670">
        <f t="shared" si="44"/>
        <v>0</v>
      </c>
      <c r="I273" s="670">
        <f t="shared" si="45"/>
        <v>0</v>
      </c>
      <c r="J273" s="668">
        <f t="shared" si="46"/>
        <v>0</v>
      </c>
      <c r="K273" s="671">
        <f t="shared" si="47"/>
        <v>0</v>
      </c>
      <c r="L273" s="663">
        <f t="shared" si="49"/>
        <v>0</v>
      </c>
      <c r="M273" s="663" t="str">
        <f>IF(K273&gt;0,SUM($L$5:L273),"")</f>
        <v/>
      </c>
    </row>
    <row r="274" spans="1:13" hidden="1" x14ac:dyDescent="0.2">
      <c r="A274" s="677" t="b">
        <f t="shared" si="48"/>
        <v>0</v>
      </c>
      <c r="C274" s="666"/>
      <c r="D274" s="667" t="str">
        <f t="shared" si="40"/>
        <v/>
      </c>
      <c r="E274" s="668">
        <f t="shared" si="41"/>
        <v>0</v>
      </c>
      <c r="F274" s="669">
        <f t="shared" si="42"/>
        <v>0</v>
      </c>
      <c r="G274" s="668">
        <f t="shared" si="43"/>
        <v>0</v>
      </c>
      <c r="H274" s="670">
        <f t="shared" si="44"/>
        <v>0</v>
      </c>
      <c r="I274" s="670">
        <f t="shared" si="45"/>
        <v>0</v>
      </c>
      <c r="J274" s="668">
        <f t="shared" si="46"/>
        <v>0</v>
      </c>
      <c r="K274" s="671">
        <f t="shared" si="47"/>
        <v>0</v>
      </c>
      <c r="L274" s="663">
        <f t="shared" si="49"/>
        <v>0</v>
      </c>
      <c r="M274" s="663" t="str">
        <f>IF(K274&gt;0,SUM($L$5:L274),"")</f>
        <v/>
      </c>
    </row>
    <row r="275" spans="1:13" hidden="1" x14ac:dyDescent="0.2">
      <c r="A275" s="677" t="b">
        <f t="shared" si="48"/>
        <v>0</v>
      </c>
      <c r="C275" s="666"/>
      <c r="D275" s="667" t="str">
        <f t="shared" si="40"/>
        <v/>
      </c>
      <c r="E275" s="668">
        <f t="shared" si="41"/>
        <v>0</v>
      </c>
      <c r="F275" s="669">
        <f t="shared" si="42"/>
        <v>0</v>
      </c>
      <c r="G275" s="668">
        <f t="shared" si="43"/>
        <v>0</v>
      </c>
      <c r="H275" s="670">
        <f t="shared" si="44"/>
        <v>0</v>
      </c>
      <c r="I275" s="670">
        <f t="shared" si="45"/>
        <v>0</v>
      </c>
      <c r="J275" s="668">
        <f t="shared" si="46"/>
        <v>0</v>
      </c>
      <c r="K275" s="671">
        <f t="shared" si="47"/>
        <v>0</v>
      </c>
      <c r="L275" s="663">
        <f t="shared" si="49"/>
        <v>0</v>
      </c>
      <c r="M275" s="663" t="str">
        <f>IF(K275&gt;0,SUM($L$5:L275),"")</f>
        <v/>
      </c>
    </row>
    <row r="276" spans="1:13" hidden="1" x14ac:dyDescent="0.2">
      <c r="A276" s="677" t="b">
        <f t="shared" si="48"/>
        <v>0</v>
      </c>
      <c r="C276" s="666"/>
      <c r="D276" s="667" t="str">
        <f t="shared" si="40"/>
        <v/>
      </c>
      <c r="E276" s="668">
        <f t="shared" si="41"/>
        <v>0</v>
      </c>
      <c r="F276" s="669">
        <f t="shared" si="42"/>
        <v>0</v>
      </c>
      <c r="G276" s="668">
        <f t="shared" si="43"/>
        <v>0</v>
      </c>
      <c r="H276" s="670">
        <f t="shared" si="44"/>
        <v>0</v>
      </c>
      <c r="I276" s="670">
        <f t="shared" si="45"/>
        <v>0</v>
      </c>
      <c r="J276" s="668">
        <f t="shared" si="46"/>
        <v>0</v>
      </c>
      <c r="K276" s="671">
        <f t="shared" si="47"/>
        <v>0</v>
      </c>
      <c r="L276" s="663">
        <f t="shared" si="49"/>
        <v>0</v>
      </c>
      <c r="M276" s="663" t="str">
        <f>IF(K276&gt;0,SUM($L$5:L276),"")</f>
        <v/>
      </c>
    </row>
    <row r="277" spans="1:13" hidden="1" x14ac:dyDescent="0.2">
      <c r="A277" s="677" t="b">
        <f t="shared" si="48"/>
        <v>0</v>
      </c>
      <c r="C277" s="666"/>
      <c r="D277" s="667" t="str">
        <f t="shared" si="40"/>
        <v/>
      </c>
      <c r="E277" s="668">
        <f t="shared" si="41"/>
        <v>0</v>
      </c>
      <c r="F277" s="669">
        <f t="shared" si="42"/>
        <v>0</v>
      </c>
      <c r="G277" s="668">
        <f t="shared" si="43"/>
        <v>0</v>
      </c>
      <c r="H277" s="670">
        <f t="shared" si="44"/>
        <v>0</v>
      </c>
      <c r="I277" s="670">
        <f t="shared" si="45"/>
        <v>0</v>
      </c>
      <c r="J277" s="668">
        <f t="shared" si="46"/>
        <v>0</v>
      </c>
      <c r="K277" s="671">
        <f t="shared" si="47"/>
        <v>0</v>
      </c>
      <c r="L277" s="663">
        <f t="shared" si="49"/>
        <v>0</v>
      </c>
      <c r="M277" s="663" t="str">
        <f>IF(K277&gt;0,SUM($L$5:L277),"")</f>
        <v/>
      </c>
    </row>
    <row r="278" spans="1:13" hidden="1" x14ac:dyDescent="0.2">
      <c r="A278" s="677" t="b">
        <f t="shared" si="48"/>
        <v>0</v>
      </c>
      <c r="C278" s="666"/>
      <c r="D278" s="667" t="str">
        <f t="shared" si="40"/>
        <v/>
      </c>
      <c r="E278" s="668">
        <f t="shared" si="41"/>
        <v>0</v>
      </c>
      <c r="F278" s="669">
        <f t="shared" si="42"/>
        <v>0</v>
      </c>
      <c r="G278" s="668">
        <f t="shared" si="43"/>
        <v>0</v>
      </c>
      <c r="H278" s="670">
        <f t="shared" si="44"/>
        <v>0</v>
      </c>
      <c r="I278" s="670">
        <f t="shared" si="45"/>
        <v>0</v>
      </c>
      <c r="J278" s="668">
        <f t="shared" si="46"/>
        <v>0</v>
      </c>
      <c r="K278" s="671">
        <f t="shared" si="47"/>
        <v>0</v>
      </c>
      <c r="L278" s="663">
        <f t="shared" si="49"/>
        <v>0</v>
      </c>
      <c r="M278" s="663" t="str">
        <f>IF(K278&gt;0,SUM($L$5:L278),"")</f>
        <v/>
      </c>
    </row>
    <row r="279" spans="1:13" hidden="1" x14ac:dyDescent="0.2">
      <c r="A279" s="677" t="b">
        <f t="shared" si="48"/>
        <v>0</v>
      </c>
      <c r="C279" s="666"/>
      <c r="D279" s="667" t="str">
        <f t="shared" si="40"/>
        <v/>
      </c>
      <c r="E279" s="668">
        <f t="shared" si="41"/>
        <v>0</v>
      </c>
      <c r="F279" s="669">
        <f t="shared" si="42"/>
        <v>0</v>
      </c>
      <c r="G279" s="668">
        <f t="shared" si="43"/>
        <v>0</v>
      </c>
      <c r="H279" s="670">
        <f t="shared" si="44"/>
        <v>0</v>
      </c>
      <c r="I279" s="670">
        <f t="shared" si="45"/>
        <v>0</v>
      </c>
      <c r="J279" s="668">
        <f t="shared" si="46"/>
        <v>0</v>
      </c>
      <c r="K279" s="671">
        <f t="shared" si="47"/>
        <v>0</v>
      </c>
      <c r="L279" s="663">
        <f t="shared" si="49"/>
        <v>0</v>
      </c>
      <c r="M279" s="663" t="str">
        <f>IF(K279&gt;0,SUM($L$5:L279),"")</f>
        <v/>
      </c>
    </row>
    <row r="280" spans="1:13" hidden="1" x14ac:dyDescent="0.2">
      <c r="A280" s="677" t="b">
        <f t="shared" si="48"/>
        <v>0</v>
      </c>
      <c r="C280" s="666"/>
      <c r="D280" s="667" t="str">
        <f t="shared" si="40"/>
        <v/>
      </c>
      <c r="E280" s="668">
        <f t="shared" si="41"/>
        <v>0</v>
      </c>
      <c r="F280" s="669">
        <f t="shared" si="42"/>
        <v>0</v>
      </c>
      <c r="G280" s="668">
        <f t="shared" si="43"/>
        <v>0</v>
      </c>
      <c r="H280" s="670">
        <f t="shared" si="44"/>
        <v>0</v>
      </c>
      <c r="I280" s="670">
        <f t="shared" si="45"/>
        <v>0</v>
      </c>
      <c r="J280" s="668">
        <f t="shared" si="46"/>
        <v>0</v>
      </c>
      <c r="K280" s="671">
        <f t="shared" si="47"/>
        <v>0</v>
      </c>
      <c r="L280" s="663">
        <f t="shared" si="49"/>
        <v>0</v>
      </c>
      <c r="M280" s="663" t="str">
        <f>IF(K280&gt;0,SUM($L$5:L280),"")</f>
        <v/>
      </c>
    </row>
    <row r="281" spans="1:13" hidden="1" x14ac:dyDescent="0.2">
      <c r="A281" s="677" t="b">
        <f t="shared" si="48"/>
        <v>0</v>
      </c>
      <c r="C281" s="666"/>
      <c r="D281" s="667" t="str">
        <f t="shared" si="40"/>
        <v/>
      </c>
      <c r="E281" s="668">
        <f t="shared" si="41"/>
        <v>0</v>
      </c>
      <c r="F281" s="669">
        <f t="shared" si="42"/>
        <v>0</v>
      </c>
      <c r="G281" s="668">
        <f t="shared" si="43"/>
        <v>0</v>
      </c>
      <c r="H281" s="670">
        <f t="shared" si="44"/>
        <v>0</v>
      </c>
      <c r="I281" s="670">
        <f t="shared" si="45"/>
        <v>0</v>
      </c>
      <c r="J281" s="668">
        <f t="shared" si="46"/>
        <v>0</v>
      </c>
      <c r="K281" s="671">
        <f t="shared" si="47"/>
        <v>0</v>
      </c>
      <c r="L281" s="663">
        <f t="shared" si="49"/>
        <v>0</v>
      </c>
      <c r="M281" s="663" t="str">
        <f>IF(K281&gt;0,SUM($L$5:L281),"")</f>
        <v/>
      </c>
    </row>
    <row r="282" spans="1:13" hidden="1" x14ac:dyDescent="0.2">
      <c r="A282" s="677" t="b">
        <f t="shared" si="48"/>
        <v>0</v>
      </c>
      <c r="C282" s="666"/>
      <c r="D282" s="667" t="str">
        <f t="shared" si="40"/>
        <v/>
      </c>
      <c r="E282" s="668">
        <f t="shared" si="41"/>
        <v>0</v>
      </c>
      <c r="F282" s="669">
        <f t="shared" si="42"/>
        <v>0</v>
      </c>
      <c r="G282" s="668">
        <f t="shared" si="43"/>
        <v>0</v>
      </c>
      <c r="H282" s="670">
        <f t="shared" si="44"/>
        <v>0</v>
      </c>
      <c r="I282" s="670">
        <f t="shared" si="45"/>
        <v>0</v>
      </c>
      <c r="J282" s="668">
        <f t="shared" si="46"/>
        <v>0</v>
      </c>
      <c r="K282" s="671">
        <f t="shared" si="47"/>
        <v>0</v>
      </c>
      <c r="L282" s="663">
        <f t="shared" si="49"/>
        <v>0</v>
      </c>
      <c r="M282" s="663" t="str">
        <f>IF(K282&gt;0,SUM($L$5:L282),"")</f>
        <v/>
      </c>
    </row>
    <row r="283" spans="1:13" hidden="1" x14ac:dyDescent="0.2">
      <c r="A283" s="677" t="b">
        <f t="shared" si="48"/>
        <v>0</v>
      </c>
      <c r="C283" s="666"/>
      <c r="D283" s="667" t="str">
        <f t="shared" si="40"/>
        <v/>
      </c>
      <c r="E283" s="668">
        <f t="shared" si="41"/>
        <v>0</v>
      </c>
      <c r="F283" s="669">
        <f t="shared" si="42"/>
        <v>0</v>
      </c>
      <c r="G283" s="668">
        <f t="shared" si="43"/>
        <v>0</v>
      </c>
      <c r="H283" s="670">
        <f t="shared" si="44"/>
        <v>0</v>
      </c>
      <c r="I283" s="670">
        <f t="shared" si="45"/>
        <v>0</v>
      </c>
      <c r="J283" s="668">
        <f t="shared" si="46"/>
        <v>0</v>
      </c>
      <c r="K283" s="671">
        <f t="shared" si="47"/>
        <v>0</v>
      </c>
      <c r="L283" s="663">
        <f t="shared" si="49"/>
        <v>0</v>
      </c>
      <c r="M283" s="663" t="str">
        <f>IF(K283&gt;0,SUM($L$5:L283),"")</f>
        <v/>
      </c>
    </row>
    <row r="284" spans="1:13" hidden="1" x14ac:dyDescent="0.2">
      <c r="A284" s="677" t="b">
        <f t="shared" si="48"/>
        <v>0</v>
      </c>
      <c r="C284" s="666"/>
      <c r="D284" s="667" t="str">
        <f t="shared" si="40"/>
        <v/>
      </c>
      <c r="E284" s="668">
        <f t="shared" si="41"/>
        <v>0</v>
      </c>
      <c r="F284" s="669">
        <f t="shared" si="42"/>
        <v>0</v>
      </c>
      <c r="G284" s="668">
        <f t="shared" si="43"/>
        <v>0</v>
      </c>
      <c r="H284" s="670">
        <f t="shared" si="44"/>
        <v>0</v>
      </c>
      <c r="I284" s="670">
        <f t="shared" si="45"/>
        <v>0</v>
      </c>
      <c r="J284" s="668">
        <f t="shared" si="46"/>
        <v>0</v>
      </c>
      <c r="K284" s="671">
        <f t="shared" si="47"/>
        <v>0</v>
      </c>
      <c r="L284" s="663">
        <f t="shared" si="49"/>
        <v>0</v>
      </c>
      <c r="M284" s="663" t="str">
        <f>IF(K284&gt;0,SUM($L$5:L284),"")</f>
        <v/>
      </c>
    </row>
    <row r="285" spans="1:13" hidden="1" x14ac:dyDescent="0.2">
      <c r="A285" s="677" t="b">
        <f t="shared" si="48"/>
        <v>0</v>
      </c>
      <c r="C285" s="666"/>
      <c r="D285" s="667" t="str">
        <f t="shared" si="40"/>
        <v/>
      </c>
      <c r="E285" s="668">
        <f t="shared" si="41"/>
        <v>0</v>
      </c>
      <c r="F285" s="669">
        <f t="shared" si="42"/>
        <v>0</v>
      </c>
      <c r="G285" s="668">
        <f t="shared" si="43"/>
        <v>0</v>
      </c>
      <c r="H285" s="670">
        <f t="shared" si="44"/>
        <v>0</v>
      </c>
      <c r="I285" s="670">
        <f t="shared" si="45"/>
        <v>0</v>
      </c>
      <c r="J285" s="668">
        <f t="shared" si="46"/>
        <v>0</v>
      </c>
      <c r="K285" s="671">
        <f t="shared" si="47"/>
        <v>0</v>
      </c>
      <c r="L285" s="663">
        <f t="shared" si="49"/>
        <v>0</v>
      </c>
      <c r="M285" s="663" t="str">
        <f>IF(K285&gt;0,SUM($L$5:L285),"")</f>
        <v/>
      </c>
    </row>
    <row r="286" spans="1:13" hidden="1" x14ac:dyDescent="0.2">
      <c r="A286" s="677" t="b">
        <f t="shared" si="48"/>
        <v>0</v>
      </c>
      <c r="C286" s="666"/>
      <c r="D286" s="667" t="str">
        <f t="shared" si="40"/>
        <v/>
      </c>
      <c r="E286" s="668">
        <f t="shared" si="41"/>
        <v>0</v>
      </c>
      <c r="F286" s="669">
        <f t="shared" si="42"/>
        <v>0</v>
      </c>
      <c r="G286" s="668">
        <f t="shared" si="43"/>
        <v>0</v>
      </c>
      <c r="H286" s="670">
        <f t="shared" si="44"/>
        <v>0</v>
      </c>
      <c r="I286" s="670">
        <f t="shared" si="45"/>
        <v>0</v>
      </c>
      <c r="J286" s="668">
        <f t="shared" si="46"/>
        <v>0</v>
      </c>
      <c r="K286" s="671">
        <f t="shared" si="47"/>
        <v>0</v>
      </c>
      <c r="L286" s="663">
        <f t="shared" si="49"/>
        <v>0</v>
      </c>
      <c r="M286" s="663" t="str">
        <f>IF(K286&gt;0,SUM($L$5:L286),"")</f>
        <v/>
      </c>
    </row>
    <row r="287" spans="1:13" hidden="1" x14ac:dyDescent="0.2">
      <c r="A287" s="677" t="b">
        <f t="shared" si="48"/>
        <v>0</v>
      </c>
      <c r="C287" s="666"/>
      <c r="D287" s="667" t="str">
        <f t="shared" si="40"/>
        <v/>
      </c>
      <c r="E287" s="668">
        <f t="shared" si="41"/>
        <v>0</v>
      </c>
      <c r="F287" s="669">
        <f t="shared" si="42"/>
        <v>0</v>
      </c>
      <c r="G287" s="668">
        <f t="shared" si="43"/>
        <v>0</v>
      </c>
      <c r="H287" s="670">
        <f t="shared" si="44"/>
        <v>0</v>
      </c>
      <c r="I287" s="670">
        <f t="shared" si="45"/>
        <v>0</v>
      </c>
      <c r="J287" s="668">
        <f t="shared" si="46"/>
        <v>0</v>
      </c>
      <c r="K287" s="671">
        <f t="shared" si="47"/>
        <v>0</v>
      </c>
      <c r="L287" s="663">
        <f t="shared" si="49"/>
        <v>0</v>
      </c>
      <c r="M287" s="663" t="str">
        <f>IF(K287&gt;0,SUM($L$5:L287),"")</f>
        <v/>
      </c>
    </row>
    <row r="288" spans="1:13" hidden="1" x14ac:dyDescent="0.2">
      <c r="A288" s="677" t="b">
        <f t="shared" si="48"/>
        <v>0</v>
      </c>
      <c r="C288" s="666"/>
      <c r="D288" s="667" t="str">
        <f t="shared" si="40"/>
        <v/>
      </c>
      <c r="E288" s="668">
        <f t="shared" si="41"/>
        <v>0</v>
      </c>
      <c r="F288" s="669">
        <f t="shared" si="42"/>
        <v>0</v>
      </c>
      <c r="G288" s="668">
        <f t="shared" si="43"/>
        <v>0</v>
      </c>
      <c r="H288" s="670">
        <f t="shared" si="44"/>
        <v>0</v>
      </c>
      <c r="I288" s="670">
        <f t="shared" si="45"/>
        <v>0</v>
      </c>
      <c r="J288" s="668">
        <f t="shared" si="46"/>
        <v>0</v>
      </c>
      <c r="K288" s="671">
        <f t="shared" si="47"/>
        <v>0</v>
      </c>
      <c r="L288" s="663">
        <f t="shared" si="49"/>
        <v>0</v>
      </c>
      <c r="M288" s="663" t="str">
        <f>IF(K288&gt;0,SUM($L$5:L288),"")</f>
        <v/>
      </c>
    </row>
    <row r="289" spans="1:13" hidden="1" x14ac:dyDescent="0.2">
      <c r="A289" s="677" t="b">
        <f t="shared" si="48"/>
        <v>0</v>
      </c>
      <c r="C289" s="666"/>
      <c r="D289" s="667" t="str">
        <f t="shared" si="40"/>
        <v/>
      </c>
      <c r="E289" s="668">
        <f t="shared" si="41"/>
        <v>0</v>
      </c>
      <c r="F289" s="669">
        <f t="shared" si="42"/>
        <v>0</v>
      </c>
      <c r="G289" s="668">
        <f t="shared" si="43"/>
        <v>0</v>
      </c>
      <c r="H289" s="670">
        <f t="shared" si="44"/>
        <v>0</v>
      </c>
      <c r="I289" s="670">
        <f t="shared" si="45"/>
        <v>0</v>
      </c>
      <c r="J289" s="668">
        <f t="shared" si="46"/>
        <v>0</v>
      </c>
      <c r="K289" s="671">
        <f t="shared" si="47"/>
        <v>0</v>
      </c>
      <c r="L289" s="663">
        <f t="shared" si="49"/>
        <v>0</v>
      </c>
      <c r="M289" s="663" t="str">
        <f>IF(K289&gt;0,SUM($L$5:L289),"")</f>
        <v/>
      </c>
    </row>
    <row r="290" spans="1:13" hidden="1" x14ac:dyDescent="0.2">
      <c r="A290" s="677" t="b">
        <f t="shared" si="48"/>
        <v>0</v>
      </c>
      <c r="C290" s="666"/>
      <c r="D290" s="667" t="str">
        <f t="shared" si="40"/>
        <v/>
      </c>
      <c r="E290" s="668">
        <f t="shared" si="41"/>
        <v>0</v>
      </c>
      <c r="F290" s="669">
        <f t="shared" si="42"/>
        <v>0</v>
      </c>
      <c r="G290" s="668">
        <f t="shared" si="43"/>
        <v>0</v>
      </c>
      <c r="H290" s="670">
        <f t="shared" si="44"/>
        <v>0</v>
      </c>
      <c r="I290" s="670">
        <f t="shared" si="45"/>
        <v>0</v>
      </c>
      <c r="J290" s="668">
        <f t="shared" si="46"/>
        <v>0</v>
      </c>
      <c r="K290" s="671">
        <f t="shared" si="47"/>
        <v>0</v>
      </c>
      <c r="L290" s="663">
        <f t="shared" si="49"/>
        <v>0</v>
      </c>
      <c r="M290" s="663" t="str">
        <f>IF(K290&gt;0,SUM($L$5:L290),"")</f>
        <v/>
      </c>
    </row>
    <row r="291" spans="1:13" hidden="1" x14ac:dyDescent="0.2">
      <c r="A291" s="677" t="b">
        <f t="shared" si="48"/>
        <v>0</v>
      </c>
      <c r="C291" s="666"/>
      <c r="D291" s="667" t="str">
        <f t="shared" si="40"/>
        <v/>
      </c>
      <c r="E291" s="668">
        <f t="shared" si="41"/>
        <v>0</v>
      </c>
      <c r="F291" s="669">
        <f t="shared" si="42"/>
        <v>0</v>
      </c>
      <c r="G291" s="668">
        <f t="shared" si="43"/>
        <v>0</v>
      </c>
      <c r="H291" s="670">
        <f t="shared" si="44"/>
        <v>0</v>
      </c>
      <c r="I291" s="670">
        <f t="shared" si="45"/>
        <v>0</v>
      </c>
      <c r="J291" s="668">
        <f t="shared" si="46"/>
        <v>0</v>
      </c>
      <c r="K291" s="671">
        <f t="shared" si="47"/>
        <v>0</v>
      </c>
      <c r="L291" s="663">
        <f t="shared" si="49"/>
        <v>0</v>
      </c>
      <c r="M291" s="663" t="str">
        <f>IF(K291&gt;0,SUM($L$5:L291),"")</f>
        <v/>
      </c>
    </row>
    <row r="292" spans="1:13" hidden="1" x14ac:dyDescent="0.2">
      <c r="A292" s="677" t="b">
        <f t="shared" si="48"/>
        <v>0</v>
      </c>
      <c r="C292" s="666"/>
      <c r="D292" s="667" t="str">
        <f t="shared" si="40"/>
        <v/>
      </c>
      <c r="E292" s="668">
        <f t="shared" si="41"/>
        <v>0</v>
      </c>
      <c r="F292" s="669">
        <f t="shared" si="42"/>
        <v>0</v>
      </c>
      <c r="G292" s="668">
        <f t="shared" si="43"/>
        <v>0</v>
      </c>
      <c r="H292" s="670">
        <f t="shared" si="44"/>
        <v>0</v>
      </c>
      <c r="I292" s="670">
        <f t="shared" si="45"/>
        <v>0</v>
      </c>
      <c r="J292" s="668">
        <f t="shared" si="46"/>
        <v>0</v>
      </c>
      <c r="K292" s="671">
        <f t="shared" si="47"/>
        <v>0</v>
      </c>
      <c r="L292" s="663">
        <f t="shared" si="49"/>
        <v>0</v>
      </c>
      <c r="M292" s="663" t="str">
        <f>IF(K292&gt;0,SUM($L$5:L292),"")</f>
        <v/>
      </c>
    </row>
    <row r="293" spans="1:13" hidden="1" x14ac:dyDescent="0.2">
      <c r="A293" s="677" t="b">
        <f t="shared" si="48"/>
        <v>0</v>
      </c>
      <c r="C293" s="666"/>
      <c r="D293" s="667" t="str">
        <f t="shared" si="40"/>
        <v/>
      </c>
      <c r="E293" s="668">
        <f t="shared" si="41"/>
        <v>0</v>
      </c>
      <c r="F293" s="669">
        <f t="shared" si="42"/>
        <v>0</v>
      </c>
      <c r="G293" s="668">
        <f t="shared" si="43"/>
        <v>0</v>
      </c>
      <c r="H293" s="670">
        <f t="shared" si="44"/>
        <v>0</v>
      </c>
      <c r="I293" s="670">
        <f t="shared" si="45"/>
        <v>0</v>
      </c>
      <c r="J293" s="668">
        <f t="shared" si="46"/>
        <v>0</v>
      </c>
      <c r="K293" s="671">
        <f t="shared" si="47"/>
        <v>0</v>
      </c>
      <c r="L293" s="663">
        <f t="shared" si="49"/>
        <v>0</v>
      </c>
      <c r="M293" s="663" t="str">
        <f>IF(K293&gt;0,SUM($L$5:L293),"")</f>
        <v/>
      </c>
    </row>
    <row r="294" spans="1:13" hidden="1" x14ac:dyDescent="0.2">
      <c r="A294" s="677" t="b">
        <f t="shared" si="48"/>
        <v>0</v>
      </c>
      <c r="C294" s="666"/>
      <c r="D294" s="667" t="str">
        <f t="shared" si="40"/>
        <v/>
      </c>
      <c r="E294" s="668">
        <f t="shared" si="41"/>
        <v>0</v>
      </c>
      <c r="F294" s="669">
        <f t="shared" si="42"/>
        <v>0</v>
      </c>
      <c r="G294" s="668">
        <f t="shared" si="43"/>
        <v>0</v>
      </c>
      <c r="H294" s="670">
        <f t="shared" si="44"/>
        <v>0</v>
      </c>
      <c r="I294" s="670">
        <f t="shared" si="45"/>
        <v>0</v>
      </c>
      <c r="J294" s="668">
        <f t="shared" si="46"/>
        <v>0</v>
      </c>
      <c r="K294" s="671">
        <f t="shared" si="47"/>
        <v>0</v>
      </c>
      <c r="L294" s="663">
        <f t="shared" si="49"/>
        <v>0</v>
      </c>
      <c r="M294" s="663" t="str">
        <f>IF(K294&gt;0,SUM($L$5:L294),"")</f>
        <v/>
      </c>
    </row>
    <row r="295" spans="1:13" hidden="1" x14ac:dyDescent="0.2">
      <c r="A295" s="677" t="b">
        <f t="shared" si="48"/>
        <v>0</v>
      </c>
      <c r="C295" s="666"/>
      <c r="D295" s="667" t="str">
        <f t="shared" si="40"/>
        <v/>
      </c>
      <c r="E295" s="668">
        <f t="shared" si="41"/>
        <v>0</v>
      </c>
      <c r="F295" s="669">
        <f t="shared" si="42"/>
        <v>0</v>
      </c>
      <c r="G295" s="668">
        <f t="shared" si="43"/>
        <v>0</v>
      </c>
      <c r="H295" s="670">
        <f t="shared" si="44"/>
        <v>0</v>
      </c>
      <c r="I295" s="670">
        <f t="shared" si="45"/>
        <v>0</v>
      </c>
      <c r="J295" s="668">
        <f t="shared" si="46"/>
        <v>0</v>
      </c>
      <c r="K295" s="671">
        <f t="shared" si="47"/>
        <v>0</v>
      </c>
      <c r="L295" s="663">
        <f t="shared" si="49"/>
        <v>0</v>
      </c>
      <c r="M295" s="663" t="str">
        <f>IF(K295&gt;0,SUM($L$5:L295),"")</f>
        <v/>
      </c>
    </row>
    <row r="296" spans="1:13" hidden="1" x14ac:dyDescent="0.2">
      <c r="A296" s="677" t="b">
        <f t="shared" si="48"/>
        <v>0</v>
      </c>
      <c r="C296" s="666"/>
      <c r="D296" s="667" t="str">
        <f t="shared" si="40"/>
        <v/>
      </c>
      <c r="E296" s="668">
        <f t="shared" si="41"/>
        <v>0</v>
      </c>
      <c r="F296" s="669">
        <f t="shared" si="42"/>
        <v>0</v>
      </c>
      <c r="G296" s="668">
        <f t="shared" si="43"/>
        <v>0</v>
      </c>
      <c r="H296" s="670">
        <f t="shared" si="44"/>
        <v>0</v>
      </c>
      <c r="I296" s="670">
        <f t="shared" si="45"/>
        <v>0</v>
      </c>
      <c r="J296" s="668">
        <f t="shared" si="46"/>
        <v>0</v>
      </c>
      <c r="K296" s="671">
        <f t="shared" si="47"/>
        <v>0</v>
      </c>
      <c r="L296" s="663">
        <f t="shared" si="49"/>
        <v>0</v>
      </c>
      <c r="M296" s="663" t="str">
        <f>IF(K296&gt;0,SUM($L$5:L296),"")</f>
        <v/>
      </c>
    </row>
    <row r="297" spans="1:13" hidden="1" x14ac:dyDescent="0.2">
      <c r="A297" s="677" t="b">
        <f t="shared" si="48"/>
        <v>0</v>
      </c>
      <c r="C297" s="666"/>
      <c r="D297" s="667" t="str">
        <f t="shared" si="40"/>
        <v/>
      </c>
      <c r="E297" s="668">
        <f t="shared" si="41"/>
        <v>0</v>
      </c>
      <c r="F297" s="669">
        <f t="shared" si="42"/>
        <v>0</v>
      </c>
      <c r="G297" s="668">
        <f t="shared" si="43"/>
        <v>0</v>
      </c>
      <c r="H297" s="670">
        <f t="shared" si="44"/>
        <v>0</v>
      </c>
      <c r="I297" s="670">
        <f t="shared" si="45"/>
        <v>0</v>
      </c>
      <c r="J297" s="668">
        <f t="shared" si="46"/>
        <v>0</v>
      </c>
      <c r="K297" s="671">
        <f t="shared" si="47"/>
        <v>0</v>
      </c>
      <c r="L297" s="663">
        <f t="shared" si="49"/>
        <v>0</v>
      </c>
      <c r="M297" s="663" t="str">
        <f>IF(K297&gt;0,SUM($L$5:L297),"")</f>
        <v/>
      </c>
    </row>
    <row r="298" spans="1:13" hidden="1" x14ac:dyDescent="0.2">
      <c r="A298" s="677" t="b">
        <f t="shared" si="48"/>
        <v>0</v>
      </c>
      <c r="C298" s="666"/>
      <c r="D298" s="667" t="str">
        <f t="shared" si="40"/>
        <v/>
      </c>
      <c r="E298" s="668">
        <f t="shared" si="41"/>
        <v>0</v>
      </c>
      <c r="F298" s="669">
        <f t="shared" si="42"/>
        <v>0</v>
      </c>
      <c r="G298" s="668">
        <f t="shared" si="43"/>
        <v>0</v>
      </c>
      <c r="H298" s="670">
        <f t="shared" si="44"/>
        <v>0</v>
      </c>
      <c r="I298" s="670">
        <f t="shared" si="45"/>
        <v>0</v>
      </c>
      <c r="J298" s="668">
        <f t="shared" si="46"/>
        <v>0</v>
      </c>
      <c r="K298" s="671">
        <f t="shared" si="47"/>
        <v>0</v>
      </c>
      <c r="L298" s="663">
        <f t="shared" si="49"/>
        <v>0</v>
      </c>
      <c r="M298" s="663" t="str">
        <f>IF(K298&gt;0,SUM($L$5:L298),"")</f>
        <v/>
      </c>
    </row>
    <row r="299" spans="1:13" hidden="1" x14ac:dyDescent="0.2">
      <c r="A299" s="677" t="b">
        <f t="shared" si="48"/>
        <v>0</v>
      </c>
      <c r="C299" s="666"/>
      <c r="D299" s="667" t="str">
        <f t="shared" si="40"/>
        <v/>
      </c>
      <c r="E299" s="668">
        <f t="shared" si="41"/>
        <v>0</v>
      </c>
      <c r="F299" s="669">
        <f t="shared" si="42"/>
        <v>0</v>
      </c>
      <c r="G299" s="668">
        <f t="shared" si="43"/>
        <v>0</v>
      </c>
      <c r="H299" s="670">
        <f t="shared" si="44"/>
        <v>0</v>
      </c>
      <c r="I299" s="670">
        <f t="shared" si="45"/>
        <v>0</v>
      </c>
      <c r="J299" s="668">
        <f t="shared" si="46"/>
        <v>0</v>
      </c>
      <c r="K299" s="671">
        <f t="shared" si="47"/>
        <v>0</v>
      </c>
      <c r="L299" s="663">
        <f t="shared" si="49"/>
        <v>0</v>
      </c>
      <c r="M299" s="663" t="str">
        <f>IF(K299&gt;0,SUM($L$5:L299),"")</f>
        <v/>
      </c>
    </row>
    <row r="300" spans="1:13" hidden="1" x14ac:dyDescent="0.2">
      <c r="A300" s="677" t="b">
        <f t="shared" si="48"/>
        <v>0</v>
      </c>
      <c r="C300" s="666"/>
      <c r="D300" s="667" t="str">
        <f t="shared" si="40"/>
        <v/>
      </c>
      <c r="E300" s="668">
        <f t="shared" si="41"/>
        <v>0</v>
      </c>
      <c r="F300" s="669">
        <f t="shared" si="42"/>
        <v>0</v>
      </c>
      <c r="G300" s="668">
        <f t="shared" si="43"/>
        <v>0</v>
      </c>
      <c r="H300" s="670">
        <f t="shared" si="44"/>
        <v>0</v>
      </c>
      <c r="I300" s="670">
        <f t="shared" si="45"/>
        <v>0</v>
      </c>
      <c r="J300" s="668">
        <f t="shared" si="46"/>
        <v>0</v>
      </c>
      <c r="K300" s="671">
        <f t="shared" si="47"/>
        <v>0</v>
      </c>
      <c r="L300" s="663">
        <f t="shared" si="49"/>
        <v>0</v>
      </c>
      <c r="M300" s="663" t="str">
        <f>IF(K300&gt;0,SUM($L$5:L300),"")</f>
        <v/>
      </c>
    </row>
    <row r="301" spans="1:13" hidden="1" x14ac:dyDescent="0.2">
      <c r="A301" s="677" t="b">
        <f t="shared" si="48"/>
        <v>0</v>
      </c>
      <c r="C301" s="666"/>
      <c r="D301" s="667" t="str">
        <f t="shared" si="40"/>
        <v/>
      </c>
      <c r="E301" s="668">
        <f t="shared" si="41"/>
        <v>0</v>
      </c>
      <c r="F301" s="669">
        <f t="shared" si="42"/>
        <v>0</v>
      </c>
      <c r="G301" s="668">
        <f t="shared" si="43"/>
        <v>0</v>
      </c>
      <c r="H301" s="670">
        <f t="shared" si="44"/>
        <v>0</v>
      </c>
      <c r="I301" s="670">
        <f t="shared" si="45"/>
        <v>0</v>
      </c>
      <c r="J301" s="668">
        <f t="shared" si="46"/>
        <v>0</v>
      </c>
      <c r="K301" s="671">
        <f t="shared" si="47"/>
        <v>0</v>
      </c>
      <c r="L301" s="663">
        <f t="shared" si="49"/>
        <v>0</v>
      </c>
      <c r="M301" s="663" t="str">
        <f>IF(K301&gt;0,SUM($L$5:L301),"")</f>
        <v/>
      </c>
    </row>
    <row r="302" spans="1:13" hidden="1" x14ac:dyDescent="0.2">
      <c r="A302" s="677" t="b">
        <f t="shared" si="48"/>
        <v>0</v>
      </c>
      <c r="C302" s="666"/>
      <c r="D302" s="667" t="str">
        <f t="shared" si="40"/>
        <v/>
      </c>
      <c r="E302" s="668">
        <f t="shared" si="41"/>
        <v>0</v>
      </c>
      <c r="F302" s="669">
        <f t="shared" si="42"/>
        <v>0</v>
      </c>
      <c r="G302" s="668">
        <f t="shared" si="43"/>
        <v>0</v>
      </c>
      <c r="H302" s="670">
        <f t="shared" si="44"/>
        <v>0</v>
      </c>
      <c r="I302" s="670">
        <f t="shared" si="45"/>
        <v>0</v>
      </c>
      <c r="J302" s="668">
        <f t="shared" si="46"/>
        <v>0</v>
      </c>
      <c r="K302" s="671">
        <f t="shared" si="47"/>
        <v>0</v>
      </c>
      <c r="L302" s="663">
        <f t="shared" si="49"/>
        <v>0</v>
      </c>
      <c r="M302" s="663" t="str">
        <f>IF(K302&gt;0,SUM($L$5:L302),"")</f>
        <v/>
      </c>
    </row>
    <row r="303" spans="1:13" hidden="1" x14ac:dyDescent="0.2">
      <c r="A303" s="677" t="b">
        <f t="shared" si="48"/>
        <v>0</v>
      </c>
      <c r="C303" s="666"/>
      <c r="D303" s="667" t="str">
        <f t="shared" si="40"/>
        <v/>
      </c>
      <c r="E303" s="668">
        <f t="shared" si="41"/>
        <v>0</v>
      </c>
      <c r="F303" s="669">
        <f t="shared" si="42"/>
        <v>0</v>
      </c>
      <c r="G303" s="668">
        <f t="shared" si="43"/>
        <v>0</v>
      </c>
      <c r="H303" s="670">
        <f t="shared" si="44"/>
        <v>0</v>
      </c>
      <c r="I303" s="670">
        <f t="shared" si="45"/>
        <v>0</v>
      </c>
      <c r="J303" s="668">
        <f t="shared" si="46"/>
        <v>0</v>
      </c>
      <c r="K303" s="671">
        <f t="shared" si="47"/>
        <v>0</v>
      </c>
      <c r="L303" s="663">
        <f t="shared" si="49"/>
        <v>0</v>
      </c>
      <c r="M303" s="663" t="str">
        <f>IF(K303&gt;0,SUM($L$5:L303),"")</f>
        <v/>
      </c>
    </row>
    <row r="304" spans="1:13" hidden="1" x14ac:dyDescent="0.2">
      <c r="A304" s="677" t="b">
        <f t="shared" si="48"/>
        <v>0</v>
      </c>
      <c r="C304" s="666"/>
      <c r="D304" s="667" t="str">
        <f t="shared" si="40"/>
        <v/>
      </c>
      <c r="E304" s="668">
        <f t="shared" si="41"/>
        <v>0</v>
      </c>
      <c r="F304" s="669">
        <f t="shared" si="42"/>
        <v>0</v>
      </c>
      <c r="G304" s="668">
        <f t="shared" si="43"/>
        <v>0</v>
      </c>
      <c r="H304" s="670">
        <f t="shared" si="44"/>
        <v>0</v>
      </c>
      <c r="I304" s="670">
        <f t="shared" si="45"/>
        <v>0</v>
      </c>
      <c r="J304" s="668">
        <f t="shared" si="46"/>
        <v>0</v>
      </c>
      <c r="K304" s="671">
        <f t="shared" si="47"/>
        <v>0</v>
      </c>
      <c r="L304" s="663">
        <f t="shared" si="49"/>
        <v>0</v>
      </c>
      <c r="M304" s="663" t="str">
        <f>IF(K304&gt;0,SUM($L$5:L304),"")</f>
        <v/>
      </c>
    </row>
    <row r="305" spans="1:13" hidden="1" x14ac:dyDescent="0.2">
      <c r="A305" s="677" t="b">
        <f t="shared" si="48"/>
        <v>0</v>
      </c>
      <c r="C305" s="672"/>
      <c r="D305" s="673" t="str">
        <f t="shared" si="40"/>
        <v/>
      </c>
      <c r="E305" s="668">
        <f t="shared" si="41"/>
        <v>0</v>
      </c>
      <c r="F305" s="669">
        <f t="shared" si="42"/>
        <v>0</v>
      </c>
      <c r="G305" s="668">
        <f t="shared" si="43"/>
        <v>0</v>
      </c>
      <c r="H305" s="674">
        <f t="shared" si="44"/>
        <v>0</v>
      </c>
      <c r="I305" s="674">
        <f t="shared" si="45"/>
        <v>0</v>
      </c>
      <c r="J305" s="668">
        <f t="shared" si="46"/>
        <v>0</v>
      </c>
      <c r="K305" s="671">
        <f t="shared" si="47"/>
        <v>0</v>
      </c>
      <c r="L305" s="663">
        <f t="shared" si="49"/>
        <v>0</v>
      </c>
      <c r="M305" s="663" t="str">
        <f>IF(K305&gt;0,SUM($L$5:L305),"")</f>
        <v/>
      </c>
    </row>
    <row r="306" spans="1:13" x14ac:dyDescent="0.25">
      <c r="C306" s="664"/>
      <c r="D306" s="664"/>
      <c r="E306" s="664"/>
      <c r="F306" s="665"/>
      <c r="G306" s="664"/>
      <c r="H306" s="664"/>
      <c r="I306" s="664"/>
      <c r="J306" s="664"/>
      <c r="K306" s="664"/>
    </row>
  </sheetData>
  <autoFilter ref="C4:K305" xr:uid="{00000000-0009-0000-0000-000007000000}">
    <filterColumn colId="0">
      <customFilters>
        <customFilter operator="notEqual" val=" "/>
      </customFilters>
    </filterColumn>
    <sortState xmlns:xlrd2="http://schemas.microsoft.com/office/spreadsheetml/2017/richdata2" ref="C5:K305">
      <sortCondition descending="1" ref="K4:K305"/>
    </sortState>
  </autoFilter>
  <conditionalFormatting sqref="L5:L305">
    <cfRule type="colorScale" priority="2">
      <colorScale>
        <cfvo type="min"/>
        <cfvo type="percentile" val="50"/>
        <cfvo type="max"/>
        <color rgb="FF63BE7B"/>
        <color rgb="FFFFEB84"/>
        <color rgb="FFF8696B"/>
      </colorScale>
    </cfRule>
  </conditionalFormatting>
  <conditionalFormatting sqref="C5:K305">
    <cfRule type="expression" dxfId="4" priority="1">
      <formula>IF($A5,1,0)</formula>
    </cfRule>
  </conditionalFormatting>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theme="9" tint="0.39997558519241921"/>
  </sheetPr>
  <dimension ref="B1:E29"/>
  <sheetViews>
    <sheetView zoomScale="80" zoomScaleNormal="80" workbookViewId="0">
      <selection activeCell="B5" sqref="B5"/>
    </sheetView>
  </sheetViews>
  <sheetFormatPr defaultColWidth="9.109375" defaultRowHeight="13.2" x14ac:dyDescent="0.25"/>
  <cols>
    <col min="1" max="1" width="4.6640625" style="113" customWidth="1"/>
    <col min="2" max="2" width="47.6640625" style="113" customWidth="1"/>
    <col min="3" max="3" width="18.6640625" style="113" customWidth="1"/>
    <col min="4" max="4" width="15.6640625" style="113" customWidth="1"/>
    <col min="5" max="5" width="18.6640625" style="113" customWidth="1"/>
    <col min="6" max="6" width="4.6640625" style="113" customWidth="1"/>
    <col min="7" max="16384" width="9.109375" style="113"/>
  </cols>
  <sheetData>
    <row r="1" spans="2:5" ht="15" customHeight="1" x14ac:dyDescent="0.25"/>
    <row r="2" spans="2:5" ht="15" customHeight="1" x14ac:dyDescent="0.25">
      <c r="B2" s="114" t="s">
        <v>316</v>
      </c>
    </row>
    <row r="3" spans="2:5" ht="30" customHeight="1" x14ac:dyDescent="0.25">
      <c r="B3" s="113" t="s">
        <v>190</v>
      </c>
      <c r="C3" s="115" t="s">
        <v>313</v>
      </c>
      <c r="D3" s="115" t="s">
        <v>314</v>
      </c>
      <c r="E3" s="116" t="s">
        <v>315</v>
      </c>
    </row>
    <row r="4" spans="2:5" ht="15" customHeight="1" x14ac:dyDescent="0.25">
      <c r="B4" s="104"/>
      <c r="C4" s="105"/>
      <c r="D4" s="106"/>
      <c r="E4" s="117">
        <f>C4*D4</f>
        <v>0</v>
      </c>
    </row>
    <row r="5" spans="2:5" ht="15" customHeight="1" x14ac:dyDescent="0.25">
      <c r="B5" s="107"/>
      <c r="C5" s="108"/>
      <c r="D5" s="109"/>
      <c r="E5" s="118">
        <f>C5*D5</f>
        <v>0</v>
      </c>
    </row>
    <row r="6" spans="2:5" ht="15" customHeight="1" x14ac:dyDescent="0.25">
      <c r="B6" s="107"/>
      <c r="C6" s="108"/>
      <c r="D6" s="109"/>
      <c r="E6" s="118">
        <f>C6*D6</f>
        <v>0</v>
      </c>
    </row>
    <row r="7" spans="2:5" ht="15" customHeight="1" x14ac:dyDescent="0.25">
      <c r="B7" s="107"/>
      <c r="C7" s="108"/>
      <c r="D7" s="109"/>
      <c r="E7" s="118">
        <f>C7*D7</f>
        <v>0</v>
      </c>
    </row>
    <row r="8" spans="2:5" ht="15" customHeight="1" x14ac:dyDescent="0.25">
      <c r="B8" s="110"/>
      <c r="C8" s="111"/>
      <c r="D8" s="112"/>
      <c r="E8" s="119">
        <f>C8*D8</f>
        <v>0</v>
      </c>
    </row>
    <row r="9" spans="2:5" ht="15" customHeight="1" x14ac:dyDescent="0.25">
      <c r="C9" s="87">
        <f>SUM(C4:C8)</f>
        <v>0</v>
      </c>
      <c r="D9" s="88">
        <f>IFERROR(E9/C9,0)</f>
        <v>0</v>
      </c>
      <c r="E9" s="87">
        <f>SUM(E4:E8)</f>
        <v>0</v>
      </c>
    </row>
    <row r="11" spans="2:5" ht="15" customHeight="1" x14ac:dyDescent="0.25">
      <c r="B11" s="114" t="s">
        <v>317</v>
      </c>
    </row>
    <row r="12" spans="2:5" ht="30" customHeight="1" x14ac:dyDescent="0.25">
      <c r="B12" s="113" t="s">
        <v>190</v>
      </c>
      <c r="C12" s="115" t="s">
        <v>313</v>
      </c>
      <c r="D12" s="115" t="s">
        <v>314</v>
      </c>
      <c r="E12" s="116" t="s">
        <v>315</v>
      </c>
    </row>
    <row r="13" spans="2:5" ht="15" customHeight="1" x14ac:dyDescent="0.25">
      <c r="B13" s="104"/>
      <c r="C13" s="105"/>
      <c r="D13" s="106"/>
      <c r="E13" s="117">
        <f>C13*D13</f>
        <v>0</v>
      </c>
    </row>
    <row r="14" spans="2:5" ht="15" customHeight="1" x14ac:dyDescent="0.25">
      <c r="B14" s="107"/>
      <c r="C14" s="108"/>
      <c r="D14" s="109"/>
      <c r="E14" s="118">
        <f>C14*D14</f>
        <v>0</v>
      </c>
    </row>
    <row r="15" spans="2:5" ht="15" customHeight="1" x14ac:dyDescent="0.25">
      <c r="B15" s="107"/>
      <c r="C15" s="108"/>
      <c r="D15" s="109"/>
      <c r="E15" s="118">
        <f>C15*D15</f>
        <v>0</v>
      </c>
    </row>
    <row r="16" spans="2:5" ht="15" customHeight="1" x14ac:dyDescent="0.25">
      <c r="B16" s="107"/>
      <c r="C16" s="108"/>
      <c r="D16" s="109"/>
      <c r="E16" s="118">
        <f>C16*D16</f>
        <v>0</v>
      </c>
    </row>
    <row r="17" spans="2:5" ht="15" customHeight="1" x14ac:dyDescent="0.25">
      <c r="B17" s="110"/>
      <c r="C17" s="111"/>
      <c r="D17" s="112"/>
      <c r="E17" s="119">
        <f>C17*D17</f>
        <v>0</v>
      </c>
    </row>
    <row r="18" spans="2:5" ht="15" customHeight="1" x14ac:dyDescent="0.25">
      <c r="C18" s="87">
        <f>SUM(C13:C17)</f>
        <v>0</v>
      </c>
      <c r="D18" s="88">
        <f>IFERROR(E18/C18,0)</f>
        <v>0</v>
      </c>
      <c r="E18" s="87">
        <f>SUM(E13:E17)</f>
        <v>0</v>
      </c>
    </row>
    <row r="21" spans="2:5" ht="20.100000000000001" customHeight="1" x14ac:dyDescent="0.25">
      <c r="D21" s="120" t="s">
        <v>1039</v>
      </c>
      <c r="E21" s="121">
        <f>IF(risco_total&gt;opp_total,risco_total-opp_total,0)</f>
        <v>0</v>
      </c>
    </row>
    <row r="22" spans="2:5" ht="12.75" customHeight="1" x14ac:dyDescent="0.25"/>
    <row r="23" spans="2:5" ht="12.75" customHeight="1" x14ac:dyDescent="0.25"/>
    <row r="24" spans="2:5" ht="15" customHeight="1" x14ac:dyDescent="0.25">
      <c r="B24" s="113" t="s">
        <v>189</v>
      </c>
      <c r="C24" s="115" t="s">
        <v>1094</v>
      </c>
    </row>
    <row r="25" spans="2:5" ht="15" customHeight="1" x14ac:dyDescent="0.25">
      <c r="B25" s="731"/>
      <c r="C25" s="732">
        <f>IFERROR(VLOOKUP(B25,tbl_materiais,COLUMN(head_mat_CLreal)-COLUMN(head_mat_item)+1,FALSE),0)</f>
        <v>0</v>
      </c>
    </row>
    <row r="26" spans="2:5" ht="15" customHeight="1" x14ac:dyDescent="0.25">
      <c r="B26" s="731"/>
      <c r="C26" s="732">
        <f>IFERROR(VLOOKUP(B26,tbl_materiais,COLUMN(head_mat_CLreal)-COLUMN(head_mat_item)+1,FALSE),0)</f>
        <v>0</v>
      </c>
    </row>
    <row r="27" spans="2:5" ht="15" customHeight="1" x14ac:dyDescent="0.25">
      <c r="B27" s="731"/>
      <c r="C27" s="732">
        <f>IFERROR(VLOOKUP(B27,tbl_materiais,COLUMN(head_mat_CLreal)-COLUMN(head_mat_item)+1,FALSE),0)</f>
        <v>0</v>
      </c>
    </row>
    <row r="28" spans="2:5" ht="15" customHeight="1" x14ac:dyDescent="0.25">
      <c r="B28" s="731"/>
      <c r="C28" s="732">
        <f>IFERROR(VLOOKUP(B28,tbl_materiais,COLUMN(head_mat_CLreal)-COLUMN(head_mat_item)+1,FALSE),0)</f>
        <v>0</v>
      </c>
    </row>
    <row r="29" spans="2:5" ht="15" customHeight="1" x14ac:dyDescent="0.25">
      <c r="B29" s="731"/>
      <c r="C29" s="732">
        <f>IFERROR(VLOOKUP(B29,tbl_materiais,COLUMN(head_mat_CLreal)-COLUMN(head_mat_item)+1,FALSE),0)</f>
        <v>0</v>
      </c>
    </row>
  </sheetData>
  <pageMargins left="0.7" right="0.7" top="0.75" bottom="0.75" header="0.3" footer="0.3"/>
  <ignoredErrors>
    <ignoredError sqref="D9 D18" formula="1"/>
  </ignoredError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theme="9" tint="0.39997558519241921"/>
  </sheetPr>
  <dimension ref="A2:CE62"/>
  <sheetViews>
    <sheetView topLeftCell="F1" zoomScale="80" zoomScaleNormal="80" workbookViewId="0">
      <pane xSplit="3" ySplit="4" topLeftCell="I5" activePane="bottomRight" state="frozen"/>
      <selection activeCell="F1" sqref="F1"/>
      <selection pane="topRight" activeCell="I1" sqref="I1"/>
      <selection pane="bottomLeft" activeCell="F5" sqref="F5"/>
      <selection pane="bottomRight" activeCell="S39" sqref="S39"/>
    </sheetView>
  </sheetViews>
  <sheetFormatPr defaultColWidth="9.109375" defaultRowHeight="13.2" x14ac:dyDescent="0.25"/>
  <cols>
    <col min="1" max="1" width="3.6640625" style="113" hidden="1" customWidth="1"/>
    <col min="2" max="2" width="25.6640625" style="113" hidden="1" customWidth="1"/>
    <col min="3" max="3" width="10.6640625" style="113" hidden="1" customWidth="1"/>
    <col min="4" max="4" width="3.6640625" style="115" hidden="1" customWidth="1"/>
    <col min="5" max="5" width="8.6640625" style="113" hidden="1" customWidth="1"/>
    <col min="6" max="6" width="3.6640625" style="113" customWidth="1"/>
    <col min="7" max="7" width="25.6640625" style="113" customWidth="1"/>
    <col min="8" max="8" width="15.6640625" style="113" customWidth="1"/>
    <col min="9" max="20" width="11.6640625" style="135" customWidth="1"/>
    <col min="21" max="21" width="11.5546875" style="135" customWidth="1"/>
    <col min="22" max="44" width="11.6640625" style="135" customWidth="1"/>
    <col min="45" max="45" width="14.6640625" style="135" customWidth="1"/>
    <col min="46" max="46" width="9.109375" style="135" customWidth="1"/>
    <col min="47" max="47" width="4.6640625" style="115" customWidth="1"/>
    <col min="48" max="83" width="9.109375" style="115" customWidth="1"/>
    <col min="84" max="84" width="9.109375" style="113" customWidth="1"/>
    <col min="85" max="16384" width="9.109375" style="113"/>
  </cols>
  <sheetData>
    <row r="2" spans="7:83" x14ac:dyDescent="0.25">
      <c r="G2" s="114" t="s">
        <v>334</v>
      </c>
      <c r="AS2" s="113"/>
      <c r="AT2" s="135" t="b">
        <f>IF(ABS(AS4-AS3)&lt;0.01,TRUE,FALSE)</f>
        <v>0</v>
      </c>
    </row>
    <row r="3" spans="7:83" x14ac:dyDescent="0.25">
      <c r="AS3" s="141">
        <f>SUM(H5,H19,H24,H29:H32,H37)</f>
        <v>651277.12067102292</v>
      </c>
      <c r="AV3" s="115">
        <v>1</v>
      </c>
      <c r="AW3" s="115">
        <v>2</v>
      </c>
      <c r="AX3" s="115">
        <v>3</v>
      </c>
      <c r="AY3" s="115">
        <v>4</v>
      </c>
      <c r="AZ3" s="115">
        <v>5</v>
      </c>
      <c r="BA3" s="115">
        <v>6</v>
      </c>
      <c r="BB3" s="115">
        <v>7</v>
      </c>
      <c r="BC3" s="115">
        <v>8</v>
      </c>
      <c r="BD3" s="115">
        <v>9</v>
      </c>
      <c r="BE3" s="115">
        <v>10</v>
      </c>
      <c r="BF3" s="115">
        <v>11</v>
      </c>
      <c r="BG3" s="115">
        <v>12</v>
      </c>
    </row>
    <row r="4" spans="7:83" x14ac:dyDescent="0.25">
      <c r="I4" s="147">
        <f>Dados!F66</f>
        <v>45561</v>
      </c>
      <c r="J4" s="147">
        <f>DATE(YEAR(I4),MONTH(I4)+1,DAY(I4))</f>
        <v>45591</v>
      </c>
      <c r="K4" s="147">
        <f t="shared" ref="K4:AR4" si="0">DATE(YEAR(J4),MONTH(J4)+1,DAY(J4))</f>
        <v>45622</v>
      </c>
      <c r="L4" s="147">
        <f t="shared" si="0"/>
        <v>45652</v>
      </c>
      <c r="M4" s="147">
        <f t="shared" si="0"/>
        <v>45683</v>
      </c>
      <c r="N4" s="147">
        <f t="shared" si="0"/>
        <v>45714</v>
      </c>
      <c r="O4" s="147">
        <f t="shared" si="0"/>
        <v>45742</v>
      </c>
      <c r="P4" s="147">
        <f t="shared" si="0"/>
        <v>45773</v>
      </c>
      <c r="Q4" s="147">
        <f t="shared" si="0"/>
        <v>45803</v>
      </c>
      <c r="R4" s="147">
        <f t="shared" si="0"/>
        <v>45834</v>
      </c>
      <c r="S4" s="147">
        <f t="shared" si="0"/>
        <v>45864</v>
      </c>
      <c r="T4" s="147">
        <f t="shared" si="0"/>
        <v>45895</v>
      </c>
      <c r="U4" s="147">
        <f t="shared" si="0"/>
        <v>45926</v>
      </c>
      <c r="V4" s="147">
        <f t="shared" si="0"/>
        <v>45956</v>
      </c>
      <c r="W4" s="147">
        <f t="shared" si="0"/>
        <v>45987</v>
      </c>
      <c r="X4" s="147">
        <f t="shared" si="0"/>
        <v>46017</v>
      </c>
      <c r="Y4" s="147">
        <f t="shared" si="0"/>
        <v>46048</v>
      </c>
      <c r="Z4" s="147">
        <f t="shared" si="0"/>
        <v>46079</v>
      </c>
      <c r="AA4" s="147">
        <f t="shared" si="0"/>
        <v>46107</v>
      </c>
      <c r="AB4" s="147">
        <f t="shared" si="0"/>
        <v>46138</v>
      </c>
      <c r="AC4" s="147">
        <f t="shared" si="0"/>
        <v>46168</v>
      </c>
      <c r="AD4" s="147">
        <f t="shared" si="0"/>
        <v>46199</v>
      </c>
      <c r="AE4" s="147">
        <f t="shared" si="0"/>
        <v>46229</v>
      </c>
      <c r="AF4" s="147">
        <f t="shared" si="0"/>
        <v>46260</v>
      </c>
      <c r="AG4" s="147">
        <f t="shared" si="0"/>
        <v>46291</v>
      </c>
      <c r="AH4" s="147">
        <f t="shared" si="0"/>
        <v>46321</v>
      </c>
      <c r="AI4" s="147">
        <f t="shared" si="0"/>
        <v>46352</v>
      </c>
      <c r="AJ4" s="147">
        <f t="shared" si="0"/>
        <v>46382</v>
      </c>
      <c r="AK4" s="147">
        <f t="shared" si="0"/>
        <v>46413</v>
      </c>
      <c r="AL4" s="147">
        <f t="shared" si="0"/>
        <v>46444</v>
      </c>
      <c r="AM4" s="147">
        <f t="shared" si="0"/>
        <v>46472</v>
      </c>
      <c r="AN4" s="147">
        <f t="shared" si="0"/>
        <v>46503</v>
      </c>
      <c r="AO4" s="147">
        <f t="shared" si="0"/>
        <v>46533</v>
      </c>
      <c r="AP4" s="147">
        <f t="shared" si="0"/>
        <v>46564</v>
      </c>
      <c r="AQ4" s="147">
        <f t="shared" si="0"/>
        <v>46594</v>
      </c>
      <c r="AR4" s="147">
        <f t="shared" si="0"/>
        <v>46625</v>
      </c>
      <c r="AS4" s="148">
        <f>SUM(AS5:AS37)</f>
        <v>648637.12067102315</v>
      </c>
      <c r="AU4" s="115" t="s">
        <v>322</v>
      </c>
      <c r="AV4" s="149">
        <f t="shared" ref="AV4:CE4" si="1">I4</f>
        <v>45561</v>
      </c>
      <c r="AW4" s="149">
        <f t="shared" si="1"/>
        <v>45591</v>
      </c>
      <c r="AX4" s="149">
        <f t="shared" si="1"/>
        <v>45622</v>
      </c>
      <c r="AY4" s="149">
        <f t="shared" si="1"/>
        <v>45652</v>
      </c>
      <c r="AZ4" s="149">
        <f t="shared" si="1"/>
        <v>45683</v>
      </c>
      <c r="BA4" s="149">
        <f t="shared" si="1"/>
        <v>45714</v>
      </c>
      <c r="BB4" s="149">
        <f t="shared" si="1"/>
        <v>45742</v>
      </c>
      <c r="BC4" s="149">
        <f t="shared" si="1"/>
        <v>45773</v>
      </c>
      <c r="BD4" s="149">
        <f t="shared" si="1"/>
        <v>45803</v>
      </c>
      <c r="BE4" s="149">
        <f t="shared" si="1"/>
        <v>45834</v>
      </c>
      <c r="BF4" s="149">
        <f t="shared" si="1"/>
        <v>45864</v>
      </c>
      <c r="BG4" s="149">
        <f t="shared" si="1"/>
        <v>45895</v>
      </c>
      <c r="BH4" s="149">
        <f t="shared" si="1"/>
        <v>45926</v>
      </c>
      <c r="BI4" s="149">
        <f t="shared" si="1"/>
        <v>45956</v>
      </c>
      <c r="BJ4" s="149">
        <f t="shared" si="1"/>
        <v>45987</v>
      </c>
      <c r="BK4" s="149">
        <f t="shared" si="1"/>
        <v>46017</v>
      </c>
      <c r="BL4" s="149">
        <f t="shared" si="1"/>
        <v>46048</v>
      </c>
      <c r="BM4" s="149">
        <f t="shared" si="1"/>
        <v>46079</v>
      </c>
      <c r="BN4" s="149">
        <f t="shared" si="1"/>
        <v>46107</v>
      </c>
      <c r="BO4" s="149">
        <f t="shared" si="1"/>
        <v>46138</v>
      </c>
      <c r="BP4" s="149">
        <f t="shared" si="1"/>
        <v>46168</v>
      </c>
      <c r="BQ4" s="149">
        <f t="shared" si="1"/>
        <v>46199</v>
      </c>
      <c r="BR4" s="149">
        <f t="shared" si="1"/>
        <v>46229</v>
      </c>
      <c r="BS4" s="149">
        <f t="shared" si="1"/>
        <v>46260</v>
      </c>
      <c r="BT4" s="149">
        <f t="shared" si="1"/>
        <v>46291</v>
      </c>
      <c r="BU4" s="149">
        <f t="shared" si="1"/>
        <v>46321</v>
      </c>
      <c r="BV4" s="149">
        <f t="shared" si="1"/>
        <v>46352</v>
      </c>
      <c r="BW4" s="149">
        <f t="shared" si="1"/>
        <v>46382</v>
      </c>
      <c r="BX4" s="149">
        <f t="shared" si="1"/>
        <v>46413</v>
      </c>
      <c r="BY4" s="149">
        <f t="shared" si="1"/>
        <v>46444</v>
      </c>
      <c r="BZ4" s="149">
        <f t="shared" si="1"/>
        <v>46472</v>
      </c>
      <c r="CA4" s="149">
        <f t="shared" si="1"/>
        <v>46503</v>
      </c>
      <c r="CB4" s="149">
        <f t="shared" si="1"/>
        <v>46533</v>
      </c>
      <c r="CC4" s="149">
        <f t="shared" si="1"/>
        <v>46564</v>
      </c>
      <c r="CD4" s="149">
        <f t="shared" si="1"/>
        <v>46594</v>
      </c>
      <c r="CE4" s="149">
        <f t="shared" si="1"/>
        <v>46625</v>
      </c>
    </row>
    <row r="5" spans="7:83" x14ac:dyDescent="0.25">
      <c r="G5" s="114" t="s">
        <v>38</v>
      </c>
      <c r="H5" s="122">
        <f>Dados!F85</f>
        <v>498526.91131264239</v>
      </c>
      <c r="I5" s="164">
        <f t="shared" ref="I5:I37" si="2">IF(AV5&lt;&gt;"",$H5/$AU5,0)</f>
        <v>0</v>
      </c>
      <c r="J5" s="159">
        <f t="shared" ref="J5:J37" si="3">IF(AW5&lt;&gt;"",$H5/$AU5,0)</f>
        <v>0</v>
      </c>
      <c r="K5" s="159">
        <f t="shared" ref="K5:K37" si="4">IF(AX5&lt;&gt;"",$H5/$AU5,0)</f>
        <v>0</v>
      </c>
      <c r="L5" s="159">
        <f t="shared" ref="L5:L37" si="5">IF(AY5&lt;&gt;"",$H5/$AU5,0)</f>
        <v>124631.7278281606</v>
      </c>
      <c r="M5" s="159">
        <f t="shared" ref="M5:M37" si="6">IF(AZ5&lt;&gt;"",$H5/$AU5,0)</f>
        <v>124631.7278281606</v>
      </c>
      <c r="N5" s="159">
        <f t="shared" ref="N5:N37" si="7">IF(BA5&lt;&gt;"",$H5/$AU5,0)</f>
        <v>124631.7278281606</v>
      </c>
      <c r="O5" s="159">
        <f t="shared" ref="O5:O37" si="8">IF(BB5&lt;&gt;"",$H5/$AU5,0)</f>
        <v>0</v>
      </c>
      <c r="P5" s="159">
        <f t="shared" ref="P5:P37" si="9">IF(BC5&lt;&gt;"",$H5/$AU5,0)</f>
        <v>0</v>
      </c>
      <c r="Q5" s="159">
        <f t="shared" ref="Q5:Q37" si="10">IF(BD5&lt;&gt;"",$H5/$AU5,0)</f>
        <v>0</v>
      </c>
      <c r="R5" s="159">
        <f t="shared" ref="R5:R37" si="11">IF(BE5&lt;&gt;"",$H5/$AU5,0)</f>
        <v>0</v>
      </c>
      <c r="S5" s="159">
        <f t="shared" ref="S5:S37" si="12">IF(BF5&lt;&gt;"",$H5/$AU5,0)</f>
        <v>124631.7278281606</v>
      </c>
      <c r="T5" s="159">
        <f t="shared" ref="T5:T37" si="13">IF(BG5&lt;&gt;"",$H5/$AU5,0)</f>
        <v>0</v>
      </c>
      <c r="U5" s="159">
        <f t="shared" ref="U5:U37" si="14">IF(BH5&lt;&gt;"",$H5/$AU5,0)</f>
        <v>0</v>
      </c>
      <c r="V5" s="159">
        <f t="shared" ref="V5:V37" si="15">IF(BI5&lt;&gt;"",$H5/$AU5,0)</f>
        <v>0</v>
      </c>
      <c r="W5" s="159">
        <f t="shared" ref="W5:W37" si="16">IF(BJ5&lt;&gt;"",$H5/$AU5,0)</f>
        <v>0</v>
      </c>
      <c r="X5" s="159">
        <f t="shared" ref="X5:X37" si="17">IF(BK5&lt;&gt;"",$H5/$AU5,0)</f>
        <v>0</v>
      </c>
      <c r="Y5" s="159">
        <f t="shared" ref="Y5:Y37" si="18">IF(BL5&lt;&gt;"",$H5/$AU5,0)</f>
        <v>0</v>
      </c>
      <c r="Z5" s="159">
        <f t="shared" ref="Z5:Z37" si="19">IF(BM5&lt;&gt;"",$H5/$AU5,0)</f>
        <v>0</v>
      </c>
      <c r="AA5" s="159">
        <f t="shared" ref="AA5:AA37" si="20">IF(BN5&lt;&gt;"",$H5/$AU5,0)</f>
        <v>0</v>
      </c>
      <c r="AB5" s="159">
        <f t="shared" ref="AB5:AB37" si="21">IF(BO5&lt;&gt;"",$H5/$AU5,0)</f>
        <v>0</v>
      </c>
      <c r="AC5" s="159">
        <f t="shared" ref="AC5:AC37" si="22">IF(BP5&lt;&gt;"",$H5/$AU5,0)</f>
        <v>0</v>
      </c>
      <c r="AD5" s="159">
        <f t="shared" ref="AD5:AD37" si="23">IF(BQ5&lt;&gt;"",$H5/$AU5,0)</f>
        <v>0</v>
      </c>
      <c r="AE5" s="159">
        <f t="shared" ref="AE5:AE37" si="24">IF(BR5&lt;&gt;"",$H5/$AU5,0)</f>
        <v>0</v>
      </c>
      <c r="AF5" s="159">
        <f t="shared" ref="AF5:AF37" si="25">IF(BS5&lt;&gt;"",$H5/$AU5,0)</f>
        <v>0</v>
      </c>
      <c r="AG5" s="159">
        <f t="shared" ref="AG5:AG37" si="26">IF(BT5&lt;&gt;"",$H5/$AU5,0)</f>
        <v>0</v>
      </c>
      <c r="AH5" s="159">
        <f t="shared" ref="AH5:AH37" si="27">IF(BU5&lt;&gt;"",$H5/$AU5,0)</f>
        <v>0</v>
      </c>
      <c r="AI5" s="159">
        <f t="shared" ref="AI5:AI37" si="28">IF(BV5&lt;&gt;"",$H5/$AU5,0)</f>
        <v>0</v>
      </c>
      <c r="AJ5" s="159">
        <f t="shared" ref="AJ5:AJ37" si="29">IF(BW5&lt;&gt;"",$H5/$AU5,0)</f>
        <v>0</v>
      </c>
      <c r="AK5" s="159">
        <f t="shared" ref="AK5:AK37" si="30">IF(BX5&lt;&gt;"",$H5/$AU5,0)</f>
        <v>0</v>
      </c>
      <c r="AL5" s="159">
        <f t="shared" ref="AL5:AL37" si="31">IF(BY5&lt;&gt;"",$H5/$AU5,0)</f>
        <v>0</v>
      </c>
      <c r="AM5" s="159">
        <f t="shared" ref="AM5:AM37" si="32">IF(BZ5&lt;&gt;"",$H5/$AU5,0)</f>
        <v>0</v>
      </c>
      <c r="AN5" s="159">
        <f t="shared" ref="AN5:AN37" si="33">IF(CA5&lt;&gt;"",$H5/$AU5,0)</f>
        <v>0</v>
      </c>
      <c r="AO5" s="159">
        <f t="shared" ref="AO5:AO37" si="34">IF(CB5&lt;&gt;"",$H5/$AU5,0)</f>
        <v>0</v>
      </c>
      <c r="AP5" s="159">
        <f t="shared" ref="AP5:AP37" si="35">IF(CC5&lt;&gt;"",$H5/$AU5,0)</f>
        <v>0</v>
      </c>
      <c r="AQ5" s="159">
        <f t="shared" ref="AQ5:AQ37" si="36">IF(CD5&lt;&gt;"",$H5/$AU5,0)</f>
        <v>0</v>
      </c>
      <c r="AR5" s="165">
        <f t="shared" ref="AR5:AR37" si="37">IF(CE5&lt;&gt;"",$H5/$AU5,0)</f>
        <v>0</v>
      </c>
      <c r="AS5" s="123">
        <f>SUM(I5:AR5)</f>
        <v>498526.91131264239</v>
      </c>
      <c r="AU5" s="115">
        <f>COUNTA(AV5:CE5)</f>
        <v>4</v>
      </c>
      <c r="AV5" s="41"/>
      <c r="AW5" s="142"/>
      <c r="AX5" s="142"/>
      <c r="AY5" s="142" t="s">
        <v>66</v>
      </c>
      <c r="AZ5" s="142" t="s">
        <v>66</v>
      </c>
      <c r="BA5" s="142" t="s">
        <v>66</v>
      </c>
      <c r="BB5" s="142"/>
      <c r="BC5" s="142"/>
      <c r="BD5" s="142"/>
      <c r="BE5" s="142"/>
      <c r="BF5" s="142" t="s">
        <v>66</v>
      </c>
      <c r="BG5" s="142"/>
      <c r="BH5" s="142"/>
      <c r="BI5" s="142"/>
      <c r="BJ5" s="142"/>
      <c r="BK5" s="142"/>
      <c r="BL5" s="142"/>
      <c r="BM5" s="142"/>
      <c r="BN5" s="142"/>
      <c r="BO5" s="142"/>
      <c r="BP5" s="142"/>
      <c r="BQ5" s="142"/>
      <c r="BR5" s="142"/>
      <c r="BS5" s="142"/>
      <c r="BT5" s="142"/>
      <c r="BU5" s="142"/>
      <c r="BV5" s="142"/>
      <c r="BW5" s="142"/>
      <c r="BX5" s="142"/>
      <c r="BY5" s="142"/>
      <c r="BZ5" s="142"/>
      <c r="CA5" s="142"/>
      <c r="CB5" s="142"/>
      <c r="CC5" s="142"/>
      <c r="CD5" s="142"/>
      <c r="CE5" s="42"/>
    </row>
    <row r="6" spans="7:83" hidden="1" x14ac:dyDescent="0.25">
      <c r="G6" s="113" t="s">
        <v>37</v>
      </c>
      <c r="H6" s="123">
        <f>Dados!F86</f>
        <v>20865.424800000001</v>
      </c>
      <c r="I6" s="166">
        <f t="shared" si="2"/>
        <v>0</v>
      </c>
      <c r="J6" s="151">
        <f t="shared" si="3"/>
        <v>0</v>
      </c>
      <c r="K6" s="151">
        <f t="shared" si="4"/>
        <v>0</v>
      </c>
      <c r="L6" s="151">
        <f t="shared" si="5"/>
        <v>0</v>
      </c>
      <c r="M6" s="151">
        <f t="shared" si="6"/>
        <v>0</v>
      </c>
      <c r="N6" s="151">
        <f t="shared" si="7"/>
        <v>0</v>
      </c>
      <c r="O6" s="151">
        <f t="shared" si="8"/>
        <v>0</v>
      </c>
      <c r="P6" s="151">
        <f t="shared" si="9"/>
        <v>0</v>
      </c>
      <c r="Q6" s="151">
        <f t="shared" si="10"/>
        <v>0</v>
      </c>
      <c r="R6" s="151">
        <f t="shared" si="11"/>
        <v>0</v>
      </c>
      <c r="S6" s="151">
        <f t="shared" si="12"/>
        <v>0</v>
      </c>
      <c r="T6" s="151">
        <f t="shared" si="13"/>
        <v>0</v>
      </c>
      <c r="U6" s="151">
        <f t="shared" si="14"/>
        <v>0</v>
      </c>
      <c r="V6" s="151">
        <f t="shared" si="15"/>
        <v>0</v>
      </c>
      <c r="W6" s="151">
        <f t="shared" si="16"/>
        <v>0</v>
      </c>
      <c r="X6" s="151">
        <f t="shared" si="17"/>
        <v>0</v>
      </c>
      <c r="Y6" s="151">
        <f t="shared" si="18"/>
        <v>0</v>
      </c>
      <c r="Z6" s="151">
        <f t="shared" si="19"/>
        <v>0</v>
      </c>
      <c r="AA6" s="151">
        <f t="shared" si="20"/>
        <v>0</v>
      </c>
      <c r="AB6" s="151">
        <f t="shared" si="21"/>
        <v>0</v>
      </c>
      <c r="AC6" s="151">
        <f t="shared" si="22"/>
        <v>0</v>
      </c>
      <c r="AD6" s="151">
        <f t="shared" si="23"/>
        <v>0</v>
      </c>
      <c r="AE6" s="151">
        <f t="shared" si="24"/>
        <v>0</v>
      </c>
      <c r="AF6" s="151">
        <f t="shared" si="25"/>
        <v>0</v>
      </c>
      <c r="AG6" s="151">
        <f t="shared" si="26"/>
        <v>0</v>
      </c>
      <c r="AH6" s="151">
        <f t="shared" si="27"/>
        <v>0</v>
      </c>
      <c r="AI6" s="151">
        <f t="shared" si="28"/>
        <v>0</v>
      </c>
      <c r="AJ6" s="151">
        <f t="shared" si="29"/>
        <v>0</v>
      </c>
      <c r="AK6" s="151">
        <f t="shared" si="30"/>
        <v>0</v>
      </c>
      <c r="AL6" s="151">
        <f t="shared" si="31"/>
        <v>0</v>
      </c>
      <c r="AM6" s="151">
        <f t="shared" si="32"/>
        <v>0</v>
      </c>
      <c r="AN6" s="151">
        <f t="shared" si="33"/>
        <v>0</v>
      </c>
      <c r="AO6" s="151">
        <f t="shared" si="34"/>
        <v>0</v>
      </c>
      <c r="AP6" s="151">
        <f t="shared" si="35"/>
        <v>0</v>
      </c>
      <c r="AQ6" s="151">
        <f t="shared" si="36"/>
        <v>0</v>
      </c>
      <c r="AR6" s="167">
        <f t="shared" si="37"/>
        <v>0</v>
      </c>
      <c r="AS6" s="123">
        <f t="shared" ref="AS6:AS37" si="38">SUM(I6:AR6)</f>
        <v>0</v>
      </c>
      <c r="AU6" s="115">
        <f t="shared" ref="AU6:AU37" si="39">COUNTA(AV6:CE6)</f>
        <v>0</v>
      </c>
      <c r="AV6" s="143"/>
      <c r="AW6" s="74"/>
      <c r="AX6" s="74"/>
      <c r="AY6" s="74"/>
      <c r="AZ6" s="74"/>
      <c r="BA6" s="74"/>
      <c r="BB6" s="74"/>
      <c r="BC6" s="74"/>
      <c r="BD6" s="74"/>
      <c r="BE6" s="74"/>
      <c r="BF6" s="74"/>
      <c r="BG6" s="74"/>
      <c r="BH6" s="74"/>
      <c r="BI6" s="74"/>
      <c r="BJ6" s="74"/>
      <c r="BK6" s="74"/>
      <c r="BL6" s="74"/>
      <c r="BM6" s="74"/>
      <c r="BN6" s="74"/>
      <c r="BO6" s="74"/>
      <c r="BP6" s="74"/>
      <c r="BQ6" s="74"/>
      <c r="BR6" s="74"/>
      <c r="BS6" s="74"/>
      <c r="BT6" s="74"/>
      <c r="BU6" s="74"/>
      <c r="BV6" s="74"/>
      <c r="BW6" s="74"/>
      <c r="BX6" s="74"/>
      <c r="BY6" s="74"/>
      <c r="BZ6" s="74"/>
      <c r="CA6" s="74"/>
      <c r="CB6" s="74"/>
      <c r="CC6" s="74"/>
      <c r="CD6" s="74"/>
      <c r="CE6" s="144"/>
    </row>
    <row r="7" spans="7:83" hidden="1" x14ac:dyDescent="0.25">
      <c r="G7" s="113" t="s">
        <v>36</v>
      </c>
      <c r="H7" s="123">
        <f>Dados!F87</f>
        <v>0</v>
      </c>
      <c r="I7" s="166">
        <f t="shared" si="2"/>
        <v>0</v>
      </c>
      <c r="J7" s="151">
        <f t="shared" si="3"/>
        <v>0</v>
      </c>
      <c r="K7" s="151">
        <f t="shared" si="4"/>
        <v>0</v>
      </c>
      <c r="L7" s="151">
        <f t="shared" si="5"/>
        <v>0</v>
      </c>
      <c r="M7" s="151">
        <f t="shared" si="6"/>
        <v>0</v>
      </c>
      <c r="N7" s="151">
        <f t="shared" si="7"/>
        <v>0</v>
      </c>
      <c r="O7" s="151">
        <f t="shared" si="8"/>
        <v>0</v>
      </c>
      <c r="P7" s="151">
        <f t="shared" si="9"/>
        <v>0</v>
      </c>
      <c r="Q7" s="151">
        <f t="shared" si="10"/>
        <v>0</v>
      </c>
      <c r="R7" s="151">
        <f t="shared" si="11"/>
        <v>0</v>
      </c>
      <c r="S7" s="151">
        <f t="shared" si="12"/>
        <v>0</v>
      </c>
      <c r="T7" s="151">
        <f t="shared" si="13"/>
        <v>0</v>
      </c>
      <c r="U7" s="151">
        <f t="shared" si="14"/>
        <v>0</v>
      </c>
      <c r="V7" s="151">
        <f t="shared" si="15"/>
        <v>0</v>
      </c>
      <c r="W7" s="151">
        <f t="shared" si="16"/>
        <v>0</v>
      </c>
      <c r="X7" s="151">
        <f t="shared" si="17"/>
        <v>0</v>
      </c>
      <c r="Y7" s="151">
        <f t="shared" si="18"/>
        <v>0</v>
      </c>
      <c r="Z7" s="151">
        <f t="shared" si="19"/>
        <v>0</v>
      </c>
      <c r="AA7" s="151">
        <f t="shared" si="20"/>
        <v>0</v>
      </c>
      <c r="AB7" s="151">
        <f t="shared" si="21"/>
        <v>0</v>
      </c>
      <c r="AC7" s="151">
        <f t="shared" si="22"/>
        <v>0</v>
      </c>
      <c r="AD7" s="151">
        <f t="shared" si="23"/>
        <v>0</v>
      </c>
      <c r="AE7" s="151">
        <f t="shared" si="24"/>
        <v>0</v>
      </c>
      <c r="AF7" s="151">
        <f t="shared" si="25"/>
        <v>0</v>
      </c>
      <c r="AG7" s="151">
        <f t="shared" si="26"/>
        <v>0</v>
      </c>
      <c r="AH7" s="151">
        <f t="shared" si="27"/>
        <v>0</v>
      </c>
      <c r="AI7" s="151">
        <f t="shared" si="28"/>
        <v>0</v>
      </c>
      <c r="AJ7" s="151">
        <f t="shared" si="29"/>
        <v>0</v>
      </c>
      <c r="AK7" s="151">
        <f t="shared" si="30"/>
        <v>0</v>
      </c>
      <c r="AL7" s="151">
        <f t="shared" si="31"/>
        <v>0</v>
      </c>
      <c r="AM7" s="151">
        <f t="shared" si="32"/>
        <v>0</v>
      </c>
      <c r="AN7" s="151">
        <f t="shared" si="33"/>
        <v>0</v>
      </c>
      <c r="AO7" s="151">
        <f t="shared" si="34"/>
        <v>0</v>
      </c>
      <c r="AP7" s="151">
        <f t="shared" si="35"/>
        <v>0</v>
      </c>
      <c r="AQ7" s="151">
        <f t="shared" si="36"/>
        <v>0</v>
      </c>
      <c r="AR7" s="167">
        <f t="shared" si="37"/>
        <v>0</v>
      </c>
      <c r="AS7" s="123">
        <f t="shared" si="38"/>
        <v>0</v>
      </c>
      <c r="AU7" s="115">
        <f t="shared" si="39"/>
        <v>0</v>
      </c>
      <c r="AV7" s="143"/>
      <c r="AW7" s="74"/>
      <c r="AX7" s="74"/>
      <c r="AY7" s="74"/>
      <c r="AZ7" s="74"/>
      <c r="BA7" s="74"/>
      <c r="BB7" s="74"/>
      <c r="BC7" s="74"/>
      <c r="BD7" s="74"/>
      <c r="BE7" s="74"/>
      <c r="BF7" s="74"/>
      <c r="BG7" s="74"/>
      <c r="BH7" s="74"/>
      <c r="BI7" s="74"/>
      <c r="BJ7" s="74"/>
      <c r="BK7" s="74"/>
      <c r="BL7" s="74"/>
      <c r="BM7" s="74"/>
      <c r="BN7" s="74"/>
      <c r="BO7" s="74"/>
      <c r="BP7" s="74"/>
      <c r="BQ7" s="74"/>
      <c r="BR7" s="74"/>
      <c r="BS7" s="74"/>
      <c r="BT7" s="74"/>
      <c r="BU7" s="74"/>
      <c r="BV7" s="74"/>
      <c r="BW7" s="74"/>
      <c r="BX7" s="74"/>
      <c r="BY7" s="74"/>
      <c r="BZ7" s="74"/>
      <c r="CA7" s="74"/>
      <c r="CB7" s="74"/>
      <c r="CC7" s="74"/>
      <c r="CD7" s="74"/>
      <c r="CE7" s="144"/>
    </row>
    <row r="8" spans="7:83" hidden="1" x14ac:dyDescent="0.25">
      <c r="G8" s="113" t="s">
        <v>35</v>
      </c>
      <c r="H8" s="123">
        <f>Dados!F92</f>
        <v>161982.5398</v>
      </c>
      <c r="I8" s="166">
        <f t="shared" si="2"/>
        <v>0</v>
      </c>
      <c r="J8" s="151">
        <f t="shared" si="3"/>
        <v>0</v>
      </c>
      <c r="K8" s="151">
        <f t="shared" si="4"/>
        <v>0</v>
      </c>
      <c r="L8" s="151">
        <f t="shared" si="5"/>
        <v>0</v>
      </c>
      <c r="M8" s="151">
        <f t="shared" si="6"/>
        <v>0</v>
      </c>
      <c r="N8" s="151">
        <f t="shared" si="7"/>
        <v>0</v>
      </c>
      <c r="O8" s="151">
        <f t="shared" si="8"/>
        <v>0</v>
      </c>
      <c r="P8" s="151">
        <f t="shared" si="9"/>
        <v>0</v>
      </c>
      <c r="Q8" s="151">
        <f t="shared" si="10"/>
        <v>0</v>
      </c>
      <c r="R8" s="151">
        <f t="shared" si="11"/>
        <v>0</v>
      </c>
      <c r="S8" s="151">
        <f t="shared" si="12"/>
        <v>0</v>
      </c>
      <c r="T8" s="151">
        <f t="shared" si="13"/>
        <v>0</v>
      </c>
      <c r="U8" s="151">
        <f t="shared" si="14"/>
        <v>0</v>
      </c>
      <c r="V8" s="151">
        <f t="shared" si="15"/>
        <v>0</v>
      </c>
      <c r="W8" s="151">
        <f t="shared" si="16"/>
        <v>0</v>
      </c>
      <c r="X8" s="151">
        <f t="shared" si="17"/>
        <v>0</v>
      </c>
      <c r="Y8" s="151">
        <f t="shared" si="18"/>
        <v>0</v>
      </c>
      <c r="Z8" s="151">
        <f t="shared" si="19"/>
        <v>0</v>
      </c>
      <c r="AA8" s="151">
        <f t="shared" si="20"/>
        <v>0</v>
      </c>
      <c r="AB8" s="151">
        <f t="shared" si="21"/>
        <v>0</v>
      </c>
      <c r="AC8" s="151">
        <f t="shared" si="22"/>
        <v>0</v>
      </c>
      <c r="AD8" s="151">
        <f t="shared" si="23"/>
        <v>0</v>
      </c>
      <c r="AE8" s="151">
        <f t="shared" si="24"/>
        <v>0</v>
      </c>
      <c r="AF8" s="151">
        <f t="shared" si="25"/>
        <v>0</v>
      </c>
      <c r="AG8" s="151">
        <f t="shared" si="26"/>
        <v>0</v>
      </c>
      <c r="AH8" s="151">
        <f t="shared" si="27"/>
        <v>0</v>
      </c>
      <c r="AI8" s="151">
        <f t="shared" si="28"/>
        <v>0</v>
      </c>
      <c r="AJ8" s="151">
        <f t="shared" si="29"/>
        <v>0</v>
      </c>
      <c r="AK8" s="151">
        <f t="shared" si="30"/>
        <v>0</v>
      </c>
      <c r="AL8" s="151">
        <f t="shared" si="31"/>
        <v>0</v>
      </c>
      <c r="AM8" s="151">
        <f t="shared" si="32"/>
        <v>0</v>
      </c>
      <c r="AN8" s="151">
        <f t="shared" si="33"/>
        <v>0</v>
      </c>
      <c r="AO8" s="151">
        <f t="shared" si="34"/>
        <v>0</v>
      </c>
      <c r="AP8" s="151">
        <f t="shared" si="35"/>
        <v>0</v>
      </c>
      <c r="AQ8" s="151">
        <f t="shared" si="36"/>
        <v>0</v>
      </c>
      <c r="AR8" s="167">
        <f t="shared" si="37"/>
        <v>0</v>
      </c>
      <c r="AS8" s="123">
        <f t="shared" si="38"/>
        <v>0</v>
      </c>
      <c r="AU8" s="115">
        <f t="shared" si="39"/>
        <v>0</v>
      </c>
      <c r="AV8" s="143"/>
      <c r="AW8" s="74"/>
      <c r="AX8" s="74"/>
      <c r="AY8" s="74"/>
      <c r="AZ8" s="74"/>
      <c r="BA8" s="74"/>
      <c r="BB8" s="74"/>
      <c r="BC8" s="74"/>
      <c r="BD8" s="74"/>
      <c r="BE8" s="74"/>
      <c r="BF8" s="74"/>
      <c r="BG8" s="74"/>
      <c r="BH8" s="74"/>
      <c r="BI8" s="74"/>
      <c r="BJ8" s="74"/>
      <c r="BK8" s="74"/>
      <c r="BL8" s="74"/>
      <c r="BM8" s="74"/>
      <c r="BN8" s="74"/>
      <c r="BO8" s="74"/>
      <c r="BP8" s="74"/>
      <c r="BQ8" s="74"/>
      <c r="BR8" s="74"/>
      <c r="BS8" s="74"/>
      <c r="BT8" s="74"/>
      <c r="BU8" s="74"/>
      <c r="BV8" s="74"/>
      <c r="BW8" s="74"/>
      <c r="BX8" s="74"/>
      <c r="BY8" s="74"/>
      <c r="BZ8" s="74"/>
      <c r="CA8" s="74"/>
      <c r="CB8" s="74"/>
      <c r="CC8" s="74"/>
      <c r="CD8" s="74"/>
      <c r="CE8" s="144"/>
    </row>
    <row r="9" spans="7:83" hidden="1" x14ac:dyDescent="0.25">
      <c r="G9" s="113" t="s">
        <v>34</v>
      </c>
      <c r="H9" s="123">
        <f>Dados!F93</f>
        <v>1638.41255</v>
      </c>
      <c r="I9" s="166">
        <f t="shared" si="2"/>
        <v>0</v>
      </c>
      <c r="J9" s="151">
        <f t="shared" si="3"/>
        <v>0</v>
      </c>
      <c r="K9" s="151">
        <f t="shared" si="4"/>
        <v>0</v>
      </c>
      <c r="L9" s="151">
        <f t="shared" si="5"/>
        <v>0</v>
      </c>
      <c r="M9" s="151">
        <f t="shared" si="6"/>
        <v>0</v>
      </c>
      <c r="N9" s="151">
        <f t="shared" si="7"/>
        <v>0</v>
      </c>
      <c r="O9" s="151">
        <f t="shared" si="8"/>
        <v>0</v>
      </c>
      <c r="P9" s="151">
        <f t="shared" si="9"/>
        <v>0</v>
      </c>
      <c r="Q9" s="151">
        <f t="shared" si="10"/>
        <v>0</v>
      </c>
      <c r="R9" s="151">
        <f t="shared" si="11"/>
        <v>0</v>
      </c>
      <c r="S9" s="151">
        <f t="shared" si="12"/>
        <v>0</v>
      </c>
      <c r="T9" s="151">
        <f t="shared" si="13"/>
        <v>0</v>
      </c>
      <c r="U9" s="151">
        <f t="shared" si="14"/>
        <v>0</v>
      </c>
      <c r="V9" s="151">
        <f t="shared" si="15"/>
        <v>0</v>
      </c>
      <c r="W9" s="151">
        <f t="shared" si="16"/>
        <v>0</v>
      </c>
      <c r="X9" s="151">
        <f t="shared" si="17"/>
        <v>0</v>
      </c>
      <c r="Y9" s="151">
        <f t="shared" si="18"/>
        <v>0</v>
      </c>
      <c r="Z9" s="151">
        <f t="shared" si="19"/>
        <v>0</v>
      </c>
      <c r="AA9" s="151">
        <f t="shared" si="20"/>
        <v>0</v>
      </c>
      <c r="AB9" s="151">
        <f t="shared" si="21"/>
        <v>0</v>
      </c>
      <c r="AC9" s="151">
        <f t="shared" si="22"/>
        <v>0</v>
      </c>
      <c r="AD9" s="151">
        <f t="shared" si="23"/>
        <v>0</v>
      </c>
      <c r="AE9" s="151">
        <f t="shared" si="24"/>
        <v>0</v>
      </c>
      <c r="AF9" s="151">
        <f t="shared" si="25"/>
        <v>0</v>
      </c>
      <c r="AG9" s="151">
        <f t="shared" si="26"/>
        <v>0</v>
      </c>
      <c r="AH9" s="151">
        <f t="shared" si="27"/>
        <v>0</v>
      </c>
      <c r="AI9" s="151">
        <f t="shared" si="28"/>
        <v>0</v>
      </c>
      <c r="AJ9" s="151">
        <f t="shared" si="29"/>
        <v>0</v>
      </c>
      <c r="AK9" s="151">
        <f t="shared" si="30"/>
        <v>0</v>
      </c>
      <c r="AL9" s="151">
        <f t="shared" si="31"/>
        <v>0</v>
      </c>
      <c r="AM9" s="151">
        <f t="shared" si="32"/>
        <v>0</v>
      </c>
      <c r="AN9" s="151">
        <f t="shared" si="33"/>
        <v>0</v>
      </c>
      <c r="AO9" s="151">
        <f t="shared" si="34"/>
        <v>0</v>
      </c>
      <c r="AP9" s="151">
        <f t="shared" si="35"/>
        <v>0</v>
      </c>
      <c r="AQ9" s="151">
        <f t="shared" si="36"/>
        <v>0</v>
      </c>
      <c r="AR9" s="167">
        <f t="shared" si="37"/>
        <v>0</v>
      </c>
      <c r="AS9" s="123">
        <f t="shared" si="38"/>
        <v>0</v>
      </c>
      <c r="AU9" s="115">
        <f t="shared" si="39"/>
        <v>0</v>
      </c>
      <c r="AV9" s="143"/>
      <c r="AW9" s="74"/>
      <c r="AX9" s="74"/>
      <c r="AY9" s="74"/>
      <c r="AZ9" s="74"/>
      <c r="BA9" s="74"/>
      <c r="BB9" s="74"/>
      <c r="BC9" s="74"/>
      <c r="BD9" s="74"/>
      <c r="BE9" s="74"/>
      <c r="BF9" s="74"/>
      <c r="BG9" s="74"/>
      <c r="BH9" s="74"/>
      <c r="BI9" s="74"/>
      <c r="BJ9" s="74"/>
      <c r="BK9" s="74"/>
      <c r="BL9" s="74"/>
      <c r="BM9" s="74"/>
      <c r="BN9" s="74"/>
      <c r="BO9" s="74"/>
      <c r="BP9" s="74"/>
      <c r="BQ9" s="74"/>
      <c r="BR9" s="74"/>
      <c r="BS9" s="74"/>
      <c r="BT9" s="74"/>
      <c r="BU9" s="74"/>
      <c r="BV9" s="74"/>
      <c r="BW9" s="74"/>
      <c r="BX9" s="74"/>
      <c r="BY9" s="74"/>
      <c r="BZ9" s="74"/>
      <c r="CA9" s="74"/>
      <c r="CB9" s="74"/>
      <c r="CC9" s="74"/>
      <c r="CD9" s="74"/>
      <c r="CE9" s="144"/>
    </row>
    <row r="10" spans="7:83" hidden="1" x14ac:dyDescent="0.25">
      <c r="G10" s="113" t="s">
        <v>33</v>
      </c>
      <c r="H10" s="123">
        <f>Dados!F94</f>
        <v>0</v>
      </c>
      <c r="I10" s="166">
        <f t="shared" si="2"/>
        <v>0</v>
      </c>
      <c r="J10" s="151">
        <f t="shared" si="3"/>
        <v>0</v>
      </c>
      <c r="K10" s="151">
        <f t="shared" si="4"/>
        <v>0</v>
      </c>
      <c r="L10" s="151">
        <f t="shared" si="5"/>
        <v>0</v>
      </c>
      <c r="M10" s="151">
        <f t="shared" si="6"/>
        <v>0</v>
      </c>
      <c r="N10" s="151">
        <f t="shared" si="7"/>
        <v>0</v>
      </c>
      <c r="O10" s="151">
        <f t="shared" si="8"/>
        <v>0</v>
      </c>
      <c r="P10" s="151">
        <f t="shared" si="9"/>
        <v>0</v>
      </c>
      <c r="Q10" s="151">
        <f t="shared" si="10"/>
        <v>0</v>
      </c>
      <c r="R10" s="151">
        <f t="shared" si="11"/>
        <v>0</v>
      </c>
      <c r="S10" s="151">
        <f t="shared" si="12"/>
        <v>0</v>
      </c>
      <c r="T10" s="151">
        <f t="shared" si="13"/>
        <v>0</v>
      </c>
      <c r="U10" s="151">
        <f t="shared" si="14"/>
        <v>0</v>
      </c>
      <c r="V10" s="151">
        <f t="shared" si="15"/>
        <v>0</v>
      </c>
      <c r="W10" s="151">
        <f t="shared" si="16"/>
        <v>0</v>
      </c>
      <c r="X10" s="151">
        <f t="shared" si="17"/>
        <v>0</v>
      </c>
      <c r="Y10" s="151">
        <f t="shared" si="18"/>
        <v>0</v>
      </c>
      <c r="Z10" s="151">
        <f t="shared" si="19"/>
        <v>0</v>
      </c>
      <c r="AA10" s="151">
        <f t="shared" si="20"/>
        <v>0</v>
      </c>
      <c r="AB10" s="151">
        <f t="shared" si="21"/>
        <v>0</v>
      </c>
      <c r="AC10" s="151">
        <f t="shared" si="22"/>
        <v>0</v>
      </c>
      <c r="AD10" s="151">
        <f t="shared" si="23"/>
        <v>0</v>
      </c>
      <c r="AE10" s="151">
        <f t="shared" si="24"/>
        <v>0</v>
      </c>
      <c r="AF10" s="151">
        <f t="shared" si="25"/>
        <v>0</v>
      </c>
      <c r="AG10" s="151">
        <f t="shared" si="26"/>
        <v>0</v>
      </c>
      <c r="AH10" s="151">
        <f t="shared" si="27"/>
        <v>0</v>
      </c>
      <c r="AI10" s="151">
        <f t="shared" si="28"/>
        <v>0</v>
      </c>
      <c r="AJ10" s="151">
        <f t="shared" si="29"/>
        <v>0</v>
      </c>
      <c r="AK10" s="151">
        <f t="shared" si="30"/>
        <v>0</v>
      </c>
      <c r="AL10" s="151">
        <f t="shared" si="31"/>
        <v>0</v>
      </c>
      <c r="AM10" s="151">
        <f t="shared" si="32"/>
        <v>0</v>
      </c>
      <c r="AN10" s="151">
        <f t="shared" si="33"/>
        <v>0</v>
      </c>
      <c r="AO10" s="151">
        <f t="shared" si="34"/>
        <v>0</v>
      </c>
      <c r="AP10" s="151">
        <f t="shared" si="35"/>
        <v>0</v>
      </c>
      <c r="AQ10" s="151">
        <f t="shared" si="36"/>
        <v>0</v>
      </c>
      <c r="AR10" s="167">
        <f t="shared" si="37"/>
        <v>0</v>
      </c>
      <c r="AS10" s="123">
        <f t="shared" si="38"/>
        <v>0</v>
      </c>
      <c r="AU10" s="115">
        <f t="shared" si="39"/>
        <v>0</v>
      </c>
      <c r="AV10" s="143"/>
      <c r="AW10" s="74"/>
      <c r="AX10" s="74"/>
      <c r="AY10" s="74"/>
      <c r="AZ10" s="74"/>
      <c r="BA10" s="74"/>
      <c r="BB10" s="74"/>
      <c r="BC10" s="74"/>
      <c r="BD10" s="74"/>
      <c r="BE10" s="74"/>
      <c r="BF10" s="74"/>
      <c r="BG10" s="74"/>
      <c r="BH10" s="74"/>
      <c r="BI10" s="74"/>
      <c r="BJ10" s="74"/>
      <c r="BK10" s="74"/>
      <c r="BL10" s="74"/>
      <c r="BM10" s="74"/>
      <c r="BN10" s="74"/>
      <c r="BO10" s="74"/>
      <c r="BP10" s="74"/>
      <c r="BQ10" s="74"/>
      <c r="BR10" s="74"/>
      <c r="BS10" s="74"/>
      <c r="BT10" s="74"/>
      <c r="BU10" s="74"/>
      <c r="BV10" s="74"/>
      <c r="BW10" s="74"/>
      <c r="BX10" s="74"/>
      <c r="BY10" s="74"/>
      <c r="BZ10" s="74"/>
      <c r="CA10" s="74"/>
      <c r="CB10" s="74"/>
      <c r="CC10" s="74"/>
      <c r="CD10" s="74"/>
      <c r="CE10" s="144"/>
    </row>
    <row r="11" spans="7:83" hidden="1" x14ac:dyDescent="0.25">
      <c r="G11" s="113" t="s">
        <v>60</v>
      </c>
      <c r="H11" s="123">
        <f>Dados!F95</f>
        <v>0</v>
      </c>
      <c r="I11" s="166">
        <f t="shared" si="2"/>
        <v>0</v>
      </c>
      <c r="J11" s="151">
        <f t="shared" si="3"/>
        <v>0</v>
      </c>
      <c r="K11" s="151">
        <f t="shared" si="4"/>
        <v>0</v>
      </c>
      <c r="L11" s="151">
        <f t="shared" si="5"/>
        <v>0</v>
      </c>
      <c r="M11" s="151">
        <f t="shared" si="6"/>
        <v>0</v>
      </c>
      <c r="N11" s="151">
        <f t="shared" si="7"/>
        <v>0</v>
      </c>
      <c r="O11" s="151">
        <f t="shared" si="8"/>
        <v>0</v>
      </c>
      <c r="P11" s="151">
        <f t="shared" si="9"/>
        <v>0</v>
      </c>
      <c r="Q11" s="151">
        <f t="shared" si="10"/>
        <v>0</v>
      </c>
      <c r="R11" s="151">
        <f t="shared" si="11"/>
        <v>0</v>
      </c>
      <c r="S11" s="151">
        <f t="shared" si="12"/>
        <v>0</v>
      </c>
      <c r="T11" s="151">
        <f t="shared" si="13"/>
        <v>0</v>
      </c>
      <c r="U11" s="151">
        <f t="shared" si="14"/>
        <v>0</v>
      </c>
      <c r="V11" s="151">
        <f t="shared" si="15"/>
        <v>0</v>
      </c>
      <c r="W11" s="151">
        <f t="shared" si="16"/>
        <v>0</v>
      </c>
      <c r="X11" s="151">
        <f t="shared" si="17"/>
        <v>0</v>
      </c>
      <c r="Y11" s="151">
        <f t="shared" si="18"/>
        <v>0</v>
      </c>
      <c r="Z11" s="151">
        <f t="shared" si="19"/>
        <v>0</v>
      </c>
      <c r="AA11" s="151">
        <f t="shared" si="20"/>
        <v>0</v>
      </c>
      <c r="AB11" s="151">
        <f t="shared" si="21"/>
        <v>0</v>
      </c>
      <c r="AC11" s="151">
        <f t="shared" si="22"/>
        <v>0</v>
      </c>
      <c r="AD11" s="151">
        <f t="shared" si="23"/>
        <v>0</v>
      </c>
      <c r="AE11" s="151">
        <f t="shared" si="24"/>
        <v>0</v>
      </c>
      <c r="AF11" s="151">
        <f t="shared" si="25"/>
        <v>0</v>
      </c>
      <c r="AG11" s="151">
        <f t="shared" si="26"/>
        <v>0</v>
      </c>
      <c r="AH11" s="151">
        <f t="shared" si="27"/>
        <v>0</v>
      </c>
      <c r="AI11" s="151">
        <f t="shared" si="28"/>
        <v>0</v>
      </c>
      <c r="AJ11" s="151">
        <f t="shared" si="29"/>
        <v>0</v>
      </c>
      <c r="AK11" s="151">
        <f t="shared" si="30"/>
        <v>0</v>
      </c>
      <c r="AL11" s="151">
        <f t="shared" si="31"/>
        <v>0</v>
      </c>
      <c r="AM11" s="151">
        <f t="shared" si="32"/>
        <v>0</v>
      </c>
      <c r="AN11" s="151">
        <f t="shared" si="33"/>
        <v>0</v>
      </c>
      <c r="AO11" s="151">
        <f t="shared" si="34"/>
        <v>0</v>
      </c>
      <c r="AP11" s="151">
        <f t="shared" si="35"/>
        <v>0</v>
      </c>
      <c r="AQ11" s="151">
        <f t="shared" si="36"/>
        <v>0</v>
      </c>
      <c r="AR11" s="167">
        <f t="shared" si="37"/>
        <v>0</v>
      </c>
      <c r="AS11" s="123">
        <f t="shared" si="38"/>
        <v>0</v>
      </c>
      <c r="AU11" s="115">
        <f t="shared" si="39"/>
        <v>0</v>
      </c>
      <c r="AV11" s="143"/>
      <c r="AW11" s="74"/>
      <c r="AX11" s="74"/>
      <c r="AY11" s="74"/>
      <c r="AZ11" s="74"/>
      <c r="BA11" s="74"/>
      <c r="BB11" s="74"/>
      <c r="BC11" s="74"/>
      <c r="BD11" s="74"/>
      <c r="BE11" s="74"/>
      <c r="BF11" s="74"/>
      <c r="BG11" s="74"/>
      <c r="BH11" s="74"/>
      <c r="BI11" s="74"/>
      <c r="BJ11" s="74"/>
      <c r="BK11" s="74"/>
      <c r="BL11" s="74"/>
      <c r="BM11" s="74"/>
      <c r="BN11" s="74"/>
      <c r="BO11" s="74"/>
      <c r="BP11" s="74"/>
      <c r="BQ11" s="74"/>
      <c r="BR11" s="74"/>
      <c r="BS11" s="74"/>
      <c r="BT11" s="74"/>
      <c r="BU11" s="74"/>
      <c r="BV11" s="74"/>
      <c r="BW11" s="74"/>
      <c r="BX11" s="74"/>
      <c r="BY11" s="74"/>
      <c r="BZ11" s="74"/>
      <c r="CA11" s="74"/>
      <c r="CB11" s="74"/>
      <c r="CC11" s="74"/>
      <c r="CD11" s="74"/>
      <c r="CE11" s="144"/>
    </row>
    <row r="12" spans="7:83" hidden="1" x14ac:dyDescent="0.25">
      <c r="G12" s="113" t="s">
        <v>32</v>
      </c>
      <c r="H12" s="123">
        <f>Dados!F96</f>
        <v>0</v>
      </c>
      <c r="I12" s="166">
        <f t="shared" si="2"/>
        <v>0</v>
      </c>
      <c r="J12" s="151">
        <f t="shared" si="3"/>
        <v>0</v>
      </c>
      <c r="K12" s="151">
        <f t="shared" si="4"/>
        <v>0</v>
      </c>
      <c r="L12" s="151">
        <f t="shared" si="5"/>
        <v>0</v>
      </c>
      <c r="M12" s="151">
        <f t="shared" si="6"/>
        <v>0</v>
      </c>
      <c r="N12" s="151">
        <f t="shared" si="7"/>
        <v>0</v>
      </c>
      <c r="O12" s="151">
        <f t="shared" si="8"/>
        <v>0</v>
      </c>
      <c r="P12" s="151">
        <f t="shared" si="9"/>
        <v>0</v>
      </c>
      <c r="Q12" s="151">
        <f t="shared" si="10"/>
        <v>0</v>
      </c>
      <c r="R12" s="151">
        <f t="shared" si="11"/>
        <v>0</v>
      </c>
      <c r="S12" s="151">
        <f t="shared" si="12"/>
        <v>0</v>
      </c>
      <c r="T12" s="151">
        <f t="shared" si="13"/>
        <v>0</v>
      </c>
      <c r="U12" s="151">
        <f t="shared" si="14"/>
        <v>0</v>
      </c>
      <c r="V12" s="151">
        <f t="shared" si="15"/>
        <v>0</v>
      </c>
      <c r="W12" s="151">
        <f t="shared" si="16"/>
        <v>0</v>
      </c>
      <c r="X12" s="151">
        <f t="shared" si="17"/>
        <v>0</v>
      </c>
      <c r="Y12" s="151">
        <f t="shared" si="18"/>
        <v>0</v>
      </c>
      <c r="Z12" s="151">
        <f t="shared" si="19"/>
        <v>0</v>
      </c>
      <c r="AA12" s="151">
        <f t="shared" si="20"/>
        <v>0</v>
      </c>
      <c r="AB12" s="151">
        <f t="shared" si="21"/>
        <v>0</v>
      </c>
      <c r="AC12" s="151">
        <f t="shared" si="22"/>
        <v>0</v>
      </c>
      <c r="AD12" s="151">
        <f t="shared" si="23"/>
        <v>0</v>
      </c>
      <c r="AE12" s="151">
        <f t="shared" si="24"/>
        <v>0</v>
      </c>
      <c r="AF12" s="151">
        <f t="shared" si="25"/>
        <v>0</v>
      </c>
      <c r="AG12" s="151">
        <f t="shared" si="26"/>
        <v>0</v>
      </c>
      <c r="AH12" s="151">
        <f t="shared" si="27"/>
        <v>0</v>
      </c>
      <c r="AI12" s="151">
        <f t="shared" si="28"/>
        <v>0</v>
      </c>
      <c r="AJ12" s="151">
        <f t="shared" si="29"/>
        <v>0</v>
      </c>
      <c r="AK12" s="151">
        <f t="shared" si="30"/>
        <v>0</v>
      </c>
      <c r="AL12" s="151">
        <f t="shared" si="31"/>
        <v>0</v>
      </c>
      <c r="AM12" s="151">
        <f t="shared" si="32"/>
        <v>0</v>
      </c>
      <c r="AN12" s="151">
        <f t="shared" si="33"/>
        <v>0</v>
      </c>
      <c r="AO12" s="151">
        <f t="shared" si="34"/>
        <v>0</v>
      </c>
      <c r="AP12" s="151">
        <f t="shared" si="35"/>
        <v>0</v>
      </c>
      <c r="AQ12" s="151">
        <f t="shared" si="36"/>
        <v>0</v>
      </c>
      <c r="AR12" s="167">
        <f t="shared" si="37"/>
        <v>0</v>
      </c>
      <c r="AS12" s="123">
        <f t="shared" si="38"/>
        <v>0</v>
      </c>
      <c r="AU12" s="115">
        <f t="shared" si="39"/>
        <v>0</v>
      </c>
      <c r="AV12" s="143"/>
      <c r="AW12" s="74"/>
      <c r="AX12" s="74"/>
      <c r="AY12" s="74"/>
      <c r="AZ12" s="74"/>
      <c r="BA12" s="74"/>
      <c r="BB12" s="74"/>
      <c r="BC12" s="74"/>
      <c r="BD12" s="74"/>
      <c r="BE12" s="74"/>
      <c r="BF12" s="74"/>
      <c r="BG12" s="74"/>
      <c r="BH12" s="74"/>
      <c r="BI12" s="74"/>
      <c r="BJ12" s="74"/>
      <c r="BK12" s="74"/>
      <c r="BL12" s="74"/>
      <c r="BM12" s="74"/>
      <c r="BN12" s="74"/>
      <c r="BO12" s="74"/>
      <c r="BP12" s="74"/>
      <c r="BQ12" s="74"/>
      <c r="BR12" s="74"/>
      <c r="BS12" s="74"/>
      <c r="BT12" s="74"/>
      <c r="BU12" s="74"/>
      <c r="BV12" s="74"/>
      <c r="BW12" s="74"/>
      <c r="BX12" s="74"/>
      <c r="BY12" s="74"/>
      <c r="BZ12" s="74"/>
      <c r="CA12" s="74"/>
      <c r="CB12" s="74"/>
      <c r="CC12" s="74"/>
      <c r="CD12" s="74"/>
      <c r="CE12" s="144"/>
    </row>
    <row r="13" spans="7:83" hidden="1" x14ac:dyDescent="0.25">
      <c r="G13" s="113" t="s">
        <v>31</v>
      </c>
      <c r="H13" s="123">
        <f>Dados!F97</f>
        <v>0</v>
      </c>
      <c r="I13" s="166">
        <f t="shared" si="2"/>
        <v>0</v>
      </c>
      <c r="J13" s="151">
        <f t="shared" si="3"/>
        <v>0</v>
      </c>
      <c r="K13" s="151">
        <f t="shared" si="4"/>
        <v>0</v>
      </c>
      <c r="L13" s="151">
        <f t="shared" si="5"/>
        <v>0</v>
      </c>
      <c r="M13" s="151">
        <f t="shared" si="6"/>
        <v>0</v>
      </c>
      <c r="N13" s="151">
        <f t="shared" si="7"/>
        <v>0</v>
      </c>
      <c r="O13" s="151">
        <f t="shared" si="8"/>
        <v>0</v>
      </c>
      <c r="P13" s="151">
        <f t="shared" si="9"/>
        <v>0</v>
      </c>
      <c r="Q13" s="151">
        <f t="shared" si="10"/>
        <v>0</v>
      </c>
      <c r="R13" s="151">
        <f t="shared" si="11"/>
        <v>0</v>
      </c>
      <c r="S13" s="151">
        <f t="shared" si="12"/>
        <v>0</v>
      </c>
      <c r="T13" s="151">
        <f t="shared" si="13"/>
        <v>0</v>
      </c>
      <c r="U13" s="151">
        <f t="shared" si="14"/>
        <v>0</v>
      </c>
      <c r="V13" s="151">
        <f t="shared" si="15"/>
        <v>0</v>
      </c>
      <c r="W13" s="151">
        <f t="shared" si="16"/>
        <v>0</v>
      </c>
      <c r="X13" s="151">
        <f t="shared" si="17"/>
        <v>0</v>
      </c>
      <c r="Y13" s="151">
        <f t="shared" si="18"/>
        <v>0</v>
      </c>
      <c r="Z13" s="151">
        <f t="shared" si="19"/>
        <v>0</v>
      </c>
      <c r="AA13" s="151">
        <f t="shared" si="20"/>
        <v>0</v>
      </c>
      <c r="AB13" s="151">
        <f t="shared" si="21"/>
        <v>0</v>
      </c>
      <c r="AC13" s="151">
        <f t="shared" si="22"/>
        <v>0</v>
      </c>
      <c r="AD13" s="151">
        <f t="shared" si="23"/>
        <v>0</v>
      </c>
      <c r="AE13" s="151">
        <f t="shared" si="24"/>
        <v>0</v>
      </c>
      <c r="AF13" s="151">
        <f t="shared" si="25"/>
        <v>0</v>
      </c>
      <c r="AG13" s="151">
        <f t="shared" si="26"/>
        <v>0</v>
      </c>
      <c r="AH13" s="151">
        <f t="shared" si="27"/>
        <v>0</v>
      </c>
      <c r="AI13" s="151">
        <f t="shared" si="28"/>
        <v>0</v>
      </c>
      <c r="AJ13" s="151">
        <f t="shared" si="29"/>
        <v>0</v>
      </c>
      <c r="AK13" s="151">
        <f t="shared" si="30"/>
        <v>0</v>
      </c>
      <c r="AL13" s="151">
        <f t="shared" si="31"/>
        <v>0</v>
      </c>
      <c r="AM13" s="151">
        <f t="shared" si="32"/>
        <v>0</v>
      </c>
      <c r="AN13" s="151">
        <f t="shared" si="33"/>
        <v>0</v>
      </c>
      <c r="AO13" s="151">
        <f t="shared" si="34"/>
        <v>0</v>
      </c>
      <c r="AP13" s="151">
        <f t="shared" si="35"/>
        <v>0</v>
      </c>
      <c r="AQ13" s="151">
        <f t="shared" si="36"/>
        <v>0</v>
      </c>
      <c r="AR13" s="167">
        <f t="shared" si="37"/>
        <v>0</v>
      </c>
      <c r="AS13" s="123">
        <f t="shared" si="38"/>
        <v>0</v>
      </c>
      <c r="AU13" s="115">
        <f t="shared" si="39"/>
        <v>0</v>
      </c>
      <c r="AV13" s="143"/>
      <c r="AW13" s="74"/>
      <c r="AX13" s="74"/>
      <c r="AY13" s="74"/>
      <c r="AZ13" s="74"/>
      <c r="BA13" s="74"/>
      <c r="BB13" s="74"/>
      <c r="BC13" s="74"/>
      <c r="BD13" s="74"/>
      <c r="BE13" s="74"/>
      <c r="BF13" s="74"/>
      <c r="BG13" s="74"/>
      <c r="BH13" s="74"/>
      <c r="BI13" s="74"/>
      <c r="BJ13" s="74"/>
      <c r="BK13" s="74"/>
      <c r="BL13" s="74"/>
      <c r="BM13" s="74"/>
      <c r="BN13" s="74"/>
      <c r="BO13" s="74"/>
      <c r="BP13" s="74"/>
      <c r="BQ13" s="74"/>
      <c r="BR13" s="74"/>
      <c r="BS13" s="74"/>
      <c r="BT13" s="74"/>
      <c r="BU13" s="74"/>
      <c r="BV13" s="74"/>
      <c r="BW13" s="74"/>
      <c r="BX13" s="74"/>
      <c r="BY13" s="74"/>
      <c r="BZ13" s="74"/>
      <c r="CA13" s="74"/>
      <c r="CB13" s="74"/>
      <c r="CC13" s="74"/>
      <c r="CD13" s="74"/>
      <c r="CE13" s="144"/>
    </row>
    <row r="14" spans="7:83" hidden="1" x14ac:dyDescent="0.25">
      <c r="G14" s="113" t="s">
        <v>160</v>
      </c>
      <c r="H14" s="123">
        <f>Dados!F98</f>
        <v>0</v>
      </c>
      <c r="I14" s="166">
        <f t="shared" si="2"/>
        <v>0</v>
      </c>
      <c r="J14" s="151">
        <f t="shared" si="3"/>
        <v>0</v>
      </c>
      <c r="K14" s="151">
        <f t="shared" si="4"/>
        <v>0</v>
      </c>
      <c r="L14" s="151">
        <f t="shared" si="5"/>
        <v>0</v>
      </c>
      <c r="M14" s="151">
        <f t="shared" si="6"/>
        <v>0</v>
      </c>
      <c r="N14" s="151">
        <f t="shared" si="7"/>
        <v>0</v>
      </c>
      <c r="O14" s="151">
        <f t="shared" si="8"/>
        <v>0</v>
      </c>
      <c r="P14" s="151">
        <f t="shared" si="9"/>
        <v>0</v>
      </c>
      <c r="Q14" s="151">
        <f t="shared" si="10"/>
        <v>0</v>
      </c>
      <c r="R14" s="151">
        <f t="shared" si="11"/>
        <v>0</v>
      </c>
      <c r="S14" s="151">
        <f t="shared" si="12"/>
        <v>0</v>
      </c>
      <c r="T14" s="151">
        <f t="shared" si="13"/>
        <v>0</v>
      </c>
      <c r="U14" s="151">
        <f t="shared" si="14"/>
        <v>0</v>
      </c>
      <c r="V14" s="151">
        <f t="shared" si="15"/>
        <v>0</v>
      </c>
      <c r="W14" s="151">
        <f t="shared" si="16"/>
        <v>0</v>
      </c>
      <c r="X14" s="151">
        <f t="shared" si="17"/>
        <v>0</v>
      </c>
      <c r="Y14" s="151">
        <f t="shared" si="18"/>
        <v>0</v>
      </c>
      <c r="Z14" s="151">
        <f t="shared" si="19"/>
        <v>0</v>
      </c>
      <c r="AA14" s="151">
        <f t="shared" si="20"/>
        <v>0</v>
      </c>
      <c r="AB14" s="151">
        <f t="shared" si="21"/>
        <v>0</v>
      </c>
      <c r="AC14" s="151">
        <f t="shared" si="22"/>
        <v>0</v>
      </c>
      <c r="AD14" s="151">
        <f t="shared" si="23"/>
        <v>0</v>
      </c>
      <c r="AE14" s="151">
        <f t="shared" si="24"/>
        <v>0</v>
      </c>
      <c r="AF14" s="151">
        <f t="shared" si="25"/>
        <v>0</v>
      </c>
      <c r="AG14" s="151">
        <f t="shared" si="26"/>
        <v>0</v>
      </c>
      <c r="AH14" s="151">
        <f t="shared" si="27"/>
        <v>0</v>
      </c>
      <c r="AI14" s="151">
        <f t="shared" si="28"/>
        <v>0</v>
      </c>
      <c r="AJ14" s="151">
        <f t="shared" si="29"/>
        <v>0</v>
      </c>
      <c r="AK14" s="151">
        <f t="shared" si="30"/>
        <v>0</v>
      </c>
      <c r="AL14" s="151">
        <f t="shared" si="31"/>
        <v>0</v>
      </c>
      <c r="AM14" s="151">
        <f t="shared" si="32"/>
        <v>0</v>
      </c>
      <c r="AN14" s="151">
        <f t="shared" si="33"/>
        <v>0</v>
      </c>
      <c r="AO14" s="151">
        <f t="shared" si="34"/>
        <v>0</v>
      </c>
      <c r="AP14" s="151">
        <f t="shared" si="35"/>
        <v>0</v>
      </c>
      <c r="AQ14" s="151">
        <f t="shared" si="36"/>
        <v>0</v>
      </c>
      <c r="AR14" s="167">
        <f t="shared" si="37"/>
        <v>0</v>
      </c>
      <c r="AS14" s="123">
        <f t="shared" si="38"/>
        <v>0</v>
      </c>
      <c r="AU14" s="115">
        <f t="shared" si="39"/>
        <v>0</v>
      </c>
      <c r="AV14" s="143"/>
      <c r="AW14" s="74"/>
      <c r="AX14" s="74"/>
      <c r="AY14" s="74"/>
      <c r="AZ14" s="74"/>
      <c r="BA14" s="74"/>
      <c r="BB14" s="74"/>
      <c r="BC14" s="74"/>
      <c r="BD14" s="74"/>
      <c r="BE14" s="74"/>
      <c r="BF14" s="74"/>
      <c r="BG14" s="74"/>
      <c r="BH14" s="74"/>
      <c r="BI14" s="74"/>
      <c r="BJ14" s="74"/>
      <c r="BK14" s="74"/>
      <c r="BL14" s="74"/>
      <c r="BM14" s="74"/>
      <c r="BN14" s="74"/>
      <c r="BO14" s="74"/>
      <c r="BP14" s="74"/>
      <c r="BQ14" s="74"/>
      <c r="BR14" s="74"/>
      <c r="BS14" s="74"/>
      <c r="BT14" s="74"/>
      <c r="BU14" s="74"/>
      <c r="BV14" s="74"/>
      <c r="BW14" s="74"/>
      <c r="BX14" s="74"/>
      <c r="BY14" s="74"/>
      <c r="BZ14" s="74"/>
      <c r="CA14" s="74"/>
      <c r="CB14" s="74"/>
      <c r="CC14" s="74"/>
      <c r="CD14" s="74"/>
      <c r="CE14" s="144"/>
    </row>
    <row r="15" spans="7:83" hidden="1" x14ac:dyDescent="0.25">
      <c r="G15" s="113" t="s">
        <v>161</v>
      </c>
      <c r="H15" s="123">
        <f>Dados!F99</f>
        <v>0</v>
      </c>
      <c r="I15" s="166">
        <f t="shared" si="2"/>
        <v>0</v>
      </c>
      <c r="J15" s="151">
        <f t="shared" si="3"/>
        <v>0</v>
      </c>
      <c r="K15" s="151">
        <f t="shared" si="4"/>
        <v>0</v>
      </c>
      <c r="L15" s="151">
        <f t="shared" si="5"/>
        <v>0</v>
      </c>
      <c r="M15" s="151">
        <f t="shared" si="6"/>
        <v>0</v>
      </c>
      <c r="N15" s="151">
        <f t="shared" si="7"/>
        <v>0</v>
      </c>
      <c r="O15" s="151">
        <f t="shared" si="8"/>
        <v>0</v>
      </c>
      <c r="P15" s="151">
        <f t="shared" si="9"/>
        <v>0</v>
      </c>
      <c r="Q15" s="151">
        <f t="shared" si="10"/>
        <v>0</v>
      </c>
      <c r="R15" s="151">
        <f t="shared" si="11"/>
        <v>0</v>
      </c>
      <c r="S15" s="151">
        <f t="shared" si="12"/>
        <v>0</v>
      </c>
      <c r="T15" s="151">
        <f t="shared" si="13"/>
        <v>0</v>
      </c>
      <c r="U15" s="151">
        <f t="shared" si="14"/>
        <v>0</v>
      </c>
      <c r="V15" s="151">
        <f t="shared" si="15"/>
        <v>0</v>
      </c>
      <c r="W15" s="151">
        <f t="shared" si="16"/>
        <v>0</v>
      </c>
      <c r="X15" s="151">
        <f t="shared" si="17"/>
        <v>0</v>
      </c>
      <c r="Y15" s="151">
        <f t="shared" si="18"/>
        <v>0</v>
      </c>
      <c r="Z15" s="151">
        <f t="shared" si="19"/>
        <v>0</v>
      </c>
      <c r="AA15" s="151">
        <f t="shared" si="20"/>
        <v>0</v>
      </c>
      <c r="AB15" s="151">
        <f t="shared" si="21"/>
        <v>0</v>
      </c>
      <c r="AC15" s="151">
        <f t="shared" si="22"/>
        <v>0</v>
      </c>
      <c r="AD15" s="151">
        <f t="shared" si="23"/>
        <v>0</v>
      </c>
      <c r="AE15" s="151">
        <f t="shared" si="24"/>
        <v>0</v>
      </c>
      <c r="AF15" s="151">
        <f t="shared" si="25"/>
        <v>0</v>
      </c>
      <c r="AG15" s="151">
        <f t="shared" si="26"/>
        <v>0</v>
      </c>
      <c r="AH15" s="151">
        <f t="shared" si="27"/>
        <v>0</v>
      </c>
      <c r="AI15" s="151">
        <f t="shared" si="28"/>
        <v>0</v>
      </c>
      <c r="AJ15" s="151">
        <f t="shared" si="29"/>
        <v>0</v>
      </c>
      <c r="AK15" s="151">
        <f t="shared" si="30"/>
        <v>0</v>
      </c>
      <c r="AL15" s="151">
        <f t="shared" si="31"/>
        <v>0</v>
      </c>
      <c r="AM15" s="151">
        <f t="shared" si="32"/>
        <v>0</v>
      </c>
      <c r="AN15" s="151">
        <f t="shared" si="33"/>
        <v>0</v>
      </c>
      <c r="AO15" s="151">
        <f t="shared" si="34"/>
        <v>0</v>
      </c>
      <c r="AP15" s="151">
        <f t="shared" si="35"/>
        <v>0</v>
      </c>
      <c r="AQ15" s="151">
        <f t="shared" si="36"/>
        <v>0</v>
      </c>
      <c r="AR15" s="167">
        <f t="shared" si="37"/>
        <v>0</v>
      </c>
      <c r="AS15" s="123">
        <f t="shared" si="38"/>
        <v>0</v>
      </c>
      <c r="AU15" s="115">
        <f t="shared" si="39"/>
        <v>0</v>
      </c>
      <c r="AV15" s="143"/>
      <c r="AW15" s="74"/>
      <c r="AX15" s="74"/>
      <c r="AY15" s="74"/>
      <c r="AZ15" s="74"/>
      <c r="BA15" s="74"/>
      <c r="BB15" s="74"/>
      <c r="BC15" s="74"/>
      <c r="BD15" s="74"/>
      <c r="BE15" s="74"/>
      <c r="BF15" s="74"/>
      <c r="BG15" s="74"/>
      <c r="BH15" s="74"/>
      <c r="BI15" s="74"/>
      <c r="BJ15" s="74"/>
      <c r="BK15" s="74"/>
      <c r="BL15" s="74"/>
      <c r="BM15" s="74"/>
      <c r="BN15" s="74"/>
      <c r="BO15" s="74"/>
      <c r="BP15" s="74"/>
      <c r="BQ15" s="74"/>
      <c r="BR15" s="74"/>
      <c r="BS15" s="74"/>
      <c r="BT15" s="74"/>
      <c r="BU15" s="74"/>
      <c r="BV15" s="74"/>
      <c r="BW15" s="74"/>
      <c r="BX15" s="74"/>
      <c r="BY15" s="74"/>
      <c r="BZ15" s="74"/>
      <c r="CA15" s="74"/>
      <c r="CB15" s="74"/>
      <c r="CC15" s="74"/>
      <c r="CD15" s="74"/>
      <c r="CE15" s="144"/>
    </row>
    <row r="16" spans="7:83" hidden="1" x14ac:dyDescent="0.25">
      <c r="G16" s="113" t="s">
        <v>162</v>
      </c>
      <c r="H16" s="123">
        <f>Dados!F100</f>
        <v>0</v>
      </c>
      <c r="I16" s="166">
        <f t="shared" si="2"/>
        <v>0</v>
      </c>
      <c r="J16" s="151">
        <f t="shared" si="3"/>
        <v>0</v>
      </c>
      <c r="K16" s="151">
        <f t="shared" si="4"/>
        <v>0</v>
      </c>
      <c r="L16" s="151">
        <f t="shared" si="5"/>
        <v>0</v>
      </c>
      <c r="M16" s="151">
        <f t="shared" si="6"/>
        <v>0</v>
      </c>
      <c r="N16" s="151">
        <f t="shared" si="7"/>
        <v>0</v>
      </c>
      <c r="O16" s="151">
        <f t="shared" si="8"/>
        <v>0</v>
      </c>
      <c r="P16" s="151">
        <f t="shared" si="9"/>
        <v>0</v>
      </c>
      <c r="Q16" s="151">
        <f t="shared" si="10"/>
        <v>0</v>
      </c>
      <c r="R16" s="151">
        <f t="shared" si="11"/>
        <v>0</v>
      </c>
      <c r="S16" s="151">
        <f t="shared" si="12"/>
        <v>0</v>
      </c>
      <c r="T16" s="151">
        <f t="shared" si="13"/>
        <v>0</v>
      </c>
      <c r="U16" s="151">
        <f t="shared" si="14"/>
        <v>0</v>
      </c>
      <c r="V16" s="151">
        <f t="shared" si="15"/>
        <v>0</v>
      </c>
      <c r="W16" s="151">
        <f t="shared" si="16"/>
        <v>0</v>
      </c>
      <c r="X16" s="151">
        <f t="shared" si="17"/>
        <v>0</v>
      </c>
      <c r="Y16" s="151">
        <f t="shared" si="18"/>
        <v>0</v>
      </c>
      <c r="Z16" s="151">
        <f t="shared" si="19"/>
        <v>0</v>
      </c>
      <c r="AA16" s="151">
        <f t="shared" si="20"/>
        <v>0</v>
      </c>
      <c r="AB16" s="151">
        <f t="shared" si="21"/>
        <v>0</v>
      </c>
      <c r="AC16" s="151">
        <f t="shared" si="22"/>
        <v>0</v>
      </c>
      <c r="AD16" s="151">
        <f t="shared" si="23"/>
        <v>0</v>
      </c>
      <c r="AE16" s="151">
        <f t="shared" si="24"/>
        <v>0</v>
      </c>
      <c r="AF16" s="151">
        <f t="shared" si="25"/>
        <v>0</v>
      </c>
      <c r="AG16" s="151">
        <f t="shared" si="26"/>
        <v>0</v>
      </c>
      <c r="AH16" s="151">
        <f t="shared" si="27"/>
        <v>0</v>
      </c>
      <c r="AI16" s="151">
        <f t="shared" si="28"/>
        <v>0</v>
      </c>
      <c r="AJ16" s="151">
        <f t="shared" si="29"/>
        <v>0</v>
      </c>
      <c r="AK16" s="151">
        <f t="shared" si="30"/>
        <v>0</v>
      </c>
      <c r="AL16" s="151">
        <f t="shared" si="31"/>
        <v>0</v>
      </c>
      <c r="AM16" s="151">
        <f t="shared" si="32"/>
        <v>0</v>
      </c>
      <c r="AN16" s="151">
        <f t="shared" si="33"/>
        <v>0</v>
      </c>
      <c r="AO16" s="151">
        <f t="shared" si="34"/>
        <v>0</v>
      </c>
      <c r="AP16" s="151">
        <f t="shared" si="35"/>
        <v>0</v>
      </c>
      <c r="AQ16" s="151">
        <f t="shared" si="36"/>
        <v>0</v>
      </c>
      <c r="AR16" s="167">
        <f t="shared" si="37"/>
        <v>0</v>
      </c>
      <c r="AS16" s="123">
        <f t="shared" si="38"/>
        <v>0</v>
      </c>
      <c r="AU16" s="115">
        <f t="shared" si="39"/>
        <v>0</v>
      </c>
      <c r="AV16" s="143"/>
      <c r="AW16" s="74"/>
      <c r="AX16" s="74"/>
      <c r="AY16" s="74"/>
      <c r="AZ16" s="74"/>
      <c r="BA16" s="74"/>
      <c r="BB16" s="74"/>
      <c r="BC16" s="74"/>
      <c r="BD16" s="74"/>
      <c r="BE16" s="74"/>
      <c r="BF16" s="74"/>
      <c r="BG16" s="74"/>
      <c r="BH16" s="74"/>
      <c r="BI16" s="74"/>
      <c r="BJ16" s="74"/>
      <c r="BK16" s="74"/>
      <c r="BL16" s="74"/>
      <c r="BM16" s="74"/>
      <c r="BN16" s="74"/>
      <c r="BO16" s="74"/>
      <c r="BP16" s="74"/>
      <c r="BQ16" s="74"/>
      <c r="BR16" s="74"/>
      <c r="BS16" s="74"/>
      <c r="BT16" s="74"/>
      <c r="BU16" s="74"/>
      <c r="BV16" s="74"/>
      <c r="BW16" s="74"/>
      <c r="BX16" s="74"/>
      <c r="BY16" s="74"/>
      <c r="BZ16" s="74"/>
      <c r="CA16" s="74"/>
      <c r="CB16" s="74"/>
      <c r="CC16" s="74"/>
      <c r="CD16" s="74"/>
      <c r="CE16" s="144"/>
    </row>
    <row r="17" spans="7:83" hidden="1" x14ac:dyDescent="0.25">
      <c r="G17" s="113" t="s">
        <v>147</v>
      </c>
      <c r="H17" s="123">
        <f>Dados!F101</f>
        <v>0</v>
      </c>
      <c r="I17" s="166">
        <f t="shared" si="2"/>
        <v>0</v>
      </c>
      <c r="J17" s="151">
        <f t="shared" si="3"/>
        <v>0</v>
      </c>
      <c r="K17" s="151">
        <f t="shared" si="4"/>
        <v>0</v>
      </c>
      <c r="L17" s="151">
        <f t="shared" si="5"/>
        <v>0</v>
      </c>
      <c r="M17" s="151">
        <f t="shared" si="6"/>
        <v>0</v>
      </c>
      <c r="N17" s="151">
        <f t="shared" si="7"/>
        <v>0</v>
      </c>
      <c r="O17" s="151">
        <f t="shared" si="8"/>
        <v>0</v>
      </c>
      <c r="P17" s="151">
        <f t="shared" si="9"/>
        <v>0</v>
      </c>
      <c r="Q17" s="151">
        <f t="shared" si="10"/>
        <v>0</v>
      </c>
      <c r="R17" s="151">
        <f t="shared" si="11"/>
        <v>0</v>
      </c>
      <c r="S17" s="151">
        <f t="shared" si="12"/>
        <v>0</v>
      </c>
      <c r="T17" s="151">
        <f t="shared" si="13"/>
        <v>0</v>
      </c>
      <c r="U17" s="151">
        <f t="shared" si="14"/>
        <v>0</v>
      </c>
      <c r="V17" s="151">
        <f t="shared" si="15"/>
        <v>0</v>
      </c>
      <c r="W17" s="151">
        <f t="shared" si="16"/>
        <v>0</v>
      </c>
      <c r="X17" s="151">
        <f t="shared" si="17"/>
        <v>0</v>
      </c>
      <c r="Y17" s="151">
        <f t="shared" si="18"/>
        <v>0</v>
      </c>
      <c r="Z17" s="151">
        <f t="shared" si="19"/>
        <v>0</v>
      </c>
      <c r="AA17" s="151">
        <f t="shared" si="20"/>
        <v>0</v>
      </c>
      <c r="AB17" s="151">
        <f t="shared" si="21"/>
        <v>0</v>
      </c>
      <c r="AC17" s="151">
        <f t="shared" si="22"/>
        <v>0</v>
      </c>
      <c r="AD17" s="151">
        <f t="shared" si="23"/>
        <v>0</v>
      </c>
      <c r="AE17" s="151">
        <f t="shared" si="24"/>
        <v>0</v>
      </c>
      <c r="AF17" s="151">
        <f t="shared" si="25"/>
        <v>0</v>
      </c>
      <c r="AG17" s="151">
        <f t="shared" si="26"/>
        <v>0</v>
      </c>
      <c r="AH17" s="151">
        <f t="shared" si="27"/>
        <v>0</v>
      </c>
      <c r="AI17" s="151">
        <f t="shared" si="28"/>
        <v>0</v>
      </c>
      <c r="AJ17" s="151">
        <f t="shared" si="29"/>
        <v>0</v>
      </c>
      <c r="AK17" s="151">
        <f t="shared" si="30"/>
        <v>0</v>
      </c>
      <c r="AL17" s="151">
        <f t="shared" si="31"/>
        <v>0</v>
      </c>
      <c r="AM17" s="151">
        <f t="shared" si="32"/>
        <v>0</v>
      </c>
      <c r="AN17" s="151">
        <f t="shared" si="33"/>
        <v>0</v>
      </c>
      <c r="AO17" s="151">
        <f t="shared" si="34"/>
        <v>0</v>
      </c>
      <c r="AP17" s="151">
        <f t="shared" si="35"/>
        <v>0</v>
      </c>
      <c r="AQ17" s="151">
        <f t="shared" si="36"/>
        <v>0</v>
      </c>
      <c r="AR17" s="167">
        <f t="shared" si="37"/>
        <v>0</v>
      </c>
      <c r="AS17" s="123">
        <f t="shared" si="38"/>
        <v>0</v>
      </c>
      <c r="AU17" s="115">
        <f t="shared" si="39"/>
        <v>0</v>
      </c>
      <c r="AV17" s="143"/>
      <c r="AW17" s="74"/>
      <c r="AX17" s="74"/>
      <c r="AY17" s="74"/>
      <c r="AZ17" s="74"/>
      <c r="BA17" s="74"/>
      <c r="BB17" s="74"/>
      <c r="BC17" s="74"/>
      <c r="BD17" s="74"/>
      <c r="BE17" s="74"/>
      <c r="BF17" s="74"/>
      <c r="BG17" s="74"/>
      <c r="BH17" s="74"/>
      <c r="BI17" s="74"/>
      <c r="BJ17" s="74"/>
      <c r="BK17" s="74"/>
      <c r="BL17" s="74"/>
      <c r="BM17" s="74"/>
      <c r="BN17" s="74"/>
      <c r="BO17" s="74"/>
      <c r="BP17" s="74"/>
      <c r="BQ17" s="74"/>
      <c r="BR17" s="74"/>
      <c r="BS17" s="74"/>
      <c r="BT17" s="74"/>
      <c r="BU17" s="74"/>
      <c r="BV17" s="74"/>
      <c r="BW17" s="74"/>
      <c r="BX17" s="74"/>
      <c r="BY17" s="74"/>
      <c r="BZ17" s="74"/>
      <c r="CA17" s="74"/>
      <c r="CB17" s="74"/>
      <c r="CC17" s="74"/>
      <c r="CD17" s="74"/>
      <c r="CE17" s="144"/>
    </row>
    <row r="18" spans="7:83" hidden="1" x14ac:dyDescent="0.25">
      <c r="G18" s="113" t="s">
        <v>148</v>
      </c>
      <c r="H18" s="123">
        <f>Dados!F102</f>
        <v>0</v>
      </c>
      <c r="I18" s="166">
        <f t="shared" si="2"/>
        <v>0</v>
      </c>
      <c r="J18" s="151">
        <f t="shared" si="3"/>
        <v>0</v>
      </c>
      <c r="K18" s="151">
        <f t="shared" si="4"/>
        <v>0</v>
      </c>
      <c r="L18" s="151">
        <f t="shared" si="5"/>
        <v>0</v>
      </c>
      <c r="M18" s="151">
        <f t="shared" si="6"/>
        <v>0</v>
      </c>
      <c r="N18" s="151">
        <f t="shared" si="7"/>
        <v>0</v>
      </c>
      <c r="O18" s="151">
        <f t="shared" si="8"/>
        <v>0</v>
      </c>
      <c r="P18" s="151">
        <f t="shared" si="9"/>
        <v>0</v>
      </c>
      <c r="Q18" s="151">
        <f t="shared" si="10"/>
        <v>0</v>
      </c>
      <c r="R18" s="151">
        <f t="shared" si="11"/>
        <v>0</v>
      </c>
      <c r="S18" s="151">
        <f t="shared" si="12"/>
        <v>0</v>
      </c>
      <c r="T18" s="151">
        <f t="shared" si="13"/>
        <v>0</v>
      </c>
      <c r="U18" s="151">
        <f t="shared" si="14"/>
        <v>0</v>
      </c>
      <c r="V18" s="151">
        <f t="shared" si="15"/>
        <v>0</v>
      </c>
      <c r="W18" s="151">
        <f t="shared" si="16"/>
        <v>0</v>
      </c>
      <c r="X18" s="151">
        <f t="shared" si="17"/>
        <v>0</v>
      </c>
      <c r="Y18" s="151">
        <f t="shared" si="18"/>
        <v>0</v>
      </c>
      <c r="Z18" s="151">
        <f t="shared" si="19"/>
        <v>0</v>
      </c>
      <c r="AA18" s="151">
        <f t="shared" si="20"/>
        <v>0</v>
      </c>
      <c r="AB18" s="151">
        <f t="shared" si="21"/>
        <v>0</v>
      </c>
      <c r="AC18" s="151">
        <f t="shared" si="22"/>
        <v>0</v>
      </c>
      <c r="AD18" s="151">
        <f t="shared" si="23"/>
        <v>0</v>
      </c>
      <c r="AE18" s="151">
        <f t="shared" si="24"/>
        <v>0</v>
      </c>
      <c r="AF18" s="151">
        <f t="shared" si="25"/>
        <v>0</v>
      </c>
      <c r="AG18" s="151">
        <f t="shared" si="26"/>
        <v>0</v>
      </c>
      <c r="AH18" s="151">
        <f t="shared" si="27"/>
        <v>0</v>
      </c>
      <c r="AI18" s="151">
        <f t="shared" si="28"/>
        <v>0</v>
      </c>
      <c r="AJ18" s="151">
        <f t="shared" si="29"/>
        <v>0</v>
      </c>
      <c r="AK18" s="151">
        <f t="shared" si="30"/>
        <v>0</v>
      </c>
      <c r="AL18" s="151">
        <f t="shared" si="31"/>
        <v>0</v>
      </c>
      <c r="AM18" s="151">
        <f t="shared" si="32"/>
        <v>0</v>
      </c>
      <c r="AN18" s="151">
        <f t="shared" si="33"/>
        <v>0</v>
      </c>
      <c r="AO18" s="151">
        <f t="shared" si="34"/>
        <v>0</v>
      </c>
      <c r="AP18" s="151">
        <f t="shared" si="35"/>
        <v>0</v>
      </c>
      <c r="AQ18" s="151">
        <f t="shared" si="36"/>
        <v>0</v>
      </c>
      <c r="AR18" s="167">
        <f t="shared" si="37"/>
        <v>0</v>
      </c>
      <c r="AS18" s="123">
        <f t="shared" si="38"/>
        <v>0</v>
      </c>
      <c r="AU18" s="115">
        <f t="shared" si="39"/>
        <v>0</v>
      </c>
      <c r="AV18" s="143"/>
      <c r="AW18" s="74"/>
      <c r="AX18" s="74"/>
      <c r="AY18" s="74"/>
      <c r="AZ18" s="74"/>
      <c r="BA18" s="74"/>
      <c r="BB18" s="74"/>
      <c r="BC18" s="74"/>
      <c r="BD18" s="74"/>
      <c r="BE18" s="74"/>
      <c r="BF18" s="74"/>
      <c r="BG18" s="74"/>
      <c r="BH18" s="74"/>
      <c r="BI18" s="74"/>
      <c r="BJ18" s="74"/>
      <c r="BK18" s="74"/>
      <c r="BL18" s="74"/>
      <c r="BM18" s="74"/>
      <c r="BN18" s="74"/>
      <c r="BO18" s="74"/>
      <c r="BP18" s="74"/>
      <c r="BQ18" s="74"/>
      <c r="BR18" s="74"/>
      <c r="BS18" s="74"/>
      <c r="BT18" s="74"/>
      <c r="BU18" s="74"/>
      <c r="BV18" s="74"/>
      <c r="BW18" s="74"/>
      <c r="BX18" s="74"/>
      <c r="BY18" s="74"/>
      <c r="BZ18" s="74"/>
      <c r="CA18" s="74"/>
      <c r="CB18" s="74"/>
      <c r="CC18" s="74"/>
      <c r="CD18" s="74"/>
      <c r="CE18" s="144"/>
    </row>
    <row r="19" spans="7:83" hidden="1" x14ac:dyDescent="0.25">
      <c r="G19" s="114" t="s">
        <v>154</v>
      </c>
      <c r="H19" s="124">
        <f>Dados!F103</f>
        <v>62339.199999999997</v>
      </c>
      <c r="I19" s="166">
        <f t="shared" si="2"/>
        <v>0</v>
      </c>
      <c r="J19" s="151">
        <f t="shared" si="3"/>
        <v>0</v>
      </c>
      <c r="K19" s="151">
        <f t="shared" si="4"/>
        <v>0</v>
      </c>
      <c r="L19" s="151">
        <f t="shared" si="5"/>
        <v>0</v>
      </c>
      <c r="M19" s="151">
        <f t="shared" si="6"/>
        <v>0</v>
      </c>
      <c r="N19" s="151">
        <f t="shared" si="7"/>
        <v>0</v>
      </c>
      <c r="O19" s="151">
        <f t="shared" si="8"/>
        <v>0</v>
      </c>
      <c r="P19" s="151">
        <f t="shared" si="9"/>
        <v>0</v>
      </c>
      <c r="Q19" s="151">
        <f t="shared" si="10"/>
        <v>0</v>
      </c>
      <c r="R19" s="151">
        <f t="shared" si="11"/>
        <v>0</v>
      </c>
      <c r="S19" s="151">
        <f t="shared" si="12"/>
        <v>0</v>
      </c>
      <c r="T19" s="151">
        <f t="shared" si="13"/>
        <v>0</v>
      </c>
      <c r="U19" s="151">
        <f t="shared" si="14"/>
        <v>0</v>
      </c>
      <c r="V19" s="151">
        <f t="shared" si="15"/>
        <v>0</v>
      </c>
      <c r="W19" s="151">
        <f t="shared" si="16"/>
        <v>0</v>
      </c>
      <c r="X19" s="151">
        <f t="shared" si="17"/>
        <v>0</v>
      </c>
      <c r="Y19" s="151">
        <f t="shared" si="18"/>
        <v>0</v>
      </c>
      <c r="Z19" s="151">
        <f t="shared" si="19"/>
        <v>0</v>
      </c>
      <c r="AA19" s="151">
        <f t="shared" si="20"/>
        <v>0</v>
      </c>
      <c r="AB19" s="151">
        <f t="shared" si="21"/>
        <v>0</v>
      </c>
      <c r="AC19" s="151">
        <f t="shared" si="22"/>
        <v>0</v>
      </c>
      <c r="AD19" s="151">
        <f t="shared" si="23"/>
        <v>0</v>
      </c>
      <c r="AE19" s="151">
        <f t="shared" si="24"/>
        <v>0</v>
      </c>
      <c r="AF19" s="151">
        <f t="shared" si="25"/>
        <v>0</v>
      </c>
      <c r="AG19" s="151">
        <f t="shared" si="26"/>
        <v>0</v>
      </c>
      <c r="AH19" s="151">
        <f t="shared" si="27"/>
        <v>0</v>
      </c>
      <c r="AI19" s="151">
        <f t="shared" si="28"/>
        <v>0</v>
      </c>
      <c r="AJ19" s="151">
        <f t="shared" si="29"/>
        <v>0</v>
      </c>
      <c r="AK19" s="151">
        <f t="shared" si="30"/>
        <v>0</v>
      </c>
      <c r="AL19" s="151">
        <f t="shared" si="31"/>
        <v>0</v>
      </c>
      <c r="AM19" s="151">
        <f t="shared" si="32"/>
        <v>0</v>
      </c>
      <c r="AN19" s="151">
        <f t="shared" si="33"/>
        <v>0</v>
      </c>
      <c r="AO19" s="151">
        <f t="shared" si="34"/>
        <v>0</v>
      </c>
      <c r="AP19" s="151">
        <f t="shared" si="35"/>
        <v>0</v>
      </c>
      <c r="AQ19" s="151">
        <f t="shared" si="36"/>
        <v>0</v>
      </c>
      <c r="AR19" s="167">
        <f t="shared" si="37"/>
        <v>0</v>
      </c>
      <c r="AS19" s="123">
        <f t="shared" si="38"/>
        <v>0</v>
      </c>
      <c r="AU19" s="115">
        <f t="shared" si="39"/>
        <v>0</v>
      </c>
      <c r="AV19" s="143"/>
      <c r="AW19" s="74"/>
      <c r="AX19" s="74"/>
      <c r="AY19" s="74"/>
      <c r="AZ19" s="74"/>
      <c r="BA19" s="74"/>
      <c r="BB19" s="74"/>
      <c r="BC19" s="74"/>
      <c r="BD19" s="74"/>
      <c r="BE19" s="74"/>
      <c r="BF19" s="74"/>
      <c r="BG19" s="74"/>
      <c r="BH19" s="74"/>
      <c r="BI19" s="74"/>
      <c r="BJ19" s="74"/>
      <c r="BK19" s="74"/>
      <c r="BL19" s="74"/>
      <c r="BM19" s="74"/>
      <c r="BN19" s="74"/>
      <c r="BO19" s="74"/>
      <c r="BP19" s="74"/>
      <c r="BQ19" s="74"/>
      <c r="BR19" s="74"/>
      <c r="BS19" s="74"/>
      <c r="BT19" s="74"/>
      <c r="BU19" s="74"/>
      <c r="BV19" s="74"/>
      <c r="BW19" s="74"/>
      <c r="BX19" s="74"/>
      <c r="BY19" s="74"/>
      <c r="BZ19" s="74"/>
      <c r="CA19" s="74"/>
      <c r="CB19" s="74"/>
      <c r="CC19" s="74"/>
      <c r="CD19" s="74"/>
      <c r="CE19" s="144"/>
    </row>
    <row r="20" spans="7:83" x14ac:dyDescent="0.25">
      <c r="G20" s="113" t="s">
        <v>155</v>
      </c>
      <c r="H20" s="123">
        <f>Dados!F104</f>
        <v>17459.2</v>
      </c>
      <c r="I20" s="166">
        <f t="shared" si="2"/>
        <v>5819.7333333333336</v>
      </c>
      <c r="J20" s="151">
        <f t="shared" si="3"/>
        <v>5819.7333333333336</v>
      </c>
      <c r="K20" s="151">
        <f t="shared" si="4"/>
        <v>5819.7333333333336</v>
      </c>
      <c r="L20" s="151">
        <f t="shared" si="5"/>
        <v>0</v>
      </c>
      <c r="M20" s="151">
        <f t="shared" si="6"/>
        <v>0</v>
      </c>
      <c r="N20" s="151">
        <f t="shared" si="7"/>
        <v>0</v>
      </c>
      <c r="O20" s="151">
        <f t="shared" si="8"/>
        <v>0</v>
      </c>
      <c r="P20" s="151">
        <f t="shared" si="9"/>
        <v>0</v>
      </c>
      <c r="Q20" s="151">
        <f t="shared" si="10"/>
        <v>0</v>
      </c>
      <c r="R20" s="151">
        <f t="shared" si="11"/>
        <v>0</v>
      </c>
      <c r="S20" s="151">
        <f t="shared" si="12"/>
        <v>0</v>
      </c>
      <c r="T20" s="151">
        <f t="shared" si="13"/>
        <v>0</v>
      </c>
      <c r="U20" s="151">
        <f t="shared" si="14"/>
        <v>0</v>
      </c>
      <c r="V20" s="151">
        <f t="shared" si="15"/>
        <v>0</v>
      </c>
      <c r="W20" s="151">
        <f t="shared" si="16"/>
        <v>0</v>
      </c>
      <c r="X20" s="151">
        <f t="shared" si="17"/>
        <v>0</v>
      </c>
      <c r="Y20" s="151">
        <f t="shared" si="18"/>
        <v>0</v>
      </c>
      <c r="Z20" s="151">
        <f t="shared" si="19"/>
        <v>0</v>
      </c>
      <c r="AA20" s="151">
        <f t="shared" si="20"/>
        <v>0</v>
      </c>
      <c r="AB20" s="151">
        <f t="shared" si="21"/>
        <v>0</v>
      </c>
      <c r="AC20" s="151">
        <f t="shared" si="22"/>
        <v>0</v>
      </c>
      <c r="AD20" s="151">
        <f t="shared" si="23"/>
        <v>0</v>
      </c>
      <c r="AE20" s="151">
        <f t="shared" si="24"/>
        <v>0</v>
      </c>
      <c r="AF20" s="151">
        <f t="shared" si="25"/>
        <v>0</v>
      </c>
      <c r="AG20" s="151">
        <f t="shared" si="26"/>
        <v>0</v>
      </c>
      <c r="AH20" s="151">
        <f t="shared" si="27"/>
        <v>0</v>
      </c>
      <c r="AI20" s="151">
        <f t="shared" si="28"/>
        <v>0</v>
      </c>
      <c r="AJ20" s="151">
        <f t="shared" si="29"/>
        <v>0</v>
      </c>
      <c r="AK20" s="151">
        <f t="shared" si="30"/>
        <v>0</v>
      </c>
      <c r="AL20" s="151">
        <f t="shared" si="31"/>
        <v>0</v>
      </c>
      <c r="AM20" s="151">
        <f t="shared" si="32"/>
        <v>0</v>
      </c>
      <c r="AN20" s="151">
        <f t="shared" si="33"/>
        <v>0</v>
      </c>
      <c r="AO20" s="151">
        <f t="shared" si="34"/>
        <v>0</v>
      </c>
      <c r="AP20" s="151">
        <f t="shared" si="35"/>
        <v>0</v>
      </c>
      <c r="AQ20" s="151">
        <f t="shared" si="36"/>
        <v>0</v>
      </c>
      <c r="AR20" s="167">
        <f t="shared" si="37"/>
        <v>0</v>
      </c>
      <c r="AS20" s="123">
        <f t="shared" si="38"/>
        <v>17459.2</v>
      </c>
      <c r="AU20" s="115">
        <f t="shared" si="39"/>
        <v>3</v>
      </c>
      <c r="AV20" s="143" t="s">
        <v>66</v>
      </c>
      <c r="AW20" s="74" t="s">
        <v>66</v>
      </c>
      <c r="AX20" s="74" t="s">
        <v>66</v>
      </c>
      <c r="AY20" s="74"/>
      <c r="AZ20" s="74"/>
      <c r="BA20" s="74"/>
      <c r="BB20" s="74"/>
      <c r="BC20" s="74"/>
      <c r="BD20" s="74"/>
      <c r="BE20" s="74"/>
      <c r="BF20" s="74"/>
      <c r="BG20" s="74"/>
      <c r="BH20" s="74"/>
      <c r="BI20" s="74"/>
      <c r="BJ20" s="74"/>
      <c r="BK20" s="74"/>
      <c r="BL20" s="74"/>
      <c r="BM20" s="74"/>
      <c r="BN20" s="74"/>
      <c r="BO20" s="74"/>
      <c r="BP20" s="74"/>
      <c r="BQ20" s="74"/>
      <c r="BR20" s="74"/>
      <c r="BS20" s="74"/>
      <c r="BT20" s="74"/>
      <c r="BU20" s="74"/>
      <c r="BV20" s="74"/>
      <c r="BW20" s="74"/>
      <c r="BX20" s="74"/>
      <c r="BY20" s="74"/>
      <c r="BZ20" s="74"/>
      <c r="CA20" s="74"/>
      <c r="CB20" s="74"/>
      <c r="CC20" s="74"/>
      <c r="CD20" s="74"/>
      <c r="CE20" s="144"/>
    </row>
    <row r="21" spans="7:83" x14ac:dyDescent="0.25">
      <c r="G21" s="113" t="s">
        <v>156</v>
      </c>
      <c r="H21" s="123">
        <f>Dados!F105</f>
        <v>18744</v>
      </c>
      <c r="I21" s="166">
        <f t="shared" si="2"/>
        <v>0</v>
      </c>
      <c r="J21" s="151">
        <f t="shared" si="3"/>
        <v>0</v>
      </c>
      <c r="K21" s="151">
        <f t="shared" si="4"/>
        <v>0</v>
      </c>
      <c r="L21" s="151">
        <f t="shared" si="5"/>
        <v>6248</v>
      </c>
      <c r="M21" s="151">
        <f t="shared" si="6"/>
        <v>6248</v>
      </c>
      <c r="N21" s="151">
        <f t="shared" si="7"/>
        <v>6248</v>
      </c>
      <c r="O21" s="151">
        <f t="shared" si="8"/>
        <v>0</v>
      </c>
      <c r="P21" s="151">
        <f t="shared" si="9"/>
        <v>0</v>
      </c>
      <c r="Q21" s="151">
        <f t="shared" si="10"/>
        <v>0</v>
      </c>
      <c r="R21" s="151">
        <f t="shared" si="11"/>
        <v>0</v>
      </c>
      <c r="S21" s="151">
        <f t="shared" si="12"/>
        <v>0</v>
      </c>
      <c r="T21" s="151">
        <f t="shared" si="13"/>
        <v>0</v>
      </c>
      <c r="U21" s="151">
        <f t="shared" si="14"/>
        <v>0</v>
      </c>
      <c r="V21" s="151">
        <f t="shared" si="15"/>
        <v>0</v>
      </c>
      <c r="W21" s="151">
        <f t="shared" si="16"/>
        <v>0</v>
      </c>
      <c r="X21" s="151">
        <f t="shared" si="17"/>
        <v>0</v>
      </c>
      <c r="Y21" s="151">
        <f t="shared" si="18"/>
        <v>0</v>
      </c>
      <c r="Z21" s="151">
        <f t="shared" si="19"/>
        <v>0</v>
      </c>
      <c r="AA21" s="151">
        <f t="shared" si="20"/>
        <v>0</v>
      </c>
      <c r="AB21" s="151">
        <f t="shared" si="21"/>
        <v>0</v>
      </c>
      <c r="AC21" s="151">
        <f t="shared" si="22"/>
        <v>0</v>
      </c>
      <c r="AD21" s="151">
        <f t="shared" si="23"/>
        <v>0</v>
      </c>
      <c r="AE21" s="151">
        <f t="shared" si="24"/>
        <v>0</v>
      </c>
      <c r="AF21" s="151">
        <f t="shared" si="25"/>
        <v>0</v>
      </c>
      <c r="AG21" s="151">
        <f t="shared" si="26"/>
        <v>0</v>
      </c>
      <c r="AH21" s="151">
        <f t="shared" si="27"/>
        <v>0</v>
      </c>
      <c r="AI21" s="151">
        <f t="shared" si="28"/>
        <v>0</v>
      </c>
      <c r="AJ21" s="151">
        <f t="shared" si="29"/>
        <v>0</v>
      </c>
      <c r="AK21" s="151">
        <f t="shared" si="30"/>
        <v>0</v>
      </c>
      <c r="AL21" s="151">
        <f t="shared" si="31"/>
        <v>0</v>
      </c>
      <c r="AM21" s="151">
        <f t="shared" si="32"/>
        <v>0</v>
      </c>
      <c r="AN21" s="151">
        <f t="shared" si="33"/>
        <v>0</v>
      </c>
      <c r="AO21" s="151">
        <f t="shared" si="34"/>
        <v>0</v>
      </c>
      <c r="AP21" s="151">
        <f t="shared" si="35"/>
        <v>0</v>
      </c>
      <c r="AQ21" s="151">
        <f t="shared" si="36"/>
        <v>0</v>
      </c>
      <c r="AR21" s="167">
        <f t="shared" si="37"/>
        <v>0</v>
      </c>
      <c r="AS21" s="123">
        <f t="shared" si="38"/>
        <v>18744</v>
      </c>
      <c r="AU21" s="115">
        <f t="shared" si="39"/>
        <v>3</v>
      </c>
      <c r="AV21" s="143"/>
      <c r="AW21" s="74"/>
      <c r="AX21" s="74"/>
      <c r="AY21" s="74" t="s">
        <v>66</v>
      </c>
      <c r="AZ21" s="74" t="s">
        <v>66</v>
      </c>
      <c r="BA21" s="74" t="s">
        <v>66</v>
      </c>
      <c r="BB21" s="74"/>
      <c r="BC21" s="74"/>
      <c r="BD21" s="74"/>
      <c r="BE21" s="74"/>
      <c r="BF21" s="74"/>
      <c r="BG21" s="74"/>
      <c r="BH21" s="74"/>
      <c r="BI21" s="74"/>
      <c r="BJ21" s="74"/>
      <c r="BK21" s="74"/>
      <c r="BL21" s="74"/>
      <c r="BM21" s="74"/>
      <c r="BN21" s="74"/>
      <c r="BO21" s="74"/>
      <c r="BP21" s="74"/>
      <c r="BQ21" s="74"/>
      <c r="BR21" s="74"/>
      <c r="BS21" s="74"/>
      <c r="BT21" s="74"/>
      <c r="BU21" s="74"/>
      <c r="BV21" s="74"/>
      <c r="BW21" s="74"/>
      <c r="BX21" s="74"/>
      <c r="BY21" s="74"/>
      <c r="BZ21" s="74"/>
      <c r="CA21" s="74"/>
      <c r="CB21" s="74"/>
      <c r="CC21" s="74"/>
      <c r="CD21" s="74"/>
      <c r="CE21" s="144"/>
    </row>
    <row r="22" spans="7:83" x14ac:dyDescent="0.25">
      <c r="G22" s="113" t="s">
        <v>158</v>
      </c>
      <c r="H22" s="123">
        <f>Dados!F106</f>
        <v>7392.0000000000009</v>
      </c>
      <c r="I22" s="166">
        <f t="shared" si="2"/>
        <v>0</v>
      </c>
      <c r="J22" s="151">
        <f t="shared" si="3"/>
        <v>0</v>
      </c>
      <c r="K22" s="151">
        <f t="shared" si="4"/>
        <v>0</v>
      </c>
      <c r="L22" s="151">
        <f t="shared" si="5"/>
        <v>2464.0000000000005</v>
      </c>
      <c r="M22" s="151">
        <f t="shared" si="6"/>
        <v>2464.0000000000005</v>
      </c>
      <c r="N22" s="151">
        <f t="shared" si="7"/>
        <v>2464.0000000000005</v>
      </c>
      <c r="O22" s="151">
        <f t="shared" si="8"/>
        <v>0</v>
      </c>
      <c r="P22" s="151">
        <f t="shared" si="9"/>
        <v>0</v>
      </c>
      <c r="Q22" s="151">
        <f t="shared" si="10"/>
        <v>0</v>
      </c>
      <c r="R22" s="151">
        <f t="shared" si="11"/>
        <v>0</v>
      </c>
      <c r="S22" s="151">
        <f t="shared" si="12"/>
        <v>0</v>
      </c>
      <c r="T22" s="151">
        <f t="shared" si="13"/>
        <v>0</v>
      </c>
      <c r="U22" s="151">
        <f t="shared" si="14"/>
        <v>0</v>
      </c>
      <c r="V22" s="151">
        <f t="shared" si="15"/>
        <v>0</v>
      </c>
      <c r="W22" s="151">
        <f t="shared" si="16"/>
        <v>0</v>
      </c>
      <c r="X22" s="151">
        <f t="shared" si="17"/>
        <v>0</v>
      </c>
      <c r="Y22" s="151">
        <f t="shared" si="18"/>
        <v>0</v>
      </c>
      <c r="Z22" s="151">
        <f t="shared" si="19"/>
        <v>0</v>
      </c>
      <c r="AA22" s="151">
        <f t="shared" si="20"/>
        <v>0</v>
      </c>
      <c r="AB22" s="151">
        <f t="shared" si="21"/>
        <v>0</v>
      </c>
      <c r="AC22" s="151">
        <f t="shared" si="22"/>
        <v>0</v>
      </c>
      <c r="AD22" s="151">
        <f t="shared" si="23"/>
        <v>0</v>
      </c>
      <c r="AE22" s="151">
        <f t="shared" si="24"/>
        <v>0</v>
      </c>
      <c r="AF22" s="151">
        <f t="shared" si="25"/>
        <v>0</v>
      </c>
      <c r="AG22" s="151">
        <f t="shared" si="26"/>
        <v>0</v>
      </c>
      <c r="AH22" s="151">
        <f t="shared" si="27"/>
        <v>0</v>
      </c>
      <c r="AI22" s="151">
        <f t="shared" si="28"/>
        <v>0</v>
      </c>
      <c r="AJ22" s="151">
        <f t="shared" si="29"/>
        <v>0</v>
      </c>
      <c r="AK22" s="151">
        <f t="shared" si="30"/>
        <v>0</v>
      </c>
      <c r="AL22" s="151">
        <f t="shared" si="31"/>
        <v>0</v>
      </c>
      <c r="AM22" s="151">
        <f t="shared" si="32"/>
        <v>0</v>
      </c>
      <c r="AN22" s="151">
        <f t="shared" si="33"/>
        <v>0</v>
      </c>
      <c r="AO22" s="151">
        <f t="shared" si="34"/>
        <v>0</v>
      </c>
      <c r="AP22" s="151">
        <f t="shared" si="35"/>
        <v>0</v>
      </c>
      <c r="AQ22" s="151">
        <f t="shared" si="36"/>
        <v>0</v>
      </c>
      <c r="AR22" s="167">
        <f t="shared" si="37"/>
        <v>0</v>
      </c>
      <c r="AS22" s="123">
        <f t="shared" si="38"/>
        <v>7392.0000000000018</v>
      </c>
      <c r="AU22" s="115">
        <f t="shared" si="39"/>
        <v>3</v>
      </c>
      <c r="AV22" s="143"/>
      <c r="AW22" s="74"/>
      <c r="AX22" s="74"/>
      <c r="AY22" s="74" t="s">
        <v>66</v>
      </c>
      <c r="AZ22" s="74" t="s">
        <v>66</v>
      </c>
      <c r="BA22" s="74" t="s">
        <v>66</v>
      </c>
      <c r="BB22" s="74"/>
      <c r="BC22" s="74"/>
      <c r="BD22" s="74"/>
      <c r="BE22" s="74"/>
      <c r="BF22" s="74"/>
      <c r="BG22" s="74"/>
      <c r="BH22" s="74"/>
      <c r="BI22" s="74"/>
      <c r="BJ22" s="74"/>
      <c r="BK22" s="74"/>
      <c r="BL22" s="74"/>
      <c r="BM22" s="74"/>
      <c r="BN22" s="74"/>
      <c r="BO22" s="74"/>
      <c r="BP22" s="74"/>
      <c r="BQ22" s="74"/>
      <c r="BR22" s="74"/>
      <c r="BS22" s="74"/>
      <c r="BT22" s="74"/>
      <c r="BU22" s="74"/>
      <c r="BV22" s="74"/>
      <c r="BW22" s="74"/>
      <c r="BX22" s="74"/>
      <c r="BY22" s="74"/>
      <c r="BZ22" s="74"/>
      <c r="CA22" s="74"/>
      <c r="CB22" s="74"/>
      <c r="CC22" s="74"/>
      <c r="CD22" s="74"/>
      <c r="CE22" s="144"/>
    </row>
    <row r="23" spans="7:83" x14ac:dyDescent="0.25">
      <c r="G23" s="113" t="s">
        <v>157</v>
      </c>
      <c r="H23" s="123">
        <f>Dados!F107</f>
        <v>18744</v>
      </c>
      <c r="I23" s="166">
        <f t="shared" si="2"/>
        <v>0</v>
      </c>
      <c r="J23" s="151">
        <f t="shared" si="3"/>
        <v>0</v>
      </c>
      <c r="K23" s="151">
        <f t="shared" si="4"/>
        <v>0</v>
      </c>
      <c r="L23" s="151">
        <f t="shared" si="5"/>
        <v>0</v>
      </c>
      <c r="M23" s="151">
        <f t="shared" si="6"/>
        <v>0</v>
      </c>
      <c r="N23" s="151">
        <f t="shared" si="7"/>
        <v>0</v>
      </c>
      <c r="O23" s="151">
        <f t="shared" si="8"/>
        <v>6248</v>
      </c>
      <c r="P23" s="151">
        <f t="shared" si="9"/>
        <v>6248</v>
      </c>
      <c r="Q23" s="151">
        <f t="shared" si="10"/>
        <v>6248</v>
      </c>
      <c r="R23" s="151">
        <f t="shared" si="11"/>
        <v>0</v>
      </c>
      <c r="S23" s="151">
        <f t="shared" si="12"/>
        <v>0</v>
      </c>
      <c r="T23" s="151">
        <f t="shared" si="13"/>
        <v>0</v>
      </c>
      <c r="U23" s="151">
        <f t="shared" si="14"/>
        <v>0</v>
      </c>
      <c r="V23" s="151">
        <f t="shared" si="15"/>
        <v>0</v>
      </c>
      <c r="W23" s="151">
        <f t="shared" si="16"/>
        <v>0</v>
      </c>
      <c r="X23" s="151">
        <f t="shared" si="17"/>
        <v>0</v>
      </c>
      <c r="Y23" s="151">
        <f t="shared" si="18"/>
        <v>0</v>
      </c>
      <c r="Z23" s="151">
        <f t="shared" si="19"/>
        <v>0</v>
      </c>
      <c r="AA23" s="151">
        <f t="shared" si="20"/>
        <v>0</v>
      </c>
      <c r="AB23" s="151">
        <f t="shared" si="21"/>
        <v>0</v>
      </c>
      <c r="AC23" s="151">
        <f t="shared" si="22"/>
        <v>0</v>
      </c>
      <c r="AD23" s="151">
        <f t="shared" si="23"/>
        <v>0</v>
      </c>
      <c r="AE23" s="151">
        <f t="shared" si="24"/>
        <v>0</v>
      </c>
      <c r="AF23" s="151">
        <f t="shared" si="25"/>
        <v>0</v>
      </c>
      <c r="AG23" s="151">
        <f t="shared" si="26"/>
        <v>0</v>
      </c>
      <c r="AH23" s="151">
        <f t="shared" si="27"/>
        <v>0</v>
      </c>
      <c r="AI23" s="151">
        <f t="shared" si="28"/>
        <v>0</v>
      </c>
      <c r="AJ23" s="151">
        <f t="shared" si="29"/>
        <v>0</v>
      </c>
      <c r="AK23" s="151">
        <f t="shared" si="30"/>
        <v>0</v>
      </c>
      <c r="AL23" s="151">
        <f t="shared" si="31"/>
        <v>0</v>
      </c>
      <c r="AM23" s="151">
        <f t="shared" si="32"/>
        <v>0</v>
      </c>
      <c r="AN23" s="151">
        <f t="shared" si="33"/>
        <v>0</v>
      </c>
      <c r="AO23" s="151">
        <f t="shared" si="34"/>
        <v>0</v>
      </c>
      <c r="AP23" s="151">
        <f t="shared" si="35"/>
        <v>0</v>
      </c>
      <c r="AQ23" s="151">
        <f t="shared" si="36"/>
        <v>0</v>
      </c>
      <c r="AR23" s="167">
        <f t="shared" si="37"/>
        <v>0</v>
      </c>
      <c r="AS23" s="123">
        <f t="shared" si="38"/>
        <v>18744</v>
      </c>
      <c r="AU23" s="115">
        <f t="shared" si="39"/>
        <v>3</v>
      </c>
      <c r="AV23" s="143"/>
      <c r="AW23" s="74"/>
      <c r="AX23" s="74"/>
      <c r="AY23" s="74"/>
      <c r="AZ23" s="74"/>
      <c r="BA23" s="74"/>
      <c r="BB23" s="74" t="s">
        <v>66</v>
      </c>
      <c r="BC23" s="74" t="s">
        <v>66</v>
      </c>
      <c r="BD23" s="74" t="s">
        <v>66</v>
      </c>
      <c r="BE23" s="74"/>
      <c r="BF23" s="74"/>
      <c r="BG23" s="74"/>
      <c r="BH23" s="74"/>
      <c r="BI23" s="74"/>
      <c r="BJ23" s="74"/>
      <c r="BK23" s="74"/>
      <c r="BL23" s="74"/>
      <c r="BM23" s="74"/>
      <c r="BN23" s="74"/>
      <c r="BO23" s="74"/>
      <c r="BP23" s="74"/>
      <c r="BQ23" s="74"/>
      <c r="BR23" s="74"/>
      <c r="BS23" s="74"/>
      <c r="BT23" s="74"/>
      <c r="BU23" s="74"/>
      <c r="BV23" s="74"/>
      <c r="BW23" s="74"/>
      <c r="BX23" s="74"/>
      <c r="BY23" s="74"/>
      <c r="BZ23" s="74"/>
      <c r="CA23" s="74"/>
      <c r="CB23" s="74"/>
      <c r="CC23" s="74"/>
      <c r="CD23" s="74"/>
      <c r="CE23" s="144"/>
    </row>
    <row r="24" spans="7:83" hidden="1" x14ac:dyDescent="0.25">
      <c r="G24" s="114" t="s">
        <v>153</v>
      </c>
      <c r="H24" s="124">
        <f>Dados!F108</f>
        <v>27632</v>
      </c>
      <c r="I24" s="166">
        <f t="shared" si="2"/>
        <v>0</v>
      </c>
      <c r="J24" s="151">
        <f t="shared" si="3"/>
        <v>0</v>
      </c>
      <c r="K24" s="151">
        <f t="shared" si="4"/>
        <v>0</v>
      </c>
      <c r="L24" s="151">
        <f t="shared" si="5"/>
        <v>0</v>
      </c>
      <c r="M24" s="151">
        <f t="shared" si="6"/>
        <v>0</v>
      </c>
      <c r="N24" s="151">
        <f t="shared" si="7"/>
        <v>0</v>
      </c>
      <c r="O24" s="151">
        <f t="shared" si="8"/>
        <v>0</v>
      </c>
      <c r="P24" s="151">
        <f t="shared" si="9"/>
        <v>0</v>
      </c>
      <c r="Q24" s="151">
        <f t="shared" si="10"/>
        <v>0</v>
      </c>
      <c r="R24" s="151">
        <f t="shared" si="11"/>
        <v>0</v>
      </c>
      <c r="S24" s="151">
        <f t="shared" si="12"/>
        <v>0</v>
      </c>
      <c r="T24" s="151">
        <f t="shared" si="13"/>
        <v>0</v>
      </c>
      <c r="U24" s="151">
        <f t="shared" si="14"/>
        <v>0</v>
      </c>
      <c r="V24" s="151">
        <f t="shared" si="15"/>
        <v>0</v>
      </c>
      <c r="W24" s="151">
        <f t="shared" si="16"/>
        <v>0</v>
      </c>
      <c r="X24" s="151">
        <f t="shared" si="17"/>
        <v>0</v>
      </c>
      <c r="Y24" s="151">
        <f t="shared" si="18"/>
        <v>0</v>
      </c>
      <c r="Z24" s="151">
        <f t="shared" si="19"/>
        <v>0</v>
      </c>
      <c r="AA24" s="151">
        <f t="shared" si="20"/>
        <v>0</v>
      </c>
      <c r="AB24" s="151">
        <f t="shared" si="21"/>
        <v>0</v>
      </c>
      <c r="AC24" s="151">
        <f t="shared" si="22"/>
        <v>0</v>
      </c>
      <c r="AD24" s="151">
        <f t="shared" si="23"/>
        <v>0</v>
      </c>
      <c r="AE24" s="151">
        <f t="shared" si="24"/>
        <v>0</v>
      </c>
      <c r="AF24" s="151">
        <f t="shared" si="25"/>
        <v>0</v>
      </c>
      <c r="AG24" s="151">
        <f t="shared" si="26"/>
        <v>0</v>
      </c>
      <c r="AH24" s="151">
        <f t="shared" si="27"/>
        <v>0</v>
      </c>
      <c r="AI24" s="151">
        <f t="shared" si="28"/>
        <v>0</v>
      </c>
      <c r="AJ24" s="151">
        <f t="shared" si="29"/>
        <v>0</v>
      </c>
      <c r="AK24" s="151">
        <f t="shared" si="30"/>
        <v>0</v>
      </c>
      <c r="AL24" s="151">
        <f t="shared" si="31"/>
        <v>0</v>
      </c>
      <c r="AM24" s="151">
        <f t="shared" si="32"/>
        <v>0</v>
      </c>
      <c r="AN24" s="151">
        <f t="shared" si="33"/>
        <v>0</v>
      </c>
      <c r="AO24" s="151">
        <f t="shared" si="34"/>
        <v>0</v>
      </c>
      <c r="AP24" s="151">
        <f t="shared" si="35"/>
        <v>0</v>
      </c>
      <c r="AQ24" s="151">
        <f t="shared" si="36"/>
        <v>0</v>
      </c>
      <c r="AR24" s="167">
        <f t="shared" si="37"/>
        <v>0</v>
      </c>
      <c r="AS24" s="123">
        <f t="shared" si="38"/>
        <v>0</v>
      </c>
      <c r="AU24" s="115">
        <f t="shared" si="39"/>
        <v>0</v>
      </c>
      <c r="AV24" s="143"/>
      <c r="AW24" s="74"/>
      <c r="AX24" s="74"/>
      <c r="AY24" s="74"/>
      <c r="AZ24" s="74"/>
      <c r="BA24" s="74"/>
      <c r="BB24" s="74"/>
      <c r="BC24" s="74"/>
      <c r="BD24" s="74"/>
      <c r="BE24" s="74"/>
      <c r="BF24" s="74"/>
      <c r="BG24" s="74"/>
      <c r="BH24" s="74"/>
      <c r="BI24" s="74"/>
      <c r="BJ24" s="74"/>
      <c r="BK24" s="74"/>
      <c r="BL24" s="74"/>
      <c r="BM24" s="74"/>
      <c r="BN24" s="74"/>
      <c r="BO24" s="74"/>
      <c r="BP24" s="74"/>
      <c r="BQ24" s="74"/>
      <c r="BR24" s="74"/>
      <c r="BS24" s="74"/>
      <c r="BT24" s="74"/>
      <c r="BU24" s="74"/>
      <c r="BV24" s="74"/>
      <c r="BW24" s="74"/>
      <c r="BX24" s="74"/>
      <c r="BY24" s="74"/>
      <c r="BZ24" s="74"/>
      <c r="CA24" s="74"/>
      <c r="CB24" s="74"/>
      <c r="CC24" s="74"/>
      <c r="CD24" s="74"/>
      <c r="CE24" s="144"/>
    </row>
    <row r="25" spans="7:83" x14ac:dyDescent="0.25">
      <c r="G25" s="113" t="s">
        <v>149</v>
      </c>
      <c r="H25" s="123">
        <f>Dados!F109</f>
        <v>2640</v>
      </c>
      <c r="I25" s="166">
        <f t="shared" si="2"/>
        <v>0</v>
      </c>
      <c r="J25" s="151">
        <f t="shared" si="3"/>
        <v>0</v>
      </c>
      <c r="K25" s="151">
        <f t="shared" si="4"/>
        <v>0</v>
      </c>
      <c r="L25" s="151">
        <f t="shared" si="5"/>
        <v>0</v>
      </c>
      <c r="M25" s="151">
        <f t="shared" si="6"/>
        <v>0</v>
      </c>
      <c r="N25" s="151">
        <f t="shared" si="7"/>
        <v>0</v>
      </c>
      <c r="O25" s="151">
        <f t="shared" si="8"/>
        <v>0</v>
      </c>
      <c r="P25" s="151">
        <f t="shared" si="9"/>
        <v>0</v>
      </c>
      <c r="Q25" s="151">
        <f t="shared" si="10"/>
        <v>0</v>
      </c>
      <c r="R25" s="151">
        <f t="shared" si="11"/>
        <v>0</v>
      </c>
      <c r="S25" s="151">
        <f t="shared" si="12"/>
        <v>0</v>
      </c>
      <c r="T25" s="151">
        <f t="shared" si="13"/>
        <v>0</v>
      </c>
      <c r="U25" s="151">
        <f t="shared" si="14"/>
        <v>0</v>
      </c>
      <c r="V25" s="151">
        <f t="shared" si="15"/>
        <v>0</v>
      </c>
      <c r="W25" s="151">
        <f t="shared" si="16"/>
        <v>0</v>
      </c>
      <c r="X25" s="151">
        <f t="shared" si="17"/>
        <v>0</v>
      </c>
      <c r="Y25" s="151">
        <f t="shared" si="18"/>
        <v>0</v>
      </c>
      <c r="Z25" s="151">
        <f t="shared" si="19"/>
        <v>0</v>
      </c>
      <c r="AA25" s="151">
        <f t="shared" si="20"/>
        <v>0</v>
      </c>
      <c r="AB25" s="151">
        <f t="shared" si="21"/>
        <v>0</v>
      </c>
      <c r="AC25" s="151">
        <f t="shared" si="22"/>
        <v>0</v>
      </c>
      <c r="AD25" s="151">
        <f t="shared" si="23"/>
        <v>0</v>
      </c>
      <c r="AE25" s="151">
        <f t="shared" si="24"/>
        <v>0</v>
      </c>
      <c r="AF25" s="151">
        <f t="shared" si="25"/>
        <v>0</v>
      </c>
      <c r="AG25" s="151">
        <f t="shared" si="26"/>
        <v>0</v>
      </c>
      <c r="AH25" s="151">
        <f t="shared" si="27"/>
        <v>0</v>
      </c>
      <c r="AI25" s="151">
        <f t="shared" si="28"/>
        <v>0</v>
      </c>
      <c r="AJ25" s="151">
        <f t="shared" si="29"/>
        <v>0</v>
      </c>
      <c r="AK25" s="151">
        <f t="shared" si="30"/>
        <v>0</v>
      </c>
      <c r="AL25" s="151">
        <f t="shared" si="31"/>
        <v>0</v>
      </c>
      <c r="AM25" s="151">
        <f t="shared" si="32"/>
        <v>0</v>
      </c>
      <c r="AN25" s="151">
        <f t="shared" si="33"/>
        <v>0</v>
      </c>
      <c r="AO25" s="151">
        <f t="shared" si="34"/>
        <v>0</v>
      </c>
      <c r="AP25" s="151">
        <f t="shared" si="35"/>
        <v>0</v>
      </c>
      <c r="AQ25" s="151">
        <f t="shared" si="36"/>
        <v>0</v>
      </c>
      <c r="AR25" s="167">
        <f t="shared" si="37"/>
        <v>0</v>
      </c>
      <c r="AS25" s="123">
        <f t="shared" si="38"/>
        <v>0</v>
      </c>
      <c r="AU25" s="115">
        <f t="shared" si="39"/>
        <v>0</v>
      </c>
      <c r="AV25" s="143"/>
      <c r="AW25" s="74"/>
      <c r="AX25" s="74"/>
      <c r="AY25" s="74"/>
      <c r="AZ25" s="74"/>
      <c r="BA25" s="74"/>
      <c r="BB25" s="74"/>
      <c r="BC25" s="74"/>
      <c r="BD25" s="74"/>
      <c r="BE25" s="74"/>
      <c r="BF25" s="74"/>
      <c r="BG25" s="74"/>
      <c r="BH25" s="74"/>
      <c r="BI25" s="74"/>
      <c r="BJ25" s="74"/>
      <c r="BK25" s="74"/>
      <c r="BL25" s="74"/>
      <c r="BM25" s="74"/>
      <c r="BN25" s="74"/>
      <c r="BO25" s="74"/>
      <c r="BP25" s="74"/>
      <c r="BQ25" s="74"/>
      <c r="BR25" s="74"/>
      <c r="BS25" s="74"/>
      <c r="BT25" s="74"/>
      <c r="BU25" s="74"/>
      <c r="BV25" s="74"/>
      <c r="BW25" s="74"/>
      <c r="BX25" s="74"/>
      <c r="BY25" s="74"/>
      <c r="BZ25" s="74"/>
      <c r="CA25" s="74"/>
      <c r="CB25" s="74"/>
      <c r="CC25" s="74"/>
      <c r="CD25" s="74"/>
      <c r="CE25" s="144"/>
    </row>
    <row r="26" spans="7:83" x14ac:dyDescent="0.25">
      <c r="G26" s="113" t="s">
        <v>152</v>
      </c>
      <c r="H26" s="123">
        <f>Dados!F110</f>
        <v>0</v>
      </c>
      <c r="I26" s="166">
        <f t="shared" si="2"/>
        <v>0</v>
      </c>
      <c r="J26" s="151">
        <f t="shared" si="3"/>
        <v>0</v>
      </c>
      <c r="K26" s="151">
        <f t="shared" si="4"/>
        <v>0</v>
      </c>
      <c r="L26" s="151">
        <f t="shared" si="5"/>
        <v>0</v>
      </c>
      <c r="M26" s="151">
        <f t="shared" si="6"/>
        <v>0</v>
      </c>
      <c r="N26" s="151">
        <f t="shared" si="7"/>
        <v>0</v>
      </c>
      <c r="O26" s="151">
        <f t="shared" si="8"/>
        <v>0</v>
      </c>
      <c r="P26" s="151">
        <f t="shared" si="9"/>
        <v>0</v>
      </c>
      <c r="Q26" s="151">
        <f t="shared" si="10"/>
        <v>0</v>
      </c>
      <c r="R26" s="151">
        <f t="shared" si="11"/>
        <v>0</v>
      </c>
      <c r="S26" s="151">
        <f t="shared" si="12"/>
        <v>0</v>
      </c>
      <c r="T26" s="151">
        <f t="shared" si="13"/>
        <v>0</v>
      </c>
      <c r="U26" s="151">
        <f t="shared" si="14"/>
        <v>0</v>
      </c>
      <c r="V26" s="151">
        <f t="shared" si="15"/>
        <v>0</v>
      </c>
      <c r="W26" s="151">
        <f t="shared" si="16"/>
        <v>0</v>
      </c>
      <c r="X26" s="151">
        <f t="shared" si="17"/>
        <v>0</v>
      </c>
      <c r="Y26" s="151">
        <f t="shared" si="18"/>
        <v>0</v>
      </c>
      <c r="Z26" s="151">
        <f t="shared" si="19"/>
        <v>0</v>
      </c>
      <c r="AA26" s="151">
        <f t="shared" si="20"/>
        <v>0</v>
      </c>
      <c r="AB26" s="151">
        <f t="shared" si="21"/>
        <v>0</v>
      </c>
      <c r="AC26" s="151">
        <f t="shared" si="22"/>
        <v>0</v>
      </c>
      <c r="AD26" s="151">
        <f t="shared" si="23"/>
        <v>0</v>
      </c>
      <c r="AE26" s="151">
        <f t="shared" si="24"/>
        <v>0</v>
      </c>
      <c r="AF26" s="151">
        <f t="shared" si="25"/>
        <v>0</v>
      </c>
      <c r="AG26" s="151">
        <f t="shared" si="26"/>
        <v>0</v>
      </c>
      <c r="AH26" s="151">
        <f t="shared" si="27"/>
        <v>0</v>
      </c>
      <c r="AI26" s="151">
        <f t="shared" si="28"/>
        <v>0</v>
      </c>
      <c r="AJ26" s="151">
        <f t="shared" si="29"/>
        <v>0</v>
      </c>
      <c r="AK26" s="151">
        <f t="shared" si="30"/>
        <v>0</v>
      </c>
      <c r="AL26" s="151">
        <f t="shared" si="31"/>
        <v>0</v>
      </c>
      <c r="AM26" s="151">
        <f t="shared" si="32"/>
        <v>0</v>
      </c>
      <c r="AN26" s="151">
        <f t="shared" si="33"/>
        <v>0</v>
      </c>
      <c r="AO26" s="151">
        <f t="shared" si="34"/>
        <v>0</v>
      </c>
      <c r="AP26" s="151">
        <f t="shared" si="35"/>
        <v>0</v>
      </c>
      <c r="AQ26" s="151">
        <f t="shared" si="36"/>
        <v>0</v>
      </c>
      <c r="AR26" s="167">
        <f t="shared" si="37"/>
        <v>0</v>
      </c>
      <c r="AS26" s="123">
        <f t="shared" si="38"/>
        <v>0</v>
      </c>
      <c r="AU26" s="115">
        <f t="shared" si="39"/>
        <v>0</v>
      </c>
      <c r="AV26" s="143"/>
      <c r="AW26" s="74"/>
      <c r="AX26" s="74"/>
      <c r="AY26" s="74"/>
      <c r="AZ26" s="74"/>
      <c r="BA26" s="74"/>
      <c r="BB26" s="74"/>
      <c r="BC26" s="74"/>
      <c r="BD26" s="74"/>
      <c r="BE26" s="74"/>
      <c r="BF26" s="74"/>
      <c r="BG26" s="74"/>
      <c r="BH26" s="74"/>
      <c r="BI26" s="74"/>
      <c r="BJ26" s="74"/>
      <c r="BK26" s="74"/>
      <c r="BL26" s="74"/>
      <c r="BM26" s="74"/>
      <c r="BN26" s="74"/>
      <c r="BO26" s="74"/>
      <c r="BP26" s="74"/>
      <c r="BQ26" s="74"/>
      <c r="BR26" s="74"/>
      <c r="BS26" s="74"/>
      <c r="BT26" s="74"/>
      <c r="BU26" s="74"/>
      <c r="BV26" s="74"/>
      <c r="BW26" s="74"/>
      <c r="BX26" s="74"/>
      <c r="BY26" s="74"/>
      <c r="BZ26" s="74"/>
      <c r="CA26" s="74"/>
      <c r="CB26" s="74"/>
      <c r="CC26" s="74"/>
      <c r="CD26" s="74"/>
      <c r="CE26" s="144"/>
    </row>
    <row r="27" spans="7:83" x14ac:dyDescent="0.25">
      <c r="G27" s="113" t="s">
        <v>150</v>
      </c>
      <c r="H27" s="123">
        <f>Dados!F112</f>
        <v>0</v>
      </c>
      <c r="I27" s="166">
        <f t="shared" si="2"/>
        <v>0</v>
      </c>
      <c r="J27" s="151">
        <f t="shared" si="3"/>
        <v>0</v>
      </c>
      <c r="K27" s="151">
        <f t="shared" si="4"/>
        <v>0</v>
      </c>
      <c r="L27" s="151">
        <f t="shared" si="5"/>
        <v>0</v>
      </c>
      <c r="M27" s="151">
        <f t="shared" si="6"/>
        <v>0</v>
      </c>
      <c r="N27" s="151">
        <f t="shared" si="7"/>
        <v>0</v>
      </c>
      <c r="O27" s="151">
        <f t="shared" si="8"/>
        <v>0</v>
      </c>
      <c r="P27" s="151">
        <f t="shared" si="9"/>
        <v>0</v>
      </c>
      <c r="Q27" s="151">
        <f t="shared" si="10"/>
        <v>0</v>
      </c>
      <c r="R27" s="151">
        <f t="shared" si="11"/>
        <v>0</v>
      </c>
      <c r="S27" s="151">
        <f t="shared" si="12"/>
        <v>0</v>
      </c>
      <c r="T27" s="151">
        <f t="shared" si="13"/>
        <v>0</v>
      </c>
      <c r="U27" s="151">
        <f t="shared" si="14"/>
        <v>0</v>
      </c>
      <c r="V27" s="151">
        <f t="shared" si="15"/>
        <v>0</v>
      </c>
      <c r="W27" s="151">
        <f t="shared" si="16"/>
        <v>0</v>
      </c>
      <c r="X27" s="151">
        <f t="shared" si="17"/>
        <v>0</v>
      </c>
      <c r="Y27" s="151">
        <f t="shared" si="18"/>
        <v>0</v>
      </c>
      <c r="Z27" s="151">
        <f t="shared" si="19"/>
        <v>0</v>
      </c>
      <c r="AA27" s="151">
        <f t="shared" si="20"/>
        <v>0</v>
      </c>
      <c r="AB27" s="151">
        <f t="shared" si="21"/>
        <v>0</v>
      </c>
      <c r="AC27" s="151">
        <f t="shared" si="22"/>
        <v>0</v>
      </c>
      <c r="AD27" s="151">
        <f t="shared" si="23"/>
        <v>0</v>
      </c>
      <c r="AE27" s="151">
        <f t="shared" si="24"/>
        <v>0</v>
      </c>
      <c r="AF27" s="151">
        <f t="shared" si="25"/>
        <v>0</v>
      </c>
      <c r="AG27" s="151">
        <f t="shared" si="26"/>
        <v>0</v>
      </c>
      <c r="AH27" s="151">
        <f t="shared" si="27"/>
        <v>0</v>
      </c>
      <c r="AI27" s="151">
        <f t="shared" si="28"/>
        <v>0</v>
      </c>
      <c r="AJ27" s="151">
        <f t="shared" si="29"/>
        <v>0</v>
      </c>
      <c r="AK27" s="151">
        <f t="shared" si="30"/>
        <v>0</v>
      </c>
      <c r="AL27" s="151">
        <f t="shared" si="31"/>
        <v>0</v>
      </c>
      <c r="AM27" s="151">
        <f t="shared" si="32"/>
        <v>0</v>
      </c>
      <c r="AN27" s="151">
        <f t="shared" si="33"/>
        <v>0</v>
      </c>
      <c r="AO27" s="151">
        <f t="shared" si="34"/>
        <v>0</v>
      </c>
      <c r="AP27" s="151">
        <f t="shared" si="35"/>
        <v>0</v>
      </c>
      <c r="AQ27" s="151">
        <f t="shared" si="36"/>
        <v>0</v>
      </c>
      <c r="AR27" s="167">
        <f t="shared" si="37"/>
        <v>0</v>
      </c>
      <c r="AS27" s="123">
        <f t="shared" si="38"/>
        <v>0</v>
      </c>
      <c r="AU27" s="115">
        <f t="shared" si="39"/>
        <v>0</v>
      </c>
      <c r="AV27" s="143"/>
      <c r="AW27" s="74"/>
      <c r="AX27" s="74"/>
      <c r="AY27" s="74"/>
      <c r="AZ27" s="74"/>
      <c r="BA27" s="74"/>
      <c r="BB27" s="74"/>
      <c r="BC27" s="74"/>
      <c r="BD27" s="74"/>
      <c r="BE27" s="74"/>
      <c r="BF27" s="74"/>
      <c r="BG27" s="74"/>
      <c r="BH27" s="74"/>
      <c r="BI27" s="74"/>
      <c r="BJ27" s="74"/>
      <c r="BK27" s="74"/>
      <c r="BL27" s="74"/>
      <c r="BM27" s="74"/>
      <c r="BN27" s="74"/>
      <c r="BO27" s="74"/>
      <c r="BP27" s="74"/>
      <c r="BQ27" s="74"/>
      <c r="BR27" s="74"/>
      <c r="BS27" s="74"/>
      <c r="BT27" s="74"/>
      <c r="BU27" s="74"/>
      <c r="BV27" s="74"/>
      <c r="BW27" s="74"/>
      <c r="BX27" s="74"/>
      <c r="BY27" s="74"/>
      <c r="BZ27" s="74"/>
      <c r="CA27" s="74"/>
      <c r="CB27" s="74"/>
      <c r="CC27" s="74"/>
      <c r="CD27" s="74"/>
      <c r="CE27" s="144"/>
    </row>
    <row r="28" spans="7:83" x14ac:dyDescent="0.25">
      <c r="G28" s="113" t="s">
        <v>151</v>
      </c>
      <c r="H28" s="123">
        <f>Dados!F113</f>
        <v>24992</v>
      </c>
      <c r="I28" s="166">
        <f t="shared" si="2"/>
        <v>0</v>
      </c>
      <c r="J28" s="151">
        <f t="shared" si="3"/>
        <v>0</v>
      </c>
      <c r="K28" s="151">
        <f t="shared" si="4"/>
        <v>0</v>
      </c>
      <c r="L28" s="151">
        <f t="shared" si="5"/>
        <v>0</v>
      </c>
      <c r="M28" s="151">
        <f t="shared" si="6"/>
        <v>0</v>
      </c>
      <c r="N28" s="151">
        <f t="shared" si="7"/>
        <v>0</v>
      </c>
      <c r="O28" s="151">
        <f t="shared" si="8"/>
        <v>0</v>
      </c>
      <c r="P28" s="151">
        <f t="shared" si="9"/>
        <v>0</v>
      </c>
      <c r="Q28" s="151">
        <f t="shared" si="10"/>
        <v>0</v>
      </c>
      <c r="R28" s="151">
        <f t="shared" si="11"/>
        <v>8330.6666666666661</v>
      </c>
      <c r="S28" s="151">
        <f t="shared" si="12"/>
        <v>8330.6666666666661</v>
      </c>
      <c r="T28" s="151">
        <f t="shared" si="13"/>
        <v>8330.6666666666661</v>
      </c>
      <c r="U28" s="151">
        <f t="shared" si="14"/>
        <v>0</v>
      </c>
      <c r="V28" s="151">
        <f t="shared" si="15"/>
        <v>0</v>
      </c>
      <c r="W28" s="151">
        <f t="shared" si="16"/>
        <v>0</v>
      </c>
      <c r="X28" s="151">
        <f t="shared" si="17"/>
        <v>0</v>
      </c>
      <c r="Y28" s="151">
        <f t="shared" si="18"/>
        <v>0</v>
      </c>
      <c r="Z28" s="151">
        <f t="shared" si="19"/>
        <v>0</v>
      </c>
      <c r="AA28" s="151">
        <f t="shared" si="20"/>
        <v>0</v>
      </c>
      <c r="AB28" s="151">
        <f t="shared" si="21"/>
        <v>0</v>
      </c>
      <c r="AC28" s="151">
        <f t="shared" si="22"/>
        <v>0</v>
      </c>
      <c r="AD28" s="151">
        <f t="shared" si="23"/>
        <v>0</v>
      </c>
      <c r="AE28" s="151">
        <f t="shared" si="24"/>
        <v>0</v>
      </c>
      <c r="AF28" s="151">
        <f t="shared" si="25"/>
        <v>0</v>
      </c>
      <c r="AG28" s="151">
        <f t="shared" si="26"/>
        <v>0</v>
      </c>
      <c r="AH28" s="151">
        <f t="shared" si="27"/>
        <v>0</v>
      </c>
      <c r="AI28" s="151">
        <f t="shared" si="28"/>
        <v>0</v>
      </c>
      <c r="AJ28" s="151">
        <f t="shared" si="29"/>
        <v>0</v>
      </c>
      <c r="AK28" s="151">
        <f t="shared" si="30"/>
        <v>0</v>
      </c>
      <c r="AL28" s="151">
        <f t="shared" si="31"/>
        <v>0</v>
      </c>
      <c r="AM28" s="151">
        <f t="shared" si="32"/>
        <v>0</v>
      </c>
      <c r="AN28" s="151">
        <f t="shared" si="33"/>
        <v>0</v>
      </c>
      <c r="AO28" s="151">
        <f t="shared" si="34"/>
        <v>0</v>
      </c>
      <c r="AP28" s="151">
        <f t="shared" si="35"/>
        <v>0</v>
      </c>
      <c r="AQ28" s="151">
        <f t="shared" si="36"/>
        <v>0</v>
      </c>
      <c r="AR28" s="167">
        <f t="shared" si="37"/>
        <v>0</v>
      </c>
      <c r="AS28" s="123">
        <f t="shared" si="38"/>
        <v>24992</v>
      </c>
      <c r="AU28" s="115">
        <f t="shared" si="39"/>
        <v>3</v>
      </c>
      <c r="AV28" s="143"/>
      <c r="AW28" s="74"/>
      <c r="AX28" s="74"/>
      <c r="AY28" s="74"/>
      <c r="AZ28" s="74"/>
      <c r="BA28" s="74"/>
      <c r="BB28" s="74"/>
      <c r="BC28" s="74"/>
      <c r="BD28" s="74"/>
      <c r="BE28" s="74" t="s">
        <v>66</v>
      </c>
      <c r="BF28" s="74" t="s">
        <v>66</v>
      </c>
      <c r="BG28" s="74" t="s">
        <v>66</v>
      </c>
      <c r="BH28" s="74"/>
      <c r="BI28" s="74"/>
      <c r="BJ28" s="74"/>
      <c r="BK28" s="74"/>
      <c r="BL28" s="74"/>
      <c r="BM28" s="74"/>
      <c r="BN28" s="74"/>
      <c r="BO28" s="74"/>
      <c r="BP28" s="74"/>
      <c r="BQ28" s="74"/>
      <c r="BR28" s="74"/>
      <c r="BS28" s="74"/>
      <c r="BT28" s="74"/>
      <c r="BU28" s="74"/>
      <c r="BV28" s="74"/>
      <c r="BW28" s="74"/>
      <c r="BX28" s="74"/>
      <c r="BY28" s="74"/>
      <c r="BZ28" s="74"/>
      <c r="CA28" s="74"/>
      <c r="CB28" s="74"/>
      <c r="CC28" s="74"/>
      <c r="CD28" s="74"/>
      <c r="CE28" s="144"/>
    </row>
    <row r="29" spans="7:83" x14ac:dyDescent="0.25">
      <c r="G29" s="114" t="s">
        <v>30</v>
      </c>
      <c r="H29" s="122">
        <f>Dados!F114</f>
        <v>3124</v>
      </c>
      <c r="I29" s="166">
        <f t="shared" si="2"/>
        <v>0</v>
      </c>
      <c r="J29" s="151">
        <f t="shared" si="3"/>
        <v>0</v>
      </c>
      <c r="K29" s="151">
        <f t="shared" si="4"/>
        <v>0</v>
      </c>
      <c r="L29" s="151">
        <f t="shared" si="5"/>
        <v>0</v>
      </c>
      <c r="M29" s="151">
        <f t="shared" si="6"/>
        <v>0</v>
      </c>
      <c r="N29" s="151">
        <f t="shared" si="7"/>
        <v>0</v>
      </c>
      <c r="O29" s="151">
        <f t="shared" si="8"/>
        <v>0</v>
      </c>
      <c r="P29" s="151">
        <f t="shared" si="9"/>
        <v>0</v>
      </c>
      <c r="Q29" s="151">
        <f t="shared" si="10"/>
        <v>0</v>
      </c>
      <c r="R29" s="151">
        <f t="shared" si="11"/>
        <v>3124</v>
      </c>
      <c r="S29" s="151">
        <f t="shared" si="12"/>
        <v>0</v>
      </c>
      <c r="T29" s="151">
        <f t="shared" si="13"/>
        <v>0</v>
      </c>
      <c r="U29" s="151">
        <f t="shared" si="14"/>
        <v>0</v>
      </c>
      <c r="V29" s="151">
        <f t="shared" si="15"/>
        <v>0</v>
      </c>
      <c r="W29" s="151">
        <f t="shared" si="16"/>
        <v>0</v>
      </c>
      <c r="X29" s="151">
        <f t="shared" si="17"/>
        <v>0</v>
      </c>
      <c r="Y29" s="151">
        <f t="shared" si="18"/>
        <v>0</v>
      </c>
      <c r="Z29" s="151">
        <f t="shared" si="19"/>
        <v>0</v>
      </c>
      <c r="AA29" s="151">
        <f t="shared" si="20"/>
        <v>0</v>
      </c>
      <c r="AB29" s="151">
        <f t="shared" si="21"/>
        <v>0</v>
      </c>
      <c r="AC29" s="151">
        <f t="shared" si="22"/>
        <v>0</v>
      </c>
      <c r="AD29" s="151">
        <f t="shared" si="23"/>
        <v>0</v>
      </c>
      <c r="AE29" s="151">
        <f t="shared" si="24"/>
        <v>0</v>
      </c>
      <c r="AF29" s="151">
        <f t="shared" si="25"/>
        <v>0</v>
      </c>
      <c r="AG29" s="151">
        <f t="shared" si="26"/>
        <v>0</v>
      </c>
      <c r="AH29" s="151">
        <f t="shared" si="27"/>
        <v>0</v>
      </c>
      <c r="AI29" s="151">
        <f t="shared" si="28"/>
        <v>0</v>
      </c>
      <c r="AJ29" s="151">
        <f t="shared" si="29"/>
        <v>0</v>
      </c>
      <c r="AK29" s="151">
        <f t="shared" si="30"/>
        <v>0</v>
      </c>
      <c r="AL29" s="151">
        <f t="shared" si="31"/>
        <v>0</v>
      </c>
      <c r="AM29" s="151">
        <f t="shared" si="32"/>
        <v>0</v>
      </c>
      <c r="AN29" s="151">
        <f t="shared" si="33"/>
        <v>0</v>
      </c>
      <c r="AO29" s="151">
        <f t="shared" si="34"/>
        <v>0</v>
      </c>
      <c r="AP29" s="151">
        <f t="shared" si="35"/>
        <v>0</v>
      </c>
      <c r="AQ29" s="151">
        <f t="shared" si="36"/>
        <v>0</v>
      </c>
      <c r="AR29" s="167">
        <f t="shared" si="37"/>
        <v>0</v>
      </c>
      <c r="AS29" s="123">
        <f t="shared" si="38"/>
        <v>3124</v>
      </c>
      <c r="AU29" s="115">
        <f t="shared" si="39"/>
        <v>1</v>
      </c>
      <c r="AV29" s="143"/>
      <c r="AW29" s="74"/>
      <c r="AX29" s="74"/>
      <c r="AY29" s="74"/>
      <c r="AZ29" s="74"/>
      <c r="BA29" s="74"/>
      <c r="BB29" s="74"/>
      <c r="BC29" s="74"/>
      <c r="BD29" s="74"/>
      <c r="BE29" s="74" t="s">
        <v>66</v>
      </c>
      <c r="BF29" s="74"/>
      <c r="BG29" s="74"/>
      <c r="BH29" s="74"/>
      <c r="BI29" s="74"/>
      <c r="BJ29" s="74"/>
      <c r="BK29" s="74"/>
      <c r="BL29" s="74"/>
      <c r="BM29" s="74"/>
      <c r="BN29" s="74"/>
      <c r="BO29" s="74"/>
      <c r="BP29" s="74"/>
      <c r="BQ29" s="74"/>
      <c r="BR29" s="74"/>
      <c r="BS29" s="74"/>
      <c r="BT29" s="74"/>
      <c r="BU29" s="74"/>
      <c r="BV29" s="74"/>
      <c r="BW29" s="74"/>
      <c r="BX29" s="74"/>
      <c r="BY29" s="74"/>
      <c r="BZ29" s="74"/>
      <c r="CA29" s="74"/>
      <c r="CB29" s="74"/>
      <c r="CC29" s="74"/>
      <c r="CD29" s="74"/>
      <c r="CE29" s="144"/>
    </row>
    <row r="30" spans="7:83" x14ac:dyDescent="0.25">
      <c r="G30" s="114" t="s">
        <v>29</v>
      </c>
      <c r="H30" s="122">
        <f>Dados!F115</f>
        <v>32650</v>
      </c>
      <c r="I30" s="166">
        <f t="shared" si="2"/>
        <v>0</v>
      </c>
      <c r="J30" s="151">
        <f t="shared" si="3"/>
        <v>0</v>
      </c>
      <c r="K30" s="151">
        <f t="shared" si="4"/>
        <v>0</v>
      </c>
      <c r="L30" s="151">
        <f t="shared" si="5"/>
        <v>0</v>
      </c>
      <c r="M30" s="151">
        <f t="shared" si="6"/>
        <v>0</v>
      </c>
      <c r="N30" s="151">
        <f t="shared" si="7"/>
        <v>0</v>
      </c>
      <c r="O30" s="151">
        <f t="shared" si="8"/>
        <v>0</v>
      </c>
      <c r="P30" s="151">
        <f t="shared" si="9"/>
        <v>0</v>
      </c>
      <c r="Q30" s="151">
        <f t="shared" si="10"/>
        <v>0</v>
      </c>
      <c r="R30" s="151">
        <f t="shared" si="11"/>
        <v>10883.333333333334</v>
      </c>
      <c r="S30" s="151">
        <f t="shared" si="12"/>
        <v>10883.333333333334</v>
      </c>
      <c r="T30" s="151">
        <f t="shared" si="13"/>
        <v>10883.333333333334</v>
      </c>
      <c r="U30" s="151">
        <f t="shared" si="14"/>
        <v>0</v>
      </c>
      <c r="V30" s="151">
        <f t="shared" si="15"/>
        <v>0</v>
      </c>
      <c r="W30" s="151">
        <f t="shared" si="16"/>
        <v>0</v>
      </c>
      <c r="X30" s="151">
        <f t="shared" si="17"/>
        <v>0</v>
      </c>
      <c r="Y30" s="151">
        <f t="shared" si="18"/>
        <v>0</v>
      </c>
      <c r="Z30" s="151">
        <f t="shared" si="19"/>
        <v>0</v>
      </c>
      <c r="AA30" s="151">
        <f t="shared" si="20"/>
        <v>0</v>
      </c>
      <c r="AB30" s="151">
        <f t="shared" si="21"/>
        <v>0</v>
      </c>
      <c r="AC30" s="151">
        <f t="shared" si="22"/>
        <v>0</v>
      </c>
      <c r="AD30" s="151">
        <f t="shared" si="23"/>
        <v>0</v>
      </c>
      <c r="AE30" s="151">
        <f t="shared" si="24"/>
        <v>0</v>
      </c>
      <c r="AF30" s="151">
        <f t="shared" si="25"/>
        <v>0</v>
      </c>
      <c r="AG30" s="151">
        <f t="shared" si="26"/>
        <v>0</v>
      </c>
      <c r="AH30" s="151">
        <f t="shared" si="27"/>
        <v>0</v>
      </c>
      <c r="AI30" s="151">
        <f t="shared" si="28"/>
        <v>0</v>
      </c>
      <c r="AJ30" s="151">
        <f t="shared" si="29"/>
        <v>0</v>
      </c>
      <c r="AK30" s="151">
        <f t="shared" si="30"/>
        <v>0</v>
      </c>
      <c r="AL30" s="151">
        <f t="shared" si="31"/>
        <v>0</v>
      </c>
      <c r="AM30" s="151">
        <f t="shared" si="32"/>
        <v>0</v>
      </c>
      <c r="AN30" s="151">
        <f t="shared" si="33"/>
        <v>0</v>
      </c>
      <c r="AO30" s="151">
        <f t="shared" si="34"/>
        <v>0</v>
      </c>
      <c r="AP30" s="151">
        <f t="shared" si="35"/>
        <v>0</v>
      </c>
      <c r="AQ30" s="151">
        <f t="shared" si="36"/>
        <v>0</v>
      </c>
      <c r="AR30" s="167">
        <f t="shared" si="37"/>
        <v>0</v>
      </c>
      <c r="AS30" s="123">
        <f t="shared" si="38"/>
        <v>32650</v>
      </c>
      <c r="AU30" s="115">
        <f t="shared" si="39"/>
        <v>3</v>
      </c>
      <c r="AV30" s="143"/>
      <c r="AW30" s="74"/>
      <c r="AX30" s="74"/>
      <c r="AY30" s="74"/>
      <c r="AZ30" s="74"/>
      <c r="BA30" s="74"/>
      <c r="BB30" s="74"/>
      <c r="BC30" s="74"/>
      <c r="BD30" s="74"/>
      <c r="BE30" s="74" t="s">
        <v>66</v>
      </c>
      <c r="BF30" s="74" t="s">
        <v>66</v>
      </c>
      <c r="BG30" s="74" t="s">
        <v>66</v>
      </c>
      <c r="BH30" s="74"/>
      <c r="BI30" s="74"/>
      <c r="BJ30" s="74"/>
      <c r="BK30" s="74"/>
      <c r="BL30" s="74"/>
      <c r="BM30" s="74"/>
      <c r="BN30" s="74"/>
      <c r="BO30" s="74"/>
      <c r="BP30" s="74"/>
      <c r="BQ30" s="74"/>
      <c r="BR30" s="74"/>
      <c r="BS30" s="74"/>
      <c r="BT30" s="74"/>
      <c r="BU30" s="74"/>
      <c r="BV30" s="74"/>
      <c r="BW30" s="74"/>
      <c r="BX30" s="74"/>
      <c r="BY30" s="74"/>
      <c r="BZ30" s="74"/>
      <c r="CA30" s="74"/>
      <c r="CB30" s="74"/>
      <c r="CC30" s="74"/>
      <c r="CD30" s="74"/>
      <c r="CE30" s="144"/>
    </row>
    <row r="31" spans="7:83" x14ac:dyDescent="0.25">
      <c r="G31" s="114" t="s">
        <v>28</v>
      </c>
      <c r="H31" s="122">
        <f>Dados!F116</f>
        <v>0</v>
      </c>
      <c r="I31" s="166">
        <f t="shared" si="2"/>
        <v>0</v>
      </c>
      <c r="J31" s="151">
        <f t="shared" si="3"/>
        <v>0</v>
      </c>
      <c r="K31" s="151">
        <f t="shared" si="4"/>
        <v>0</v>
      </c>
      <c r="L31" s="151">
        <f t="shared" si="5"/>
        <v>0</v>
      </c>
      <c r="M31" s="151">
        <f t="shared" si="6"/>
        <v>0</v>
      </c>
      <c r="N31" s="151">
        <f t="shared" si="7"/>
        <v>0</v>
      </c>
      <c r="O31" s="151">
        <f t="shared" si="8"/>
        <v>0</v>
      </c>
      <c r="P31" s="151">
        <f t="shared" si="9"/>
        <v>0</v>
      </c>
      <c r="Q31" s="151">
        <f t="shared" si="10"/>
        <v>0</v>
      </c>
      <c r="R31" s="151">
        <f t="shared" si="11"/>
        <v>0</v>
      </c>
      <c r="S31" s="151">
        <f t="shared" si="12"/>
        <v>0</v>
      </c>
      <c r="T31" s="151">
        <f t="shared" si="13"/>
        <v>0</v>
      </c>
      <c r="U31" s="151">
        <f t="shared" si="14"/>
        <v>0</v>
      </c>
      <c r="V31" s="151">
        <f t="shared" si="15"/>
        <v>0</v>
      </c>
      <c r="W31" s="151">
        <f t="shared" si="16"/>
        <v>0</v>
      </c>
      <c r="X31" s="151">
        <f t="shared" si="17"/>
        <v>0</v>
      </c>
      <c r="Y31" s="151">
        <f t="shared" si="18"/>
        <v>0</v>
      </c>
      <c r="Z31" s="151">
        <f t="shared" si="19"/>
        <v>0</v>
      </c>
      <c r="AA31" s="151">
        <f t="shared" si="20"/>
        <v>0</v>
      </c>
      <c r="AB31" s="151">
        <f t="shared" si="21"/>
        <v>0</v>
      </c>
      <c r="AC31" s="151">
        <f t="shared" si="22"/>
        <v>0</v>
      </c>
      <c r="AD31" s="151">
        <f t="shared" si="23"/>
        <v>0</v>
      </c>
      <c r="AE31" s="151">
        <f t="shared" si="24"/>
        <v>0</v>
      </c>
      <c r="AF31" s="151">
        <f t="shared" si="25"/>
        <v>0</v>
      </c>
      <c r="AG31" s="151">
        <f t="shared" si="26"/>
        <v>0</v>
      </c>
      <c r="AH31" s="151">
        <f t="shared" si="27"/>
        <v>0</v>
      </c>
      <c r="AI31" s="151">
        <f t="shared" si="28"/>
        <v>0</v>
      </c>
      <c r="AJ31" s="151">
        <f t="shared" si="29"/>
        <v>0</v>
      </c>
      <c r="AK31" s="151">
        <f t="shared" si="30"/>
        <v>0</v>
      </c>
      <c r="AL31" s="151">
        <f t="shared" si="31"/>
        <v>0</v>
      </c>
      <c r="AM31" s="151">
        <f t="shared" si="32"/>
        <v>0</v>
      </c>
      <c r="AN31" s="151">
        <f t="shared" si="33"/>
        <v>0</v>
      </c>
      <c r="AO31" s="151">
        <f t="shared" si="34"/>
        <v>0</v>
      </c>
      <c r="AP31" s="151">
        <f t="shared" si="35"/>
        <v>0</v>
      </c>
      <c r="AQ31" s="151">
        <f t="shared" si="36"/>
        <v>0</v>
      </c>
      <c r="AR31" s="167">
        <f t="shared" si="37"/>
        <v>0</v>
      </c>
      <c r="AS31" s="123">
        <f t="shared" si="38"/>
        <v>0</v>
      </c>
      <c r="AU31" s="115">
        <f t="shared" si="39"/>
        <v>12</v>
      </c>
      <c r="AV31" s="143" t="s">
        <v>66</v>
      </c>
      <c r="AW31" s="74" t="s">
        <v>66</v>
      </c>
      <c r="AX31" s="74" t="s">
        <v>66</v>
      </c>
      <c r="AY31" s="74" t="s">
        <v>66</v>
      </c>
      <c r="AZ31" s="74" t="s">
        <v>66</v>
      </c>
      <c r="BA31" s="74" t="s">
        <v>66</v>
      </c>
      <c r="BB31" s="74" t="s">
        <v>66</v>
      </c>
      <c r="BC31" s="74" t="s">
        <v>66</v>
      </c>
      <c r="BD31" s="74" t="s">
        <v>66</v>
      </c>
      <c r="BE31" s="74" t="s">
        <v>66</v>
      </c>
      <c r="BF31" s="74" t="s">
        <v>66</v>
      </c>
      <c r="BG31" s="74" t="s">
        <v>66</v>
      </c>
      <c r="BH31" s="74"/>
      <c r="BI31" s="74"/>
      <c r="BJ31" s="74"/>
      <c r="BK31" s="74"/>
      <c r="BL31" s="74"/>
      <c r="BM31" s="74"/>
      <c r="BN31" s="74"/>
      <c r="BO31" s="74"/>
      <c r="BP31" s="74"/>
      <c r="BQ31" s="74"/>
      <c r="BR31" s="74"/>
      <c r="BS31" s="74"/>
      <c r="BT31" s="74"/>
      <c r="BU31" s="74"/>
      <c r="BV31" s="74"/>
      <c r="BW31" s="74"/>
      <c r="BX31" s="74"/>
      <c r="BY31" s="74"/>
      <c r="BZ31" s="74"/>
      <c r="CA31" s="74"/>
      <c r="CB31" s="74"/>
      <c r="CC31" s="74"/>
      <c r="CD31" s="74"/>
      <c r="CE31" s="144"/>
    </row>
    <row r="32" spans="7:83" hidden="1" x14ac:dyDescent="0.25">
      <c r="G32" s="114" t="s">
        <v>42</v>
      </c>
      <c r="H32" s="122">
        <f>Dados!F117</f>
        <v>12602.005302768144</v>
      </c>
      <c r="I32" s="166">
        <f t="shared" si="2"/>
        <v>0</v>
      </c>
      <c r="J32" s="151">
        <f t="shared" si="3"/>
        <v>0</v>
      </c>
      <c r="K32" s="151">
        <f t="shared" si="4"/>
        <v>0</v>
      </c>
      <c r="L32" s="151">
        <f t="shared" si="5"/>
        <v>0</v>
      </c>
      <c r="M32" s="151">
        <f t="shared" si="6"/>
        <v>0</v>
      </c>
      <c r="N32" s="151">
        <f t="shared" si="7"/>
        <v>0</v>
      </c>
      <c r="O32" s="151">
        <f t="shared" si="8"/>
        <v>0</v>
      </c>
      <c r="P32" s="151">
        <f t="shared" si="9"/>
        <v>0</v>
      </c>
      <c r="Q32" s="151">
        <f t="shared" si="10"/>
        <v>0</v>
      </c>
      <c r="R32" s="151">
        <f t="shared" si="11"/>
        <v>0</v>
      </c>
      <c r="S32" s="151">
        <f t="shared" si="12"/>
        <v>0</v>
      </c>
      <c r="T32" s="151">
        <f t="shared" si="13"/>
        <v>0</v>
      </c>
      <c r="U32" s="151">
        <f t="shared" si="14"/>
        <v>0</v>
      </c>
      <c r="V32" s="151">
        <f t="shared" si="15"/>
        <v>0</v>
      </c>
      <c r="W32" s="151">
        <f t="shared" si="16"/>
        <v>0</v>
      </c>
      <c r="X32" s="151">
        <f t="shared" si="17"/>
        <v>0</v>
      </c>
      <c r="Y32" s="151">
        <f t="shared" si="18"/>
        <v>0</v>
      </c>
      <c r="Z32" s="151">
        <f t="shared" si="19"/>
        <v>0</v>
      </c>
      <c r="AA32" s="151">
        <f t="shared" si="20"/>
        <v>0</v>
      </c>
      <c r="AB32" s="151">
        <f t="shared" si="21"/>
        <v>0</v>
      </c>
      <c r="AC32" s="151">
        <f t="shared" si="22"/>
        <v>0</v>
      </c>
      <c r="AD32" s="151">
        <f t="shared" si="23"/>
        <v>0</v>
      </c>
      <c r="AE32" s="151">
        <f t="shared" si="24"/>
        <v>0</v>
      </c>
      <c r="AF32" s="151">
        <f t="shared" si="25"/>
        <v>0</v>
      </c>
      <c r="AG32" s="151">
        <f t="shared" si="26"/>
        <v>0</v>
      </c>
      <c r="AH32" s="151">
        <f t="shared" si="27"/>
        <v>0</v>
      </c>
      <c r="AI32" s="151">
        <f t="shared" si="28"/>
        <v>0</v>
      </c>
      <c r="AJ32" s="151">
        <f t="shared" si="29"/>
        <v>0</v>
      </c>
      <c r="AK32" s="151">
        <f t="shared" si="30"/>
        <v>0</v>
      </c>
      <c r="AL32" s="151">
        <f t="shared" si="31"/>
        <v>0</v>
      </c>
      <c r="AM32" s="151">
        <f t="shared" si="32"/>
        <v>0</v>
      </c>
      <c r="AN32" s="151">
        <f t="shared" si="33"/>
        <v>0</v>
      </c>
      <c r="AO32" s="151">
        <f t="shared" si="34"/>
        <v>0</v>
      </c>
      <c r="AP32" s="151">
        <f t="shared" si="35"/>
        <v>0</v>
      </c>
      <c r="AQ32" s="151">
        <f t="shared" si="36"/>
        <v>0</v>
      </c>
      <c r="AR32" s="167">
        <f t="shared" si="37"/>
        <v>0</v>
      </c>
      <c r="AS32" s="123">
        <f t="shared" si="38"/>
        <v>0</v>
      </c>
      <c r="AU32" s="115">
        <f t="shared" si="39"/>
        <v>0</v>
      </c>
      <c r="AV32" s="143"/>
      <c r="AW32" s="74"/>
      <c r="AX32" s="74"/>
      <c r="AY32" s="74"/>
      <c r="AZ32" s="74"/>
      <c r="BA32" s="74"/>
      <c r="BB32" s="74"/>
      <c r="BC32" s="74"/>
      <c r="BD32" s="74"/>
      <c r="BE32" s="74"/>
      <c r="BF32" s="74"/>
      <c r="BG32" s="74"/>
      <c r="BH32" s="74"/>
      <c r="BI32" s="74"/>
      <c r="BJ32" s="74"/>
      <c r="BK32" s="74"/>
      <c r="BL32" s="74"/>
      <c r="BM32" s="74"/>
      <c r="BN32" s="74"/>
      <c r="BO32" s="74"/>
      <c r="BP32" s="74"/>
      <c r="BQ32" s="74"/>
      <c r="BR32" s="74"/>
      <c r="BS32" s="74"/>
      <c r="BT32" s="74"/>
      <c r="BU32" s="74"/>
      <c r="BV32" s="74"/>
      <c r="BW32" s="74"/>
      <c r="BX32" s="74"/>
      <c r="BY32" s="74"/>
      <c r="BZ32" s="74"/>
      <c r="CA32" s="74"/>
      <c r="CB32" s="74"/>
      <c r="CC32" s="74"/>
      <c r="CD32" s="74"/>
      <c r="CE32" s="144"/>
    </row>
    <row r="33" spans="2:83" x14ac:dyDescent="0.25">
      <c r="G33" s="113" t="s">
        <v>43</v>
      </c>
      <c r="H33" s="123">
        <f>Dados!F118</f>
        <v>3000.0000135833125</v>
      </c>
      <c r="I33" s="166">
        <f t="shared" si="2"/>
        <v>0</v>
      </c>
      <c r="J33" s="151">
        <f t="shared" si="3"/>
        <v>0</v>
      </c>
      <c r="K33" s="151">
        <f t="shared" si="4"/>
        <v>0</v>
      </c>
      <c r="L33" s="151">
        <f t="shared" si="5"/>
        <v>0</v>
      </c>
      <c r="M33" s="151">
        <f t="shared" si="6"/>
        <v>0</v>
      </c>
      <c r="N33" s="151">
        <f t="shared" si="7"/>
        <v>0</v>
      </c>
      <c r="O33" s="151">
        <f t="shared" si="8"/>
        <v>0</v>
      </c>
      <c r="P33" s="151">
        <f t="shared" si="9"/>
        <v>0</v>
      </c>
      <c r="Q33" s="151">
        <f t="shared" si="10"/>
        <v>0</v>
      </c>
      <c r="R33" s="151">
        <f t="shared" si="11"/>
        <v>3000.0000135833125</v>
      </c>
      <c r="S33" s="151">
        <f t="shared" si="12"/>
        <v>0</v>
      </c>
      <c r="T33" s="151">
        <f t="shared" si="13"/>
        <v>0</v>
      </c>
      <c r="U33" s="151">
        <f t="shared" si="14"/>
        <v>0</v>
      </c>
      <c r="V33" s="151">
        <f t="shared" si="15"/>
        <v>0</v>
      </c>
      <c r="W33" s="151">
        <f t="shared" si="16"/>
        <v>0</v>
      </c>
      <c r="X33" s="151">
        <f t="shared" si="17"/>
        <v>0</v>
      </c>
      <c r="Y33" s="151">
        <f t="shared" si="18"/>
        <v>0</v>
      </c>
      <c r="Z33" s="151">
        <f t="shared" si="19"/>
        <v>0</v>
      </c>
      <c r="AA33" s="151">
        <f t="shared" si="20"/>
        <v>0</v>
      </c>
      <c r="AB33" s="151">
        <f t="shared" si="21"/>
        <v>0</v>
      </c>
      <c r="AC33" s="151">
        <f t="shared" si="22"/>
        <v>0</v>
      </c>
      <c r="AD33" s="151">
        <f t="shared" si="23"/>
        <v>0</v>
      </c>
      <c r="AE33" s="151">
        <f t="shared" si="24"/>
        <v>0</v>
      </c>
      <c r="AF33" s="151">
        <f t="shared" si="25"/>
        <v>0</v>
      </c>
      <c r="AG33" s="151">
        <f t="shared" si="26"/>
        <v>0</v>
      </c>
      <c r="AH33" s="151">
        <f t="shared" si="27"/>
        <v>0</v>
      </c>
      <c r="AI33" s="151">
        <f t="shared" si="28"/>
        <v>0</v>
      </c>
      <c r="AJ33" s="151">
        <f t="shared" si="29"/>
        <v>0</v>
      </c>
      <c r="AK33" s="151">
        <f t="shared" si="30"/>
        <v>0</v>
      </c>
      <c r="AL33" s="151">
        <f t="shared" si="31"/>
        <v>0</v>
      </c>
      <c r="AM33" s="151">
        <f t="shared" si="32"/>
        <v>0</v>
      </c>
      <c r="AN33" s="151">
        <f t="shared" si="33"/>
        <v>0</v>
      </c>
      <c r="AO33" s="151">
        <f t="shared" si="34"/>
        <v>0</v>
      </c>
      <c r="AP33" s="151">
        <f t="shared" si="35"/>
        <v>0</v>
      </c>
      <c r="AQ33" s="151">
        <f t="shared" si="36"/>
        <v>0</v>
      </c>
      <c r="AR33" s="167">
        <f t="shared" si="37"/>
        <v>0</v>
      </c>
      <c r="AS33" s="123">
        <f t="shared" si="38"/>
        <v>3000.0000135833125</v>
      </c>
      <c r="AU33" s="115">
        <f t="shared" si="39"/>
        <v>1</v>
      </c>
      <c r="AV33" s="143"/>
      <c r="AW33" s="74"/>
      <c r="AX33" s="74"/>
      <c r="AY33" s="74"/>
      <c r="AZ33" s="74"/>
      <c r="BA33" s="74"/>
      <c r="BB33" s="74"/>
      <c r="BC33" s="74"/>
      <c r="BD33" s="74"/>
      <c r="BE33" s="74" t="s">
        <v>66</v>
      </c>
      <c r="BF33" s="74"/>
      <c r="BG33" s="74"/>
      <c r="BH33" s="74"/>
      <c r="BI33" s="74"/>
      <c r="BJ33" s="74"/>
      <c r="BK33" s="74"/>
      <c r="BL33" s="74"/>
      <c r="BM33" s="74"/>
      <c r="BN33" s="74"/>
      <c r="BO33" s="74"/>
      <c r="BP33" s="74"/>
      <c r="BQ33" s="74"/>
      <c r="BR33" s="74"/>
      <c r="BS33" s="74"/>
      <c r="BT33" s="74"/>
      <c r="BU33" s="74"/>
      <c r="BV33" s="74"/>
      <c r="BW33" s="74"/>
      <c r="BX33" s="74"/>
      <c r="BY33" s="74"/>
      <c r="BZ33" s="74"/>
      <c r="CA33" s="74"/>
      <c r="CB33" s="74"/>
      <c r="CC33" s="74"/>
      <c r="CD33" s="74"/>
      <c r="CE33" s="144"/>
    </row>
    <row r="34" spans="2:83" x14ac:dyDescent="0.25">
      <c r="G34" s="113" t="s">
        <v>44</v>
      </c>
      <c r="H34" s="123">
        <f>Dados!F119</f>
        <v>9602.0052820053606</v>
      </c>
      <c r="I34" s="166">
        <f t="shared" si="2"/>
        <v>0</v>
      </c>
      <c r="J34" s="151">
        <f t="shared" si="3"/>
        <v>0</v>
      </c>
      <c r="K34" s="151">
        <f t="shared" si="4"/>
        <v>0</v>
      </c>
      <c r="L34" s="151">
        <f t="shared" si="5"/>
        <v>0</v>
      </c>
      <c r="M34" s="151">
        <f t="shared" si="6"/>
        <v>0</v>
      </c>
      <c r="N34" s="151">
        <f t="shared" si="7"/>
        <v>0</v>
      </c>
      <c r="O34" s="151">
        <f t="shared" si="8"/>
        <v>0</v>
      </c>
      <c r="P34" s="151">
        <f t="shared" si="9"/>
        <v>0</v>
      </c>
      <c r="Q34" s="151">
        <f t="shared" si="10"/>
        <v>0</v>
      </c>
      <c r="R34" s="151">
        <f t="shared" si="11"/>
        <v>0</v>
      </c>
      <c r="S34" s="151">
        <f t="shared" si="12"/>
        <v>0</v>
      </c>
      <c r="T34" s="151">
        <f t="shared" si="13"/>
        <v>9602.0052820053606</v>
      </c>
      <c r="U34" s="151">
        <f t="shared" si="14"/>
        <v>0</v>
      </c>
      <c r="V34" s="151">
        <f t="shared" si="15"/>
        <v>0</v>
      </c>
      <c r="W34" s="151">
        <f t="shared" si="16"/>
        <v>0</v>
      </c>
      <c r="X34" s="151">
        <f t="shared" si="17"/>
        <v>0</v>
      </c>
      <c r="Y34" s="151">
        <f t="shared" si="18"/>
        <v>0</v>
      </c>
      <c r="Z34" s="151">
        <f t="shared" si="19"/>
        <v>0</v>
      </c>
      <c r="AA34" s="151">
        <f t="shared" si="20"/>
        <v>0</v>
      </c>
      <c r="AB34" s="151">
        <f t="shared" si="21"/>
        <v>0</v>
      </c>
      <c r="AC34" s="151">
        <f t="shared" si="22"/>
        <v>0</v>
      </c>
      <c r="AD34" s="151">
        <f t="shared" si="23"/>
        <v>0</v>
      </c>
      <c r="AE34" s="151">
        <f t="shared" si="24"/>
        <v>0</v>
      </c>
      <c r="AF34" s="151">
        <f t="shared" si="25"/>
        <v>0</v>
      </c>
      <c r="AG34" s="151">
        <f t="shared" si="26"/>
        <v>0</v>
      </c>
      <c r="AH34" s="151">
        <f t="shared" si="27"/>
        <v>0</v>
      </c>
      <c r="AI34" s="151">
        <f t="shared" si="28"/>
        <v>0</v>
      </c>
      <c r="AJ34" s="151">
        <f t="shared" si="29"/>
        <v>0</v>
      </c>
      <c r="AK34" s="151">
        <f t="shared" si="30"/>
        <v>0</v>
      </c>
      <c r="AL34" s="151">
        <f t="shared" si="31"/>
        <v>0</v>
      </c>
      <c r="AM34" s="151">
        <f t="shared" si="32"/>
        <v>0</v>
      </c>
      <c r="AN34" s="151">
        <f t="shared" si="33"/>
        <v>0</v>
      </c>
      <c r="AO34" s="151">
        <f t="shared" si="34"/>
        <v>0</v>
      </c>
      <c r="AP34" s="151">
        <f t="shared" si="35"/>
        <v>0</v>
      </c>
      <c r="AQ34" s="151">
        <f t="shared" si="36"/>
        <v>0</v>
      </c>
      <c r="AR34" s="167">
        <f t="shared" si="37"/>
        <v>0</v>
      </c>
      <c r="AS34" s="123">
        <f t="shared" si="38"/>
        <v>9602.0052820053606</v>
      </c>
      <c r="AU34" s="115">
        <f t="shared" si="39"/>
        <v>1</v>
      </c>
      <c r="AV34" s="143"/>
      <c r="AW34" s="74"/>
      <c r="AX34" s="74"/>
      <c r="AY34" s="74"/>
      <c r="AZ34" s="74"/>
      <c r="BA34" s="74"/>
      <c r="BB34" s="74"/>
      <c r="BC34" s="74"/>
      <c r="BD34" s="74"/>
      <c r="BE34" s="74"/>
      <c r="BF34" s="74"/>
      <c r="BG34" s="74" t="s">
        <v>66</v>
      </c>
      <c r="BH34" s="74"/>
      <c r="BI34" s="74"/>
      <c r="BJ34" s="74"/>
      <c r="BK34" s="74"/>
      <c r="BL34" s="74"/>
      <c r="BM34" s="74"/>
      <c r="BN34" s="74"/>
      <c r="BO34" s="74"/>
      <c r="BP34" s="74"/>
      <c r="BQ34" s="74"/>
      <c r="BR34" s="74"/>
      <c r="BS34" s="74"/>
      <c r="BT34" s="74"/>
      <c r="BU34" s="74"/>
      <c r="BV34" s="74"/>
      <c r="BW34" s="74"/>
      <c r="BX34" s="74"/>
      <c r="BY34" s="74"/>
      <c r="BZ34" s="74"/>
      <c r="CA34" s="74"/>
      <c r="CB34" s="74"/>
      <c r="CC34" s="74"/>
      <c r="CD34" s="74"/>
      <c r="CE34" s="144"/>
    </row>
    <row r="35" spans="2:83" x14ac:dyDescent="0.25">
      <c r="G35" s="113" t="s">
        <v>41</v>
      </c>
      <c r="H35" s="123">
        <f>Dados!F120</f>
        <v>9.8262399388642805E-7</v>
      </c>
      <c r="I35" s="166">
        <f t="shared" si="2"/>
        <v>8.1885332823869E-8</v>
      </c>
      <c r="J35" s="151">
        <f t="shared" si="3"/>
        <v>8.1885332823869E-8</v>
      </c>
      <c r="K35" s="151">
        <f t="shared" si="4"/>
        <v>8.1885332823869E-8</v>
      </c>
      <c r="L35" s="151">
        <f t="shared" si="5"/>
        <v>8.1885332823869E-8</v>
      </c>
      <c r="M35" s="151">
        <f t="shared" si="6"/>
        <v>8.1885332823869E-8</v>
      </c>
      <c r="N35" s="151">
        <f t="shared" si="7"/>
        <v>8.1885332823869E-8</v>
      </c>
      <c r="O35" s="151">
        <f t="shared" si="8"/>
        <v>8.1885332823869E-8</v>
      </c>
      <c r="P35" s="151">
        <f t="shared" si="9"/>
        <v>8.1885332823869E-8</v>
      </c>
      <c r="Q35" s="151">
        <f t="shared" si="10"/>
        <v>8.1885332823869E-8</v>
      </c>
      <c r="R35" s="151">
        <f t="shared" si="11"/>
        <v>8.1885332823869E-8</v>
      </c>
      <c r="S35" s="151">
        <f t="shared" si="12"/>
        <v>8.1885332823869E-8</v>
      </c>
      <c r="T35" s="151">
        <f t="shared" si="13"/>
        <v>8.1885332823869E-8</v>
      </c>
      <c r="U35" s="151">
        <f t="shared" si="14"/>
        <v>0</v>
      </c>
      <c r="V35" s="151">
        <f t="shared" si="15"/>
        <v>0</v>
      </c>
      <c r="W35" s="151">
        <f t="shared" si="16"/>
        <v>0</v>
      </c>
      <c r="X35" s="151">
        <f t="shared" si="17"/>
        <v>0</v>
      </c>
      <c r="Y35" s="151">
        <f t="shared" si="18"/>
        <v>0</v>
      </c>
      <c r="Z35" s="151">
        <f t="shared" si="19"/>
        <v>0</v>
      </c>
      <c r="AA35" s="151">
        <f t="shared" si="20"/>
        <v>0</v>
      </c>
      <c r="AB35" s="151">
        <f t="shared" si="21"/>
        <v>0</v>
      </c>
      <c r="AC35" s="151">
        <f t="shared" si="22"/>
        <v>0</v>
      </c>
      <c r="AD35" s="151">
        <f t="shared" si="23"/>
        <v>0</v>
      </c>
      <c r="AE35" s="151">
        <f t="shared" si="24"/>
        <v>0</v>
      </c>
      <c r="AF35" s="151">
        <f t="shared" si="25"/>
        <v>0</v>
      </c>
      <c r="AG35" s="151">
        <f t="shared" si="26"/>
        <v>0</v>
      </c>
      <c r="AH35" s="151">
        <f t="shared" si="27"/>
        <v>0</v>
      </c>
      <c r="AI35" s="151">
        <f t="shared" si="28"/>
        <v>0</v>
      </c>
      <c r="AJ35" s="151">
        <f t="shared" si="29"/>
        <v>0</v>
      </c>
      <c r="AK35" s="151">
        <f t="shared" si="30"/>
        <v>0</v>
      </c>
      <c r="AL35" s="151">
        <f t="shared" si="31"/>
        <v>0</v>
      </c>
      <c r="AM35" s="151">
        <f t="shared" si="32"/>
        <v>0</v>
      </c>
      <c r="AN35" s="151">
        <f t="shared" si="33"/>
        <v>0</v>
      </c>
      <c r="AO35" s="151">
        <f t="shared" si="34"/>
        <v>0</v>
      </c>
      <c r="AP35" s="151">
        <f t="shared" si="35"/>
        <v>0</v>
      </c>
      <c r="AQ35" s="151">
        <f t="shared" si="36"/>
        <v>0</v>
      </c>
      <c r="AR35" s="167">
        <f t="shared" si="37"/>
        <v>0</v>
      </c>
      <c r="AS35" s="123">
        <f t="shared" si="38"/>
        <v>9.8262399388642805E-7</v>
      </c>
      <c r="AU35" s="115">
        <f t="shared" si="39"/>
        <v>12</v>
      </c>
      <c r="AV35" s="143" t="s">
        <v>66</v>
      </c>
      <c r="AW35" s="74" t="s">
        <v>66</v>
      </c>
      <c r="AX35" s="74" t="s">
        <v>66</v>
      </c>
      <c r="AY35" s="74" t="s">
        <v>66</v>
      </c>
      <c r="AZ35" s="74" t="s">
        <v>66</v>
      </c>
      <c r="BA35" s="74" t="s">
        <v>66</v>
      </c>
      <c r="BB35" s="74" t="s">
        <v>66</v>
      </c>
      <c r="BC35" s="74" t="s">
        <v>66</v>
      </c>
      <c r="BD35" s="74" t="s">
        <v>66</v>
      </c>
      <c r="BE35" s="74" t="s">
        <v>66</v>
      </c>
      <c r="BF35" s="74" t="s">
        <v>66</v>
      </c>
      <c r="BG35" s="74" t="s">
        <v>66</v>
      </c>
      <c r="BH35" s="74"/>
      <c r="BI35" s="74"/>
      <c r="BJ35" s="74"/>
      <c r="BK35" s="74"/>
      <c r="BL35" s="74"/>
      <c r="BM35" s="74"/>
      <c r="BN35" s="74"/>
      <c r="BO35" s="74"/>
      <c r="BP35" s="74"/>
      <c r="BQ35" s="74"/>
      <c r="BR35" s="74"/>
      <c r="BS35" s="74"/>
      <c r="BT35" s="74"/>
      <c r="BU35" s="74"/>
      <c r="BV35" s="74"/>
      <c r="BW35" s="74"/>
      <c r="BX35" s="74"/>
      <c r="BY35" s="74"/>
      <c r="BZ35" s="74"/>
      <c r="CA35" s="74"/>
      <c r="CB35" s="74"/>
      <c r="CC35" s="74"/>
      <c r="CD35" s="74"/>
      <c r="CE35" s="144"/>
    </row>
    <row r="36" spans="2:83" x14ac:dyDescent="0.25">
      <c r="G36" s="113" t="s">
        <v>45</v>
      </c>
      <c r="H36" s="123">
        <f>Dados!F121</f>
        <v>6.1968484011391635E-6</v>
      </c>
      <c r="I36" s="166">
        <f t="shared" si="2"/>
        <v>5.1640403342826363E-7</v>
      </c>
      <c r="J36" s="151">
        <f t="shared" si="3"/>
        <v>5.1640403342826363E-7</v>
      </c>
      <c r="K36" s="151">
        <f t="shared" si="4"/>
        <v>5.1640403342826363E-7</v>
      </c>
      <c r="L36" s="151">
        <f t="shared" si="5"/>
        <v>5.1640403342826363E-7</v>
      </c>
      <c r="M36" s="151">
        <f t="shared" si="6"/>
        <v>5.1640403342826363E-7</v>
      </c>
      <c r="N36" s="151">
        <f t="shared" si="7"/>
        <v>5.1640403342826363E-7</v>
      </c>
      <c r="O36" s="151">
        <f t="shared" si="8"/>
        <v>5.1640403342826363E-7</v>
      </c>
      <c r="P36" s="151">
        <f t="shared" si="9"/>
        <v>5.1640403342826363E-7</v>
      </c>
      <c r="Q36" s="151">
        <f t="shared" si="10"/>
        <v>5.1640403342826363E-7</v>
      </c>
      <c r="R36" s="151">
        <f t="shared" si="11"/>
        <v>5.1640403342826363E-7</v>
      </c>
      <c r="S36" s="151">
        <f t="shared" si="12"/>
        <v>5.1640403342826363E-7</v>
      </c>
      <c r="T36" s="151">
        <f t="shared" si="13"/>
        <v>5.1640403342826363E-7</v>
      </c>
      <c r="U36" s="151">
        <f t="shared" si="14"/>
        <v>0</v>
      </c>
      <c r="V36" s="151">
        <f t="shared" si="15"/>
        <v>0</v>
      </c>
      <c r="W36" s="151">
        <f t="shared" si="16"/>
        <v>0</v>
      </c>
      <c r="X36" s="151">
        <f t="shared" si="17"/>
        <v>0</v>
      </c>
      <c r="Y36" s="151">
        <f t="shared" si="18"/>
        <v>0</v>
      </c>
      <c r="Z36" s="151">
        <f t="shared" si="19"/>
        <v>0</v>
      </c>
      <c r="AA36" s="151">
        <f t="shared" si="20"/>
        <v>0</v>
      </c>
      <c r="AB36" s="151">
        <f t="shared" si="21"/>
        <v>0</v>
      </c>
      <c r="AC36" s="151">
        <f t="shared" si="22"/>
        <v>0</v>
      </c>
      <c r="AD36" s="151">
        <f t="shared" si="23"/>
        <v>0</v>
      </c>
      <c r="AE36" s="151">
        <f t="shared" si="24"/>
        <v>0</v>
      </c>
      <c r="AF36" s="151">
        <f t="shared" si="25"/>
        <v>0</v>
      </c>
      <c r="AG36" s="151">
        <f t="shared" si="26"/>
        <v>0</v>
      </c>
      <c r="AH36" s="151">
        <f t="shared" si="27"/>
        <v>0</v>
      </c>
      <c r="AI36" s="151">
        <f t="shared" si="28"/>
        <v>0</v>
      </c>
      <c r="AJ36" s="151">
        <f t="shared" si="29"/>
        <v>0</v>
      </c>
      <c r="AK36" s="151">
        <f t="shared" si="30"/>
        <v>0</v>
      </c>
      <c r="AL36" s="151">
        <f t="shared" si="31"/>
        <v>0</v>
      </c>
      <c r="AM36" s="151">
        <f t="shared" si="32"/>
        <v>0</v>
      </c>
      <c r="AN36" s="151">
        <f t="shared" si="33"/>
        <v>0</v>
      </c>
      <c r="AO36" s="151">
        <f t="shared" si="34"/>
        <v>0</v>
      </c>
      <c r="AP36" s="151">
        <f t="shared" si="35"/>
        <v>0</v>
      </c>
      <c r="AQ36" s="151">
        <f t="shared" si="36"/>
        <v>0</v>
      </c>
      <c r="AR36" s="167">
        <f t="shared" si="37"/>
        <v>0</v>
      </c>
      <c r="AS36" s="123">
        <f t="shared" si="38"/>
        <v>6.1968484011391635E-6</v>
      </c>
      <c r="AU36" s="115">
        <f t="shared" si="39"/>
        <v>12</v>
      </c>
      <c r="AV36" s="143" t="s">
        <v>66</v>
      </c>
      <c r="AW36" s="74" t="s">
        <v>66</v>
      </c>
      <c r="AX36" s="74" t="s">
        <v>66</v>
      </c>
      <c r="AY36" s="74" t="s">
        <v>66</v>
      </c>
      <c r="AZ36" s="74" t="s">
        <v>66</v>
      </c>
      <c r="BA36" s="74" t="s">
        <v>66</v>
      </c>
      <c r="BB36" s="74" t="s">
        <v>66</v>
      </c>
      <c r="BC36" s="74" t="s">
        <v>66</v>
      </c>
      <c r="BD36" s="74" t="s">
        <v>66</v>
      </c>
      <c r="BE36" s="74" t="s">
        <v>66</v>
      </c>
      <c r="BF36" s="74" t="s">
        <v>66</v>
      </c>
      <c r="BG36" s="74" t="s">
        <v>66</v>
      </c>
      <c r="BH36" s="74"/>
      <c r="BI36" s="74"/>
      <c r="BJ36" s="74"/>
      <c r="BK36" s="74"/>
      <c r="BL36" s="74"/>
      <c r="BM36" s="74"/>
      <c r="BN36" s="74"/>
      <c r="BO36" s="74"/>
      <c r="BP36" s="74"/>
      <c r="BQ36" s="74"/>
      <c r="BR36" s="74"/>
      <c r="BS36" s="74"/>
      <c r="BT36" s="74"/>
      <c r="BU36" s="74"/>
      <c r="BV36" s="74"/>
      <c r="BW36" s="74"/>
      <c r="BX36" s="74"/>
      <c r="BY36" s="74"/>
      <c r="BZ36" s="74"/>
      <c r="CA36" s="74"/>
      <c r="CB36" s="74"/>
      <c r="CC36" s="74"/>
      <c r="CD36" s="74"/>
      <c r="CE36" s="144"/>
    </row>
    <row r="37" spans="2:83" x14ac:dyDescent="0.25">
      <c r="G37" s="114" t="s">
        <v>26</v>
      </c>
      <c r="H37" s="122">
        <f>Dados!F122</f>
        <v>14403.004055612413</v>
      </c>
      <c r="I37" s="168">
        <f t="shared" si="2"/>
        <v>0</v>
      </c>
      <c r="J37" s="156">
        <f t="shared" si="3"/>
        <v>0</v>
      </c>
      <c r="K37" s="156">
        <f t="shared" si="4"/>
        <v>0</v>
      </c>
      <c r="L37" s="156">
        <f t="shared" si="5"/>
        <v>0</v>
      </c>
      <c r="M37" s="156">
        <f t="shared" si="6"/>
        <v>0</v>
      </c>
      <c r="N37" s="156">
        <f t="shared" si="7"/>
        <v>0</v>
      </c>
      <c r="O37" s="156">
        <f t="shared" si="8"/>
        <v>0</v>
      </c>
      <c r="P37" s="156">
        <f t="shared" si="9"/>
        <v>0</v>
      </c>
      <c r="Q37" s="156">
        <f t="shared" si="10"/>
        <v>0</v>
      </c>
      <c r="R37" s="156">
        <f t="shared" si="11"/>
        <v>0</v>
      </c>
      <c r="S37" s="156">
        <f t="shared" si="12"/>
        <v>0</v>
      </c>
      <c r="T37" s="156">
        <f t="shared" si="13"/>
        <v>14403.004055612413</v>
      </c>
      <c r="U37" s="156">
        <f t="shared" si="14"/>
        <v>0</v>
      </c>
      <c r="V37" s="156">
        <f t="shared" si="15"/>
        <v>0</v>
      </c>
      <c r="W37" s="156">
        <f t="shared" si="16"/>
        <v>0</v>
      </c>
      <c r="X37" s="156">
        <f t="shared" si="17"/>
        <v>0</v>
      </c>
      <c r="Y37" s="156">
        <f t="shared" si="18"/>
        <v>0</v>
      </c>
      <c r="Z37" s="156">
        <f t="shared" si="19"/>
        <v>0</v>
      </c>
      <c r="AA37" s="156">
        <f t="shared" si="20"/>
        <v>0</v>
      </c>
      <c r="AB37" s="156">
        <f t="shared" si="21"/>
        <v>0</v>
      </c>
      <c r="AC37" s="156">
        <f t="shared" si="22"/>
        <v>0</v>
      </c>
      <c r="AD37" s="156">
        <f t="shared" si="23"/>
        <v>0</v>
      </c>
      <c r="AE37" s="156">
        <f t="shared" si="24"/>
        <v>0</v>
      </c>
      <c r="AF37" s="156">
        <f t="shared" si="25"/>
        <v>0</v>
      </c>
      <c r="AG37" s="156">
        <f t="shared" si="26"/>
        <v>0</v>
      </c>
      <c r="AH37" s="156">
        <f t="shared" si="27"/>
        <v>0</v>
      </c>
      <c r="AI37" s="156">
        <f t="shared" si="28"/>
        <v>0</v>
      </c>
      <c r="AJ37" s="156">
        <f t="shared" si="29"/>
        <v>0</v>
      </c>
      <c r="AK37" s="156">
        <f t="shared" si="30"/>
        <v>0</v>
      </c>
      <c r="AL37" s="156">
        <f t="shared" si="31"/>
        <v>0</v>
      </c>
      <c r="AM37" s="156">
        <f t="shared" si="32"/>
        <v>0</v>
      </c>
      <c r="AN37" s="156">
        <f t="shared" si="33"/>
        <v>0</v>
      </c>
      <c r="AO37" s="156">
        <f t="shared" si="34"/>
        <v>0</v>
      </c>
      <c r="AP37" s="156">
        <f t="shared" si="35"/>
        <v>0</v>
      </c>
      <c r="AQ37" s="156">
        <f t="shared" si="36"/>
        <v>0</v>
      </c>
      <c r="AR37" s="169">
        <f t="shared" si="37"/>
        <v>0</v>
      </c>
      <c r="AS37" s="123">
        <f t="shared" si="38"/>
        <v>14403.004055612413</v>
      </c>
      <c r="AU37" s="115">
        <f t="shared" si="39"/>
        <v>1</v>
      </c>
      <c r="AV37" s="145"/>
      <c r="AW37" s="103"/>
      <c r="AX37" s="103"/>
      <c r="AY37" s="103"/>
      <c r="AZ37" s="103"/>
      <c r="BA37" s="103"/>
      <c r="BB37" s="103"/>
      <c r="BC37" s="103"/>
      <c r="BD37" s="103"/>
      <c r="BE37" s="103"/>
      <c r="BF37" s="103"/>
      <c r="BG37" s="103" t="s">
        <v>66</v>
      </c>
      <c r="BH37" s="103"/>
      <c r="BI37" s="103"/>
      <c r="BJ37" s="103"/>
      <c r="BK37" s="103"/>
      <c r="BL37" s="103"/>
      <c r="BM37" s="103"/>
      <c r="BN37" s="103"/>
      <c r="BO37" s="103"/>
      <c r="BP37" s="103"/>
      <c r="BQ37" s="103"/>
      <c r="BR37" s="103"/>
      <c r="BS37" s="103"/>
      <c r="BT37" s="103"/>
      <c r="BU37" s="103"/>
      <c r="BV37" s="103"/>
      <c r="BW37" s="103"/>
      <c r="BX37" s="103"/>
      <c r="BY37" s="103"/>
      <c r="BZ37" s="103"/>
      <c r="CA37" s="103"/>
      <c r="CB37" s="103"/>
      <c r="CC37" s="103"/>
      <c r="CD37" s="103"/>
      <c r="CE37" s="146"/>
    </row>
    <row r="39" spans="2:83" x14ac:dyDescent="0.25">
      <c r="B39" s="115" t="s">
        <v>320</v>
      </c>
      <c r="C39" s="115" t="s">
        <v>319</v>
      </c>
      <c r="D39" s="134" t="s">
        <v>322</v>
      </c>
      <c r="E39" s="135"/>
      <c r="G39" s="114" t="s">
        <v>320</v>
      </c>
      <c r="I39" s="170"/>
      <c r="J39" s="170" t="s">
        <v>1154</v>
      </c>
      <c r="K39" s="170" t="s">
        <v>1983</v>
      </c>
      <c r="L39" s="170"/>
      <c r="M39" s="170"/>
      <c r="N39" s="170" t="s">
        <v>1981</v>
      </c>
      <c r="O39" s="170" t="s">
        <v>1979</v>
      </c>
      <c r="P39" s="170"/>
      <c r="Q39" s="170" t="s">
        <v>1980</v>
      </c>
      <c r="R39" s="170" t="s">
        <v>1982</v>
      </c>
      <c r="S39" s="818"/>
      <c r="T39" s="818"/>
      <c r="U39" s="818"/>
      <c r="V39" s="818"/>
      <c r="W39" s="170"/>
      <c r="X39" s="170"/>
      <c r="Y39" s="170"/>
      <c r="Z39" s="170"/>
      <c r="AA39" s="170"/>
      <c r="AB39" s="170"/>
      <c r="AC39" s="170"/>
      <c r="AD39" s="170"/>
      <c r="AE39" s="170"/>
      <c r="AF39" s="170"/>
      <c r="AG39" s="170"/>
      <c r="AH39" s="170"/>
      <c r="AI39" s="170"/>
      <c r="AJ39" s="170"/>
      <c r="AK39" s="170"/>
      <c r="AL39" s="170"/>
      <c r="AM39" s="170"/>
      <c r="AN39" s="170"/>
      <c r="AO39" s="170"/>
      <c r="AP39" s="170"/>
      <c r="AQ39" s="170"/>
      <c r="AR39" s="170"/>
      <c r="AV39" s="878" t="str">
        <f t="shared" ref="AV39:CE39" si="40">IF(I39&lt;&gt;"",I39,"")</f>
        <v/>
      </c>
      <c r="AW39" s="878" t="str">
        <f t="shared" si="40"/>
        <v>Workstatement</v>
      </c>
      <c r="AX39" s="878" t="str">
        <f t="shared" si="40"/>
        <v>Aprovação de materiais críticos</v>
      </c>
      <c r="AY39" s="878" t="str">
        <f t="shared" si="40"/>
        <v/>
      </c>
      <c r="AZ39" s="878" t="str">
        <f t="shared" si="40"/>
        <v/>
      </c>
      <c r="BA39" s="878" t="str">
        <f t="shared" si="40"/>
        <v>Finalização da montagem dos painéis</v>
      </c>
      <c r="BB39" s="878" t="str">
        <f t="shared" si="40"/>
        <v>Entrega CIF</v>
      </c>
      <c r="BC39" s="878" t="str">
        <f t="shared" si="40"/>
        <v/>
      </c>
      <c r="BD39" s="878" t="str">
        <f t="shared" si="40"/>
        <v>Finalização TAC</v>
      </c>
      <c r="BE39" s="878" t="str">
        <f t="shared" si="40"/>
        <v>Termo de encerramento</v>
      </c>
      <c r="BF39" s="878" t="str">
        <f t="shared" si="40"/>
        <v/>
      </c>
      <c r="BG39" s="878" t="str">
        <f t="shared" si="40"/>
        <v/>
      </c>
      <c r="BH39" s="878" t="str">
        <f t="shared" si="40"/>
        <v/>
      </c>
      <c r="BI39" s="878" t="str">
        <f t="shared" si="40"/>
        <v/>
      </c>
      <c r="BJ39" s="878" t="str">
        <f t="shared" si="40"/>
        <v/>
      </c>
      <c r="BK39" s="878" t="str">
        <f t="shared" si="40"/>
        <v/>
      </c>
      <c r="BL39" s="878" t="str">
        <f t="shared" si="40"/>
        <v/>
      </c>
      <c r="BM39" s="878" t="str">
        <f t="shared" si="40"/>
        <v/>
      </c>
      <c r="BN39" s="878" t="str">
        <f t="shared" si="40"/>
        <v/>
      </c>
      <c r="BO39" s="878" t="str">
        <f t="shared" si="40"/>
        <v/>
      </c>
      <c r="BP39" s="878" t="str">
        <f t="shared" si="40"/>
        <v/>
      </c>
      <c r="BQ39" s="878" t="str">
        <f t="shared" si="40"/>
        <v/>
      </c>
      <c r="BR39" s="878" t="str">
        <f t="shared" si="40"/>
        <v/>
      </c>
      <c r="BS39" s="878" t="str">
        <f t="shared" si="40"/>
        <v/>
      </c>
      <c r="BT39" s="878" t="str">
        <f t="shared" si="40"/>
        <v/>
      </c>
      <c r="BU39" s="878" t="str">
        <f t="shared" si="40"/>
        <v/>
      </c>
      <c r="BV39" s="878" t="str">
        <f t="shared" si="40"/>
        <v/>
      </c>
      <c r="BW39" s="878" t="str">
        <f t="shared" si="40"/>
        <v/>
      </c>
      <c r="BX39" s="878" t="str">
        <f t="shared" si="40"/>
        <v/>
      </c>
      <c r="BY39" s="878" t="str">
        <f t="shared" si="40"/>
        <v/>
      </c>
      <c r="BZ39" s="878" t="str">
        <f t="shared" si="40"/>
        <v/>
      </c>
      <c r="CA39" s="878" t="str">
        <f t="shared" si="40"/>
        <v/>
      </c>
      <c r="CB39" s="878" t="str">
        <f t="shared" si="40"/>
        <v/>
      </c>
      <c r="CC39" s="878" t="str">
        <f t="shared" si="40"/>
        <v/>
      </c>
      <c r="CD39" s="878" t="str">
        <f t="shared" si="40"/>
        <v/>
      </c>
      <c r="CE39" s="878" t="str">
        <f t="shared" si="40"/>
        <v/>
      </c>
    </row>
    <row r="40" spans="2:83" x14ac:dyDescent="0.25">
      <c r="B40" s="130">
        <f>Dados!U57</f>
        <v>0</v>
      </c>
      <c r="C40" s="126">
        <f>Dados!V57</f>
        <v>0</v>
      </c>
      <c r="D40" s="134">
        <f>COUNTIF($I$39:$AR$39,"="&amp;B40)</f>
        <v>0</v>
      </c>
      <c r="E40" s="135" t="b">
        <f>IF(AND(C40&gt;0,D40=0),FALSE,TRUE)</f>
        <v>1</v>
      </c>
      <c r="G40" s="114" t="s">
        <v>323</v>
      </c>
      <c r="I40" s="161">
        <f t="shared" ref="I40:AR40" si="41">IFERROR(VLOOKUP(I39,$B$40:$C$61,2,FALSE)/VLOOKUP(I39,$B$40:$D$61,3,FALSE),0)</f>
        <v>0</v>
      </c>
      <c r="J40" s="162">
        <f t="shared" si="41"/>
        <v>0</v>
      </c>
      <c r="K40" s="162">
        <f t="shared" si="41"/>
        <v>0</v>
      </c>
      <c r="L40" s="162">
        <f t="shared" si="41"/>
        <v>0</v>
      </c>
      <c r="M40" s="162">
        <f t="shared" si="41"/>
        <v>0</v>
      </c>
      <c r="N40" s="162">
        <f t="shared" si="41"/>
        <v>0</v>
      </c>
      <c r="O40" s="162">
        <f t="shared" si="41"/>
        <v>0</v>
      </c>
      <c r="P40" s="162">
        <f t="shared" si="41"/>
        <v>0</v>
      </c>
      <c r="Q40" s="162">
        <f t="shared" si="41"/>
        <v>0</v>
      </c>
      <c r="R40" s="162">
        <f t="shared" si="41"/>
        <v>0</v>
      </c>
      <c r="S40" s="162">
        <f t="shared" si="41"/>
        <v>0</v>
      </c>
      <c r="T40" s="162">
        <f t="shared" si="41"/>
        <v>0</v>
      </c>
      <c r="U40" s="162">
        <f t="shared" si="41"/>
        <v>0</v>
      </c>
      <c r="V40" s="162">
        <f t="shared" si="41"/>
        <v>0</v>
      </c>
      <c r="W40" s="162">
        <f t="shared" si="41"/>
        <v>0</v>
      </c>
      <c r="X40" s="162">
        <f t="shared" si="41"/>
        <v>0</v>
      </c>
      <c r="Y40" s="162">
        <f t="shared" si="41"/>
        <v>0</v>
      </c>
      <c r="Z40" s="162">
        <f t="shared" si="41"/>
        <v>0</v>
      </c>
      <c r="AA40" s="162">
        <f t="shared" si="41"/>
        <v>0</v>
      </c>
      <c r="AB40" s="162">
        <f t="shared" si="41"/>
        <v>0</v>
      </c>
      <c r="AC40" s="162">
        <f t="shared" si="41"/>
        <v>0</v>
      </c>
      <c r="AD40" s="162">
        <f t="shared" si="41"/>
        <v>0</v>
      </c>
      <c r="AE40" s="162">
        <f t="shared" si="41"/>
        <v>0</v>
      </c>
      <c r="AF40" s="162">
        <f t="shared" si="41"/>
        <v>0</v>
      </c>
      <c r="AG40" s="162">
        <f t="shared" si="41"/>
        <v>0</v>
      </c>
      <c r="AH40" s="162">
        <f t="shared" si="41"/>
        <v>0</v>
      </c>
      <c r="AI40" s="162">
        <f t="shared" si="41"/>
        <v>0</v>
      </c>
      <c r="AJ40" s="162">
        <f t="shared" si="41"/>
        <v>0</v>
      </c>
      <c r="AK40" s="162">
        <f t="shared" si="41"/>
        <v>0</v>
      </c>
      <c r="AL40" s="162">
        <f t="shared" si="41"/>
        <v>0</v>
      </c>
      <c r="AM40" s="162">
        <f t="shared" si="41"/>
        <v>0</v>
      </c>
      <c r="AN40" s="162">
        <f t="shared" si="41"/>
        <v>0</v>
      </c>
      <c r="AO40" s="162">
        <f t="shared" si="41"/>
        <v>0</v>
      </c>
      <c r="AP40" s="162">
        <f t="shared" si="41"/>
        <v>0</v>
      </c>
      <c r="AQ40" s="162">
        <f t="shared" si="41"/>
        <v>0</v>
      </c>
      <c r="AR40" s="163">
        <f t="shared" si="41"/>
        <v>0</v>
      </c>
      <c r="AS40" s="133">
        <f>SUM(I40:AR40)</f>
        <v>0</v>
      </c>
      <c r="AT40" s="135" t="b">
        <f>IF(AS40=1,TRUE,FALSE)</f>
        <v>0</v>
      </c>
      <c r="AV40" s="878"/>
      <c r="AW40" s="878"/>
      <c r="AX40" s="878"/>
      <c r="AY40" s="878"/>
      <c r="AZ40" s="878"/>
      <c r="BA40" s="878"/>
      <c r="BB40" s="878"/>
      <c r="BC40" s="878"/>
      <c r="BD40" s="878"/>
      <c r="BE40" s="878"/>
      <c r="BF40" s="878"/>
      <c r="BG40" s="878"/>
      <c r="BH40" s="878"/>
      <c r="BI40" s="878"/>
      <c r="BJ40" s="878"/>
      <c r="BK40" s="878"/>
      <c r="BL40" s="878"/>
      <c r="BM40" s="878"/>
      <c r="BN40" s="878"/>
      <c r="BO40" s="878"/>
      <c r="BP40" s="878"/>
      <c r="BQ40" s="878"/>
      <c r="BR40" s="878"/>
      <c r="BS40" s="878"/>
      <c r="BT40" s="878"/>
      <c r="BU40" s="878"/>
      <c r="BV40" s="878"/>
      <c r="BW40" s="878"/>
      <c r="BX40" s="878"/>
      <c r="BY40" s="878"/>
      <c r="BZ40" s="878"/>
      <c r="CA40" s="878"/>
      <c r="CB40" s="878"/>
      <c r="CC40" s="878"/>
      <c r="CD40" s="878"/>
      <c r="CE40" s="878"/>
    </row>
    <row r="41" spans="2:83" x14ac:dyDescent="0.25">
      <c r="B41" s="131">
        <f>Dados!U58</f>
        <v>0</v>
      </c>
      <c r="C41" s="127">
        <f>Dados!V58</f>
        <v>0</v>
      </c>
      <c r="D41" s="134">
        <f t="shared" ref="D41:D61" si="42">COUNTIF($I$39:$AR$39,"="&amp;B41)</f>
        <v>0</v>
      </c>
      <c r="E41" s="135" t="b">
        <f t="shared" ref="E41:E61" si="43">IF(AND(C41&gt;0,D41=0),FALSE,TRUE)</f>
        <v>1</v>
      </c>
      <c r="AV41" s="878"/>
      <c r="AW41" s="878"/>
      <c r="AX41" s="878"/>
      <c r="AY41" s="878"/>
      <c r="AZ41" s="878"/>
      <c r="BA41" s="878"/>
      <c r="BB41" s="878"/>
      <c r="BC41" s="878"/>
      <c r="BD41" s="878"/>
      <c r="BE41" s="878"/>
      <c r="BF41" s="878"/>
      <c r="BG41" s="878"/>
      <c r="BH41" s="878"/>
      <c r="BI41" s="878"/>
      <c r="BJ41" s="878"/>
      <c r="BK41" s="878"/>
      <c r="BL41" s="878"/>
      <c r="BM41" s="878"/>
      <c r="BN41" s="878"/>
      <c r="BO41" s="878"/>
      <c r="BP41" s="878"/>
      <c r="BQ41" s="878"/>
      <c r="BR41" s="878"/>
      <c r="BS41" s="878"/>
      <c r="BT41" s="878"/>
      <c r="BU41" s="878"/>
      <c r="BV41" s="878"/>
      <c r="BW41" s="878"/>
      <c r="BX41" s="878"/>
      <c r="BY41" s="878"/>
      <c r="BZ41" s="878"/>
      <c r="CA41" s="878"/>
      <c r="CB41" s="878"/>
      <c r="CC41" s="878"/>
      <c r="CD41" s="878"/>
      <c r="CE41" s="878"/>
    </row>
    <row r="42" spans="2:83" x14ac:dyDescent="0.25">
      <c r="B42" s="131">
        <f>Dados!U59</f>
        <v>0</v>
      </c>
      <c r="C42" s="127">
        <f>Dados!V59</f>
        <v>0</v>
      </c>
      <c r="D42" s="134">
        <f t="shared" si="42"/>
        <v>0</v>
      </c>
      <c r="E42" s="135" t="b">
        <f t="shared" si="43"/>
        <v>1</v>
      </c>
      <c r="G42" s="113" t="s">
        <v>333</v>
      </c>
      <c r="I42" s="150">
        <f>-SUM(I5:I37)</f>
        <v>-5819.7333339316228</v>
      </c>
      <c r="J42" s="151">
        <f t="shared" ref="J42:AR42" si="44">-SUM(J5:J37)</f>
        <v>-5819.7333339316228</v>
      </c>
      <c r="K42" s="151">
        <f t="shared" si="44"/>
        <v>-5819.7333339316228</v>
      </c>
      <c r="L42" s="151">
        <f t="shared" si="44"/>
        <v>-133343.72782875891</v>
      </c>
      <c r="M42" s="151">
        <f t="shared" si="44"/>
        <v>-133343.72782875891</v>
      </c>
      <c r="N42" s="151">
        <f t="shared" si="44"/>
        <v>-133343.72782875891</v>
      </c>
      <c r="O42" s="151">
        <f t="shared" si="44"/>
        <v>-6248.0000005982893</v>
      </c>
      <c r="P42" s="151">
        <f t="shared" si="44"/>
        <v>-6248.0000005982893</v>
      </c>
      <c r="Q42" s="151">
        <f t="shared" si="44"/>
        <v>-6248.0000005982893</v>
      </c>
      <c r="R42" s="151">
        <f t="shared" si="44"/>
        <v>-25338.000014181598</v>
      </c>
      <c r="S42" s="151">
        <f t="shared" si="44"/>
        <v>-143845.72782875891</v>
      </c>
      <c r="T42" s="151">
        <f t="shared" si="44"/>
        <v>-43219.009338216063</v>
      </c>
      <c r="U42" s="151">
        <f t="shared" si="44"/>
        <v>0</v>
      </c>
      <c r="V42" s="151">
        <f t="shared" si="44"/>
        <v>0</v>
      </c>
      <c r="W42" s="151">
        <f t="shared" si="44"/>
        <v>0</v>
      </c>
      <c r="X42" s="151">
        <f t="shared" si="44"/>
        <v>0</v>
      </c>
      <c r="Y42" s="151">
        <f t="shared" si="44"/>
        <v>0</v>
      </c>
      <c r="Z42" s="151">
        <f t="shared" si="44"/>
        <v>0</v>
      </c>
      <c r="AA42" s="151">
        <f t="shared" si="44"/>
        <v>0</v>
      </c>
      <c r="AB42" s="151">
        <f t="shared" si="44"/>
        <v>0</v>
      </c>
      <c r="AC42" s="151">
        <f t="shared" si="44"/>
        <v>0</v>
      </c>
      <c r="AD42" s="151">
        <f t="shared" si="44"/>
        <v>0</v>
      </c>
      <c r="AE42" s="151">
        <f t="shared" si="44"/>
        <v>0</v>
      </c>
      <c r="AF42" s="151">
        <f t="shared" si="44"/>
        <v>0</v>
      </c>
      <c r="AG42" s="151">
        <f t="shared" si="44"/>
        <v>0</v>
      </c>
      <c r="AH42" s="151">
        <f t="shared" si="44"/>
        <v>0</v>
      </c>
      <c r="AI42" s="151">
        <f t="shared" si="44"/>
        <v>0</v>
      </c>
      <c r="AJ42" s="151">
        <f t="shared" si="44"/>
        <v>0</v>
      </c>
      <c r="AK42" s="151">
        <f t="shared" si="44"/>
        <v>0</v>
      </c>
      <c r="AL42" s="151">
        <f t="shared" si="44"/>
        <v>0</v>
      </c>
      <c r="AM42" s="151">
        <f t="shared" si="44"/>
        <v>0</v>
      </c>
      <c r="AN42" s="151">
        <f t="shared" si="44"/>
        <v>0</v>
      </c>
      <c r="AO42" s="151">
        <f t="shared" si="44"/>
        <v>0</v>
      </c>
      <c r="AP42" s="151">
        <f t="shared" si="44"/>
        <v>0</v>
      </c>
      <c r="AQ42" s="151">
        <f t="shared" si="44"/>
        <v>0</v>
      </c>
      <c r="AR42" s="152">
        <f t="shared" si="44"/>
        <v>0</v>
      </c>
      <c r="AS42" s="141">
        <f>SUM(I42:AR42)</f>
        <v>-648637.12067102315</v>
      </c>
      <c r="AV42" s="878"/>
      <c r="AW42" s="878"/>
      <c r="AX42" s="878"/>
      <c r="AY42" s="878"/>
      <c r="AZ42" s="878"/>
      <c r="BA42" s="878"/>
      <c r="BB42" s="878"/>
      <c r="BC42" s="878"/>
      <c r="BD42" s="878"/>
      <c r="BE42" s="878"/>
      <c r="BF42" s="878"/>
      <c r="BG42" s="878"/>
      <c r="BH42" s="878"/>
      <c r="BI42" s="878"/>
      <c r="BJ42" s="878"/>
      <c r="BK42" s="878"/>
      <c r="BL42" s="878"/>
      <c r="BM42" s="878"/>
      <c r="BN42" s="878"/>
      <c r="BO42" s="878"/>
      <c r="BP42" s="878"/>
      <c r="BQ42" s="878"/>
      <c r="BR42" s="878"/>
      <c r="BS42" s="878"/>
      <c r="BT42" s="878"/>
      <c r="BU42" s="878"/>
      <c r="BV42" s="878"/>
      <c r="BW42" s="878"/>
      <c r="BX42" s="878"/>
      <c r="BY42" s="878"/>
      <c r="BZ42" s="878"/>
      <c r="CA42" s="878"/>
      <c r="CB42" s="878"/>
      <c r="CC42" s="878"/>
      <c r="CD42" s="878"/>
      <c r="CE42" s="878"/>
    </row>
    <row r="43" spans="2:83" x14ac:dyDescent="0.25">
      <c r="B43" s="131">
        <f>Dados!U60</f>
        <v>0</v>
      </c>
      <c r="C43" s="127">
        <f>Dados!V60</f>
        <v>0</v>
      </c>
      <c r="D43" s="134">
        <f t="shared" si="42"/>
        <v>0</v>
      </c>
      <c r="E43" s="135" t="b">
        <f t="shared" si="43"/>
        <v>1</v>
      </c>
      <c r="G43" s="113" t="s">
        <v>324</v>
      </c>
      <c r="I43" s="150">
        <f>I40*Dados!$M$96</f>
        <v>0</v>
      </c>
      <c r="J43" s="151">
        <f>J40*Dados!$M$96</f>
        <v>0</v>
      </c>
      <c r="K43" s="151">
        <f>K40*Dados!$M$96</f>
        <v>0</v>
      </c>
      <c r="L43" s="151">
        <f>L40*Dados!$M$96</f>
        <v>0</v>
      </c>
      <c r="M43" s="151">
        <f>M40*Dados!$M$96</f>
        <v>0</v>
      </c>
      <c r="N43" s="151">
        <f>N40*Dados!$M$96</f>
        <v>0</v>
      </c>
      <c r="O43" s="151">
        <f>O40*Dados!$M$96</f>
        <v>0</v>
      </c>
      <c r="P43" s="151">
        <f>P40*Dados!$M$96</f>
        <v>0</v>
      </c>
      <c r="Q43" s="151">
        <f>Q40*Dados!$M$96</f>
        <v>0</v>
      </c>
      <c r="R43" s="151">
        <f>R40*Dados!$M$96</f>
        <v>0</v>
      </c>
      <c r="S43" s="151">
        <f>S40*Dados!$M$96</f>
        <v>0</v>
      </c>
      <c r="T43" s="151">
        <f>T40*Dados!$M$96</f>
        <v>0</v>
      </c>
      <c r="U43" s="151">
        <f>U40*Dados!$M$96</f>
        <v>0</v>
      </c>
      <c r="V43" s="151">
        <f>V40*Dados!$M$96</f>
        <v>0</v>
      </c>
      <c r="W43" s="151">
        <f>W40*Dados!$M$96</f>
        <v>0</v>
      </c>
      <c r="X43" s="151">
        <f>X40*Dados!$M$96</f>
        <v>0</v>
      </c>
      <c r="Y43" s="151">
        <f>Y40*Dados!$M$96</f>
        <v>0</v>
      </c>
      <c r="Z43" s="151">
        <f>Z40*Dados!$M$96</f>
        <v>0</v>
      </c>
      <c r="AA43" s="151">
        <f>AA40*Dados!$M$96</f>
        <v>0</v>
      </c>
      <c r="AB43" s="151">
        <f>AB40*Dados!$M$96</f>
        <v>0</v>
      </c>
      <c r="AC43" s="151">
        <f>AC40*Dados!$M$96</f>
        <v>0</v>
      </c>
      <c r="AD43" s="151">
        <f>AD40*Dados!$M$96</f>
        <v>0</v>
      </c>
      <c r="AE43" s="151">
        <f>AE40*Dados!$M$96</f>
        <v>0</v>
      </c>
      <c r="AF43" s="151">
        <f>AF40*Dados!$M$96</f>
        <v>0</v>
      </c>
      <c r="AG43" s="151">
        <f>AG40*Dados!$M$96</f>
        <v>0</v>
      </c>
      <c r="AH43" s="151">
        <f>AH40*Dados!$M$96</f>
        <v>0</v>
      </c>
      <c r="AI43" s="151">
        <f>AI40*Dados!$M$96</f>
        <v>0</v>
      </c>
      <c r="AJ43" s="151">
        <f>AJ40*Dados!$M$96</f>
        <v>0</v>
      </c>
      <c r="AK43" s="151">
        <f>AK40*Dados!$M$96</f>
        <v>0</v>
      </c>
      <c r="AL43" s="151">
        <f>AL40*Dados!$M$96</f>
        <v>0</v>
      </c>
      <c r="AM43" s="151">
        <f>AM40*Dados!$M$96</f>
        <v>0</v>
      </c>
      <c r="AN43" s="151">
        <f>AN40*Dados!$M$96</f>
        <v>0</v>
      </c>
      <c r="AO43" s="151">
        <f>AO40*Dados!$M$96</f>
        <v>0</v>
      </c>
      <c r="AP43" s="151">
        <f>AP40*Dados!$M$96</f>
        <v>0</v>
      </c>
      <c r="AQ43" s="151">
        <f>AQ40*Dados!$M$96</f>
        <v>0</v>
      </c>
      <c r="AR43" s="152">
        <f>AR40*Dados!$M$96</f>
        <v>0</v>
      </c>
      <c r="AS43" s="141">
        <f>SUM(I43:AR43)</f>
        <v>0</v>
      </c>
      <c r="AV43" s="878"/>
      <c r="AW43" s="878"/>
      <c r="AX43" s="878"/>
      <c r="AY43" s="878"/>
      <c r="AZ43" s="878"/>
      <c r="BA43" s="878"/>
      <c r="BB43" s="878"/>
      <c r="BC43" s="878"/>
      <c r="BD43" s="878"/>
      <c r="BE43" s="878"/>
      <c r="BF43" s="878"/>
      <c r="BG43" s="878"/>
      <c r="BH43" s="878"/>
      <c r="BI43" s="878"/>
      <c r="BJ43" s="878"/>
      <c r="BK43" s="878"/>
      <c r="BL43" s="878"/>
      <c r="BM43" s="878"/>
      <c r="BN43" s="878"/>
      <c r="BO43" s="878"/>
      <c r="BP43" s="878"/>
      <c r="BQ43" s="878"/>
      <c r="BR43" s="878"/>
      <c r="BS43" s="878"/>
      <c r="BT43" s="878"/>
      <c r="BU43" s="878"/>
      <c r="BV43" s="878"/>
      <c r="BW43" s="878"/>
      <c r="BX43" s="878"/>
      <c r="BY43" s="878"/>
      <c r="BZ43" s="878"/>
      <c r="CA43" s="878"/>
      <c r="CB43" s="878"/>
      <c r="CC43" s="878"/>
      <c r="CD43" s="878"/>
      <c r="CE43" s="878"/>
    </row>
    <row r="44" spans="2:83" x14ac:dyDescent="0.25">
      <c r="B44" s="131">
        <f>Dados!U61</f>
        <v>0</v>
      </c>
      <c r="C44" s="127">
        <f>Dados!V61</f>
        <v>0</v>
      </c>
      <c r="D44" s="134">
        <f t="shared" si="42"/>
        <v>0</v>
      </c>
      <c r="E44" s="135" t="b">
        <f t="shared" si="43"/>
        <v>1</v>
      </c>
      <c r="AS44" s="141"/>
      <c r="AV44" s="878"/>
      <c r="AW44" s="878"/>
      <c r="AX44" s="878"/>
      <c r="AY44" s="878"/>
      <c r="AZ44" s="878"/>
      <c r="BA44" s="878"/>
      <c r="BB44" s="878"/>
      <c r="BC44" s="878"/>
      <c r="BD44" s="878"/>
      <c r="BE44" s="878"/>
      <c r="BF44" s="878"/>
      <c r="BG44" s="878"/>
      <c r="BH44" s="878"/>
      <c r="BI44" s="878"/>
      <c r="BJ44" s="878"/>
      <c r="BK44" s="878"/>
      <c r="BL44" s="878"/>
      <c r="BM44" s="878"/>
      <c r="BN44" s="878"/>
      <c r="BO44" s="878"/>
      <c r="BP44" s="878"/>
      <c r="BQ44" s="878"/>
      <c r="BR44" s="878"/>
      <c r="BS44" s="878"/>
      <c r="BT44" s="878"/>
      <c r="BU44" s="878"/>
      <c r="BV44" s="878"/>
      <c r="BW44" s="878"/>
      <c r="BX44" s="878"/>
      <c r="BY44" s="878"/>
      <c r="BZ44" s="878"/>
      <c r="CA44" s="878"/>
      <c r="CB44" s="878"/>
      <c r="CC44" s="878"/>
      <c r="CD44" s="878"/>
      <c r="CE44" s="878"/>
    </row>
    <row r="45" spans="2:83" x14ac:dyDescent="0.25">
      <c r="B45" s="131">
        <f>Dados!U62</f>
        <v>0</v>
      </c>
      <c r="C45" s="127">
        <f>Dados!V62</f>
        <v>0</v>
      </c>
      <c r="D45" s="134">
        <f t="shared" si="42"/>
        <v>0</v>
      </c>
      <c r="E45" s="135" t="b">
        <f t="shared" si="43"/>
        <v>1</v>
      </c>
      <c r="G45" s="113" t="s">
        <v>325</v>
      </c>
      <c r="I45" s="153">
        <f>SUM($I$42:I42)</f>
        <v>-5819.7333339316228</v>
      </c>
      <c r="J45" s="154">
        <f>SUM($I$42:J42)</f>
        <v>-11639.466667863246</v>
      </c>
      <c r="K45" s="151">
        <f>SUM($I$42:K42)</f>
        <v>-17459.200001794867</v>
      </c>
      <c r="L45" s="151">
        <f>SUM($I$42:L42)</f>
        <v>-150802.92783055379</v>
      </c>
      <c r="M45" s="151">
        <f>SUM($I$42:M42)</f>
        <v>-284146.65565931273</v>
      </c>
      <c r="N45" s="151">
        <f>SUM($I$42:N42)</f>
        <v>-417490.38348807162</v>
      </c>
      <c r="O45" s="151">
        <f>SUM($I$42:O42)</f>
        <v>-423738.38348866993</v>
      </c>
      <c r="P45" s="151">
        <f>SUM($I$42:P42)</f>
        <v>-429986.38348926825</v>
      </c>
      <c r="Q45" s="151">
        <f>SUM($I$42:Q42)</f>
        <v>-436234.38348986657</v>
      </c>
      <c r="R45" s="151">
        <f>SUM($I$42:R42)</f>
        <v>-461572.38350404816</v>
      </c>
      <c r="S45" s="151">
        <f>SUM($I$42:S42)</f>
        <v>-605418.11133280711</v>
      </c>
      <c r="T45" s="151">
        <f>SUM($I$42:T42)</f>
        <v>-648637.12067102315</v>
      </c>
      <c r="U45" s="151">
        <f>SUM($I$42:U42)</f>
        <v>-648637.12067102315</v>
      </c>
      <c r="V45" s="151">
        <f>SUM($I$42:V42)</f>
        <v>-648637.12067102315</v>
      </c>
      <c r="W45" s="151">
        <f>SUM($I$42:W42)</f>
        <v>-648637.12067102315</v>
      </c>
      <c r="X45" s="151">
        <f>SUM($I$42:X42)</f>
        <v>-648637.12067102315</v>
      </c>
      <c r="Y45" s="151">
        <f>SUM($I$42:Y42)</f>
        <v>-648637.12067102315</v>
      </c>
      <c r="Z45" s="151">
        <f>SUM($I$42:Z42)</f>
        <v>-648637.12067102315</v>
      </c>
      <c r="AA45" s="151">
        <f>SUM($I$42:AA42)</f>
        <v>-648637.12067102315</v>
      </c>
      <c r="AB45" s="151">
        <f>SUM($I$42:AB42)</f>
        <v>-648637.12067102315</v>
      </c>
      <c r="AC45" s="151">
        <f>SUM($I$42:AC42)</f>
        <v>-648637.12067102315</v>
      </c>
      <c r="AD45" s="151">
        <f>SUM($I$42:AD42)</f>
        <v>-648637.12067102315</v>
      </c>
      <c r="AE45" s="151">
        <f>SUM($I$42:AE42)</f>
        <v>-648637.12067102315</v>
      </c>
      <c r="AF45" s="151">
        <f>SUM($I$42:AF42)</f>
        <v>-648637.12067102315</v>
      </c>
      <c r="AG45" s="151">
        <f>SUM($I$42:AG42)</f>
        <v>-648637.12067102315</v>
      </c>
      <c r="AH45" s="151">
        <f>SUM($I$42:AH42)</f>
        <v>-648637.12067102315</v>
      </c>
      <c r="AI45" s="151">
        <f>SUM($I$42:AI42)</f>
        <v>-648637.12067102315</v>
      </c>
      <c r="AJ45" s="151">
        <f>SUM($I$42:AJ42)</f>
        <v>-648637.12067102315</v>
      </c>
      <c r="AK45" s="151">
        <f>SUM($I$42:AK42)</f>
        <v>-648637.12067102315</v>
      </c>
      <c r="AL45" s="151">
        <f>SUM($I$42:AL42)</f>
        <v>-648637.12067102315</v>
      </c>
      <c r="AM45" s="151">
        <f>SUM($I$42:AM42)</f>
        <v>-648637.12067102315</v>
      </c>
      <c r="AN45" s="151">
        <f>SUM($I$42:AN42)</f>
        <v>-648637.12067102315</v>
      </c>
      <c r="AO45" s="151">
        <f>SUM($I$42:AO42)</f>
        <v>-648637.12067102315</v>
      </c>
      <c r="AP45" s="151">
        <f>SUM($I$42:AP42)</f>
        <v>-648637.12067102315</v>
      </c>
      <c r="AQ45" s="151">
        <f>SUM($I$42:AQ42)</f>
        <v>-648637.12067102315</v>
      </c>
      <c r="AR45" s="152">
        <f>SUM($I$42:AR42)</f>
        <v>-648637.12067102315</v>
      </c>
      <c r="AS45" s="141"/>
      <c r="AV45" s="878"/>
      <c r="AW45" s="878"/>
      <c r="AX45" s="878"/>
      <c r="AY45" s="878"/>
      <c r="AZ45" s="878"/>
      <c r="BA45" s="878"/>
      <c r="BB45" s="878"/>
      <c r="BC45" s="878"/>
      <c r="BD45" s="878"/>
      <c r="BE45" s="878"/>
      <c r="BF45" s="878"/>
      <c r="BG45" s="878"/>
      <c r="BH45" s="878"/>
      <c r="BI45" s="878"/>
      <c r="BJ45" s="878"/>
      <c r="BK45" s="878"/>
      <c r="BL45" s="878"/>
      <c r="BM45" s="878"/>
      <c r="BN45" s="878"/>
      <c r="BO45" s="878"/>
      <c r="BP45" s="878"/>
      <c r="BQ45" s="878"/>
      <c r="BR45" s="878"/>
      <c r="BS45" s="878"/>
      <c r="BT45" s="878"/>
      <c r="BU45" s="878"/>
      <c r="BV45" s="878"/>
      <c r="BW45" s="878"/>
      <c r="BX45" s="878"/>
      <c r="BY45" s="878"/>
      <c r="BZ45" s="878"/>
      <c r="CA45" s="878"/>
      <c r="CB45" s="878"/>
      <c r="CC45" s="878"/>
      <c r="CD45" s="878"/>
      <c r="CE45" s="878"/>
    </row>
    <row r="46" spans="2:83" x14ac:dyDescent="0.25">
      <c r="B46" s="131">
        <f>Dados!U63</f>
        <v>0</v>
      </c>
      <c r="C46" s="127">
        <f>Dados!V63</f>
        <v>0</v>
      </c>
      <c r="D46" s="134">
        <f t="shared" si="42"/>
        <v>0</v>
      </c>
      <c r="E46" s="135" t="b">
        <f t="shared" si="43"/>
        <v>1</v>
      </c>
      <c r="G46" s="113" t="s">
        <v>326</v>
      </c>
      <c r="I46" s="155">
        <f>SUM($I$43:I43)</f>
        <v>0</v>
      </c>
      <c r="J46" s="156">
        <f>SUM($I$43:J43)</f>
        <v>0</v>
      </c>
      <c r="K46" s="156">
        <f>SUM($I$43:K43)</f>
        <v>0</v>
      </c>
      <c r="L46" s="156">
        <f>SUM($I$43:L43)</f>
        <v>0</v>
      </c>
      <c r="M46" s="156">
        <f>SUM($I$43:M43)</f>
        <v>0</v>
      </c>
      <c r="N46" s="156">
        <f>SUM($I$43:N43)</f>
        <v>0</v>
      </c>
      <c r="O46" s="156">
        <f>SUM($I$43:O43)</f>
        <v>0</v>
      </c>
      <c r="P46" s="156">
        <f>SUM($I$43:P43)</f>
        <v>0</v>
      </c>
      <c r="Q46" s="156">
        <f>SUM($I$43:Q43)</f>
        <v>0</v>
      </c>
      <c r="R46" s="156">
        <f>SUM($I$43:R43)</f>
        <v>0</v>
      </c>
      <c r="S46" s="156">
        <f>SUM($I$43:S43)</f>
        <v>0</v>
      </c>
      <c r="T46" s="156">
        <f>SUM($I$43:T43)</f>
        <v>0</v>
      </c>
      <c r="U46" s="156">
        <f>SUM($I$43:U43)</f>
        <v>0</v>
      </c>
      <c r="V46" s="156">
        <f>SUM($I$43:V43)</f>
        <v>0</v>
      </c>
      <c r="W46" s="156">
        <f>SUM($I$43:W43)</f>
        <v>0</v>
      </c>
      <c r="X46" s="156">
        <f>SUM($I$43:X43)</f>
        <v>0</v>
      </c>
      <c r="Y46" s="156">
        <f>SUM($I$43:Y43)</f>
        <v>0</v>
      </c>
      <c r="Z46" s="156">
        <f>SUM($I$43:Z43)</f>
        <v>0</v>
      </c>
      <c r="AA46" s="156">
        <f>SUM($I$43:AA43)</f>
        <v>0</v>
      </c>
      <c r="AB46" s="156">
        <f>SUM($I$43:AB43)</f>
        <v>0</v>
      </c>
      <c r="AC46" s="156">
        <f>SUM($I$43:AC43)</f>
        <v>0</v>
      </c>
      <c r="AD46" s="156">
        <f>SUM($I$43:AD43)</f>
        <v>0</v>
      </c>
      <c r="AE46" s="156">
        <f>SUM($I$43:AE43)</f>
        <v>0</v>
      </c>
      <c r="AF46" s="156">
        <f>SUM($I$43:AF43)</f>
        <v>0</v>
      </c>
      <c r="AG46" s="156">
        <f>SUM($I$43:AG43)</f>
        <v>0</v>
      </c>
      <c r="AH46" s="156">
        <f>SUM($I$43:AH43)</f>
        <v>0</v>
      </c>
      <c r="AI46" s="156">
        <f>SUM($I$43:AI43)</f>
        <v>0</v>
      </c>
      <c r="AJ46" s="156">
        <f>SUM($I$43:AJ43)</f>
        <v>0</v>
      </c>
      <c r="AK46" s="156">
        <f>SUM($I$43:AK43)</f>
        <v>0</v>
      </c>
      <c r="AL46" s="156">
        <f>SUM($I$43:AL43)</f>
        <v>0</v>
      </c>
      <c r="AM46" s="156">
        <f>SUM($I$43:AM43)</f>
        <v>0</v>
      </c>
      <c r="AN46" s="156">
        <f>SUM($I$43:AN43)</f>
        <v>0</v>
      </c>
      <c r="AO46" s="156">
        <f>SUM($I$43:AO43)</f>
        <v>0</v>
      </c>
      <c r="AP46" s="156">
        <f>SUM($I$43:AP43)</f>
        <v>0</v>
      </c>
      <c r="AQ46" s="156">
        <f>SUM($I$43:AQ43)</f>
        <v>0</v>
      </c>
      <c r="AR46" s="157">
        <f>SUM($I$43:AR43)</f>
        <v>0</v>
      </c>
      <c r="AS46" s="141"/>
      <c r="AV46" s="878"/>
      <c r="AW46" s="878"/>
      <c r="AX46" s="878"/>
      <c r="AY46" s="878"/>
      <c r="AZ46" s="878"/>
      <c r="BA46" s="878"/>
      <c r="BB46" s="878"/>
      <c r="BC46" s="878"/>
      <c r="BD46" s="878"/>
      <c r="BE46" s="878"/>
      <c r="BF46" s="878"/>
      <c r="BG46" s="878"/>
      <c r="BH46" s="878"/>
      <c r="BI46" s="878"/>
      <c r="BJ46" s="878"/>
      <c r="BK46" s="878"/>
      <c r="BL46" s="878"/>
      <c r="BM46" s="878"/>
      <c r="BN46" s="878"/>
      <c r="BO46" s="878"/>
      <c r="BP46" s="878"/>
      <c r="BQ46" s="878"/>
      <c r="BR46" s="878"/>
      <c r="BS46" s="878"/>
      <c r="BT46" s="878"/>
      <c r="BU46" s="878"/>
      <c r="BV46" s="878"/>
      <c r="BW46" s="878"/>
      <c r="BX46" s="878"/>
      <c r="BY46" s="878"/>
      <c r="BZ46" s="878"/>
      <c r="CA46" s="878"/>
      <c r="CB46" s="878"/>
      <c r="CC46" s="878"/>
      <c r="CD46" s="878"/>
      <c r="CE46" s="878"/>
    </row>
    <row r="47" spans="2:83" x14ac:dyDescent="0.25">
      <c r="B47" s="131">
        <f>Dados!U64</f>
        <v>0</v>
      </c>
      <c r="C47" s="127">
        <f>Dados!V64</f>
        <v>0</v>
      </c>
      <c r="D47" s="134">
        <f t="shared" si="42"/>
        <v>0</v>
      </c>
      <c r="E47" s="135" t="b">
        <f t="shared" si="43"/>
        <v>1</v>
      </c>
      <c r="G47" s="113" t="s">
        <v>327</v>
      </c>
      <c r="I47" s="138">
        <f>I46+I45</f>
        <v>-5819.7333339316228</v>
      </c>
      <c r="J47" s="139">
        <f t="shared" ref="J47:AR47" si="45">J46+J45</f>
        <v>-11639.466667863246</v>
      </c>
      <c r="K47" s="139">
        <f t="shared" si="45"/>
        <v>-17459.200001794867</v>
      </c>
      <c r="L47" s="139">
        <f t="shared" si="45"/>
        <v>-150802.92783055379</v>
      </c>
      <c r="M47" s="139">
        <f t="shared" si="45"/>
        <v>-284146.65565931273</v>
      </c>
      <c r="N47" s="139">
        <f t="shared" si="45"/>
        <v>-417490.38348807162</v>
      </c>
      <c r="O47" s="139">
        <f t="shared" si="45"/>
        <v>-423738.38348866993</v>
      </c>
      <c r="P47" s="139">
        <f t="shared" si="45"/>
        <v>-429986.38348926825</v>
      </c>
      <c r="Q47" s="139">
        <f t="shared" si="45"/>
        <v>-436234.38348986657</v>
      </c>
      <c r="R47" s="139">
        <f t="shared" si="45"/>
        <v>-461572.38350404816</v>
      </c>
      <c r="S47" s="139">
        <f t="shared" si="45"/>
        <v>-605418.11133280711</v>
      </c>
      <c r="T47" s="139">
        <f t="shared" si="45"/>
        <v>-648637.12067102315</v>
      </c>
      <c r="U47" s="139">
        <f t="shared" si="45"/>
        <v>-648637.12067102315</v>
      </c>
      <c r="V47" s="139">
        <f t="shared" si="45"/>
        <v>-648637.12067102315</v>
      </c>
      <c r="W47" s="139">
        <f t="shared" si="45"/>
        <v>-648637.12067102315</v>
      </c>
      <c r="X47" s="139">
        <f t="shared" si="45"/>
        <v>-648637.12067102315</v>
      </c>
      <c r="Y47" s="139">
        <f t="shared" si="45"/>
        <v>-648637.12067102315</v>
      </c>
      <c r="Z47" s="139">
        <f t="shared" si="45"/>
        <v>-648637.12067102315</v>
      </c>
      <c r="AA47" s="139">
        <f t="shared" si="45"/>
        <v>-648637.12067102315</v>
      </c>
      <c r="AB47" s="139">
        <f t="shared" si="45"/>
        <v>-648637.12067102315</v>
      </c>
      <c r="AC47" s="139">
        <f t="shared" si="45"/>
        <v>-648637.12067102315</v>
      </c>
      <c r="AD47" s="139">
        <f t="shared" si="45"/>
        <v>-648637.12067102315</v>
      </c>
      <c r="AE47" s="139">
        <f t="shared" si="45"/>
        <v>-648637.12067102315</v>
      </c>
      <c r="AF47" s="139">
        <f t="shared" si="45"/>
        <v>-648637.12067102315</v>
      </c>
      <c r="AG47" s="139">
        <f t="shared" si="45"/>
        <v>-648637.12067102315</v>
      </c>
      <c r="AH47" s="139">
        <f t="shared" si="45"/>
        <v>-648637.12067102315</v>
      </c>
      <c r="AI47" s="139">
        <f t="shared" si="45"/>
        <v>-648637.12067102315</v>
      </c>
      <c r="AJ47" s="139">
        <f t="shared" si="45"/>
        <v>-648637.12067102315</v>
      </c>
      <c r="AK47" s="139">
        <f t="shared" si="45"/>
        <v>-648637.12067102315</v>
      </c>
      <c r="AL47" s="139">
        <f t="shared" si="45"/>
        <v>-648637.12067102315</v>
      </c>
      <c r="AM47" s="139">
        <f t="shared" si="45"/>
        <v>-648637.12067102315</v>
      </c>
      <c r="AN47" s="139">
        <f t="shared" si="45"/>
        <v>-648637.12067102315</v>
      </c>
      <c r="AO47" s="139">
        <f t="shared" si="45"/>
        <v>-648637.12067102315</v>
      </c>
      <c r="AP47" s="139">
        <f t="shared" si="45"/>
        <v>-648637.12067102315</v>
      </c>
      <c r="AQ47" s="139">
        <f t="shared" si="45"/>
        <v>-648637.12067102315</v>
      </c>
      <c r="AR47" s="140">
        <f t="shared" si="45"/>
        <v>-648637.12067102315</v>
      </c>
      <c r="AS47" s="141"/>
      <c r="AV47" s="878"/>
      <c r="AW47" s="878"/>
      <c r="AX47" s="878"/>
      <c r="AY47" s="878"/>
      <c r="AZ47" s="878"/>
      <c r="BA47" s="878"/>
      <c r="BB47" s="878"/>
      <c r="BC47" s="878"/>
      <c r="BD47" s="878"/>
      <c r="BE47" s="878"/>
      <c r="BF47" s="878"/>
      <c r="BG47" s="878"/>
      <c r="BH47" s="878"/>
      <c r="BI47" s="878"/>
      <c r="BJ47" s="878"/>
      <c r="BK47" s="878"/>
      <c r="BL47" s="878"/>
      <c r="BM47" s="878"/>
      <c r="BN47" s="878"/>
      <c r="BO47" s="878"/>
      <c r="BP47" s="878"/>
      <c r="BQ47" s="878"/>
      <c r="BR47" s="878"/>
      <c r="BS47" s="878"/>
      <c r="BT47" s="878"/>
      <c r="BU47" s="878"/>
      <c r="BV47" s="878"/>
      <c r="BW47" s="878"/>
      <c r="BX47" s="878"/>
      <c r="BY47" s="878"/>
      <c r="BZ47" s="878"/>
      <c r="CA47" s="878"/>
      <c r="CB47" s="878"/>
      <c r="CC47" s="878"/>
      <c r="CD47" s="878"/>
      <c r="CE47" s="878"/>
    </row>
    <row r="48" spans="2:83" x14ac:dyDescent="0.25">
      <c r="B48" s="131">
        <f>Dados!U65</f>
        <v>0</v>
      </c>
      <c r="C48" s="127">
        <f>Dados!V65</f>
        <v>0</v>
      </c>
      <c r="D48" s="134">
        <f t="shared" si="42"/>
        <v>0</v>
      </c>
      <c r="E48" s="135" t="b">
        <f t="shared" si="43"/>
        <v>1</v>
      </c>
      <c r="G48" s="113" t="s">
        <v>328</v>
      </c>
      <c r="I48" s="158">
        <f>IF(I47&gt;=0,I47*CF!$H$52,I47*CF!$H$51)</f>
        <v>-58.19733333931628</v>
      </c>
      <c r="J48" s="159">
        <f>IF(J47&gt;=0,J47*CF!$H$52,J47*CF!$H$51)</f>
        <v>-116.39466667863256</v>
      </c>
      <c r="K48" s="159">
        <f>IF(K47&gt;=0,K47*CF!$H$52,K47*CF!$H$51)</f>
        <v>-174.59200001794883</v>
      </c>
      <c r="L48" s="159">
        <f>IF(L47&gt;=0,L47*CF!$H$52,L47*CF!$H$51)</f>
        <v>-1508.0292783055393</v>
      </c>
      <c r="M48" s="159">
        <f>IF(M47&gt;=0,M47*CF!$H$52,M47*CF!$H$51)</f>
        <v>-2841.46655659313</v>
      </c>
      <c r="N48" s="159">
        <f>IF(N47&gt;=0,N47*CF!$H$52,N47*CF!$H$51)</f>
        <v>-4174.9038348807198</v>
      </c>
      <c r="O48" s="159">
        <f>IF(O47&gt;=0,O47*CF!$H$52,O47*CF!$H$51)</f>
        <v>-4237.383834886703</v>
      </c>
      <c r="P48" s="159">
        <f>IF(P47&gt;=0,P47*CF!$H$52,P47*CF!$H$51)</f>
        <v>-4299.8638348926861</v>
      </c>
      <c r="Q48" s="159">
        <f>IF(Q47&gt;=0,Q47*CF!$H$52,Q47*CF!$H$51)</f>
        <v>-4362.3438348986692</v>
      </c>
      <c r="R48" s="159">
        <f>IF(R47&gt;=0,R47*CF!$H$52,R47*CF!$H$51)</f>
        <v>-4615.7238350404859</v>
      </c>
      <c r="S48" s="159">
        <f>IF(S47&gt;=0,S47*CF!$H$52,S47*CF!$H$51)</f>
        <v>-6054.1811133280762</v>
      </c>
      <c r="T48" s="159">
        <f>IF(T47&gt;=0,T47*CF!$H$52,T47*CF!$H$51)</f>
        <v>-6486.3712067102369</v>
      </c>
      <c r="U48" s="159">
        <f>IF(U47&gt;=0,U47*CF!$H$52,U47*CF!$H$51)</f>
        <v>-6486.3712067102369</v>
      </c>
      <c r="V48" s="159">
        <f>IF(V47&gt;=0,V47*CF!$H$52,V47*CF!$H$51)</f>
        <v>-6486.3712067102369</v>
      </c>
      <c r="W48" s="159">
        <f>IF(W47&gt;=0,W47*CF!$H$52,W47*CF!$H$51)</f>
        <v>-6486.3712067102369</v>
      </c>
      <c r="X48" s="159">
        <f>IF(X47&gt;=0,X47*CF!$H$52,X47*CF!$H$51)</f>
        <v>-6486.3712067102369</v>
      </c>
      <c r="Y48" s="159">
        <f>IF(Y47&gt;=0,Y47*CF!$H$52,Y47*CF!$H$51)</f>
        <v>-6486.3712067102369</v>
      </c>
      <c r="Z48" s="159">
        <f>IF(Z47&gt;=0,Z47*CF!$H$52,Z47*CF!$H$51)</f>
        <v>-6486.3712067102369</v>
      </c>
      <c r="AA48" s="159">
        <f>IF(AA47&gt;=0,AA47*CF!$H$52,AA47*CF!$H$51)</f>
        <v>-6486.3712067102369</v>
      </c>
      <c r="AB48" s="159">
        <f>IF(AB47&gt;=0,AB47*CF!$H$52,AB47*CF!$H$51)</f>
        <v>-6486.3712067102369</v>
      </c>
      <c r="AC48" s="159">
        <f>IF(AC47&gt;=0,AC47*CF!$H$52,AC47*CF!$H$51)</f>
        <v>-6486.3712067102369</v>
      </c>
      <c r="AD48" s="159">
        <f>IF(AD47&gt;=0,AD47*CF!$H$52,AD47*CF!$H$51)</f>
        <v>-6486.3712067102369</v>
      </c>
      <c r="AE48" s="159">
        <f>IF(AE47&gt;=0,AE47*CF!$H$52,AE47*CF!$H$51)</f>
        <v>-6486.3712067102369</v>
      </c>
      <c r="AF48" s="159">
        <f>IF(AF47&gt;=0,AF47*CF!$H$52,AF47*CF!$H$51)</f>
        <v>-6486.3712067102369</v>
      </c>
      <c r="AG48" s="159">
        <f>IF(AG47&gt;=0,AG47*CF!$H$52,AG47*CF!$H$51)</f>
        <v>-6486.3712067102369</v>
      </c>
      <c r="AH48" s="159">
        <f>IF(AH47&gt;=0,AH47*CF!$H$52,AH47*CF!$H$51)</f>
        <v>-6486.3712067102369</v>
      </c>
      <c r="AI48" s="159">
        <f>IF(AI47&gt;=0,AI47*CF!$H$52,AI47*CF!$H$51)</f>
        <v>-6486.3712067102369</v>
      </c>
      <c r="AJ48" s="159">
        <f>IF(AJ47&gt;=0,AJ47*CF!$H$52,AJ47*CF!$H$51)</f>
        <v>-6486.3712067102369</v>
      </c>
      <c r="AK48" s="159">
        <f>IF(AK47&gt;=0,AK47*CF!$H$52,AK47*CF!$H$51)</f>
        <v>-6486.3712067102369</v>
      </c>
      <c r="AL48" s="159">
        <f>IF(AL47&gt;=0,AL47*CF!$H$52,AL47*CF!$H$51)</f>
        <v>-6486.3712067102369</v>
      </c>
      <c r="AM48" s="159">
        <f>IF(AM47&gt;=0,AM47*CF!$H$52,AM47*CF!$H$51)</f>
        <v>-6486.3712067102369</v>
      </c>
      <c r="AN48" s="159">
        <f>IF(AN47&gt;=0,AN47*CF!$H$52,AN47*CF!$H$51)</f>
        <v>-6486.3712067102369</v>
      </c>
      <c r="AO48" s="159">
        <f>IF(AO47&gt;=0,AO47*CF!$H$52,AO47*CF!$H$51)</f>
        <v>-6486.3712067102369</v>
      </c>
      <c r="AP48" s="159">
        <f>IF(AP47&gt;=0,AP47*CF!$H$52,AP47*CF!$H$51)</f>
        <v>-6486.3712067102369</v>
      </c>
      <c r="AQ48" s="159">
        <f>IF(AQ47&gt;=0,AQ47*CF!$H$52,AQ47*CF!$H$51)</f>
        <v>-6486.3712067102369</v>
      </c>
      <c r="AR48" s="160">
        <f>IF(AR47&gt;=0,AR47*CF!$H$52,AR47*CF!$H$51)</f>
        <v>-6486.3712067102369</v>
      </c>
      <c r="AS48" s="148">
        <f>IF(SUM(I48:AR48)&gt;0,0,SUM(I48:AR48))</f>
        <v>-194602.36029061774</v>
      </c>
      <c r="AV48" s="878"/>
      <c r="AW48" s="878"/>
      <c r="AX48" s="878"/>
      <c r="AY48" s="878"/>
      <c r="AZ48" s="878"/>
      <c r="BA48" s="878"/>
      <c r="BB48" s="878"/>
      <c r="BC48" s="878"/>
      <c r="BD48" s="878"/>
      <c r="BE48" s="878"/>
      <c r="BF48" s="878"/>
      <c r="BG48" s="878"/>
      <c r="BH48" s="878"/>
      <c r="BI48" s="878"/>
      <c r="BJ48" s="878"/>
      <c r="BK48" s="878"/>
      <c r="BL48" s="878"/>
      <c r="BM48" s="878"/>
      <c r="BN48" s="878"/>
      <c r="BO48" s="878"/>
      <c r="BP48" s="878"/>
      <c r="BQ48" s="878"/>
      <c r="BR48" s="878"/>
      <c r="BS48" s="878"/>
      <c r="BT48" s="878"/>
      <c r="BU48" s="878"/>
      <c r="BV48" s="878"/>
      <c r="BW48" s="878"/>
      <c r="BX48" s="878"/>
      <c r="BY48" s="878"/>
      <c r="BZ48" s="878"/>
      <c r="CA48" s="878"/>
      <c r="CB48" s="878"/>
      <c r="CC48" s="878"/>
      <c r="CD48" s="878"/>
      <c r="CE48" s="878"/>
    </row>
    <row r="49" spans="2:10" x14ac:dyDescent="0.25">
      <c r="B49" s="131">
        <f>Dados!U66</f>
        <v>0</v>
      </c>
      <c r="C49" s="127">
        <f>Dados!V66</f>
        <v>0</v>
      </c>
      <c r="D49" s="134">
        <f t="shared" si="42"/>
        <v>0</v>
      </c>
      <c r="E49" s="135" t="b">
        <f t="shared" si="43"/>
        <v>1</v>
      </c>
    </row>
    <row r="50" spans="2:10" x14ac:dyDescent="0.25">
      <c r="B50" s="131">
        <f>Dados!U67</f>
        <v>0</v>
      </c>
      <c r="C50" s="127">
        <f>Dados!V67</f>
        <v>0</v>
      </c>
      <c r="D50" s="134">
        <f t="shared" si="42"/>
        <v>0</v>
      </c>
      <c r="E50" s="135" t="b">
        <f t="shared" si="43"/>
        <v>1</v>
      </c>
    </row>
    <row r="51" spans="2:10" x14ac:dyDescent="0.25">
      <c r="B51" s="131">
        <f>Dados!U68</f>
        <v>0</v>
      </c>
      <c r="C51" s="127">
        <f>Dados!V68</f>
        <v>0</v>
      </c>
      <c r="D51" s="134">
        <f t="shared" si="42"/>
        <v>0</v>
      </c>
      <c r="E51" s="135" t="b">
        <f t="shared" si="43"/>
        <v>1</v>
      </c>
      <c r="G51" s="125" t="s">
        <v>331</v>
      </c>
      <c r="H51" s="136">
        <f>(1+cf_taxa_debito_aa)^(1/12)-1</f>
        <v>1.0000000000000009E-2</v>
      </c>
    </row>
    <row r="52" spans="2:10" x14ac:dyDescent="0.25">
      <c r="B52" s="131">
        <f>Dados!U69</f>
        <v>0</v>
      </c>
      <c r="C52" s="127">
        <f>Dados!V69</f>
        <v>0</v>
      </c>
      <c r="D52" s="134">
        <f t="shared" si="42"/>
        <v>0</v>
      </c>
      <c r="E52" s="135" t="b">
        <f t="shared" si="43"/>
        <v>1</v>
      </c>
      <c r="G52" s="128" t="s">
        <v>332</v>
      </c>
      <c r="H52" s="137">
        <f>(1+cf_taxa_credito_aa)^(1/12)-1</f>
        <v>0</v>
      </c>
    </row>
    <row r="53" spans="2:10" x14ac:dyDescent="0.25">
      <c r="B53" s="131">
        <f>Dados!U70</f>
        <v>0</v>
      </c>
      <c r="C53" s="127">
        <f>Dados!V70</f>
        <v>0</v>
      </c>
      <c r="D53" s="134">
        <f t="shared" si="42"/>
        <v>0</v>
      </c>
      <c r="E53" s="135" t="b">
        <f t="shared" si="43"/>
        <v>1</v>
      </c>
    </row>
    <row r="54" spans="2:10" x14ac:dyDescent="0.25">
      <c r="B54" s="131">
        <f>Dados!U71</f>
        <v>0</v>
      </c>
      <c r="C54" s="127">
        <f>Dados!V71</f>
        <v>0</v>
      </c>
      <c r="D54" s="134">
        <f t="shared" si="42"/>
        <v>0</v>
      </c>
      <c r="E54" s="135" t="b">
        <f t="shared" si="43"/>
        <v>1</v>
      </c>
      <c r="I54" s="113"/>
      <c r="J54" s="113"/>
    </row>
    <row r="55" spans="2:10" x14ac:dyDescent="0.25">
      <c r="B55" s="131">
        <f>Dados!U72</f>
        <v>0</v>
      </c>
      <c r="C55" s="127">
        <f>Dados!V72</f>
        <v>0</v>
      </c>
      <c r="D55" s="134">
        <f t="shared" si="42"/>
        <v>0</v>
      </c>
      <c r="E55" s="135" t="b">
        <f t="shared" si="43"/>
        <v>1</v>
      </c>
      <c r="I55" s="113"/>
      <c r="J55" s="113"/>
    </row>
    <row r="56" spans="2:10" x14ac:dyDescent="0.25">
      <c r="B56" s="131">
        <f>Dados!U73</f>
        <v>0</v>
      </c>
      <c r="C56" s="127">
        <f>Dados!V73</f>
        <v>0</v>
      </c>
      <c r="D56" s="134">
        <f t="shared" si="42"/>
        <v>0</v>
      </c>
      <c r="E56" s="135" t="b">
        <f t="shared" si="43"/>
        <v>1</v>
      </c>
      <c r="I56" s="113"/>
      <c r="J56" s="113"/>
    </row>
    <row r="57" spans="2:10" x14ac:dyDescent="0.25">
      <c r="B57" s="131">
        <f>Dados!U74</f>
        <v>0</v>
      </c>
      <c r="C57" s="127">
        <f>Dados!V74</f>
        <v>0</v>
      </c>
      <c r="D57" s="134">
        <f t="shared" si="42"/>
        <v>0</v>
      </c>
      <c r="E57" s="135" t="b">
        <f t="shared" si="43"/>
        <v>1</v>
      </c>
      <c r="I57" s="113"/>
      <c r="J57" s="113"/>
    </row>
    <row r="58" spans="2:10" x14ac:dyDescent="0.25">
      <c r="B58" s="131">
        <f>Dados!U75</f>
        <v>0</v>
      </c>
      <c r="C58" s="127">
        <f>Dados!V75</f>
        <v>0</v>
      </c>
      <c r="D58" s="134">
        <f t="shared" si="42"/>
        <v>0</v>
      </c>
      <c r="E58" s="135" t="b">
        <f t="shared" si="43"/>
        <v>1</v>
      </c>
      <c r="I58" s="113"/>
      <c r="J58" s="113"/>
    </row>
    <row r="59" spans="2:10" x14ac:dyDescent="0.25">
      <c r="B59" s="131">
        <f>Dados!U76</f>
        <v>0</v>
      </c>
      <c r="C59" s="127">
        <f>Dados!V76</f>
        <v>0</v>
      </c>
      <c r="D59" s="134">
        <f t="shared" si="42"/>
        <v>0</v>
      </c>
      <c r="E59" s="135" t="b">
        <f t="shared" si="43"/>
        <v>1</v>
      </c>
      <c r="I59" s="113"/>
      <c r="J59" s="113"/>
    </row>
    <row r="60" spans="2:10" x14ac:dyDescent="0.25">
      <c r="B60" s="131">
        <f>Dados!U77</f>
        <v>0</v>
      </c>
      <c r="C60" s="127">
        <f>Dados!V77</f>
        <v>0</v>
      </c>
      <c r="D60" s="134">
        <f t="shared" si="42"/>
        <v>0</v>
      </c>
      <c r="E60" s="135" t="b">
        <f t="shared" si="43"/>
        <v>1</v>
      </c>
      <c r="I60" s="113"/>
      <c r="J60" s="113"/>
    </row>
    <row r="61" spans="2:10" x14ac:dyDescent="0.25">
      <c r="B61" s="132">
        <f>Dados!U78</f>
        <v>0</v>
      </c>
      <c r="C61" s="129">
        <f>Dados!V78</f>
        <v>0</v>
      </c>
      <c r="D61" s="134">
        <f t="shared" si="42"/>
        <v>0</v>
      </c>
      <c r="E61" s="135" t="b">
        <f t="shared" si="43"/>
        <v>1</v>
      </c>
      <c r="I61" s="113"/>
      <c r="J61" s="113"/>
    </row>
    <row r="62" spans="2:10" x14ac:dyDescent="0.25">
      <c r="D62" s="113"/>
      <c r="I62" s="113"/>
      <c r="J62" s="113"/>
    </row>
  </sheetData>
  <mergeCells count="36">
    <mergeCell ref="BG39:BG48"/>
    <mergeCell ref="AV39:AV48"/>
    <mergeCell ref="AW39:AW48"/>
    <mergeCell ref="AX39:AX48"/>
    <mergeCell ref="AY39:AY48"/>
    <mergeCell ref="AZ39:AZ48"/>
    <mergeCell ref="BA39:BA48"/>
    <mergeCell ref="BB39:BB48"/>
    <mergeCell ref="BC39:BC48"/>
    <mergeCell ref="BD39:BD48"/>
    <mergeCell ref="BE39:BE48"/>
    <mergeCell ref="BF39:BF48"/>
    <mergeCell ref="BS39:BS48"/>
    <mergeCell ref="BH39:BH48"/>
    <mergeCell ref="BI39:BI48"/>
    <mergeCell ref="BJ39:BJ48"/>
    <mergeCell ref="BK39:BK48"/>
    <mergeCell ref="BL39:BL48"/>
    <mergeCell ref="BM39:BM48"/>
    <mergeCell ref="BN39:BN48"/>
    <mergeCell ref="BO39:BO48"/>
    <mergeCell ref="BP39:BP48"/>
    <mergeCell ref="BQ39:BQ48"/>
    <mergeCell ref="BR39:BR48"/>
    <mergeCell ref="CE39:CE48"/>
    <mergeCell ref="BT39:BT48"/>
    <mergeCell ref="BU39:BU48"/>
    <mergeCell ref="BV39:BV48"/>
    <mergeCell ref="BW39:BW48"/>
    <mergeCell ref="BX39:BX48"/>
    <mergeCell ref="BY39:BY48"/>
    <mergeCell ref="BZ39:BZ48"/>
    <mergeCell ref="CA39:CA48"/>
    <mergeCell ref="CB39:CB48"/>
    <mergeCell ref="CC39:CC48"/>
    <mergeCell ref="CD39:CD48"/>
  </mergeCells>
  <conditionalFormatting sqref="I5:AS37">
    <cfRule type="cellIs" dxfId="3" priority="1" operator="notEqual">
      <formula>0</formula>
    </cfRule>
  </conditionalFormatting>
  <dataValidations count="1">
    <dataValidation type="list" allowBlank="1" showInputMessage="1" showErrorMessage="1" sqref="I39:AR39" xr:uid="{00000000-0002-0000-0900-000000000000}">
      <formula1>tbl_evento_pagto</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tabColor theme="7" tint="0.79998168889431442"/>
  </sheetPr>
  <dimension ref="B2:U14"/>
  <sheetViews>
    <sheetView workbookViewId="0">
      <pane xSplit="6" ySplit="4" topLeftCell="G5" activePane="bottomRight" state="frozen"/>
      <selection pane="topRight" activeCell="G1" sqref="G1"/>
      <selection pane="bottomLeft" activeCell="A5" sqref="A5"/>
      <selection pane="bottomRight" activeCell="B5" sqref="B5"/>
    </sheetView>
  </sheetViews>
  <sheetFormatPr defaultColWidth="9.109375" defaultRowHeight="13.2" x14ac:dyDescent="0.25"/>
  <cols>
    <col min="1" max="1" width="3.6640625" style="716" customWidth="1"/>
    <col min="2" max="2" width="25.6640625" style="717" customWidth="1"/>
    <col min="3" max="5" width="10.6640625" style="717" customWidth="1"/>
    <col min="6" max="6" width="3.6640625" style="717" customWidth="1"/>
    <col min="7" max="8" width="12.6640625" style="717" customWidth="1"/>
    <col min="9" max="9" width="3.6640625" style="717" customWidth="1"/>
    <col min="10" max="11" width="12.6640625" style="717" customWidth="1"/>
    <col min="12" max="12" width="3.6640625" style="717" customWidth="1"/>
    <col min="13" max="14" width="12.6640625" style="717" customWidth="1"/>
    <col min="15" max="15" width="3.6640625" style="717" customWidth="1"/>
    <col min="16" max="17" width="12.6640625" style="717" customWidth="1"/>
    <col min="18" max="18" width="3.6640625" style="717" customWidth="1"/>
    <col min="19" max="20" width="12.6640625" style="717" customWidth="1"/>
    <col min="21" max="21" width="3.6640625" style="717" customWidth="1"/>
    <col min="22" max="16384" width="9.109375" style="716"/>
  </cols>
  <sheetData>
    <row r="2" spans="2:21" ht="15" customHeight="1" x14ac:dyDescent="0.25">
      <c r="C2" s="879" t="s">
        <v>1047</v>
      </c>
      <c r="D2" s="879"/>
      <c r="E2" s="879"/>
      <c r="G2" s="879" t="s">
        <v>1048</v>
      </c>
      <c r="H2" s="879"/>
      <c r="J2" s="879" t="s">
        <v>1049</v>
      </c>
      <c r="K2" s="879"/>
      <c r="M2" s="879" t="s">
        <v>65</v>
      </c>
      <c r="N2" s="879"/>
      <c r="P2" s="879" t="s">
        <v>762</v>
      </c>
      <c r="Q2" s="879"/>
      <c r="S2" s="879" t="s">
        <v>1050</v>
      </c>
      <c r="T2" s="879"/>
    </row>
    <row r="3" spans="2:21" ht="15" customHeight="1" x14ac:dyDescent="0.25"/>
    <row r="4" spans="2:21" ht="15" customHeight="1" x14ac:dyDescent="0.25">
      <c r="B4" s="717" t="s">
        <v>1051</v>
      </c>
      <c r="C4" s="717" t="s">
        <v>776</v>
      </c>
      <c r="D4" s="717" t="s">
        <v>1052</v>
      </c>
      <c r="E4" s="717" t="s">
        <v>1053</v>
      </c>
      <c r="G4" s="717" t="s">
        <v>1054</v>
      </c>
      <c r="H4" s="717" t="s">
        <v>1055</v>
      </c>
      <c r="J4" s="717" t="s">
        <v>1054</v>
      </c>
      <c r="K4" s="717" t="s">
        <v>1055</v>
      </c>
      <c r="M4" s="717" t="s">
        <v>1054</v>
      </c>
      <c r="N4" s="717" t="s">
        <v>1055</v>
      </c>
      <c r="P4" s="717" t="s">
        <v>1054</v>
      </c>
      <c r="Q4" s="717" t="s">
        <v>1055</v>
      </c>
      <c r="S4" s="717" t="s">
        <v>1054</v>
      </c>
      <c r="T4" s="717" t="s">
        <v>1055</v>
      </c>
    </row>
    <row r="5" spans="2:21" ht="15" customHeight="1" x14ac:dyDescent="0.25">
      <c r="B5" s="719"/>
      <c r="C5" s="75"/>
      <c r="D5" s="75"/>
      <c r="E5" s="720">
        <f t="shared" ref="E5" si="0">C5-D5</f>
        <v>0</v>
      </c>
      <c r="G5" s="721"/>
      <c r="H5" s="722">
        <f>($D5+$E5*G$11)*G5</f>
        <v>0</v>
      </c>
      <c r="I5" s="718"/>
      <c r="J5" s="721"/>
      <c r="K5" s="722">
        <f>($D5+$E5*J$11)*J5</f>
        <v>0</v>
      </c>
      <c r="L5" s="718"/>
      <c r="M5" s="721"/>
      <c r="N5" s="722">
        <f>($D5+$E5*M$11)*M5</f>
        <v>0</v>
      </c>
      <c r="O5" s="718"/>
      <c r="P5" s="721"/>
      <c r="Q5" s="722">
        <f>($D5+$E5*P$11)*P5</f>
        <v>0</v>
      </c>
      <c r="R5" s="718"/>
      <c r="S5" s="721"/>
      <c r="T5" s="722">
        <f>($D5+$E5*S$11)*S5</f>
        <v>0</v>
      </c>
      <c r="U5" s="718"/>
    </row>
    <row r="6" spans="2:21" ht="15" customHeight="1" x14ac:dyDescent="0.25">
      <c r="B6" s="719"/>
      <c r="C6" s="75"/>
      <c r="D6" s="75"/>
      <c r="E6" s="720">
        <f t="shared" ref="E6" si="1">C6-D6</f>
        <v>0</v>
      </c>
      <c r="G6" s="721"/>
      <c r="H6" s="722">
        <f>($D6+$E6*G$11)*G6</f>
        <v>0</v>
      </c>
      <c r="I6" s="718"/>
      <c r="J6" s="721"/>
      <c r="K6" s="722">
        <f>($D6+$E6*J$11)*J6</f>
        <v>0</v>
      </c>
      <c r="L6" s="718"/>
      <c r="M6" s="721"/>
      <c r="N6" s="722">
        <f>($D6+$E6*M$11)*M6</f>
        <v>0</v>
      </c>
      <c r="O6" s="718"/>
      <c r="P6" s="721"/>
      <c r="Q6" s="722">
        <f>($D6+$E6*P$11)*P6</f>
        <v>0</v>
      </c>
      <c r="R6" s="718"/>
      <c r="S6" s="721"/>
      <c r="T6" s="722">
        <f>($D6+$E6*S$11)*S6</f>
        <v>0</v>
      </c>
      <c r="U6" s="718"/>
    </row>
    <row r="7" spans="2:21" ht="15" customHeight="1" x14ac:dyDescent="0.25">
      <c r="B7" s="719"/>
      <c r="C7" s="75"/>
      <c r="D7" s="75"/>
      <c r="E7" s="720">
        <f t="shared" ref="E7" si="2">C7-D7</f>
        <v>0</v>
      </c>
      <c r="G7" s="721"/>
      <c r="H7" s="722">
        <f>($D7+$E7*G$11)*G7</f>
        <v>0</v>
      </c>
      <c r="I7" s="718"/>
      <c r="J7" s="721"/>
      <c r="K7" s="722">
        <f>($D7+$E7*J$11)*J7</f>
        <v>0</v>
      </c>
      <c r="L7" s="718"/>
      <c r="M7" s="721"/>
      <c r="N7" s="722">
        <f>($D7+$E7*M$11)*M7</f>
        <v>0</v>
      </c>
      <c r="O7" s="718"/>
      <c r="P7" s="721"/>
      <c r="Q7" s="722">
        <f>($D7+$E7*P$11)*P7</f>
        <v>0</v>
      </c>
      <c r="R7" s="718"/>
      <c r="S7" s="721"/>
      <c r="T7" s="722">
        <f>($D7+$E7*S$11)*S7</f>
        <v>0</v>
      </c>
      <c r="U7" s="718"/>
    </row>
    <row r="8" spans="2:21" ht="15" customHeight="1" x14ac:dyDescent="0.25">
      <c r="B8" s="719"/>
      <c r="C8" s="75"/>
      <c r="D8" s="75"/>
      <c r="E8" s="720">
        <f t="shared" ref="E8" si="3">C8-D8</f>
        <v>0</v>
      </c>
      <c r="G8" s="721"/>
      <c r="H8" s="722">
        <f>($D8+$E8*G$11)*G8</f>
        <v>0</v>
      </c>
      <c r="I8" s="718"/>
      <c r="J8" s="721"/>
      <c r="K8" s="722">
        <f>($D8+$E8*J$11)*J8</f>
        <v>0</v>
      </c>
      <c r="L8" s="718"/>
      <c r="M8" s="721"/>
      <c r="N8" s="722">
        <f>($D8+$E8*M$11)*M8</f>
        <v>0</v>
      </c>
      <c r="O8" s="718"/>
      <c r="P8" s="721"/>
      <c r="Q8" s="722">
        <f>($D8+$E8*P$11)*P8</f>
        <v>0</v>
      </c>
      <c r="R8" s="718"/>
      <c r="S8" s="721"/>
      <c r="T8" s="722">
        <f>($D8+$E8*S$11)*S8</f>
        <v>0</v>
      </c>
      <c r="U8" s="718"/>
    </row>
    <row r="9" spans="2:21" ht="15" customHeight="1" x14ac:dyDescent="0.25">
      <c r="G9" s="718"/>
      <c r="H9" s="723">
        <f>SUM(H5:H8)</f>
        <v>0</v>
      </c>
      <c r="I9" s="718"/>
      <c r="J9" s="718"/>
      <c r="K9" s="723">
        <f>SUM(K5:K8)</f>
        <v>0</v>
      </c>
      <c r="L9" s="718"/>
      <c r="M9" s="718"/>
      <c r="N9" s="723">
        <f>SUM(N5:N8)</f>
        <v>0</v>
      </c>
      <c r="O9" s="718"/>
      <c r="P9" s="718"/>
      <c r="Q9" s="723">
        <f>SUM(Q5:Q8)</f>
        <v>0</v>
      </c>
      <c r="R9" s="718"/>
      <c r="S9" s="718"/>
      <c r="T9" s="723">
        <f>SUM(T5:T8)</f>
        <v>0</v>
      </c>
      <c r="U9" s="718"/>
    </row>
    <row r="10" spans="2:21" ht="15" customHeight="1" x14ac:dyDescent="0.25">
      <c r="G10" s="717" t="s">
        <v>1056</v>
      </c>
      <c r="J10" s="717" t="s">
        <v>1056</v>
      </c>
      <c r="M10" s="717" t="s">
        <v>1056</v>
      </c>
      <c r="P10" s="717" t="s">
        <v>1056</v>
      </c>
      <c r="S10" s="717" t="s">
        <v>1056</v>
      </c>
    </row>
    <row r="11" spans="2:21" ht="15" customHeight="1" x14ac:dyDescent="0.25">
      <c r="G11" s="724">
        <v>0.5</v>
      </c>
      <c r="J11" s="724">
        <v>0.5</v>
      </c>
      <c r="M11" s="724">
        <v>0.5</v>
      </c>
      <c r="P11" s="724">
        <v>0.75</v>
      </c>
      <c r="S11" s="724">
        <v>0.5</v>
      </c>
    </row>
    <row r="14" spans="2:21" x14ac:dyDescent="0.25">
      <c r="K14" s="780"/>
      <c r="N14" s="780"/>
      <c r="Q14" s="780"/>
      <c r="T14" s="780"/>
    </row>
  </sheetData>
  <mergeCells count="6">
    <mergeCell ref="S2:T2"/>
    <mergeCell ref="C2:E2"/>
    <mergeCell ref="G2:H2"/>
    <mergeCell ref="J2:K2"/>
    <mergeCell ref="M2:N2"/>
    <mergeCell ref="P2:Q2"/>
  </mergeCells>
  <conditionalFormatting sqref="G5:G8 P5:P8 M5:M8 J5:J8">
    <cfRule type="colorScale" priority="1449">
      <colorScale>
        <cfvo type="min"/>
        <cfvo type="percentile" val="50"/>
        <cfvo type="max"/>
        <color rgb="FF63BE7B"/>
        <color rgb="FFFFEB84"/>
        <color rgb="FFF8696B"/>
      </colorScale>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66FF33"/>
  </sheetPr>
  <dimension ref="A1:CL101"/>
  <sheetViews>
    <sheetView zoomScale="80" zoomScaleNormal="80" workbookViewId="0">
      <pane xSplit="6" ySplit="2" topLeftCell="G12" activePane="bottomRight" state="frozen"/>
      <selection pane="topRight" activeCell="E1" sqref="E1"/>
      <selection pane="bottomLeft" activeCell="A3" sqref="A3"/>
      <selection pane="bottomRight" activeCell="AE12" sqref="AE12:AE56"/>
    </sheetView>
  </sheetViews>
  <sheetFormatPr defaultColWidth="9.109375" defaultRowHeight="13.2" zeroHeight="1" x14ac:dyDescent="0.25"/>
  <cols>
    <col min="1" max="1" width="18.6640625" style="113" customWidth="1"/>
    <col min="2" max="3" width="45.6640625" style="115" customWidth="1"/>
    <col min="4" max="5" width="9.109375" style="115"/>
    <col min="6" max="6" width="12.6640625" style="115" hidden="1" customWidth="1"/>
    <col min="7" max="33" width="5.33203125" style="115" customWidth="1"/>
    <col min="34" max="34" width="12.6640625" style="115" hidden="1" customWidth="1"/>
    <col min="35" max="61" width="4.6640625" style="115" customWidth="1"/>
    <col min="62" max="62" width="12.6640625" style="115" hidden="1" customWidth="1"/>
    <col min="63" max="89" width="6.88671875" style="115" customWidth="1"/>
    <col min="90" max="16384" width="9.109375" style="113"/>
  </cols>
  <sheetData>
    <row r="1" spans="1:89" s="114" customFormat="1" ht="15" customHeight="1" x14ac:dyDescent="0.25">
      <c r="B1" s="223"/>
      <c r="C1" s="223"/>
      <c r="D1" s="223"/>
      <c r="E1" s="223"/>
      <c r="F1" s="223"/>
      <c r="G1" s="880" t="s">
        <v>200</v>
      </c>
      <c r="H1" s="880"/>
      <c r="I1" s="880"/>
      <c r="J1" s="880"/>
      <c r="K1" s="880"/>
      <c r="L1" s="880"/>
      <c r="M1" s="880"/>
      <c r="N1" s="880"/>
      <c r="O1" s="880"/>
      <c r="P1" s="880"/>
      <c r="Q1" s="880"/>
      <c r="R1" s="880"/>
      <c r="S1" s="880"/>
      <c r="T1" s="880"/>
      <c r="U1" s="880"/>
      <c r="V1" s="880"/>
      <c r="W1" s="880"/>
      <c r="X1" s="880"/>
      <c r="Y1" s="880"/>
      <c r="Z1" s="880"/>
      <c r="AA1" s="880"/>
      <c r="AB1" s="880"/>
      <c r="AC1" s="880"/>
      <c r="AD1" s="880"/>
      <c r="AE1" s="880"/>
      <c r="AF1" s="880"/>
      <c r="AG1" s="880"/>
      <c r="AH1" s="223"/>
      <c r="AI1" s="880" t="s">
        <v>195</v>
      </c>
      <c r="AJ1" s="880"/>
      <c r="AK1" s="880"/>
      <c r="AL1" s="880"/>
      <c r="AM1" s="880"/>
      <c r="AN1" s="880"/>
      <c r="AO1" s="880"/>
      <c r="AP1" s="880"/>
      <c r="AQ1" s="880"/>
      <c r="AR1" s="880"/>
      <c r="AS1" s="880"/>
      <c r="AT1" s="880"/>
      <c r="AU1" s="880"/>
      <c r="AV1" s="880"/>
      <c r="AW1" s="880"/>
      <c r="AX1" s="880"/>
      <c r="AY1" s="880"/>
      <c r="AZ1" s="880"/>
      <c r="BA1" s="880"/>
      <c r="BB1" s="880"/>
      <c r="BC1" s="880"/>
      <c r="BD1" s="880"/>
      <c r="BE1" s="880"/>
      <c r="BF1" s="880"/>
      <c r="BG1" s="880"/>
      <c r="BH1" s="880"/>
      <c r="BI1" s="880"/>
      <c r="BJ1" s="223"/>
      <c r="BK1" s="880" t="s">
        <v>196</v>
      </c>
      <c r="BL1" s="880"/>
      <c r="BM1" s="880"/>
      <c r="BN1" s="880"/>
      <c r="BO1" s="880"/>
      <c r="BP1" s="880"/>
      <c r="BQ1" s="880"/>
      <c r="BR1" s="880"/>
      <c r="BS1" s="880"/>
      <c r="BT1" s="880"/>
      <c r="BU1" s="880"/>
      <c r="BV1" s="880"/>
      <c r="BW1" s="880"/>
      <c r="BX1" s="880"/>
      <c r="BY1" s="880"/>
      <c r="BZ1" s="880"/>
      <c r="CA1" s="880"/>
      <c r="CB1" s="880"/>
      <c r="CC1" s="880"/>
      <c r="CD1" s="880"/>
      <c r="CE1" s="880"/>
      <c r="CF1" s="880"/>
      <c r="CG1" s="880"/>
      <c r="CH1" s="880"/>
      <c r="CI1" s="880"/>
      <c r="CJ1" s="880"/>
      <c r="CK1" s="880"/>
    </row>
    <row r="2" spans="1:89" ht="15" customHeight="1" x14ac:dyDescent="0.25">
      <c r="A2" s="174" t="s">
        <v>22</v>
      </c>
      <c r="B2" s="174" t="s">
        <v>194</v>
      </c>
      <c r="C2" s="174" t="s">
        <v>259</v>
      </c>
      <c r="D2" s="174" t="s">
        <v>17</v>
      </c>
      <c r="E2" s="224" t="s">
        <v>274</v>
      </c>
      <c r="F2" s="115" t="s">
        <v>22</v>
      </c>
      <c r="G2" s="174" t="s">
        <v>86</v>
      </c>
      <c r="H2" s="174" t="s">
        <v>87</v>
      </c>
      <c r="I2" s="174" t="s">
        <v>88</v>
      </c>
      <c r="J2" s="174" t="s">
        <v>89</v>
      </c>
      <c r="K2" s="174" t="s">
        <v>90</v>
      </c>
      <c r="L2" s="174" t="s">
        <v>91</v>
      </c>
      <c r="M2" s="174" t="s">
        <v>92</v>
      </c>
      <c r="N2" s="174" t="s">
        <v>93</v>
      </c>
      <c r="O2" s="174" t="s">
        <v>94</v>
      </c>
      <c r="P2" s="174" t="s">
        <v>95</v>
      </c>
      <c r="Q2" s="174" t="s">
        <v>96</v>
      </c>
      <c r="R2" s="174" t="s">
        <v>97</v>
      </c>
      <c r="S2" s="174" t="s">
        <v>98</v>
      </c>
      <c r="T2" s="174" t="s">
        <v>99</v>
      </c>
      <c r="U2" s="174" t="s">
        <v>100</v>
      </c>
      <c r="V2" s="174" t="s">
        <v>101</v>
      </c>
      <c r="W2" s="174" t="s">
        <v>102</v>
      </c>
      <c r="X2" s="174" t="s">
        <v>103</v>
      </c>
      <c r="Y2" s="174" t="s">
        <v>104</v>
      </c>
      <c r="Z2" s="174" t="s">
        <v>105</v>
      </c>
      <c r="AA2" s="174" t="s">
        <v>106</v>
      </c>
      <c r="AB2" s="174" t="s">
        <v>107</v>
      </c>
      <c r="AC2" s="174" t="s">
        <v>108</v>
      </c>
      <c r="AD2" s="174" t="s">
        <v>109</v>
      </c>
      <c r="AE2" s="174" t="s">
        <v>110</v>
      </c>
      <c r="AF2" s="174" t="s">
        <v>111</v>
      </c>
      <c r="AG2" s="174" t="s">
        <v>112</v>
      </c>
      <c r="AI2" s="174" t="s">
        <v>86</v>
      </c>
      <c r="AJ2" s="174" t="s">
        <v>87</v>
      </c>
      <c r="AK2" s="174" t="s">
        <v>88</v>
      </c>
      <c r="AL2" s="174" t="s">
        <v>89</v>
      </c>
      <c r="AM2" s="174" t="s">
        <v>90</v>
      </c>
      <c r="AN2" s="174" t="s">
        <v>91</v>
      </c>
      <c r="AO2" s="174" t="s">
        <v>92</v>
      </c>
      <c r="AP2" s="174" t="s">
        <v>93</v>
      </c>
      <c r="AQ2" s="174" t="s">
        <v>94</v>
      </c>
      <c r="AR2" s="174" t="s">
        <v>95</v>
      </c>
      <c r="AS2" s="174" t="s">
        <v>96</v>
      </c>
      <c r="AT2" s="174" t="s">
        <v>97</v>
      </c>
      <c r="AU2" s="174" t="s">
        <v>98</v>
      </c>
      <c r="AV2" s="174" t="s">
        <v>99</v>
      </c>
      <c r="AW2" s="174" t="s">
        <v>100</v>
      </c>
      <c r="AX2" s="174" t="s">
        <v>101</v>
      </c>
      <c r="AY2" s="174" t="s">
        <v>102</v>
      </c>
      <c r="AZ2" s="174" t="s">
        <v>103</v>
      </c>
      <c r="BA2" s="174" t="s">
        <v>104</v>
      </c>
      <c r="BB2" s="174" t="s">
        <v>105</v>
      </c>
      <c r="BC2" s="174" t="s">
        <v>106</v>
      </c>
      <c r="BD2" s="174" t="s">
        <v>107</v>
      </c>
      <c r="BE2" s="174" t="s">
        <v>108</v>
      </c>
      <c r="BF2" s="174" t="s">
        <v>109</v>
      </c>
      <c r="BG2" s="174" t="s">
        <v>110</v>
      </c>
      <c r="BH2" s="174" t="s">
        <v>111</v>
      </c>
      <c r="BI2" s="174" t="s">
        <v>112</v>
      </c>
      <c r="BK2" s="174" t="s">
        <v>86</v>
      </c>
      <c r="BL2" s="174" t="s">
        <v>87</v>
      </c>
      <c r="BM2" s="174" t="s">
        <v>88</v>
      </c>
      <c r="BN2" s="174" t="s">
        <v>89</v>
      </c>
      <c r="BO2" s="174" t="s">
        <v>90</v>
      </c>
      <c r="BP2" s="174" t="s">
        <v>91</v>
      </c>
      <c r="BQ2" s="174" t="s">
        <v>92</v>
      </c>
      <c r="BR2" s="174" t="s">
        <v>93</v>
      </c>
      <c r="BS2" s="174" t="s">
        <v>94</v>
      </c>
      <c r="BT2" s="174" t="s">
        <v>95</v>
      </c>
      <c r="BU2" s="174" t="s">
        <v>96</v>
      </c>
      <c r="BV2" s="174" t="s">
        <v>97</v>
      </c>
      <c r="BW2" s="174" t="s">
        <v>98</v>
      </c>
      <c r="BX2" s="174" t="s">
        <v>99</v>
      </c>
      <c r="BY2" s="174" t="s">
        <v>100</v>
      </c>
      <c r="BZ2" s="174" t="s">
        <v>101</v>
      </c>
      <c r="CA2" s="174" t="s">
        <v>102</v>
      </c>
      <c r="CB2" s="174" t="s">
        <v>103</v>
      </c>
      <c r="CC2" s="174" t="s">
        <v>104</v>
      </c>
      <c r="CD2" s="174" t="s">
        <v>105</v>
      </c>
      <c r="CE2" s="174" t="s">
        <v>106</v>
      </c>
      <c r="CF2" s="174" t="s">
        <v>107</v>
      </c>
      <c r="CG2" s="174" t="s">
        <v>108</v>
      </c>
      <c r="CH2" s="174" t="s">
        <v>109</v>
      </c>
      <c r="CI2" s="174" t="s">
        <v>110</v>
      </c>
      <c r="CJ2" s="174" t="s">
        <v>111</v>
      </c>
      <c r="CK2" s="174" t="s">
        <v>112</v>
      </c>
    </row>
    <row r="3" spans="1:89" x14ac:dyDescent="0.25">
      <c r="A3" s="606">
        <v>74071010</v>
      </c>
      <c r="B3" s="47" t="s">
        <v>1078</v>
      </c>
      <c r="C3" s="47"/>
      <c r="D3" s="23">
        <v>0.05</v>
      </c>
      <c r="E3" s="20"/>
      <c r="F3" s="21">
        <f>A3</f>
        <v>74071010</v>
      </c>
      <c r="G3" s="22"/>
      <c r="H3" s="23"/>
      <c r="I3" s="23"/>
      <c r="J3" s="23"/>
      <c r="K3" s="23"/>
      <c r="L3" s="23"/>
      <c r="M3" s="23"/>
      <c r="N3" s="23"/>
      <c r="O3" s="23"/>
      <c r="P3" s="23"/>
      <c r="Q3" s="23"/>
      <c r="R3" s="23"/>
      <c r="S3" s="23"/>
      <c r="T3" s="23"/>
      <c r="U3" s="23"/>
      <c r="V3" s="23"/>
      <c r="W3" s="23"/>
      <c r="X3" s="23"/>
      <c r="Y3" s="23"/>
      <c r="Z3" s="23"/>
      <c r="AA3" s="23"/>
      <c r="AB3" s="23"/>
      <c r="AC3" s="23"/>
      <c r="AD3" s="23"/>
      <c r="AE3" s="23">
        <v>0.18</v>
      </c>
      <c r="AF3" s="23"/>
      <c r="AG3" s="20"/>
      <c r="AH3" s="24">
        <f t="shared" ref="AH3:AH35" si="0">F3</f>
        <v>74071010</v>
      </c>
      <c r="AI3" s="25"/>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26"/>
      <c r="BJ3" s="21">
        <f>AH3</f>
        <v>74071010</v>
      </c>
      <c r="BK3" s="22"/>
      <c r="BL3" s="23"/>
      <c r="BM3" s="23"/>
      <c r="BN3" s="23"/>
      <c r="BO3" s="23"/>
      <c r="BP3" s="23"/>
      <c r="BQ3" s="23"/>
      <c r="BR3" s="23"/>
      <c r="BS3" s="23"/>
      <c r="BT3" s="23"/>
      <c r="BU3" s="23"/>
      <c r="BV3" s="23"/>
      <c r="BW3" s="23"/>
      <c r="BX3" s="23"/>
      <c r="BY3" s="23"/>
      <c r="BZ3" s="23"/>
      <c r="CA3" s="23"/>
      <c r="CB3" s="23"/>
      <c r="CC3" s="23"/>
      <c r="CD3" s="23"/>
      <c r="CE3" s="23"/>
      <c r="CF3" s="23"/>
      <c r="CG3" s="23"/>
      <c r="CH3" s="23"/>
      <c r="CI3" s="27"/>
      <c r="CJ3" s="23"/>
      <c r="CK3" s="20"/>
    </row>
    <row r="4" spans="1:89" x14ac:dyDescent="0.25">
      <c r="A4" s="607">
        <v>76169900</v>
      </c>
      <c r="B4" s="78" t="s">
        <v>647</v>
      </c>
      <c r="C4" s="78"/>
      <c r="D4" s="31">
        <v>0.05</v>
      </c>
      <c r="E4" s="29"/>
      <c r="F4" s="24">
        <f t="shared" ref="F4:F67" si="1">A4</f>
        <v>76169900</v>
      </c>
      <c r="G4" s="30"/>
      <c r="H4" s="31"/>
      <c r="I4" s="31"/>
      <c r="J4" s="31"/>
      <c r="K4" s="31"/>
      <c r="L4" s="31"/>
      <c r="M4" s="31"/>
      <c r="N4" s="31"/>
      <c r="O4" s="31"/>
      <c r="P4" s="31"/>
      <c r="Q4" s="31"/>
      <c r="R4" s="31"/>
      <c r="S4" s="31"/>
      <c r="T4" s="31"/>
      <c r="U4" s="31"/>
      <c r="V4" s="31"/>
      <c r="W4" s="31"/>
      <c r="X4" s="31"/>
      <c r="Y4" s="31"/>
      <c r="Z4" s="31"/>
      <c r="AA4" s="31"/>
      <c r="AB4" s="31"/>
      <c r="AC4" s="31"/>
      <c r="AD4" s="31"/>
      <c r="AE4" s="31">
        <v>0.18</v>
      </c>
      <c r="AF4" s="31"/>
      <c r="AG4" s="29"/>
      <c r="AH4" s="24">
        <f t="shared" si="0"/>
        <v>76169900</v>
      </c>
      <c r="AI4" s="32"/>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33"/>
      <c r="BJ4" s="24">
        <f t="shared" ref="BJ4:BJ67" si="2">AH4</f>
        <v>76169900</v>
      </c>
      <c r="BK4" s="30"/>
      <c r="BL4" s="31"/>
      <c r="BM4" s="31"/>
      <c r="BN4" s="31"/>
      <c r="BO4" s="31"/>
      <c r="BP4" s="31"/>
      <c r="BQ4" s="31"/>
      <c r="BR4" s="31"/>
      <c r="BS4" s="31"/>
      <c r="BT4" s="31"/>
      <c r="BU4" s="31"/>
      <c r="BV4" s="31"/>
      <c r="BW4" s="31"/>
      <c r="BX4" s="31"/>
      <c r="BY4" s="31"/>
      <c r="BZ4" s="31"/>
      <c r="CA4" s="31"/>
      <c r="CB4" s="31"/>
      <c r="CC4" s="31"/>
      <c r="CD4" s="31"/>
      <c r="CE4" s="31"/>
      <c r="CF4" s="31"/>
      <c r="CG4" s="31"/>
      <c r="CH4" s="31"/>
      <c r="CI4" s="31"/>
      <c r="CJ4" s="31"/>
      <c r="CK4" s="29"/>
    </row>
    <row r="5" spans="1:89" x14ac:dyDescent="0.25">
      <c r="A5" s="607">
        <v>83079000</v>
      </c>
      <c r="B5" s="78" t="s">
        <v>840</v>
      </c>
      <c r="C5" s="78"/>
      <c r="D5" s="31"/>
      <c r="E5" s="29"/>
      <c r="F5" s="24">
        <f t="shared" si="1"/>
        <v>83079000</v>
      </c>
      <c r="G5" s="30"/>
      <c r="H5" s="31"/>
      <c r="I5" s="31"/>
      <c r="J5" s="31"/>
      <c r="K5" s="31"/>
      <c r="L5" s="31"/>
      <c r="M5" s="31"/>
      <c r="N5" s="31"/>
      <c r="O5" s="31"/>
      <c r="P5" s="31"/>
      <c r="Q5" s="31"/>
      <c r="R5" s="31"/>
      <c r="S5" s="31"/>
      <c r="T5" s="31"/>
      <c r="U5" s="31"/>
      <c r="V5" s="31"/>
      <c r="W5" s="31"/>
      <c r="X5" s="31"/>
      <c r="Y5" s="31"/>
      <c r="Z5" s="31"/>
      <c r="AA5" s="31"/>
      <c r="AB5" s="31"/>
      <c r="AC5" s="31"/>
      <c r="AD5" s="31"/>
      <c r="AE5" s="31"/>
      <c r="AF5" s="31"/>
      <c r="AG5" s="29"/>
      <c r="AH5" s="24">
        <f t="shared" si="0"/>
        <v>83079000</v>
      </c>
      <c r="AI5" s="32"/>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33"/>
      <c r="BJ5" s="24">
        <f t="shared" si="2"/>
        <v>83079000</v>
      </c>
      <c r="BK5" s="30"/>
      <c r="BL5" s="31"/>
      <c r="BM5" s="31"/>
      <c r="BN5" s="31"/>
      <c r="BO5" s="31"/>
      <c r="BP5" s="31"/>
      <c r="BQ5" s="31"/>
      <c r="BR5" s="31"/>
      <c r="BS5" s="31"/>
      <c r="BT5" s="31"/>
      <c r="BU5" s="31"/>
      <c r="BV5" s="31"/>
      <c r="BW5" s="31"/>
      <c r="BX5" s="31"/>
      <c r="BY5" s="31"/>
      <c r="BZ5" s="31"/>
      <c r="CA5" s="31"/>
      <c r="CB5" s="31"/>
      <c r="CC5" s="31"/>
      <c r="CD5" s="31"/>
      <c r="CE5" s="31"/>
      <c r="CF5" s="31"/>
      <c r="CG5" s="31"/>
      <c r="CH5" s="31"/>
      <c r="CI5" s="31"/>
      <c r="CJ5" s="31"/>
      <c r="CK5" s="29"/>
    </row>
    <row r="6" spans="1:89" x14ac:dyDescent="0.25">
      <c r="A6" s="607">
        <v>84714100</v>
      </c>
      <c r="B6" s="78" t="s">
        <v>724</v>
      </c>
      <c r="C6" s="78"/>
      <c r="D6" s="31">
        <v>9.7500000000000003E-2</v>
      </c>
      <c r="E6" s="29"/>
      <c r="F6" s="24">
        <f t="shared" si="1"/>
        <v>84714100</v>
      </c>
      <c r="G6" s="30"/>
      <c r="H6" s="31"/>
      <c r="I6" s="31"/>
      <c r="J6" s="31"/>
      <c r="K6" s="31"/>
      <c r="L6" s="31"/>
      <c r="M6" s="31"/>
      <c r="N6" s="31"/>
      <c r="O6" s="31"/>
      <c r="P6" s="31"/>
      <c r="Q6" s="31"/>
      <c r="R6" s="31"/>
      <c r="S6" s="31"/>
      <c r="T6" s="31"/>
      <c r="U6" s="31"/>
      <c r="V6" s="31"/>
      <c r="W6" s="31"/>
      <c r="X6" s="31"/>
      <c r="Y6" s="31"/>
      <c r="Z6" s="31"/>
      <c r="AA6" s="31"/>
      <c r="AB6" s="31"/>
      <c r="AC6" s="31"/>
      <c r="AD6" s="31"/>
      <c r="AE6" s="31">
        <v>0.18</v>
      </c>
      <c r="AF6" s="31"/>
      <c r="AG6" s="29"/>
      <c r="AH6" s="24">
        <f t="shared" si="0"/>
        <v>84714100</v>
      </c>
      <c r="AI6" s="32"/>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33"/>
      <c r="BJ6" s="24">
        <f t="shared" si="2"/>
        <v>84714100</v>
      </c>
      <c r="BK6" s="30"/>
      <c r="BL6" s="31"/>
      <c r="BM6" s="31"/>
      <c r="BN6" s="31"/>
      <c r="BO6" s="31"/>
      <c r="BP6" s="31"/>
      <c r="BQ6" s="31"/>
      <c r="BR6" s="31"/>
      <c r="BS6" s="31"/>
      <c r="BT6" s="31"/>
      <c r="BU6" s="31"/>
      <c r="BV6" s="31"/>
      <c r="BW6" s="31"/>
      <c r="BX6" s="31"/>
      <c r="BY6" s="31"/>
      <c r="BZ6" s="31"/>
      <c r="CA6" s="31"/>
      <c r="CB6" s="31"/>
      <c r="CC6" s="31"/>
      <c r="CD6" s="31"/>
      <c r="CE6" s="31"/>
      <c r="CF6" s="31"/>
      <c r="CG6" s="31"/>
      <c r="CH6" s="31"/>
      <c r="CI6" s="31"/>
      <c r="CJ6" s="31"/>
      <c r="CK6" s="29"/>
    </row>
    <row r="7" spans="1:89" x14ac:dyDescent="0.25">
      <c r="A7" s="607">
        <v>84714190</v>
      </c>
      <c r="B7" s="78" t="s">
        <v>724</v>
      </c>
      <c r="C7" s="78"/>
      <c r="D7" s="31">
        <v>0.15</v>
      </c>
      <c r="E7" s="29"/>
      <c r="F7" s="24">
        <f t="shared" si="1"/>
        <v>84714190</v>
      </c>
      <c r="G7" s="30"/>
      <c r="H7" s="31"/>
      <c r="I7" s="31"/>
      <c r="J7" s="31"/>
      <c r="K7" s="31"/>
      <c r="L7" s="31"/>
      <c r="M7" s="31"/>
      <c r="N7" s="31"/>
      <c r="O7" s="31"/>
      <c r="P7" s="31"/>
      <c r="Q7" s="31"/>
      <c r="R7" s="31"/>
      <c r="S7" s="31"/>
      <c r="T7" s="31"/>
      <c r="U7" s="31"/>
      <c r="V7" s="31"/>
      <c r="W7" s="31"/>
      <c r="X7" s="31"/>
      <c r="Y7" s="31"/>
      <c r="Z7" s="31"/>
      <c r="AA7" s="31"/>
      <c r="AB7" s="31"/>
      <c r="AC7" s="31"/>
      <c r="AD7" s="31"/>
      <c r="AE7" s="31">
        <v>0.18</v>
      </c>
      <c r="AF7" s="31"/>
      <c r="AG7" s="29"/>
      <c r="AH7" s="24">
        <f t="shared" si="0"/>
        <v>84714190</v>
      </c>
      <c r="AI7" s="32"/>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33"/>
      <c r="BJ7" s="24">
        <f t="shared" si="2"/>
        <v>84714190</v>
      </c>
      <c r="BK7" s="30"/>
      <c r="BL7" s="31"/>
      <c r="BM7" s="31"/>
      <c r="BN7" s="31"/>
      <c r="BO7" s="31"/>
      <c r="BP7" s="31"/>
      <c r="BQ7" s="31"/>
      <c r="BR7" s="31"/>
      <c r="BS7" s="31"/>
      <c r="BT7" s="31"/>
      <c r="BU7" s="31"/>
      <c r="BV7" s="31"/>
      <c r="BW7" s="31"/>
      <c r="BX7" s="31"/>
      <c r="BY7" s="31"/>
      <c r="BZ7" s="31"/>
      <c r="CA7" s="31"/>
      <c r="CB7" s="31"/>
      <c r="CC7" s="31"/>
      <c r="CD7" s="31"/>
      <c r="CE7" s="31"/>
      <c r="CF7" s="31"/>
      <c r="CG7" s="31"/>
      <c r="CH7" s="31"/>
      <c r="CI7" s="31"/>
      <c r="CJ7" s="31"/>
      <c r="CK7" s="29"/>
    </row>
    <row r="8" spans="1:89" x14ac:dyDescent="0.25">
      <c r="A8" s="607">
        <v>84715010</v>
      </c>
      <c r="B8" s="78" t="s">
        <v>724</v>
      </c>
      <c r="C8" s="78"/>
      <c r="D8" s="31">
        <v>0.15</v>
      </c>
      <c r="E8" s="29"/>
      <c r="F8" s="24">
        <f t="shared" si="1"/>
        <v>84715010</v>
      </c>
      <c r="G8" s="30"/>
      <c r="H8" s="31"/>
      <c r="I8" s="31"/>
      <c r="J8" s="31"/>
      <c r="K8" s="31"/>
      <c r="L8" s="31"/>
      <c r="M8" s="31"/>
      <c r="N8" s="31"/>
      <c r="O8" s="31"/>
      <c r="P8" s="31"/>
      <c r="Q8" s="31"/>
      <c r="R8" s="31"/>
      <c r="S8" s="31"/>
      <c r="T8" s="31"/>
      <c r="U8" s="31"/>
      <c r="V8" s="31"/>
      <c r="W8" s="31"/>
      <c r="X8" s="31"/>
      <c r="Y8" s="31"/>
      <c r="Z8" s="31"/>
      <c r="AA8" s="31"/>
      <c r="AB8" s="31"/>
      <c r="AC8" s="31"/>
      <c r="AD8" s="31"/>
      <c r="AE8" s="31">
        <v>0.18</v>
      </c>
      <c r="AF8" s="31"/>
      <c r="AG8" s="29"/>
      <c r="AH8" s="24">
        <f t="shared" si="0"/>
        <v>84715010</v>
      </c>
      <c r="AI8" s="32"/>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33"/>
      <c r="BJ8" s="24">
        <f t="shared" si="2"/>
        <v>84715010</v>
      </c>
      <c r="BK8" s="30"/>
      <c r="BL8" s="31"/>
      <c r="BM8" s="31"/>
      <c r="BN8" s="31"/>
      <c r="BO8" s="31"/>
      <c r="BP8" s="31"/>
      <c r="BQ8" s="31"/>
      <c r="BR8" s="31"/>
      <c r="BS8" s="31"/>
      <c r="BT8" s="31"/>
      <c r="BU8" s="31"/>
      <c r="BV8" s="31"/>
      <c r="BW8" s="31"/>
      <c r="BX8" s="31"/>
      <c r="BY8" s="31"/>
      <c r="BZ8" s="31"/>
      <c r="CA8" s="31"/>
      <c r="CB8" s="31"/>
      <c r="CC8" s="31"/>
      <c r="CD8" s="31"/>
      <c r="CE8" s="31"/>
      <c r="CF8" s="31"/>
      <c r="CG8" s="31"/>
      <c r="CH8" s="31"/>
      <c r="CI8" s="31"/>
      <c r="CJ8" s="31"/>
      <c r="CK8" s="29"/>
    </row>
    <row r="9" spans="1:89" x14ac:dyDescent="0.25">
      <c r="A9" s="607">
        <v>84716052</v>
      </c>
      <c r="B9" s="78" t="s">
        <v>2296</v>
      </c>
      <c r="C9" s="78"/>
      <c r="D9" s="31">
        <v>9.7500000000000003E-2</v>
      </c>
      <c r="E9" s="29"/>
      <c r="F9" s="24">
        <f t="shared" si="1"/>
        <v>84716052</v>
      </c>
      <c r="G9" s="30"/>
      <c r="H9" s="31"/>
      <c r="I9" s="31"/>
      <c r="J9" s="31"/>
      <c r="K9" s="31"/>
      <c r="L9" s="31"/>
      <c r="M9" s="31"/>
      <c r="N9" s="31"/>
      <c r="O9" s="31"/>
      <c r="P9" s="31"/>
      <c r="Q9" s="31"/>
      <c r="R9" s="31"/>
      <c r="S9" s="31"/>
      <c r="T9" s="31"/>
      <c r="U9" s="31"/>
      <c r="V9" s="31"/>
      <c r="W9" s="31"/>
      <c r="X9" s="31"/>
      <c r="Y9" s="31"/>
      <c r="Z9" s="31"/>
      <c r="AA9" s="31"/>
      <c r="AB9" s="31"/>
      <c r="AC9" s="31"/>
      <c r="AD9" s="31"/>
      <c r="AE9" s="31">
        <v>0.18</v>
      </c>
      <c r="AF9" s="31"/>
      <c r="AG9" s="29"/>
      <c r="AH9" s="24">
        <f t="shared" si="0"/>
        <v>84716052</v>
      </c>
      <c r="AI9" s="32"/>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33"/>
      <c r="BJ9" s="24">
        <f t="shared" si="2"/>
        <v>84716052</v>
      </c>
      <c r="BK9" s="30"/>
      <c r="BL9" s="31"/>
      <c r="BM9" s="31"/>
      <c r="BN9" s="31"/>
      <c r="BO9" s="31"/>
      <c r="BP9" s="31"/>
      <c r="BQ9" s="31"/>
      <c r="BR9" s="31"/>
      <c r="BS9" s="31"/>
      <c r="BT9" s="31"/>
      <c r="BU9" s="31"/>
      <c r="BV9" s="31"/>
      <c r="BW9" s="31"/>
      <c r="BX9" s="31"/>
      <c r="BY9" s="31"/>
      <c r="BZ9" s="31"/>
      <c r="CA9" s="31"/>
      <c r="CB9" s="31"/>
      <c r="CC9" s="31"/>
      <c r="CD9" s="31"/>
      <c r="CE9" s="31"/>
      <c r="CF9" s="31"/>
      <c r="CG9" s="31"/>
      <c r="CH9" s="31"/>
      <c r="CI9" s="31"/>
      <c r="CJ9" s="31"/>
      <c r="CK9" s="29"/>
    </row>
    <row r="10" spans="1:89" x14ac:dyDescent="0.25">
      <c r="A10" s="607">
        <v>85042300</v>
      </c>
      <c r="B10" s="78" t="s">
        <v>1113</v>
      </c>
      <c r="C10" s="78"/>
      <c r="D10" s="31">
        <v>0</v>
      </c>
      <c r="E10" s="29"/>
      <c r="F10" s="24">
        <f t="shared" si="1"/>
        <v>85042300</v>
      </c>
      <c r="G10" s="30"/>
      <c r="H10" s="31"/>
      <c r="I10" s="31"/>
      <c r="J10" s="31"/>
      <c r="K10" s="31"/>
      <c r="L10" s="31"/>
      <c r="M10" s="31"/>
      <c r="N10" s="31"/>
      <c r="O10" s="31"/>
      <c r="P10" s="31"/>
      <c r="Q10" s="31"/>
      <c r="R10" s="31"/>
      <c r="S10" s="31"/>
      <c r="T10" s="31"/>
      <c r="U10" s="31"/>
      <c r="V10" s="31"/>
      <c r="W10" s="31"/>
      <c r="X10" s="31"/>
      <c r="Y10" s="31"/>
      <c r="Z10" s="31">
        <v>0.18</v>
      </c>
      <c r="AA10" s="31"/>
      <c r="AB10" s="31"/>
      <c r="AC10" s="31"/>
      <c r="AD10" s="31"/>
      <c r="AE10" s="31">
        <v>0.12</v>
      </c>
      <c r="AF10" s="31"/>
      <c r="AG10" s="29"/>
      <c r="AH10" s="24">
        <f t="shared" si="0"/>
        <v>85042300</v>
      </c>
      <c r="AI10" s="32"/>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33"/>
      <c r="BJ10" s="24">
        <f t="shared" si="2"/>
        <v>85042300</v>
      </c>
      <c r="BK10" s="30"/>
      <c r="BL10" s="31"/>
      <c r="BM10" s="31"/>
      <c r="BN10" s="31"/>
      <c r="BO10" s="31"/>
      <c r="BP10" s="31"/>
      <c r="BQ10" s="31"/>
      <c r="BR10" s="31"/>
      <c r="BS10" s="31"/>
      <c r="BT10" s="31"/>
      <c r="BU10" s="31"/>
      <c r="BV10" s="31"/>
      <c r="BW10" s="31"/>
      <c r="BX10" s="31"/>
      <c r="BY10" s="31"/>
      <c r="BZ10" s="31"/>
      <c r="CA10" s="31"/>
      <c r="CB10" s="31"/>
      <c r="CC10" s="31"/>
      <c r="CD10" s="31"/>
      <c r="CE10" s="31"/>
      <c r="CF10" s="31"/>
      <c r="CG10" s="31"/>
      <c r="CH10" s="31"/>
      <c r="CI10" s="31"/>
      <c r="CJ10" s="31"/>
      <c r="CK10" s="29"/>
    </row>
    <row r="11" spans="1:89" x14ac:dyDescent="0.25">
      <c r="A11" s="607">
        <v>85043111</v>
      </c>
      <c r="B11" s="78"/>
      <c r="C11" s="78"/>
      <c r="D11" s="31">
        <v>0.1</v>
      </c>
      <c r="E11" s="29"/>
      <c r="F11" s="24">
        <f t="shared" si="1"/>
        <v>85043111</v>
      </c>
      <c r="G11" s="30"/>
      <c r="H11" s="31"/>
      <c r="I11" s="31"/>
      <c r="J11" s="31"/>
      <c r="K11" s="31"/>
      <c r="L11" s="31"/>
      <c r="M11" s="31"/>
      <c r="N11" s="31"/>
      <c r="O11" s="31"/>
      <c r="P11" s="31"/>
      <c r="Q11" s="31"/>
      <c r="R11" s="31"/>
      <c r="S11" s="31"/>
      <c r="T11" s="31"/>
      <c r="U11" s="31"/>
      <c r="V11" s="31"/>
      <c r="W11" s="31"/>
      <c r="X11" s="31"/>
      <c r="Y11" s="31"/>
      <c r="Z11" s="31"/>
      <c r="AA11" s="31"/>
      <c r="AB11" s="31"/>
      <c r="AC11" s="31"/>
      <c r="AD11" s="31"/>
      <c r="AE11" s="31">
        <v>0.18</v>
      </c>
      <c r="AF11" s="31"/>
      <c r="AG11" s="29"/>
      <c r="AH11" s="24">
        <f t="shared" si="0"/>
        <v>85043111</v>
      </c>
      <c r="AI11" s="32"/>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33"/>
      <c r="BJ11" s="24">
        <f t="shared" si="2"/>
        <v>85043111</v>
      </c>
      <c r="BK11" s="30"/>
      <c r="BL11" s="31"/>
      <c r="BM11" s="31"/>
      <c r="BN11" s="31"/>
      <c r="BO11" s="31"/>
      <c r="BP11" s="31"/>
      <c r="BQ11" s="31"/>
      <c r="BR11" s="31"/>
      <c r="BS11" s="31"/>
      <c r="BT11" s="31"/>
      <c r="BU11" s="31"/>
      <c r="BV11" s="31"/>
      <c r="BW11" s="31"/>
      <c r="BX11" s="31"/>
      <c r="BY11" s="31"/>
      <c r="BZ11" s="31"/>
      <c r="CA11" s="31"/>
      <c r="CB11" s="31"/>
      <c r="CC11" s="31"/>
      <c r="CD11" s="31"/>
      <c r="CE11" s="31"/>
      <c r="CF11" s="31"/>
      <c r="CG11" s="31"/>
      <c r="CH11" s="31"/>
      <c r="CI11" s="31"/>
      <c r="CJ11" s="31"/>
      <c r="CK11" s="29"/>
    </row>
    <row r="12" spans="1:89" x14ac:dyDescent="0.25">
      <c r="A12" s="607">
        <v>85044030</v>
      </c>
      <c r="B12" s="78" t="s">
        <v>646</v>
      </c>
      <c r="C12" s="78"/>
      <c r="D12" s="31">
        <v>0.15</v>
      </c>
      <c r="E12" s="29"/>
      <c r="F12" s="24">
        <f t="shared" si="1"/>
        <v>85044030</v>
      </c>
      <c r="G12" s="30"/>
      <c r="H12" s="31"/>
      <c r="I12" s="31"/>
      <c r="J12" s="31"/>
      <c r="K12" s="31"/>
      <c r="L12" s="31"/>
      <c r="M12" s="31"/>
      <c r="N12" s="31"/>
      <c r="O12" s="31"/>
      <c r="P12" s="31"/>
      <c r="Q12" s="31"/>
      <c r="R12" s="31"/>
      <c r="S12" s="31"/>
      <c r="T12" s="31"/>
      <c r="U12" s="31"/>
      <c r="V12" s="31"/>
      <c r="W12" s="31"/>
      <c r="X12" s="31"/>
      <c r="Y12" s="31"/>
      <c r="Z12" s="31"/>
      <c r="AA12" s="31"/>
      <c r="AB12" s="31"/>
      <c r="AC12" s="31"/>
      <c r="AD12" s="31"/>
      <c r="AE12" s="31">
        <v>0.12</v>
      </c>
      <c r="AF12" s="31"/>
      <c r="AG12" s="29"/>
      <c r="AH12" s="24">
        <f t="shared" si="0"/>
        <v>85044030</v>
      </c>
      <c r="AI12" s="32"/>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33"/>
      <c r="BJ12" s="24">
        <f t="shared" si="2"/>
        <v>85044030</v>
      </c>
      <c r="BK12" s="30"/>
      <c r="BL12" s="31"/>
      <c r="BM12" s="31"/>
      <c r="BN12" s="31"/>
      <c r="BO12" s="31"/>
      <c r="BP12" s="31"/>
      <c r="BQ12" s="31"/>
      <c r="BR12" s="31"/>
      <c r="BS12" s="31"/>
      <c r="BT12" s="31"/>
      <c r="BU12" s="31"/>
      <c r="BV12" s="31"/>
      <c r="BW12" s="31"/>
      <c r="BX12" s="31"/>
      <c r="BY12" s="31"/>
      <c r="BZ12" s="31"/>
      <c r="CA12" s="31"/>
      <c r="CB12" s="31"/>
      <c r="CC12" s="31"/>
      <c r="CD12" s="31"/>
      <c r="CE12" s="31"/>
      <c r="CF12" s="31"/>
      <c r="CG12" s="31"/>
      <c r="CH12" s="31"/>
      <c r="CI12" s="31"/>
      <c r="CJ12" s="31"/>
      <c r="CK12" s="29"/>
    </row>
    <row r="13" spans="1:89" x14ac:dyDescent="0.25">
      <c r="A13" s="607">
        <v>85044090</v>
      </c>
      <c r="B13" s="78" t="s">
        <v>646</v>
      </c>
      <c r="C13" s="78"/>
      <c r="D13" s="31">
        <v>9.7500000000000003E-2</v>
      </c>
      <c r="E13" s="29"/>
      <c r="F13" s="24">
        <f t="shared" si="1"/>
        <v>85044090</v>
      </c>
      <c r="G13" s="30"/>
      <c r="H13" s="31"/>
      <c r="I13" s="31"/>
      <c r="J13" s="31"/>
      <c r="K13" s="31"/>
      <c r="L13" s="31"/>
      <c r="M13" s="31"/>
      <c r="N13" s="31"/>
      <c r="O13" s="31"/>
      <c r="P13" s="31"/>
      <c r="Q13" s="31"/>
      <c r="R13" s="31"/>
      <c r="S13" s="31"/>
      <c r="T13" s="31"/>
      <c r="U13" s="31"/>
      <c r="V13" s="31"/>
      <c r="W13" s="31"/>
      <c r="X13" s="31"/>
      <c r="Y13" s="31"/>
      <c r="Z13" s="31"/>
      <c r="AA13" s="31"/>
      <c r="AB13" s="31"/>
      <c r="AC13" s="31"/>
      <c r="AD13" s="31"/>
      <c r="AE13" s="31">
        <v>0.12</v>
      </c>
      <c r="AF13" s="31"/>
      <c r="AG13" s="29"/>
      <c r="AH13" s="24">
        <f t="shared" si="0"/>
        <v>85044090</v>
      </c>
      <c r="AI13" s="32"/>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33"/>
      <c r="BJ13" s="24">
        <f t="shared" si="2"/>
        <v>85044090</v>
      </c>
      <c r="BK13" s="30"/>
      <c r="BL13" s="31"/>
      <c r="BM13" s="31"/>
      <c r="BN13" s="31"/>
      <c r="BO13" s="31"/>
      <c r="BP13" s="31"/>
      <c r="BQ13" s="31"/>
      <c r="BR13" s="31"/>
      <c r="BS13" s="31"/>
      <c r="BT13" s="31"/>
      <c r="BU13" s="31"/>
      <c r="BV13" s="31"/>
      <c r="BW13" s="31"/>
      <c r="BX13" s="31"/>
      <c r="BY13" s="31"/>
      <c r="BZ13" s="31"/>
      <c r="CA13" s="31"/>
      <c r="CB13" s="31"/>
      <c r="CC13" s="31"/>
      <c r="CD13" s="31"/>
      <c r="CE13" s="31"/>
      <c r="CF13" s="31"/>
      <c r="CG13" s="31"/>
      <c r="CH13" s="31"/>
      <c r="CI13" s="31"/>
      <c r="CJ13" s="31"/>
      <c r="CK13" s="29"/>
    </row>
    <row r="14" spans="1:89" x14ac:dyDescent="0.25">
      <c r="A14" s="607">
        <v>85176234</v>
      </c>
      <c r="B14" s="78" t="s">
        <v>593</v>
      </c>
      <c r="C14" s="78"/>
      <c r="D14" s="31">
        <v>9.7500000000000003E-2</v>
      </c>
      <c r="E14" s="29"/>
      <c r="F14" s="24">
        <f t="shared" si="1"/>
        <v>85176234</v>
      </c>
      <c r="G14" s="30"/>
      <c r="H14" s="31"/>
      <c r="I14" s="31"/>
      <c r="J14" s="31"/>
      <c r="K14" s="31"/>
      <c r="L14" s="31"/>
      <c r="M14" s="31"/>
      <c r="N14" s="31"/>
      <c r="O14" s="31"/>
      <c r="P14" s="31"/>
      <c r="Q14" s="31"/>
      <c r="R14" s="31"/>
      <c r="S14" s="31"/>
      <c r="T14" s="31"/>
      <c r="U14" s="31"/>
      <c r="V14" s="31"/>
      <c r="W14" s="31"/>
      <c r="X14" s="31"/>
      <c r="Y14" s="31"/>
      <c r="Z14" s="31"/>
      <c r="AA14" s="31"/>
      <c r="AB14" s="31"/>
      <c r="AC14" s="31"/>
      <c r="AD14" s="31"/>
      <c r="AE14" s="31">
        <v>0.18</v>
      </c>
      <c r="AF14" s="31"/>
      <c r="AG14" s="29"/>
      <c r="AH14" s="24">
        <f t="shared" si="0"/>
        <v>85176234</v>
      </c>
      <c r="AI14" s="32"/>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33"/>
      <c r="BJ14" s="24">
        <f t="shared" si="2"/>
        <v>85176234</v>
      </c>
      <c r="BK14" s="30"/>
      <c r="BL14" s="31"/>
      <c r="BM14" s="31"/>
      <c r="BN14" s="31"/>
      <c r="BO14" s="31"/>
      <c r="BP14" s="31"/>
      <c r="BQ14" s="31"/>
      <c r="BR14" s="31"/>
      <c r="BS14" s="31"/>
      <c r="BT14" s="31"/>
      <c r="BU14" s="31"/>
      <c r="BV14" s="31"/>
      <c r="BW14" s="31"/>
      <c r="BX14" s="31"/>
      <c r="BY14" s="31"/>
      <c r="BZ14" s="31"/>
      <c r="CA14" s="31"/>
      <c r="CB14" s="31"/>
      <c r="CC14" s="31"/>
      <c r="CD14" s="31"/>
      <c r="CE14" s="31"/>
      <c r="CF14" s="31"/>
      <c r="CG14" s="31"/>
      <c r="CH14" s="31"/>
      <c r="CI14" s="31"/>
      <c r="CJ14" s="31"/>
      <c r="CK14" s="29"/>
    </row>
    <row r="15" spans="1:89" x14ac:dyDescent="0.25">
      <c r="A15" s="607">
        <v>85176239</v>
      </c>
      <c r="B15" s="78" t="s">
        <v>593</v>
      </c>
      <c r="C15" s="78"/>
      <c r="D15" s="31">
        <v>9.7500000000000003E-2</v>
      </c>
      <c r="E15" s="29"/>
      <c r="F15" s="24">
        <f t="shared" si="1"/>
        <v>85176239</v>
      </c>
      <c r="G15" s="30"/>
      <c r="H15" s="31"/>
      <c r="I15" s="31"/>
      <c r="J15" s="31"/>
      <c r="K15" s="31"/>
      <c r="L15" s="31"/>
      <c r="M15" s="31"/>
      <c r="N15" s="31"/>
      <c r="O15" s="31"/>
      <c r="P15" s="31"/>
      <c r="Q15" s="31"/>
      <c r="R15" s="31"/>
      <c r="S15" s="31"/>
      <c r="T15" s="31"/>
      <c r="U15" s="31"/>
      <c r="V15" s="31"/>
      <c r="W15" s="31"/>
      <c r="X15" s="31"/>
      <c r="Y15" s="31"/>
      <c r="Z15" s="31"/>
      <c r="AA15" s="31"/>
      <c r="AB15" s="31"/>
      <c r="AC15" s="31"/>
      <c r="AD15" s="31"/>
      <c r="AE15" s="31">
        <v>0.18</v>
      </c>
      <c r="AF15" s="31"/>
      <c r="AG15" s="29"/>
      <c r="AH15" s="24">
        <f t="shared" si="0"/>
        <v>85176239</v>
      </c>
      <c r="AI15" s="32"/>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33"/>
      <c r="BJ15" s="24">
        <f t="shared" si="2"/>
        <v>85176239</v>
      </c>
      <c r="BK15" s="30"/>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29"/>
    </row>
    <row r="16" spans="1:89" x14ac:dyDescent="0.25">
      <c r="A16" s="607">
        <v>85176249</v>
      </c>
      <c r="B16" s="78" t="s">
        <v>657</v>
      </c>
      <c r="C16" s="78"/>
      <c r="D16" s="31">
        <v>9.7500000000000003E-2</v>
      </c>
      <c r="E16" s="29"/>
      <c r="F16" s="24">
        <f t="shared" si="1"/>
        <v>85176249</v>
      </c>
      <c r="G16" s="30"/>
      <c r="H16" s="31"/>
      <c r="I16" s="31"/>
      <c r="J16" s="31"/>
      <c r="K16" s="31"/>
      <c r="L16" s="31"/>
      <c r="M16" s="31"/>
      <c r="N16" s="31"/>
      <c r="O16" s="31"/>
      <c r="P16" s="31"/>
      <c r="Q16" s="31"/>
      <c r="R16" s="31"/>
      <c r="S16" s="31"/>
      <c r="T16" s="31"/>
      <c r="U16" s="31"/>
      <c r="V16" s="31"/>
      <c r="W16" s="31"/>
      <c r="X16" s="31"/>
      <c r="Y16" s="31"/>
      <c r="Z16" s="31"/>
      <c r="AA16" s="31"/>
      <c r="AB16" s="31"/>
      <c r="AC16" s="31"/>
      <c r="AD16" s="31"/>
      <c r="AE16" s="31">
        <v>0.18</v>
      </c>
      <c r="AF16" s="31"/>
      <c r="AG16" s="29"/>
      <c r="AH16" s="24">
        <f t="shared" si="0"/>
        <v>85176249</v>
      </c>
      <c r="AI16" s="32"/>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33"/>
      <c r="BJ16" s="24">
        <f t="shared" si="2"/>
        <v>85176249</v>
      </c>
      <c r="BK16" s="30"/>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29"/>
    </row>
    <row r="17" spans="1:89" x14ac:dyDescent="0.25">
      <c r="A17" s="607">
        <v>85176254</v>
      </c>
      <c r="B17" s="78" t="s">
        <v>593</v>
      </c>
      <c r="C17" s="78"/>
      <c r="D17" s="31">
        <v>9.7500000000000003E-2</v>
      </c>
      <c r="E17" s="29"/>
      <c r="F17" s="24">
        <f t="shared" si="1"/>
        <v>85176254</v>
      </c>
      <c r="G17" s="30"/>
      <c r="H17" s="31"/>
      <c r="I17" s="31"/>
      <c r="J17" s="31"/>
      <c r="K17" s="31"/>
      <c r="L17" s="31"/>
      <c r="M17" s="31"/>
      <c r="N17" s="31"/>
      <c r="O17" s="31"/>
      <c r="P17" s="31"/>
      <c r="Q17" s="31"/>
      <c r="R17" s="31"/>
      <c r="S17" s="31"/>
      <c r="T17" s="31"/>
      <c r="U17" s="31"/>
      <c r="V17" s="31"/>
      <c r="W17" s="31"/>
      <c r="X17" s="31"/>
      <c r="Y17" s="31"/>
      <c r="Z17" s="31"/>
      <c r="AA17" s="31"/>
      <c r="AB17" s="31"/>
      <c r="AC17" s="31"/>
      <c r="AD17" s="31"/>
      <c r="AE17" s="31">
        <v>0.18</v>
      </c>
      <c r="AF17" s="31"/>
      <c r="AG17" s="29"/>
      <c r="AH17" s="24">
        <f t="shared" si="0"/>
        <v>85176254</v>
      </c>
      <c r="AI17" s="32"/>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33"/>
      <c r="BJ17" s="24">
        <f t="shared" si="2"/>
        <v>85176254</v>
      </c>
      <c r="BK17" s="30"/>
      <c r="BL17" s="31"/>
      <c r="BM17" s="31"/>
      <c r="BN17" s="31"/>
      <c r="BO17" s="31"/>
      <c r="BP17" s="31"/>
      <c r="BQ17" s="31"/>
      <c r="BR17" s="31"/>
      <c r="BS17" s="31"/>
      <c r="BT17" s="31"/>
      <c r="BU17" s="31"/>
      <c r="BV17" s="31"/>
      <c r="BW17" s="31"/>
      <c r="BX17" s="31"/>
      <c r="BY17" s="31"/>
      <c r="BZ17" s="31"/>
      <c r="CA17" s="31"/>
      <c r="CB17" s="31"/>
      <c r="CC17" s="31"/>
      <c r="CD17" s="31"/>
      <c r="CE17" s="31"/>
      <c r="CF17" s="31"/>
      <c r="CG17" s="31"/>
      <c r="CH17" s="31"/>
      <c r="CI17" s="31"/>
      <c r="CJ17" s="31"/>
      <c r="CK17" s="29"/>
    </row>
    <row r="18" spans="1:89" x14ac:dyDescent="0.25">
      <c r="A18" s="607">
        <v>85176259</v>
      </c>
      <c r="B18" s="78" t="s">
        <v>593</v>
      </c>
      <c r="C18" s="78"/>
      <c r="D18" s="31">
        <v>0.15</v>
      </c>
      <c r="E18" s="29"/>
      <c r="F18" s="24">
        <f t="shared" si="1"/>
        <v>85176259</v>
      </c>
      <c r="G18" s="30"/>
      <c r="H18" s="31"/>
      <c r="I18" s="31"/>
      <c r="J18" s="31"/>
      <c r="K18" s="31"/>
      <c r="L18" s="31"/>
      <c r="M18" s="31"/>
      <c r="N18" s="31"/>
      <c r="O18" s="31"/>
      <c r="P18" s="31"/>
      <c r="Q18" s="31"/>
      <c r="R18" s="31"/>
      <c r="S18" s="31"/>
      <c r="T18" s="31"/>
      <c r="U18" s="31"/>
      <c r="V18" s="31"/>
      <c r="W18" s="31"/>
      <c r="X18" s="31"/>
      <c r="Y18" s="31"/>
      <c r="Z18" s="31"/>
      <c r="AA18" s="31"/>
      <c r="AB18" s="31"/>
      <c r="AC18" s="31"/>
      <c r="AD18" s="31"/>
      <c r="AE18" s="31">
        <v>0.18</v>
      </c>
      <c r="AF18" s="31"/>
      <c r="AG18" s="29"/>
      <c r="AH18" s="24">
        <f t="shared" si="0"/>
        <v>85176259</v>
      </c>
      <c r="AI18" s="32"/>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33"/>
      <c r="BJ18" s="24">
        <f t="shared" si="2"/>
        <v>85176259</v>
      </c>
      <c r="BK18" s="30"/>
      <c r="BL18" s="31"/>
      <c r="BM18" s="31"/>
      <c r="BN18" s="31"/>
      <c r="BO18" s="31"/>
      <c r="BP18" s="31"/>
      <c r="BQ18" s="31"/>
      <c r="BR18" s="31"/>
      <c r="BS18" s="31"/>
      <c r="BT18" s="31"/>
      <c r="BU18" s="31"/>
      <c r="BV18" s="31"/>
      <c r="BW18" s="31"/>
      <c r="BX18" s="31"/>
      <c r="BY18" s="31"/>
      <c r="BZ18" s="31"/>
      <c r="CA18" s="31"/>
      <c r="CB18" s="31"/>
      <c r="CC18" s="31"/>
      <c r="CD18" s="31"/>
      <c r="CE18" s="31"/>
      <c r="CF18" s="31"/>
      <c r="CG18" s="31"/>
      <c r="CH18" s="31"/>
      <c r="CI18" s="31"/>
      <c r="CJ18" s="31"/>
      <c r="CK18" s="29"/>
    </row>
    <row r="19" spans="1:89" x14ac:dyDescent="0.25">
      <c r="A19" s="607">
        <v>85176259</v>
      </c>
      <c r="B19" s="78" t="s">
        <v>1909</v>
      </c>
      <c r="C19" s="78"/>
      <c r="D19" s="31">
        <v>0</v>
      </c>
      <c r="E19" s="29"/>
      <c r="F19" s="24">
        <f t="shared" si="1"/>
        <v>85176259</v>
      </c>
      <c r="G19" s="30"/>
      <c r="H19" s="31"/>
      <c r="I19" s="31"/>
      <c r="J19" s="31"/>
      <c r="K19" s="31"/>
      <c r="L19" s="31"/>
      <c r="M19" s="31"/>
      <c r="N19" s="31"/>
      <c r="O19" s="31"/>
      <c r="P19" s="31"/>
      <c r="Q19" s="31"/>
      <c r="R19" s="31"/>
      <c r="S19" s="31"/>
      <c r="T19" s="31"/>
      <c r="U19" s="31"/>
      <c r="V19" s="31"/>
      <c r="W19" s="31"/>
      <c r="X19" s="31"/>
      <c r="Y19" s="31"/>
      <c r="Z19" s="31"/>
      <c r="AA19" s="31"/>
      <c r="AB19" s="31"/>
      <c r="AC19" s="31"/>
      <c r="AD19" s="31"/>
      <c r="AE19" s="31">
        <v>0.18</v>
      </c>
      <c r="AF19" s="31"/>
      <c r="AG19" s="29"/>
      <c r="AH19" s="24">
        <f t="shared" si="0"/>
        <v>85176259</v>
      </c>
      <c r="AI19" s="32"/>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33"/>
      <c r="BJ19" s="24">
        <f t="shared" si="2"/>
        <v>85176259</v>
      </c>
      <c r="BK19" s="30"/>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29"/>
    </row>
    <row r="20" spans="1:89" x14ac:dyDescent="0.25">
      <c r="A20" s="607">
        <v>85176294</v>
      </c>
      <c r="B20" s="78" t="s">
        <v>2789</v>
      </c>
      <c r="C20" s="78"/>
      <c r="D20" s="31">
        <v>9.7500000000000003E-2</v>
      </c>
      <c r="E20" s="29"/>
      <c r="F20" s="24">
        <f t="shared" si="1"/>
        <v>85176294</v>
      </c>
      <c r="G20" s="30"/>
      <c r="H20" s="31"/>
      <c r="I20" s="31"/>
      <c r="J20" s="31"/>
      <c r="K20" s="31"/>
      <c r="L20" s="31"/>
      <c r="M20" s="31"/>
      <c r="N20" s="31"/>
      <c r="O20" s="31"/>
      <c r="P20" s="31"/>
      <c r="Q20" s="31"/>
      <c r="R20" s="31"/>
      <c r="S20" s="31"/>
      <c r="T20" s="31"/>
      <c r="U20" s="31"/>
      <c r="V20" s="31"/>
      <c r="W20" s="31"/>
      <c r="X20" s="31"/>
      <c r="Y20" s="31"/>
      <c r="Z20" s="31"/>
      <c r="AA20" s="31"/>
      <c r="AB20" s="31"/>
      <c r="AC20" s="31"/>
      <c r="AD20" s="31"/>
      <c r="AE20" s="31">
        <v>0.04</v>
      </c>
      <c r="AF20" s="31"/>
      <c r="AG20" s="29"/>
      <c r="AH20" s="24">
        <f t="shared" si="0"/>
        <v>85176294</v>
      </c>
      <c r="AI20" s="32"/>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33"/>
      <c r="BJ20" s="24">
        <f t="shared" si="2"/>
        <v>85176294</v>
      </c>
      <c r="BK20" s="30"/>
      <c r="BL20" s="31"/>
      <c r="BM20" s="31"/>
      <c r="BN20" s="31"/>
      <c r="BO20" s="31"/>
      <c r="BP20" s="31"/>
      <c r="BQ20" s="31"/>
      <c r="BR20" s="31"/>
      <c r="BS20" s="31"/>
      <c r="BT20" s="31"/>
      <c r="BU20" s="31"/>
      <c r="BV20" s="31"/>
      <c r="BW20" s="31"/>
      <c r="BX20" s="31"/>
      <c r="BY20" s="31"/>
      <c r="BZ20" s="31"/>
      <c r="CA20" s="31"/>
      <c r="CB20" s="31"/>
      <c r="CC20" s="31"/>
      <c r="CD20" s="31"/>
      <c r="CE20" s="31"/>
      <c r="CF20" s="31"/>
      <c r="CG20" s="31"/>
      <c r="CH20" s="31"/>
      <c r="CI20" s="31"/>
      <c r="CJ20" s="31"/>
      <c r="CK20" s="29"/>
    </row>
    <row r="21" spans="1:89" x14ac:dyDescent="0.25">
      <c r="A21" s="607">
        <v>85177010</v>
      </c>
      <c r="B21" s="78" t="s">
        <v>1110</v>
      </c>
      <c r="C21" s="78"/>
      <c r="D21" s="31">
        <v>0.15</v>
      </c>
      <c r="E21" s="29"/>
      <c r="F21" s="24">
        <f t="shared" si="1"/>
        <v>85177010</v>
      </c>
      <c r="G21" s="30"/>
      <c r="H21" s="31"/>
      <c r="I21" s="31"/>
      <c r="J21" s="31"/>
      <c r="K21" s="31"/>
      <c r="L21" s="31"/>
      <c r="M21" s="31"/>
      <c r="N21" s="31"/>
      <c r="O21" s="31"/>
      <c r="P21" s="31"/>
      <c r="Q21" s="31"/>
      <c r="R21" s="31"/>
      <c r="S21" s="31"/>
      <c r="T21" s="31"/>
      <c r="U21" s="31"/>
      <c r="V21" s="31"/>
      <c r="W21" s="31"/>
      <c r="X21" s="31"/>
      <c r="Y21" s="31"/>
      <c r="Z21" s="31"/>
      <c r="AA21" s="31"/>
      <c r="AB21" s="31"/>
      <c r="AC21" s="31"/>
      <c r="AD21" s="31"/>
      <c r="AE21" s="31">
        <v>0.18</v>
      </c>
      <c r="AF21" s="31"/>
      <c r="AG21" s="29"/>
      <c r="AH21" s="24">
        <f t="shared" si="0"/>
        <v>85177010</v>
      </c>
      <c r="AI21" s="32"/>
      <c r="AJ21" s="28"/>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33"/>
      <c r="BJ21" s="24">
        <f t="shared" si="2"/>
        <v>85177010</v>
      </c>
      <c r="BK21" s="30"/>
      <c r="BL21" s="31"/>
      <c r="BM21" s="31"/>
      <c r="BN21" s="31"/>
      <c r="BO21" s="31"/>
      <c r="BP21" s="31"/>
      <c r="BQ21" s="31"/>
      <c r="BR21" s="31"/>
      <c r="BS21" s="31"/>
      <c r="BT21" s="31"/>
      <c r="BU21" s="31"/>
      <c r="BV21" s="31"/>
      <c r="BW21" s="31"/>
      <c r="BX21" s="31"/>
      <c r="BY21" s="31"/>
      <c r="BZ21" s="31"/>
      <c r="CA21" s="31"/>
      <c r="CB21" s="31"/>
      <c r="CC21" s="31"/>
      <c r="CD21" s="31"/>
      <c r="CE21" s="31"/>
      <c r="CF21" s="31"/>
      <c r="CG21" s="31"/>
      <c r="CH21" s="31"/>
      <c r="CI21" s="31"/>
      <c r="CJ21" s="31"/>
      <c r="CK21" s="29"/>
    </row>
    <row r="22" spans="1:89" x14ac:dyDescent="0.25">
      <c r="A22" s="607">
        <v>85177091</v>
      </c>
      <c r="B22" s="78" t="s">
        <v>839</v>
      </c>
      <c r="C22" s="78"/>
      <c r="D22" s="31">
        <v>0.02</v>
      </c>
      <c r="E22" s="29"/>
      <c r="F22" s="24">
        <f t="shared" si="1"/>
        <v>85177091</v>
      </c>
      <c r="G22" s="30"/>
      <c r="H22" s="31"/>
      <c r="I22" s="31"/>
      <c r="J22" s="31"/>
      <c r="K22" s="31"/>
      <c r="L22" s="31"/>
      <c r="M22" s="31"/>
      <c r="N22" s="31"/>
      <c r="O22" s="31"/>
      <c r="P22" s="31"/>
      <c r="Q22" s="31"/>
      <c r="R22" s="31"/>
      <c r="S22" s="31"/>
      <c r="T22" s="31"/>
      <c r="U22" s="31"/>
      <c r="V22" s="31"/>
      <c r="W22" s="31"/>
      <c r="X22" s="31"/>
      <c r="Y22" s="31"/>
      <c r="Z22" s="31"/>
      <c r="AA22" s="31"/>
      <c r="AB22" s="31"/>
      <c r="AC22" s="31"/>
      <c r="AD22" s="31"/>
      <c r="AE22" s="31">
        <v>0.18</v>
      </c>
      <c r="AF22" s="31"/>
      <c r="AG22" s="29"/>
      <c r="AH22" s="24">
        <f t="shared" si="0"/>
        <v>85177091</v>
      </c>
      <c r="AI22" s="32"/>
      <c r="AJ22" s="28"/>
      <c r="AK22" s="28"/>
      <c r="AL22" s="28"/>
      <c r="AM22" s="28"/>
      <c r="AN22" s="28"/>
      <c r="AO22" s="28"/>
      <c r="AP22" s="28"/>
      <c r="AQ22" s="28"/>
      <c r="AR22" s="28"/>
      <c r="AS22" s="28"/>
      <c r="AT22" s="28"/>
      <c r="AU22" s="28"/>
      <c r="AV22" s="28"/>
      <c r="AW22" s="28"/>
      <c r="AX22" s="28"/>
      <c r="AY22" s="28"/>
      <c r="AZ22" s="28"/>
      <c r="BA22" s="28"/>
      <c r="BB22" s="28"/>
      <c r="BC22" s="28"/>
      <c r="BD22" s="28"/>
      <c r="BE22" s="28"/>
      <c r="BF22" s="28"/>
      <c r="BG22" s="28"/>
      <c r="BH22" s="28"/>
      <c r="BI22" s="33"/>
      <c r="BJ22" s="24">
        <f t="shared" si="2"/>
        <v>85177091</v>
      </c>
      <c r="BK22" s="30"/>
      <c r="BL22" s="31"/>
      <c r="BM22" s="31"/>
      <c r="BN22" s="31"/>
      <c r="BO22" s="31"/>
      <c r="BP22" s="31"/>
      <c r="BQ22" s="31"/>
      <c r="BR22" s="31"/>
      <c r="BS22" s="31"/>
      <c r="BT22" s="31"/>
      <c r="BU22" s="31"/>
      <c r="BV22" s="31"/>
      <c r="BW22" s="31"/>
      <c r="BX22" s="31"/>
      <c r="BY22" s="31"/>
      <c r="BZ22" s="31"/>
      <c r="CA22" s="31"/>
      <c r="CB22" s="31"/>
      <c r="CC22" s="31"/>
      <c r="CD22" s="31"/>
      <c r="CE22" s="31"/>
      <c r="CF22" s="31"/>
      <c r="CG22" s="31"/>
      <c r="CH22" s="31"/>
      <c r="CI22" s="31"/>
      <c r="CJ22" s="31"/>
      <c r="CK22" s="29"/>
    </row>
    <row r="23" spans="1:89" x14ac:dyDescent="0.25">
      <c r="A23" s="607">
        <v>85177900</v>
      </c>
      <c r="B23" s="78" t="s">
        <v>2788</v>
      </c>
      <c r="C23" s="78"/>
      <c r="D23" s="31">
        <v>7.4999999999999997E-2</v>
      </c>
      <c r="E23" s="29"/>
      <c r="F23" s="24">
        <f t="shared" si="1"/>
        <v>85177900</v>
      </c>
      <c r="G23" s="30"/>
      <c r="H23" s="31"/>
      <c r="I23" s="31"/>
      <c r="J23" s="31"/>
      <c r="K23" s="31"/>
      <c r="L23" s="31"/>
      <c r="M23" s="31"/>
      <c r="N23" s="31"/>
      <c r="O23" s="31"/>
      <c r="P23" s="31"/>
      <c r="Q23" s="31"/>
      <c r="R23" s="31"/>
      <c r="S23" s="31"/>
      <c r="T23" s="31"/>
      <c r="U23" s="31"/>
      <c r="V23" s="31"/>
      <c r="W23" s="31"/>
      <c r="X23" s="31"/>
      <c r="Y23" s="31"/>
      <c r="Z23" s="31"/>
      <c r="AA23" s="31"/>
      <c r="AB23" s="31"/>
      <c r="AC23" s="31"/>
      <c r="AD23" s="31"/>
      <c r="AE23" s="31">
        <v>0.18</v>
      </c>
      <c r="AF23" s="31"/>
      <c r="AG23" s="29"/>
      <c r="AH23" s="24">
        <f t="shared" si="0"/>
        <v>85177900</v>
      </c>
      <c r="AI23" s="32"/>
      <c r="AJ23" s="28"/>
      <c r="AK23" s="28"/>
      <c r="AL23" s="28"/>
      <c r="AM23" s="28"/>
      <c r="AN23" s="28"/>
      <c r="AO23" s="28"/>
      <c r="AP23" s="28"/>
      <c r="AQ23" s="28"/>
      <c r="AR23" s="28"/>
      <c r="AS23" s="28"/>
      <c r="AT23" s="28"/>
      <c r="AU23" s="28"/>
      <c r="AV23" s="28"/>
      <c r="AW23" s="28"/>
      <c r="AX23" s="28"/>
      <c r="AY23" s="28"/>
      <c r="AZ23" s="28"/>
      <c r="BA23" s="28"/>
      <c r="BB23" s="28"/>
      <c r="BC23" s="28"/>
      <c r="BD23" s="28"/>
      <c r="BE23" s="28"/>
      <c r="BF23" s="28"/>
      <c r="BG23" s="28"/>
      <c r="BH23" s="28"/>
      <c r="BI23" s="33"/>
      <c r="BJ23" s="24">
        <f t="shared" si="2"/>
        <v>85177900</v>
      </c>
      <c r="BK23" s="30"/>
      <c r="BL23" s="31"/>
      <c r="BM23" s="31"/>
      <c r="BN23" s="31"/>
      <c r="BO23" s="31"/>
      <c r="BP23" s="31"/>
      <c r="BQ23" s="31"/>
      <c r="BR23" s="31"/>
      <c r="BS23" s="31"/>
      <c r="BT23" s="31"/>
      <c r="BU23" s="31"/>
      <c r="BV23" s="31"/>
      <c r="BW23" s="31"/>
      <c r="BX23" s="31"/>
      <c r="BY23" s="31"/>
      <c r="BZ23" s="31"/>
      <c r="CA23" s="31"/>
      <c r="CB23" s="31"/>
      <c r="CC23" s="31"/>
      <c r="CD23" s="31"/>
      <c r="CE23" s="31"/>
      <c r="CF23" s="31"/>
      <c r="CG23" s="31"/>
      <c r="CH23" s="31"/>
      <c r="CI23" s="31"/>
      <c r="CJ23" s="31"/>
      <c r="CK23" s="29"/>
    </row>
    <row r="24" spans="1:89" x14ac:dyDescent="0.25">
      <c r="A24" s="607">
        <v>85235110</v>
      </c>
      <c r="B24" s="78" t="s">
        <v>2294</v>
      </c>
      <c r="C24" s="78"/>
      <c r="D24" s="31">
        <v>9.2499999999999999E-2</v>
      </c>
      <c r="E24" s="29"/>
      <c r="F24" s="24">
        <f t="shared" si="1"/>
        <v>85235110</v>
      </c>
      <c r="G24" s="30"/>
      <c r="H24" s="31"/>
      <c r="I24" s="31"/>
      <c r="J24" s="31"/>
      <c r="K24" s="31"/>
      <c r="L24" s="31"/>
      <c r="M24" s="31"/>
      <c r="N24" s="31"/>
      <c r="O24" s="31"/>
      <c r="P24" s="31"/>
      <c r="Q24" s="31"/>
      <c r="R24" s="31"/>
      <c r="S24" s="31"/>
      <c r="T24" s="31"/>
      <c r="U24" s="31"/>
      <c r="V24" s="31"/>
      <c r="W24" s="31"/>
      <c r="X24" s="31"/>
      <c r="Y24" s="31"/>
      <c r="Z24" s="31"/>
      <c r="AA24" s="31"/>
      <c r="AB24" s="31"/>
      <c r="AC24" s="31"/>
      <c r="AD24" s="31"/>
      <c r="AE24" s="31">
        <v>0.12</v>
      </c>
      <c r="AF24" s="31"/>
      <c r="AG24" s="29"/>
      <c r="AH24" s="24">
        <f t="shared" si="0"/>
        <v>85235110</v>
      </c>
      <c r="AI24" s="32"/>
      <c r="AJ24" s="28"/>
      <c r="AK24" s="28"/>
      <c r="AL24" s="28"/>
      <c r="AM24" s="28"/>
      <c r="AN24" s="28"/>
      <c r="AO24" s="28"/>
      <c r="AP24" s="28"/>
      <c r="AQ24" s="28"/>
      <c r="AR24" s="28"/>
      <c r="AS24" s="28"/>
      <c r="AT24" s="28"/>
      <c r="AU24" s="28"/>
      <c r="AV24" s="28"/>
      <c r="AW24" s="28"/>
      <c r="AX24" s="28"/>
      <c r="AY24" s="28"/>
      <c r="AZ24" s="28"/>
      <c r="BA24" s="28"/>
      <c r="BB24" s="28"/>
      <c r="BC24" s="28"/>
      <c r="BD24" s="28"/>
      <c r="BE24" s="28"/>
      <c r="BF24" s="28"/>
      <c r="BG24" s="28"/>
      <c r="BH24" s="28"/>
      <c r="BI24" s="33"/>
      <c r="BJ24" s="24">
        <f t="shared" si="2"/>
        <v>85235110</v>
      </c>
      <c r="BK24" s="30"/>
      <c r="BL24" s="31"/>
      <c r="BM24" s="31"/>
      <c r="BN24" s="31"/>
      <c r="BO24" s="31"/>
      <c r="BP24" s="31"/>
      <c r="BQ24" s="31"/>
      <c r="BR24" s="31"/>
      <c r="BS24" s="31"/>
      <c r="BT24" s="31"/>
      <c r="BU24" s="31"/>
      <c r="BV24" s="31"/>
      <c r="BW24" s="31"/>
      <c r="BX24" s="31"/>
      <c r="BY24" s="31"/>
      <c r="BZ24" s="31"/>
      <c r="CA24" s="31"/>
      <c r="CB24" s="31"/>
      <c r="CC24" s="31"/>
      <c r="CD24" s="31"/>
      <c r="CE24" s="31"/>
      <c r="CF24" s="31"/>
      <c r="CG24" s="31"/>
      <c r="CH24" s="31"/>
      <c r="CI24" s="31"/>
      <c r="CJ24" s="31"/>
      <c r="CK24" s="29"/>
    </row>
    <row r="25" spans="1:89" x14ac:dyDescent="0.25">
      <c r="A25" s="607">
        <v>85235190</v>
      </c>
      <c r="B25" s="78" t="s">
        <v>1116</v>
      </c>
      <c r="C25" s="78"/>
      <c r="D25" s="31">
        <v>0.15</v>
      </c>
      <c r="E25" s="29"/>
      <c r="F25" s="24">
        <f t="shared" si="1"/>
        <v>85235190</v>
      </c>
      <c r="G25" s="30"/>
      <c r="H25" s="31"/>
      <c r="I25" s="31"/>
      <c r="J25" s="31"/>
      <c r="K25" s="31"/>
      <c r="L25" s="31"/>
      <c r="M25" s="31"/>
      <c r="N25" s="31"/>
      <c r="O25" s="31"/>
      <c r="P25" s="31"/>
      <c r="Q25" s="31"/>
      <c r="R25" s="31"/>
      <c r="S25" s="31"/>
      <c r="T25" s="31"/>
      <c r="U25" s="31"/>
      <c r="V25" s="31"/>
      <c r="W25" s="31"/>
      <c r="X25" s="31"/>
      <c r="Y25" s="31"/>
      <c r="Z25" s="31"/>
      <c r="AA25" s="31"/>
      <c r="AB25" s="31"/>
      <c r="AC25" s="31"/>
      <c r="AD25" s="31"/>
      <c r="AE25" s="31">
        <v>0.18</v>
      </c>
      <c r="AF25" s="31"/>
      <c r="AG25" s="29"/>
      <c r="AH25" s="24">
        <f t="shared" si="0"/>
        <v>85235190</v>
      </c>
      <c r="AI25" s="32"/>
      <c r="AJ25" s="28"/>
      <c r="AK25" s="28"/>
      <c r="AL25" s="28"/>
      <c r="AM25" s="28"/>
      <c r="AN25" s="28"/>
      <c r="AO25" s="28"/>
      <c r="AP25" s="28"/>
      <c r="AQ25" s="28"/>
      <c r="AR25" s="28"/>
      <c r="AS25" s="28"/>
      <c r="AT25" s="28"/>
      <c r="AU25" s="28"/>
      <c r="AV25" s="28"/>
      <c r="AW25" s="28"/>
      <c r="AX25" s="28"/>
      <c r="AY25" s="28"/>
      <c r="AZ25" s="28"/>
      <c r="BA25" s="28"/>
      <c r="BB25" s="28"/>
      <c r="BC25" s="28"/>
      <c r="BD25" s="28"/>
      <c r="BE25" s="28"/>
      <c r="BF25" s="28"/>
      <c r="BG25" s="28"/>
      <c r="BH25" s="28"/>
      <c r="BI25" s="33"/>
      <c r="BJ25" s="24">
        <f t="shared" si="2"/>
        <v>85235190</v>
      </c>
      <c r="BK25" s="30"/>
      <c r="BL25" s="31"/>
      <c r="BM25" s="31"/>
      <c r="BN25" s="31"/>
      <c r="BO25" s="31"/>
      <c r="BP25" s="31"/>
      <c r="BQ25" s="31"/>
      <c r="BR25" s="31"/>
      <c r="BS25" s="31"/>
      <c r="BT25" s="31"/>
      <c r="BU25" s="31"/>
      <c r="BV25" s="31"/>
      <c r="BW25" s="31"/>
      <c r="BX25" s="31"/>
      <c r="BY25" s="31"/>
      <c r="BZ25" s="31"/>
      <c r="CA25" s="31"/>
      <c r="CB25" s="31"/>
      <c r="CC25" s="31"/>
      <c r="CD25" s="31"/>
      <c r="CE25" s="31"/>
      <c r="CF25" s="31"/>
      <c r="CG25" s="31"/>
      <c r="CH25" s="31"/>
      <c r="CI25" s="31"/>
      <c r="CJ25" s="31"/>
      <c r="CK25" s="29"/>
    </row>
    <row r="26" spans="1:89" x14ac:dyDescent="0.25">
      <c r="A26" s="607">
        <v>85235990</v>
      </c>
      <c r="B26" s="78"/>
      <c r="C26" s="78"/>
      <c r="D26" s="31">
        <v>0.15</v>
      </c>
      <c r="E26" s="29"/>
      <c r="F26" s="24">
        <f t="shared" si="1"/>
        <v>85235990</v>
      </c>
      <c r="G26" s="30"/>
      <c r="H26" s="31"/>
      <c r="I26" s="31"/>
      <c r="J26" s="31"/>
      <c r="K26" s="31"/>
      <c r="L26" s="31"/>
      <c r="M26" s="31"/>
      <c r="N26" s="31"/>
      <c r="O26" s="31"/>
      <c r="P26" s="31"/>
      <c r="Q26" s="31"/>
      <c r="R26" s="31"/>
      <c r="S26" s="31"/>
      <c r="T26" s="31"/>
      <c r="U26" s="31"/>
      <c r="V26" s="31"/>
      <c r="W26" s="31"/>
      <c r="X26" s="31"/>
      <c r="Y26" s="31"/>
      <c r="Z26" s="31"/>
      <c r="AA26" s="31"/>
      <c r="AB26" s="31"/>
      <c r="AC26" s="31"/>
      <c r="AD26" s="31"/>
      <c r="AE26" s="31">
        <v>0.18</v>
      </c>
      <c r="AF26" s="31"/>
      <c r="AG26" s="29"/>
      <c r="AH26" s="24">
        <f t="shared" si="0"/>
        <v>85235990</v>
      </c>
      <c r="AI26" s="32"/>
      <c r="AJ26" s="28"/>
      <c r="AK26" s="28"/>
      <c r="AL26" s="28"/>
      <c r="AM26" s="28"/>
      <c r="AN26" s="28"/>
      <c r="AO26" s="28"/>
      <c r="AP26" s="28"/>
      <c r="AQ26" s="28"/>
      <c r="AR26" s="28"/>
      <c r="AS26" s="28"/>
      <c r="AT26" s="28"/>
      <c r="AU26" s="28"/>
      <c r="AV26" s="28"/>
      <c r="AW26" s="28"/>
      <c r="AX26" s="28"/>
      <c r="AY26" s="28"/>
      <c r="AZ26" s="28"/>
      <c r="BA26" s="28"/>
      <c r="BB26" s="28"/>
      <c r="BC26" s="28"/>
      <c r="BD26" s="28"/>
      <c r="BE26" s="28"/>
      <c r="BF26" s="28"/>
      <c r="BG26" s="28"/>
      <c r="BH26" s="28"/>
      <c r="BI26" s="33"/>
      <c r="BJ26" s="24">
        <f t="shared" si="2"/>
        <v>85235990</v>
      </c>
      <c r="BK26" s="30"/>
      <c r="BL26" s="31"/>
      <c r="BM26" s="31"/>
      <c r="BN26" s="31"/>
      <c r="BO26" s="31"/>
      <c r="BP26" s="31"/>
      <c r="BQ26" s="31"/>
      <c r="BR26" s="31"/>
      <c r="BS26" s="31"/>
      <c r="BT26" s="31"/>
      <c r="BU26" s="31"/>
      <c r="BV26" s="31"/>
      <c r="BW26" s="31"/>
      <c r="BX26" s="31"/>
      <c r="BY26" s="31"/>
      <c r="BZ26" s="31"/>
      <c r="CA26" s="31"/>
      <c r="CB26" s="31"/>
      <c r="CC26" s="31"/>
      <c r="CD26" s="31"/>
      <c r="CE26" s="31"/>
      <c r="CF26" s="31"/>
      <c r="CG26" s="31"/>
      <c r="CH26" s="31"/>
      <c r="CI26" s="31"/>
      <c r="CJ26" s="31"/>
      <c r="CK26" s="29"/>
    </row>
    <row r="27" spans="1:89" x14ac:dyDescent="0.25">
      <c r="A27" s="607">
        <v>85285220</v>
      </c>
      <c r="B27" s="78" t="s">
        <v>748</v>
      </c>
      <c r="C27" s="78"/>
      <c r="D27" s="31">
        <v>0.15</v>
      </c>
      <c r="E27" s="29"/>
      <c r="F27" s="24">
        <f t="shared" si="1"/>
        <v>85285220</v>
      </c>
      <c r="G27" s="30"/>
      <c r="H27" s="31"/>
      <c r="I27" s="31"/>
      <c r="J27" s="31"/>
      <c r="K27" s="31"/>
      <c r="L27" s="31"/>
      <c r="M27" s="31"/>
      <c r="N27" s="31"/>
      <c r="O27" s="31"/>
      <c r="P27" s="31"/>
      <c r="Q27" s="31"/>
      <c r="R27" s="31"/>
      <c r="S27" s="31"/>
      <c r="T27" s="31"/>
      <c r="U27" s="31"/>
      <c r="V27" s="31"/>
      <c r="W27" s="31"/>
      <c r="X27" s="31"/>
      <c r="Y27" s="31"/>
      <c r="Z27" s="31"/>
      <c r="AA27" s="31"/>
      <c r="AB27" s="31"/>
      <c r="AC27" s="31"/>
      <c r="AD27" s="31"/>
      <c r="AE27" s="31">
        <v>0.18</v>
      </c>
      <c r="AF27" s="31"/>
      <c r="AG27" s="29"/>
      <c r="AH27" s="24">
        <f t="shared" si="0"/>
        <v>85285220</v>
      </c>
      <c r="AI27" s="32"/>
      <c r="AJ27" s="28"/>
      <c r="AK27" s="28"/>
      <c r="AL27" s="28"/>
      <c r="AM27" s="28"/>
      <c r="AN27" s="28"/>
      <c r="AO27" s="28"/>
      <c r="AP27" s="28"/>
      <c r="AQ27" s="28"/>
      <c r="AR27" s="28"/>
      <c r="AS27" s="28"/>
      <c r="AT27" s="28"/>
      <c r="AU27" s="28"/>
      <c r="AV27" s="28"/>
      <c r="AW27" s="28"/>
      <c r="AX27" s="28"/>
      <c r="AY27" s="28"/>
      <c r="AZ27" s="28"/>
      <c r="BA27" s="28"/>
      <c r="BB27" s="28"/>
      <c r="BC27" s="28"/>
      <c r="BD27" s="28"/>
      <c r="BE27" s="28"/>
      <c r="BF27" s="28"/>
      <c r="BG27" s="28"/>
      <c r="BH27" s="28"/>
      <c r="BI27" s="33"/>
      <c r="BJ27" s="24">
        <f t="shared" si="2"/>
        <v>85285220</v>
      </c>
      <c r="BK27" s="30"/>
      <c r="BL27" s="31"/>
      <c r="BM27" s="31"/>
      <c r="BN27" s="31"/>
      <c r="BO27" s="31"/>
      <c r="BP27" s="31"/>
      <c r="BQ27" s="31"/>
      <c r="BR27" s="31"/>
      <c r="BS27" s="31"/>
      <c r="BT27" s="31"/>
      <c r="BU27" s="31"/>
      <c r="BV27" s="31"/>
      <c r="BW27" s="31"/>
      <c r="BX27" s="31"/>
      <c r="BY27" s="31"/>
      <c r="BZ27" s="31"/>
      <c r="CA27" s="31"/>
      <c r="CB27" s="31"/>
      <c r="CC27" s="31"/>
      <c r="CD27" s="31"/>
      <c r="CE27" s="31"/>
      <c r="CF27" s="31"/>
      <c r="CG27" s="31"/>
      <c r="CH27" s="31"/>
      <c r="CI27" s="31"/>
      <c r="CJ27" s="31"/>
      <c r="CK27" s="29"/>
    </row>
    <row r="28" spans="1:89" x14ac:dyDescent="0.25">
      <c r="A28" s="607">
        <v>85285900</v>
      </c>
      <c r="B28" s="78" t="s">
        <v>2295</v>
      </c>
      <c r="C28" s="78"/>
      <c r="D28" s="31">
        <v>0.13</v>
      </c>
      <c r="E28" s="29"/>
      <c r="F28" s="24">
        <f t="shared" si="1"/>
        <v>85285900</v>
      </c>
      <c r="G28" s="30"/>
      <c r="H28" s="31"/>
      <c r="I28" s="31"/>
      <c r="J28" s="31"/>
      <c r="K28" s="31"/>
      <c r="L28" s="31"/>
      <c r="M28" s="31"/>
      <c r="N28" s="31"/>
      <c r="O28" s="31"/>
      <c r="P28" s="31"/>
      <c r="Q28" s="31"/>
      <c r="R28" s="31"/>
      <c r="S28" s="31"/>
      <c r="T28" s="31"/>
      <c r="U28" s="31"/>
      <c r="V28" s="31"/>
      <c r="W28" s="31"/>
      <c r="X28" s="31"/>
      <c r="Y28" s="31"/>
      <c r="Z28" s="31"/>
      <c r="AA28" s="31"/>
      <c r="AB28" s="31"/>
      <c r="AC28" s="31"/>
      <c r="AD28" s="31"/>
      <c r="AE28" s="31">
        <v>0.18</v>
      </c>
      <c r="AF28" s="31"/>
      <c r="AG28" s="29"/>
      <c r="AH28" s="24">
        <f t="shared" si="0"/>
        <v>85285900</v>
      </c>
      <c r="AI28" s="32"/>
      <c r="AJ28" s="28"/>
      <c r="AK28" s="28"/>
      <c r="AL28" s="28"/>
      <c r="AM28" s="28"/>
      <c r="AN28" s="28"/>
      <c r="AO28" s="28"/>
      <c r="AP28" s="28"/>
      <c r="AQ28" s="28"/>
      <c r="AR28" s="28"/>
      <c r="AS28" s="28"/>
      <c r="AT28" s="28"/>
      <c r="AU28" s="28"/>
      <c r="AV28" s="28"/>
      <c r="AW28" s="28"/>
      <c r="AX28" s="28"/>
      <c r="AY28" s="28"/>
      <c r="AZ28" s="28"/>
      <c r="BA28" s="28"/>
      <c r="BB28" s="28"/>
      <c r="BC28" s="28"/>
      <c r="BD28" s="28"/>
      <c r="BE28" s="28"/>
      <c r="BF28" s="28"/>
      <c r="BG28" s="28"/>
      <c r="BH28" s="28"/>
      <c r="BI28" s="33"/>
      <c r="BJ28" s="24">
        <f t="shared" si="2"/>
        <v>85285900</v>
      </c>
      <c r="BK28" s="30"/>
      <c r="BL28" s="31"/>
      <c r="BM28" s="31"/>
      <c r="BN28" s="31"/>
      <c r="BO28" s="31"/>
      <c r="BP28" s="31"/>
      <c r="BQ28" s="31"/>
      <c r="BR28" s="31"/>
      <c r="BS28" s="31"/>
      <c r="BT28" s="31"/>
      <c r="BU28" s="31"/>
      <c r="BV28" s="31"/>
      <c r="BW28" s="31"/>
      <c r="BX28" s="31"/>
      <c r="BY28" s="31"/>
      <c r="BZ28" s="31"/>
      <c r="CA28" s="31"/>
      <c r="CB28" s="31"/>
      <c r="CC28" s="31"/>
      <c r="CD28" s="31"/>
      <c r="CE28" s="31"/>
      <c r="CF28" s="31"/>
      <c r="CG28" s="31"/>
      <c r="CH28" s="31"/>
      <c r="CI28" s="31"/>
      <c r="CJ28" s="31"/>
      <c r="CK28" s="29"/>
    </row>
    <row r="29" spans="1:89" x14ac:dyDescent="0.25">
      <c r="A29" s="607">
        <v>85312000</v>
      </c>
      <c r="B29" s="78" t="s">
        <v>707</v>
      </c>
      <c r="C29" s="78"/>
      <c r="D29" s="31">
        <v>0.15</v>
      </c>
      <c r="E29" s="29"/>
      <c r="F29" s="24">
        <f t="shared" si="1"/>
        <v>85312000</v>
      </c>
      <c r="G29" s="30"/>
      <c r="H29" s="31"/>
      <c r="I29" s="31"/>
      <c r="J29" s="31"/>
      <c r="K29" s="31"/>
      <c r="L29" s="31"/>
      <c r="M29" s="31"/>
      <c r="N29" s="31"/>
      <c r="O29" s="31"/>
      <c r="P29" s="31"/>
      <c r="Q29" s="31"/>
      <c r="R29" s="31"/>
      <c r="S29" s="31"/>
      <c r="T29" s="31"/>
      <c r="U29" s="31"/>
      <c r="V29" s="31"/>
      <c r="W29" s="31"/>
      <c r="X29" s="31"/>
      <c r="Y29" s="31"/>
      <c r="Z29" s="31"/>
      <c r="AA29" s="31"/>
      <c r="AB29" s="31"/>
      <c r="AC29" s="31"/>
      <c r="AD29" s="31"/>
      <c r="AE29" s="31">
        <v>0.18</v>
      </c>
      <c r="AF29" s="31"/>
      <c r="AG29" s="29"/>
      <c r="AH29" s="24">
        <f t="shared" si="0"/>
        <v>85312000</v>
      </c>
      <c r="AI29" s="32"/>
      <c r="AJ29" s="28"/>
      <c r="AK29" s="28"/>
      <c r="AL29" s="28"/>
      <c r="AM29" s="28"/>
      <c r="AN29" s="28"/>
      <c r="AO29" s="28"/>
      <c r="AP29" s="28"/>
      <c r="AQ29" s="28"/>
      <c r="AR29" s="28"/>
      <c r="AS29" s="28"/>
      <c r="AT29" s="28"/>
      <c r="AU29" s="28"/>
      <c r="AV29" s="28"/>
      <c r="AW29" s="28"/>
      <c r="AX29" s="28"/>
      <c r="AY29" s="28"/>
      <c r="AZ29" s="28"/>
      <c r="BA29" s="28"/>
      <c r="BB29" s="28"/>
      <c r="BC29" s="28"/>
      <c r="BD29" s="28"/>
      <c r="BE29" s="28"/>
      <c r="BF29" s="28"/>
      <c r="BG29" s="28"/>
      <c r="BH29" s="28"/>
      <c r="BI29" s="33"/>
      <c r="BJ29" s="24">
        <f t="shared" si="2"/>
        <v>85312000</v>
      </c>
      <c r="BK29" s="30"/>
      <c r="BL29" s="31"/>
      <c r="BM29" s="31"/>
      <c r="BN29" s="31"/>
      <c r="BO29" s="31"/>
      <c r="BP29" s="31"/>
      <c r="BQ29" s="31"/>
      <c r="BR29" s="31"/>
      <c r="BS29" s="31"/>
      <c r="BT29" s="31"/>
      <c r="BU29" s="31"/>
      <c r="BV29" s="31"/>
      <c r="BW29" s="31"/>
      <c r="BX29" s="31"/>
      <c r="BY29" s="31"/>
      <c r="BZ29" s="31"/>
      <c r="CA29" s="31"/>
      <c r="CB29" s="31"/>
      <c r="CC29" s="31"/>
      <c r="CD29" s="31"/>
      <c r="CE29" s="31"/>
      <c r="CF29" s="31"/>
      <c r="CG29" s="31"/>
      <c r="CH29" s="31"/>
      <c r="CI29" s="31"/>
      <c r="CJ29" s="31"/>
      <c r="CK29" s="29"/>
    </row>
    <row r="30" spans="1:89" x14ac:dyDescent="0.25">
      <c r="A30" s="607">
        <v>85318000</v>
      </c>
      <c r="B30" s="78" t="s">
        <v>1074</v>
      </c>
      <c r="C30" s="78"/>
      <c r="D30" s="31">
        <v>0.15</v>
      </c>
      <c r="E30" s="29"/>
      <c r="F30" s="24">
        <f t="shared" si="1"/>
        <v>85318000</v>
      </c>
      <c r="G30" s="30"/>
      <c r="H30" s="31"/>
      <c r="I30" s="31"/>
      <c r="J30" s="31"/>
      <c r="K30" s="31"/>
      <c r="L30" s="31"/>
      <c r="M30" s="31"/>
      <c r="N30" s="31"/>
      <c r="O30" s="31"/>
      <c r="P30" s="31"/>
      <c r="Q30" s="31"/>
      <c r="R30" s="31"/>
      <c r="S30" s="31"/>
      <c r="T30" s="31"/>
      <c r="U30" s="31"/>
      <c r="V30" s="31"/>
      <c r="W30" s="31"/>
      <c r="X30" s="31"/>
      <c r="Y30" s="31"/>
      <c r="Z30" s="31"/>
      <c r="AA30" s="31"/>
      <c r="AB30" s="31"/>
      <c r="AC30" s="31"/>
      <c r="AD30" s="31"/>
      <c r="AE30" s="31">
        <v>0.18</v>
      </c>
      <c r="AF30" s="31"/>
      <c r="AG30" s="29"/>
      <c r="AH30" s="24">
        <f t="shared" si="0"/>
        <v>85318000</v>
      </c>
      <c r="AI30" s="32"/>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33"/>
      <c r="BJ30" s="24">
        <f t="shared" si="2"/>
        <v>85318000</v>
      </c>
      <c r="BK30" s="30"/>
      <c r="BL30" s="31"/>
      <c r="BM30" s="31"/>
      <c r="BN30" s="31"/>
      <c r="BO30" s="31"/>
      <c r="BP30" s="31"/>
      <c r="BQ30" s="31"/>
      <c r="BR30" s="31"/>
      <c r="BS30" s="31"/>
      <c r="BT30" s="31"/>
      <c r="BU30" s="31"/>
      <c r="BV30" s="31"/>
      <c r="BW30" s="31"/>
      <c r="BX30" s="31"/>
      <c r="BY30" s="31"/>
      <c r="BZ30" s="31"/>
      <c r="CA30" s="31"/>
      <c r="CB30" s="31"/>
      <c r="CC30" s="31"/>
      <c r="CD30" s="31"/>
      <c r="CE30" s="31"/>
      <c r="CF30" s="31"/>
      <c r="CG30" s="31"/>
      <c r="CH30" s="31"/>
      <c r="CI30" s="31"/>
      <c r="CJ30" s="31"/>
      <c r="CK30" s="29"/>
    </row>
    <row r="31" spans="1:89" x14ac:dyDescent="0.25">
      <c r="A31" s="607">
        <v>85359000</v>
      </c>
      <c r="B31" s="78" t="s">
        <v>1071</v>
      </c>
      <c r="C31" s="78"/>
      <c r="D31" s="31">
        <v>0.05</v>
      </c>
      <c r="E31" s="29"/>
      <c r="F31" s="24">
        <f t="shared" si="1"/>
        <v>85359000</v>
      </c>
      <c r="G31" s="30"/>
      <c r="H31" s="31"/>
      <c r="I31" s="31"/>
      <c r="J31" s="31"/>
      <c r="K31" s="31"/>
      <c r="L31" s="31"/>
      <c r="M31" s="31"/>
      <c r="N31" s="31"/>
      <c r="O31" s="31"/>
      <c r="P31" s="31"/>
      <c r="Q31" s="31"/>
      <c r="R31" s="31"/>
      <c r="S31" s="31"/>
      <c r="T31" s="31"/>
      <c r="U31" s="31"/>
      <c r="V31" s="31"/>
      <c r="W31" s="31"/>
      <c r="X31" s="31"/>
      <c r="Y31" s="31"/>
      <c r="Z31" s="31"/>
      <c r="AA31" s="31"/>
      <c r="AB31" s="31"/>
      <c r="AC31" s="31"/>
      <c r="AD31" s="31"/>
      <c r="AE31" s="31">
        <v>0.18</v>
      </c>
      <c r="AF31" s="31"/>
      <c r="AG31" s="29"/>
      <c r="AH31" s="24">
        <f t="shared" si="0"/>
        <v>85359000</v>
      </c>
      <c r="AI31" s="32"/>
      <c r="AJ31" s="28"/>
      <c r="AK31" s="28"/>
      <c r="AL31" s="28"/>
      <c r="AM31" s="28"/>
      <c r="AN31" s="28"/>
      <c r="AO31" s="28"/>
      <c r="AP31" s="28"/>
      <c r="AQ31" s="28"/>
      <c r="AR31" s="28"/>
      <c r="AS31" s="28"/>
      <c r="AT31" s="28"/>
      <c r="AU31" s="28"/>
      <c r="AV31" s="28"/>
      <c r="AW31" s="28"/>
      <c r="AX31" s="28"/>
      <c r="AY31" s="28"/>
      <c r="AZ31" s="28"/>
      <c r="BA31" s="28"/>
      <c r="BB31" s="28"/>
      <c r="BC31" s="28"/>
      <c r="BD31" s="28"/>
      <c r="BE31" s="28"/>
      <c r="BF31" s="28"/>
      <c r="BG31" s="28"/>
      <c r="BH31" s="28"/>
      <c r="BI31" s="33"/>
      <c r="BJ31" s="24">
        <f t="shared" si="2"/>
        <v>85359000</v>
      </c>
      <c r="BK31" s="30"/>
      <c r="BL31" s="31"/>
      <c r="BM31" s="31"/>
      <c r="BN31" s="31"/>
      <c r="BO31" s="31"/>
      <c r="BP31" s="31"/>
      <c r="BQ31" s="31"/>
      <c r="BR31" s="31"/>
      <c r="BS31" s="31"/>
      <c r="BT31" s="31"/>
      <c r="BU31" s="31"/>
      <c r="BV31" s="31"/>
      <c r="BW31" s="31"/>
      <c r="BX31" s="31"/>
      <c r="BY31" s="31"/>
      <c r="BZ31" s="31"/>
      <c r="CA31" s="31"/>
      <c r="CB31" s="31"/>
      <c r="CC31" s="31"/>
      <c r="CD31" s="31"/>
      <c r="CE31" s="31"/>
      <c r="CF31" s="31"/>
      <c r="CG31" s="31"/>
      <c r="CH31" s="31"/>
      <c r="CI31" s="31"/>
      <c r="CJ31" s="31"/>
      <c r="CK31" s="29"/>
    </row>
    <row r="32" spans="1:89" x14ac:dyDescent="0.25">
      <c r="A32" s="607">
        <v>85361000</v>
      </c>
      <c r="B32" s="78" t="s">
        <v>1068</v>
      </c>
      <c r="C32" s="78"/>
      <c r="D32" s="31">
        <v>0.15</v>
      </c>
      <c r="E32" s="29"/>
      <c r="F32" s="24">
        <f t="shared" si="1"/>
        <v>85361000</v>
      </c>
      <c r="G32" s="30"/>
      <c r="H32" s="31"/>
      <c r="I32" s="31"/>
      <c r="J32" s="31"/>
      <c r="K32" s="31"/>
      <c r="L32" s="31"/>
      <c r="M32" s="31"/>
      <c r="N32" s="31"/>
      <c r="O32" s="31"/>
      <c r="P32" s="31"/>
      <c r="Q32" s="31"/>
      <c r="R32" s="31"/>
      <c r="S32" s="31"/>
      <c r="T32" s="31"/>
      <c r="U32" s="31"/>
      <c r="V32" s="31"/>
      <c r="W32" s="31"/>
      <c r="X32" s="31"/>
      <c r="Y32" s="31"/>
      <c r="Z32" s="31"/>
      <c r="AA32" s="31"/>
      <c r="AB32" s="31"/>
      <c r="AC32" s="31"/>
      <c r="AD32" s="31"/>
      <c r="AE32" s="31">
        <v>0.18</v>
      </c>
      <c r="AF32" s="31"/>
      <c r="AG32" s="29"/>
      <c r="AH32" s="24">
        <f t="shared" si="0"/>
        <v>85361000</v>
      </c>
      <c r="AI32" s="32"/>
      <c r="AJ32" s="28"/>
      <c r="AK32" s="28"/>
      <c r="AL32" s="28"/>
      <c r="AM32" s="28"/>
      <c r="AN32" s="28"/>
      <c r="AO32" s="28"/>
      <c r="AP32" s="28"/>
      <c r="AQ32" s="28"/>
      <c r="AR32" s="28"/>
      <c r="AS32" s="28"/>
      <c r="AT32" s="28"/>
      <c r="AU32" s="28"/>
      <c r="AV32" s="28"/>
      <c r="AW32" s="28"/>
      <c r="AX32" s="28"/>
      <c r="AY32" s="28"/>
      <c r="AZ32" s="28"/>
      <c r="BA32" s="28"/>
      <c r="BB32" s="28"/>
      <c r="BC32" s="28"/>
      <c r="BD32" s="28"/>
      <c r="BE32" s="28"/>
      <c r="BF32" s="28"/>
      <c r="BG32" s="28"/>
      <c r="BH32" s="28"/>
      <c r="BI32" s="33"/>
      <c r="BJ32" s="24">
        <f t="shared" si="2"/>
        <v>85361000</v>
      </c>
      <c r="BK32" s="30"/>
      <c r="BL32" s="31"/>
      <c r="BM32" s="31"/>
      <c r="BN32" s="31"/>
      <c r="BO32" s="31"/>
      <c r="BP32" s="31"/>
      <c r="BQ32" s="31"/>
      <c r="BR32" s="31"/>
      <c r="BS32" s="31"/>
      <c r="BT32" s="31"/>
      <c r="BU32" s="31"/>
      <c r="BV32" s="31"/>
      <c r="BW32" s="31"/>
      <c r="BX32" s="31"/>
      <c r="BY32" s="31"/>
      <c r="BZ32" s="31"/>
      <c r="CA32" s="31"/>
      <c r="CB32" s="31"/>
      <c r="CC32" s="31"/>
      <c r="CD32" s="31"/>
      <c r="CE32" s="31"/>
      <c r="CF32" s="31"/>
      <c r="CG32" s="31"/>
      <c r="CH32" s="31"/>
      <c r="CI32" s="31"/>
      <c r="CJ32" s="31"/>
      <c r="CK32" s="29"/>
    </row>
    <row r="33" spans="1:89" x14ac:dyDescent="0.25">
      <c r="A33" s="607">
        <v>85362000</v>
      </c>
      <c r="B33" s="78" t="s">
        <v>1070</v>
      </c>
      <c r="C33" s="78"/>
      <c r="D33" s="31">
        <v>0.1</v>
      </c>
      <c r="E33" s="29"/>
      <c r="F33" s="24">
        <f t="shared" si="1"/>
        <v>85362000</v>
      </c>
      <c r="G33" s="30"/>
      <c r="H33" s="31"/>
      <c r="I33" s="31"/>
      <c r="J33" s="31"/>
      <c r="K33" s="31"/>
      <c r="L33" s="31"/>
      <c r="M33" s="31"/>
      <c r="N33" s="31"/>
      <c r="O33" s="31"/>
      <c r="P33" s="31"/>
      <c r="Q33" s="31"/>
      <c r="R33" s="31"/>
      <c r="S33" s="31"/>
      <c r="T33" s="31"/>
      <c r="U33" s="31"/>
      <c r="V33" s="31"/>
      <c r="W33" s="31"/>
      <c r="X33" s="31"/>
      <c r="Y33" s="31"/>
      <c r="Z33" s="31"/>
      <c r="AA33" s="31"/>
      <c r="AB33" s="31"/>
      <c r="AC33" s="31"/>
      <c r="AD33" s="31"/>
      <c r="AE33" s="31">
        <v>0.18</v>
      </c>
      <c r="AF33" s="31"/>
      <c r="AG33" s="29"/>
      <c r="AH33" s="24">
        <f t="shared" si="0"/>
        <v>85362000</v>
      </c>
      <c r="AI33" s="32"/>
      <c r="AJ33" s="28"/>
      <c r="AK33" s="28"/>
      <c r="AL33" s="28"/>
      <c r="AM33" s="28"/>
      <c r="AN33" s="28"/>
      <c r="AO33" s="28"/>
      <c r="AP33" s="28"/>
      <c r="AQ33" s="28"/>
      <c r="AR33" s="28"/>
      <c r="AS33" s="28"/>
      <c r="AT33" s="28"/>
      <c r="AU33" s="28"/>
      <c r="AV33" s="28"/>
      <c r="AW33" s="28"/>
      <c r="AX33" s="28"/>
      <c r="AY33" s="28"/>
      <c r="AZ33" s="28"/>
      <c r="BA33" s="28"/>
      <c r="BB33" s="28"/>
      <c r="BC33" s="28"/>
      <c r="BD33" s="28"/>
      <c r="BE33" s="28"/>
      <c r="BF33" s="28"/>
      <c r="BG33" s="28"/>
      <c r="BH33" s="28"/>
      <c r="BI33" s="33"/>
      <c r="BJ33" s="24">
        <f t="shared" si="2"/>
        <v>85362000</v>
      </c>
      <c r="BK33" s="30"/>
      <c r="BL33" s="31"/>
      <c r="BM33" s="31"/>
      <c r="BN33" s="31"/>
      <c r="BO33" s="31"/>
      <c r="BP33" s="31"/>
      <c r="BQ33" s="31"/>
      <c r="BR33" s="31"/>
      <c r="BS33" s="31"/>
      <c r="BT33" s="31"/>
      <c r="BU33" s="31"/>
      <c r="BV33" s="31"/>
      <c r="BW33" s="31"/>
      <c r="BX33" s="31"/>
      <c r="BY33" s="31"/>
      <c r="BZ33" s="31"/>
      <c r="CA33" s="31"/>
      <c r="CB33" s="31"/>
      <c r="CC33" s="31"/>
      <c r="CD33" s="31"/>
      <c r="CE33" s="31"/>
      <c r="CF33" s="31"/>
      <c r="CG33" s="31"/>
      <c r="CH33" s="31"/>
      <c r="CI33" s="31"/>
      <c r="CJ33" s="31"/>
      <c r="CK33" s="29"/>
    </row>
    <row r="34" spans="1:89" x14ac:dyDescent="0.25">
      <c r="A34" s="607">
        <v>85363090</v>
      </c>
      <c r="B34" s="78" t="s">
        <v>625</v>
      </c>
      <c r="C34" s="78"/>
      <c r="D34" s="31">
        <v>0.15</v>
      </c>
      <c r="E34" s="29"/>
      <c r="F34" s="24">
        <f t="shared" si="1"/>
        <v>85363090</v>
      </c>
      <c r="G34" s="30"/>
      <c r="H34" s="31"/>
      <c r="I34" s="31"/>
      <c r="J34" s="31"/>
      <c r="K34" s="31"/>
      <c r="L34" s="31"/>
      <c r="M34" s="31"/>
      <c r="N34" s="31"/>
      <c r="O34" s="31"/>
      <c r="P34" s="31"/>
      <c r="Q34" s="31"/>
      <c r="R34" s="31"/>
      <c r="S34" s="31"/>
      <c r="T34" s="31"/>
      <c r="U34" s="31"/>
      <c r="V34" s="31"/>
      <c r="W34" s="31"/>
      <c r="X34" s="31"/>
      <c r="Y34" s="31"/>
      <c r="Z34" s="31"/>
      <c r="AA34" s="31"/>
      <c r="AB34" s="31"/>
      <c r="AC34" s="31"/>
      <c r="AD34" s="31"/>
      <c r="AE34" s="31">
        <v>0.12</v>
      </c>
      <c r="AF34" s="31"/>
      <c r="AG34" s="29"/>
      <c r="AH34" s="24">
        <f t="shared" si="0"/>
        <v>85363090</v>
      </c>
      <c r="AI34" s="32"/>
      <c r="AJ34" s="28"/>
      <c r="AK34" s="28"/>
      <c r="AL34" s="28"/>
      <c r="AM34" s="28"/>
      <c r="AN34" s="28"/>
      <c r="AO34" s="28"/>
      <c r="AP34" s="28"/>
      <c r="AQ34" s="28"/>
      <c r="AR34" s="28"/>
      <c r="AS34" s="28"/>
      <c r="AT34" s="28"/>
      <c r="AU34" s="28"/>
      <c r="AV34" s="28"/>
      <c r="AW34" s="28"/>
      <c r="AX34" s="28"/>
      <c r="AY34" s="28"/>
      <c r="AZ34" s="28"/>
      <c r="BA34" s="28"/>
      <c r="BB34" s="28"/>
      <c r="BC34" s="28"/>
      <c r="BD34" s="28"/>
      <c r="BE34" s="28"/>
      <c r="BF34" s="28"/>
      <c r="BG34" s="28"/>
      <c r="BH34" s="28"/>
      <c r="BI34" s="33"/>
      <c r="BJ34" s="24">
        <f t="shared" si="2"/>
        <v>85363090</v>
      </c>
      <c r="BK34" s="30"/>
      <c r="BL34" s="31"/>
      <c r="BM34" s="31"/>
      <c r="BN34" s="31"/>
      <c r="BO34" s="31"/>
      <c r="BP34" s="31"/>
      <c r="BQ34" s="31"/>
      <c r="BR34" s="31"/>
      <c r="BS34" s="31"/>
      <c r="BT34" s="31"/>
      <c r="BU34" s="31"/>
      <c r="BV34" s="31"/>
      <c r="BW34" s="31"/>
      <c r="BX34" s="31"/>
      <c r="BY34" s="31"/>
      <c r="BZ34" s="31"/>
      <c r="CA34" s="31"/>
      <c r="CB34" s="31"/>
      <c r="CC34" s="31"/>
      <c r="CD34" s="31"/>
      <c r="CE34" s="31"/>
      <c r="CF34" s="31"/>
      <c r="CG34" s="31"/>
      <c r="CH34" s="31"/>
      <c r="CI34" s="31"/>
      <c r="CJ34" s="31"/>
      <c r="CK34" s="29"/>
    </row>
    <row r="35" spans="1:89" x14ac:dyDescent="0.25">
      <c r="A35" s="607">
        <v>85364900</v>
      </c>
      <c r="B35" s="78" t="s">
        <v>622</v>
      </c>
      <c r="C35" s="78"/>
      <c r="D35" s="31">
        <v>3.2500000000000001E-2</v>
      </c>
      <c r="E35" s="29"/>
      <c r="F35" s="24">
        <f t="shared" si="1"/>
        <v>85364900</v>
      </c>
      <c r="G35" s="30"/>
      <c r="H35" s="31"/>
      <c r="I35" s="31"/>
      <c r="J35" s="31"/>
      <c r="K35" s="31"/>
      <c r="L35" s="31"/>
      <c r="M35" s="31"/>
      <c r="N35" s="31"/>
      <c r="O35" s="31"/>
      <c r="P35" s="31"/>
      <c r="Q35" s="31"/>
      <c r="R35" s="31"/>
      <c r="S35" s="31"/>
      <c r="T35" s="31"/>
      <c r="U35" s="31"/>
      <c r="V35" s="31"/>
      <c r="W35" s="31"/>
      <c r="X35" s="31"/>
      <c r="Y35" s="31"/>
      <c r="Z35" s="31"/>
      <c r="AA35" s="31"/>
      <c r="AB35" s="31"/>
      <c r="AC35" s="31"/>
      <c r="AD35" s="31"/>
      <c r="AE35" s="31">
        <v>0.12</v>
      </c>
      <c r="AF35" s="31"/>
      <c r="AG35" s="29"/>
      <c r="AH35" s="24">
        <f t="shared" si="0"/>
        <v>85364900</v>
      </c>
      <c r="AI35" s="32"/>
      <c r="AJ35" s="28"/>
      <c r="AK35" s="28"/>
      <c r="AL35" s="28"/>
      <c r="AM35" s="28"/>
      <c r="AN35" s="28"/>
      <c r="AO35" s="28"/>
      <c r="AP35" s="28"/>
      <c r="AQ35" s="28"/>
      <c r="AR35" s="28"/>
      <c r="AS35" s="28"/>
      <c r="AT35" s="28"/>
      <c r="AU35" s="28"/>
      <c r="AV35" s="28"/>
      <c r="AW35" s="28"/>
      <c r="AX35" s="28"/>
      <c r="AY35" s="28"/>
      <c r="AZ35" s="28"/>
      <c r="BA35" s="28"/>
      <c r="BB35" s="28"/>
      <c r="BC35" s="28"/>
      <c r="BD35" s="28"/>
      <c r="BE35" s="28"/>
      <c r="BF35" s="28"/>
      <c r="BG35" s="28"/>
      <c r="BH35" s="28"/>
      <c r="BI35" s="33"/>
      <c r="BJ35" s="24">
        <f t="shared" si="2"/>
        <v>85364900</v>
      </c>
      <c r="BK35" s="30"/>
      <c r="BL35" s="31"/>
      <c r="BM35" s="31"/>
      <c r="BN35" s="31"/>
      <c r="BO35" s="31"/>
      <c r="BP35" s="31"/>
      <c r="BQ35" s="31"/>
      <c r="BR35" s="31"/>
      <c r="BS35" s="31"/>
      <c r="BT35" s="31"/>
      <c r="BU35" s="31"/>
      <c r="BV35" s="31"/>
      <c r="BW35" s="31"/>
      <c r="BX35" s="31"/>
      <c r="BY35" s="31"/>
      <c r="BZ35" s="31"/>
      <c r="CA35" s="31"/>
      <c r="CB35" s="31"/>
      <c r="CC35" s="31"/>
      <c r="CD35" s="31"/>
      <c r="CE35" s="31"/>
      <c r="CF35" s="31"/>
      <c r="CG35" s="31"/>
      <c r="CH35" s="31"/>
      <c r="CI35" s="31"/>
      <c r="CJ35" s="31"/>
      <c r="CK35" s="29"/>
    </row>
    <row r="36" spans="1:89" x14ac:dyDescent="0.25">
      <c r="A36" s="607">
        <v>85365090</v>
      </c>
      <c r="B36" s="78" t="s">
        <v>623</v>
      </c>
      <c r="C36" s="78"/>
      <c r="D36" s="31">
        <v>0.15</v>
      </c>
      <c r="E36" s="29"/>
      <c r="F36" s="24">
        <f t="shared" si="1"/>
        <v>85365090</v>
      </c>
      <c r="G36" s="30"/>
      <c r="H36" s="31"/>
      <c r="I36" s="31"/>
      <c r="J36" s="31"/>
      <c r="K36" s="31"/>
      <c r="L36" s="31"/>
      <c r="M36" s="31"/>
      <c r="N36" s="31"/>
      <c r="O36" s="31"/>
      <c r="P36" s="31"/>
      <c r="Q36" s="31"/>
      <c r="R36" s="31"/>
      <c r="S36" s="31"/>
      <c r="T36" s="31"/>
      <c r="U36" s="31"/>
      <c r="V36" s="31"/>
      <c r="W36" s="31"/>
      <c r="X36" s="31"/>
      <c r="Y36" s="31"/>
      <c r="Z36" s="31"/>
      <c r="AA36" s="31"/>
      <c r="AB36" s="31"/>
      <c r="AC36" s="31"/>
      <c r="AD36" s="31"/>
      <c r="AE36" s="31">
        <v>0.18</v>
      </c>
      <c r="AF36" s="31"/>
      <c r="AG36" s="29"/>
      <c r="AH36" s="24">
        <f t="shared" ref="AH36:AH67" si="3">F36</f>
        <v>85365090</v>
      </c>
      <c r="AI36" s="32"/>
      <c r="AJ36" s="28"/>
      <c r="AK36" s="28"/>
      <c r="AL36" s="28"/>
      <c r="AM36" s="28"/>
      <c r="AN36" s="28"/>
      <c r="AO36" s="28"/>
      <c r="AP36" s="28"/>
      <c r="AQ36" s="28"/>
      <c r="AR36" s="28"/>
      <c r="AS36" s="28"/>
      <c r="AT36" s="28"/>
      <c r="AU36" s="28"/>
      <c r="AV36" s="28"/>
      <c r="AW36" s="28"/>
      <c r="AX36" s="28"/>
      <c r="AY36" s="28"/>
      <c r="AZ36" s="28"/>
      <c r="BA36" s="28"/>
      <c r="BB36" s="28"/>
      <c r="BC36" s="28"/>
      <c r="BD36" s="28"/>
      <c r="BE36" s="28"/>
      <c r="BF36" s="28"/>
      <c r="BG36" s="28"/>
      <c r="BH36" s="28"/>
      <c r="BI36" s="33"/>
      <c r="BJ36" s="24">
        <f t="shared" si="2"/>
        <v>85365090</v>
      </c>
      <c r="BK36" s="30"/>
      <c r="BL36" s="31"/>
      <c r="BM36" s="31"/>
      <c r="BN36" s="31"/>
      <c r="BO36" s="31"/>
      <c r="BP36" s="31"/>
      <c r="BQ36" s="31"/>
      <c r="BR36" s="31"/>
      <c r="BS36" s="31"/>
      <c r="BT36" s="31"/>
      <c r="BU36" s="31"/>
      <c r="BV36" s="31"/>
      <c r="BW36" s="31"/>
      <c r="BX36" s="31"/>
      <c r="BY36" s="31"/>
      <c r="BZ36" s="31"/>
      <c r="CA36" s="31"/>
      <c r="CB36" s="31"/>
      <c r="CC36" s="31"/>
      <c r="CD36" s="31"/>
      <c r="CE36" s="31"/>
      <c r="CF36" s="31"/>
      <c r="CG36" s="31"/>
      <c r="CH36" s="31"/>
      <c r="CI36" s="31"/>
      <c r="CJ36" s="31"/>
      <c r="CK36" s="29"/>
    </row>
    <row r="37" spans="1:89" x14ac:dyDescent="0.25">
      <c r="A37" s="607">
        <v>85371020</v>
      </c>
      <c r="B37" s="78" t="s">
        <v>656</v>
      </c>
      <c r="C37" s="78"/>
      <c r="D37" s="31">
        <v>9.7500000000000003E-2</v>
      </c>
      <c r="E37" s="29"/>
      <c r="F37" s="24">
        <f t="shared" si="1"/>
        <v>85371020</v>
      </c>
      <c r="G37" s="30"/>
      <c r="H37" s="31"/>
      <c r="I37" s="31"/>
      <c r="J37" s="31"/>
      <c r="K37" s="31"/>
      <c r="L37" s="31"/>
      <c r="M37" s="31"/>
      <c r="N37" s="31"/>
      <c r="O37" s="31"/>
      <c r="P37" s="31"/>
      <c r="Q37" s="31"/>
      <c r="R37" s="31"/>
      <c r="S37" s="31"/>
      <c r="T37" s="31"/>
      <c r="U37" s="31"/>
      <c r="V37" s="31"/>
      <c r="W37" s="31"/>
      <c r="X37" s="31"/>
      <c r="Y37" s="31"/>
      <c r="Z37" s="31"/>
      <c r="AA37" s="31"/>
      <c r="AB37" s="31"/>
      <c r="AC37" s="31"/>
      <c r="AD37" s="31"/>
      <c r="AE37" s="31">
        <v>0.18</v>
      </c>
      <c r="AF37" s="31"/>
      <c r="AG37" s="29"/>
      <c r="AH37" s="24">
        <f t="shared" si="3"/>
        <v>85371020</v>
      </c>
      <c r="AI37" s="32"/>
      <c r="AJ37" s="28"/>
      <c r="AK37" s="28"/>
      <c r="AL37" s="28"/>
      <c r="AM37" s="28"/>
      <c r="AN37" s="28"/>
      <c r="AO37" s="28"/>
      <c r="AP37" s="28"/>
      <c r="AQ37" s="28"/>
      <c r="AR37" s="28"/>
      <c r="AS37" s="28"/>
      <c r="AT37" s="28"/>
      <c r="AU37" s="28"/>
      <c r="AV37" s="28"/>
      <c r="AW37" s="28"/>
      <c r="AX37" s="28"/>
      <c r="AY37" s="28"/>
      <c r="AZ37" s="28"/>
      <c r="BA37" s="28"/>
      <c r="BB37" s="28"/>
      <c r="BC37" s="28"/>
      <c r="BD37" s="28"/>
      <c r="BE37" s="28"/>
      <c r="BF37" s="28"/>
      <c r="BG37" s="28"/>
      <c r="BH37" s="28"/>
      <c r="BI37" s="33"/>
      <c r="BJ37" s="24">
        <f t="shared" si="2"/>
        <v>85371020</v>
      </c>
      <c r="BK37" s="30"/>
      <c r="BL37" s="31"/>
      <c r="BM37" s="31"/>
      <c r="BN37" s="31"/>
      <c r="BO37" s="31"/>
      <c r="BP37" s="31"/>
      <c r="BQ37" s="31"/>
      <c r="BR37" s="31"/>
      <c r="BS37" s="31"/>
      <c r="BT37" s="31"/>
      <c r="BU37" s="31"/>
      <c r="BV37" s="31"/>
      <c r="BW37" s="31"/>
      <c r="BX37" s="31"/>
      <c r="BY37" s="31"/>
      <c r="BZ37" s="31"/>
      <c r="CA37" s="31"/>
      <c r="CB37" s="31"/>
      <c r="CC37" s="31"/>
      <c r="CD37" s="31"/>
      <c r="CE37" s="31"/>
      <c r="CF37" s="31"/>
      <c r="CG37" s="31"/>
      <c r="CH37" s="31"/>
      <c r="CI37" s="31"/>
      <c r="CJ37" s="31"/>
      <c r="CK37" s="29"/>
    </row>
    <row r="38" spans="1:89" x14ac:dyDescent="0.25">
      <c r="A38" s="607">
        <v>85371090</v>
      </c>
      <c r="B38" s="78" t="s">
        <v>725</v>
      </c>
      <c r="C38" s="78"/>
      <c r="D38" s="31">
        <v>9.7500000000000003E-2</v>
      </c>
      <c r="E38" s="29"/>
      <c r="F38" s="24">
        <f t="shared" si="1"/>
        <v>85371090</v>
      </c>
      <c r="G38" s="30"/>
      <c r="H38" s="31"/>
      <c r="I38" s="31"/>
      <c r="J38" s="31"/>
      <c r="K38" s="31"/>
      <c r="L38" s="31"/>
      <c r="M38" s="31"/>
      <c r="N38" s="31"/>
      <c r="O38" s="31"/>
      <c r="P38" s="31"/>
      <c r="Q38" s="31"/>
      <c r="R38" s="31"/>
      <c r="S38" s="31"/>
      <c r="T38" s="31"/>
      <c r="U38" s="31"/>
      <c r="V38" s="31"/>
      <c r="W38" s="31"/>
      <c r="X38" s="31"/>
      <c r="Y38" s="31"/>
      <c r="Z38" s="31">
        <v>0.12</v>
      </c>
      <c r="AA38" s="31"/>
      <c r="AB38" s="31"/>
      <c r="AC38" s="31"/>
      <c r="AD38" s="31"/>
      <c r="AE38" s="31">
        <v>0.12</v>
      </c>
      <c r="AF38" s="31"/>
      <c r="AG38" s="29"/>
      <c r="AH38" s="24">
        <f t="shared" si="3"/>
        <v>85371090</v>
      </c>
      <c r="AI38" s="32"/>
      <c r="AJ38" s="28"/>
      <c r="AK38" s="28"/>
      <c r="AL38" s="28"/>
      <c r="AM38" s="28"/>
      <c r="AN38" s="28"/>
      <c r="AO38" s="28"/>
      <c r="AP38" s="28"/>
      <c r="AQ38" s="28"/>
      <c r="AR38" s="28"/>
      <c r="AS38" s="28"/>
      <c r="AT38" s="28"/>
      <c r="AU38" s="28"/>
      <c r="AV38" s="28"/>
      <c r="AW38" s="28"/>
      <c r="AX38" s="28"/>
      <c r="AY38" s="28"/>
      <c r="AZ38" s="28"/>
      <c r="BA38" s="28"/>
      <c r="BB38" s="28"/>
      <c r="BC38" s="28"/>
      <c r="BD38" s="28"/>
      <c r="BE38" s="28"/>
      <c r="BF38" s="28"/>
      <c r="BG38" s="28"/>
      <c r="BH38" s="28"/>
      <c r="BI38" s="33"/>
      <c r="BJ38" s="24">
        <f t="shared" si="2"/>
        <v>85371090</v>
      </c>
      <c r="BK38" s="30"/>
      <c r="BL38" s="31"/>
      <c r="BM38" s="31"/>
      <c r="BN38" s="31"/>
      <c r="BO38" s="31"/>
      <c r="BP38" s="31"/>
      <c r="BQ38" s="31"/>
      <c r="BR38" s="31"/>
      <c r="BS38" s="31"/>
      <c r="BT38" s="31"/>
      <c r="BU38" s="31"/>
      <c r="BV38" s="31"/>
      <c r="BW38" s="31"/>
      <c r="BX38" s="31"/>
      <c r="BY38" s="31"/>
      <c r="BZ38" s="31"/>
      <c r="CA38" s="31"/>
      <c r="CB38" s="31"/>
      <c r="CC38" s="31"/>
      <c r="CD38" s="31"/>
      <c r="CE38" s="31"/>
      <c r="CF38" s="31"/>
      <c r="CG38" s="31"/>
      <c r="CH38" s="31"/>
      <c r="CI38" s="31"/>
      <c r="CJ38" s="31"/>
      <c r="CK38" s="29"/>
    </row>
    <row r="39" spans="1:89" x14ac:dyDescent="0.25">
      <c r="A39" s="607">
        <v>85372090</v>
      </c>
      <c r="B39" s="78" t="s">
        <v>342</v>
      </c>
      <c r="C39" s="78"/>
      <c r="D39" s="31">
        <v>0</v>
      </c>
      <c r="E39" s="29"/>
      <c r="F39" s="24">
        <f t="shared" si="1"/>
        <v>85372090</v>
      </c>
      <c r="G39" s="30"/>
      <c r="H39" s="31"/>
      <c r="I39" s="31"/>
      <c r="J39" s="31"/>
      <c r="K39" s="31"/>
      <c r="L39" s="31"/>
      <c r="M39" s="31"/>
      <c r="N39" s="31"/>
      <c r="O39" s="31"/>
      <c r="P39" s="31"/>
      <c r="Q39" s="31"/>
      <c r="R39" s="31"/>
      <c r="S39" s="31"/>
      <c r="T39" s="31"/>
      <c r="U39" s="31"/>
      <c r="V39" s="31"/>
      <c r="W39" s="31"/>
      <c r="X39" s="31"/>
      <c r="Y39" s="31"/>
      <c r="Z39" s="31">
        <v>0.12</v>
      </c>
      <c r="AA39" s="31"/>
      <c r="AB39" s="31"/>
      <c r="AC39" s="31"/>
      <c r="AD39" s="31"/>
      <c r="AE39" s="31">
        <v>0.12</v>
      </c>
      <c r="AF39" s="31"/>
      <c r="AG39" s="29"/>
      <c r="AH39" s="24">
        <f t="shared" si="3"/>
        <v>85372090</v>
      </c>
      <c r="AI39" s="32"/>
      <c r="AJ39" s="28"/>
      <c r="AK39" s="28"/>
      <c r="AL39" s="28"/>
      <c r="AM39" s="28"/>
      <c r="AN39" s="28"/>
      <c r="AO39" s="28"/>
      <c r="AP39" s="28"/>
      <c r="AQ39" s="28"/>
      <c r="AR39" s="28"/>
      <c r="AS39" s="28"/>
      <c r="AT39" s="28"/>
      <c r="AU39" s="28"/>
      <c r="AV39" s="28"/>
      <c r="AW39" s="28"/>
      <c r="AX39" s="28"/>
      <c r="AY39" s="28"/>
      <c r="AZ39" s="28"/>
      <c r="BA39" s="28"/>
      <c r="BB39" s="28"/>
      <c r="BC39" s="28"/>
      <c r="BD39" s="28"/>
      <c r="BE39" s="28"/>
      <c r="BF39" s="28"/>
      <c r="BG39" s="28"/>
      <c r="BH39" s="28"/>
      <c r="BI39" s="33"/>
      <c r="BJ39" s="24">
        <f t="shared" si="2"/>
        <v>85372090</v>
      </c>
      <c r="BK39" s="30"/>
      <c r="BL39" s="31"/>
      <c r="BM39" s="31"/>
      <c r="BN39" s="31"/>
      <c r="BO39" s="31"/>
      <c r="BP39" s="31"/>
      <c r="BQ39" s="31"/>
      <c r="BR39" s="31"/>
      <c r="BS39" s="31"/>
      <c r="BT39" s="31"/>
      <c r="BU39" s="31"/>
      <c r="BV39" s="31"/>
      <c r="BW39" s="31"/>
      <c r="BX39" s="31"/>
      <c r="BY39" s="31"/>
      <c r="BZ39" s="31"/>
      <c r="CA39" s="31"/>
      <c r="CB39" s="31"/>
      <c r="CC39" s="31"/>
      <c r="CD39" s="31"/>
      <c r="CE39" s="31"/>
      <c r="CF39" s="31"/>
      <c r="CG39" s="31"/>
      <c r="CH39" s="31"/>
      <c r="CI39" s="31"/>
      <c r="CJ39" s="31"/>
      <c r="CK39" s="29"/>
    </row>
    <row r="40" spans="1:89" x14ac:dyDescent="0.25">
      <c r="A40" s="607">
        <v>85381000</v>
      </c>
      <c r="B40" s="78" t="s">
        <v>1908</v>
      </c>
      <c r="C40" s="78"/>
      <c r="D40" s="31">
        <v>0.15</v>
      </c>
      <c r="E40" s="29"/>
      <c r="F40" s="24">
        <f t="shared" si="1"/>
        <v>85381000</v>
      </c>
      <c r="G40" s="30"/>
      <c r="H40" s="31"/>
      <c r="I40" s="31"/>
      <c r="J40" s="31"/>
      <c r="K40" s="31"/>
      <c r="L40" s="31"/>
      <c r="M40" s="31"/>
      <c r="N40" s="31"/>
      <c r="O40" s="31"/>
      <c r="P40" s="31"/>
      <c r="Q40" s="31"/>
      <c r="R40" s="31"/>
      <c r="S40" s="31"/>
      <c r="T40" s="31"/>
      <c r="U40" s="31"/>
      <c r="V40" s="31"/>
      <c r="W40" s="31"/>
      <c r="X40" s="31"/>
      <c r="Y40" s="31"/>
      <c r="Z40" s="31"/>
      <c r="AA40" s="31"/>
      <c r="AB40" s="31"/>
      <c r="AC40" s="31"/>
      <c r="AD40" s="31"/>
      <c r="AE40" s="31">
        <v>0.18</v>
      </c>
      <c r="AF40" s="31"/>
      <c r="AG40" s="29"/>
      <c r="AH40" s="24">
        <f t="shared" si="3"/>
        <v>85381000</v>
      </c>
      <c r="AI40" s="32"/>
      <c r="AJ40" s="28"/>
      <c r="AK40" s="28"/>
      <c r="AL40" s="28"/>
      <c r="AM40" s="28"/>
      <c r="AN40" s="28"/>
      <c r="AO40" s="28"/>
      <c r="AP40" s="28"/>
      <c r="AQ40" s="28"/>
      <c r="AR40" s="28"/>
      <c r="AS40" s="28"/>
      <c r="AT40" s="28"/>
      <c r="AU40" s="28"/>
      <c r="AV40" s="28"/>
      <c r="AW40" s="28"/>
      <c r="AX40" s="28"/>
      <c r="AY40" s="28"/>
      <c r="AZ40" s="28"/>
      <c r="BA40" s="28"/>
      <c r="BB40" s="28"/>
      <c r="BC40" s="28"/>
      <c r="BD40" s="28"/>
      <c r="BE40" s="28"/>
      <c r="BF40" s="28"/>
      <c r="BG40" s="28"/>
      <c r="BH40" s="28"/>
      <c r="BI40" s="33"/>
      <c r="BJ40" s="24">
        <f t="shared" si="2"/>
        <v>85381000</v>
      </c>
      <c r="BK40" s="30"/>
      <c r="BL40" s="31"/>
      <c r="BM40" s="31"/>
      <c r="BN40" s="31"/>
      <c r="BO40" s="31"/>
      <c r="BP40" s="31"/>
      <c r="BQ40" s="31"/>
      <c r="BR40" s="31"/>
      <c r="BS40" s="31"/>
      <c r="BT40" s="31"/>
      <c r="BU40" s="31"/>
      <c r="BV40" s="31"/>
      <c r="BW40" s="31"/>
      <c r="BX40" s="31"/>
      <c r="BY40" s="31"/>
      <c r="BZ40" s="31"/>
      <c r="CA40" s="31"/>
      <c r="CB40" s="31"/>
      <c r="CC40" s="31"/>
      <c r="CD40" s="31"/>
      <c r="CE40" s="31"/>
      <c r="CF40" s="31"/>
      <c r="CG40" s="31"/>
      <c r="CH40" s="31"/>
      <c r="CI40" s="31"/>
      <c r="CJ40" s="31"/>
      <c r="CK40" s="29"/>
    </row>
    <row r="41" spans="1:89" x14ac:dyDescent="0.25">
      <c r="A41" s="607">
        <v>85389010</v>
      </c>
      <c r="B41" s="78" t="s">
        <v>645</v>
      </c>
      <c r="C41" s="78"/>
      <c r="D41" s="31">
        <v>9.7500000000000003E-2</v>
      </c>
      <c r="E41" s="29"/>
      <c r="F41" s="24">
        <f t="shared" si="1"/>
        <v>85389010</v>
      </c>
      <c r="G41" s="30"/>
      <c r="H41" s="31"/>
      <c r="I41" s="31"/>
      <c r="J41" s="31"/>
      <c r="K41" s="31"/>
      <c r="L41" s="31"/>
      <c r="M41" s="31"/>
      <c r="N41" s="31"/>
      <c r="O41" s="31"/>
      <c r="P41" s="31"/>
      <c r="Q41" s="31"/>
      <c r="R41" s="31"/>
      <c r="S41" s="31"/>
      <c r="T41" s="31"/>
      <c r="U41" s="31"/>
      <c r="V41" s="31"/>
      <c r="W41" s="31"/>
      <c r="X41" s="31"/>
      <c r="Y41" s="31"/>
      <c r="Z41" s="31"/>
      <c r="AA41" s="31"/>
      <c r="AB41" s="31"/>
      <c r="AC41" s="31"/>
      <c r="AD41" s="31"/>
      <c r="AE41" s="31">
        <v>0.12</v>
      </c>
      <c r="AF41" s="31"/>
      <c r="AG41" s="29"/>
      <c r="AH41" s="24">
        <f t="shared" si="3"/>
        <v>85389010</v>
      </c>
      <c r="AI41" s="32"/>
      <c r="AJ41" s="28"/>
      <c r="AK41" s="28"/>
      <c r="AL41" s="28"/>
      <c r="AM41" s="28"/>
      <c r="AN41" s="28"/>
      <c r="AO41" s="28"/>
      <c r="AP41" s="28"/>
      <c r="AQ41" s="28"/>
      <c r="AR41" s="28"/>
      <c r="AS41" s="28"/>
      <c r="AT41" s="28"/>
      <c r="AU41" s="28"/>
      <c r="AV41" s="28"/>
      <c r="AW41" s="28"/>
      <c r="AX41" s="28"/>
      <c r="AY41" s="28"/>
      <c r="AZ41" s="28"/>
      <c r="BA41" s="28"/>
      <c r="BB41" s="28"/>
      <c r="BC41" s="28"/>
      <c r="BD41" s="28"/>
      <c r="BE41" s="28"/>
      <c r="BF41" s="28"/>
      <c r="BG41" s="28"/>
      <c r="BH41" s="28"/>
      <c r="BI41" s="33"/>
      <c r="BJ41" s="24">
        <f t="shared" si="2"/>
        <v>85389010</v>
      </c>
      <c r="BK41" s="30"/>
      <c r="BL41" s="31"/>
      <c r="BM41" s="31"/>
      <c r="BN41" s="31"/>
      <c r="BO41" s="31"/>
      <c r="BP41" s="31"/>
      <c r="BQ41" s="31"/>
      <c r="BR41" s="31"/>
      <c r="BS41" s="31"/>
      <c r="BT41" s="31"/>
      <c r="BU41" s="31"/>
      <c r="BV41" s="31"/>
      <c r="BW41" s="31"/>
      <c r="BX41" s="31"/>
      <c r="BY41" s="31"/>
      <c r="BZ41" s="31"/>
      <c r="CA41" s="31"/>
      <c r="CB41" s="31"/>
      <c r="CC41" s="31"/>
      <c r="CD41" s="31"/>
      <c r="CE41" s="31"/>
      <c r="CF41" s="31"/>
      <c r="CG41" s="31"/>
      <c r="CH41" s="31"/>
      <c r="CI41" s="31"/>
      <c r="CJ41" s="31"/>
      <c r="CK41" s="29"/>
    </row>
    <row r="42" spans="1:89" x14ac:dyDescent="0.25">
      <c r="A42" s="607">
        <v>85389090</v>
      </c>
      <c r="B42" s="78" t="s">
        <v>1072</v>
      </c>
      <c r="C42" s="78"/>
      <c r="D42" s="31">
        <v>0.15</v>
      </c>
      <c r="E42" s="29"/>
      <c r="F42" s="24">
        <f t="shared" si="1"/>
        <v>85389090</v>
      </c>
      <c r="G42" s="30"/>
      <c r="H42" s="31"/>
      <c r="I42" s="31"/>
      <c r="J42" s="31"/>
      <c r="K42" s="31"/>
      <c r="L42" s="31"/>
      <c r="M42" s="31"/>
      <c r="N42" s="31"/>
      <c r="O42" s="31"/>
      <c r="P42" s="31"/>
      <c r="Q42" s="31"/>
      <c r="R42" s="31"/>
      <c r="S42" s="31"/>
      <c r="T42" s="31"/>
      <c r="U42" s="31"/>
      <c r="V42" s="31"/>
      <c r="W42" s="31"/>
      <c r="X42" s="31"/>
      <c r="Y42" s="31"/>
      <c r="Z42" s="31"/>
      <c r="AA42" s="31"/>
      <c r="AB42" s="31"/>
      <c r="AC42" s="31"/>
      <c r="AD42" s="31"/>
      <c r="AE42" s="31">
        <v>0.18</v>
      </c>
      <c r="AF42" s="31"/>
      <c r="AG42" s="29"/>
      <c r="AH42" s="24">
        <f t="shared" si="3"/>
        <v>85389090</v>
      </c>
      <c r="AI42" s="32"/>
      <c r="AJ42" s="28"/>
      <c r="AK42" s="28"/>
      <c r="AL42" s="28"/>
      <c r="AM42" s="28"/>
      <c r="AN42" s="28"/>
      <c r="AO42" s="28"/>
      <c r="AP42" s="28"/>
      <c r="AQ42" s="28"/>
      <c r="AR42" s="28"/>
      <c r="AS42" s="28"/>
      <c r="AT42" s="28"/>
      <c r="AU42" s="28"/>
      <c r="AV42" s="28"/>
      <c r="AW42" s="28"/>
      <c r="AX42" s="28"/>
      <c r="AY42" s="28"/>
      <c r="AZ42" s="28"/>
      <c r="BA42" s="28"/>
      <c r="BB42" s="28"/>
      <c r="BC42" s="28"/>
      <c r="BD42" s="28"/>
      <c r="BE42" s="28"/>
      <c r="BF42" s="28"/>
      <c r="BG42" s="28"/>
      <c r="BH42" s="28"/>
      <c r="BI42" s="33"/>
      <c r="BJ42" s="24">
        <f t="shared" si="2"/>
        <v>85389090</v>
      </c>
      <c r="BK42" s="30"/>
      <c r="BL42" s="31"/>
      <c r="BM42" s="31"/>
      <c r="BN42" s="31"/>
      <c r="BO42" s="31"/>
      <c r="BP42" s="31"/>
      <c r="BQ42" s="31"/>
      <c r="BR42" s="31"/>
      <c r="BS42" s="31"/>
      <c r="BT42" s="31"/>
      <c r="BU42" s="31"/>
      <c r="BV42" s="31"/>
      <c r="BW42" s="31"/>
      <c r="BX42" s="31"/>
      <c r="BY42" s="31"/>
      <c r="BZ42" s="31"/>
      <c r="CA42" s="31"/>
      <c r="CB42" s="31"/>
      <c r="CC42" s="31"/>
      <c r="CD42" s="31"/>
      <c r="CE42" s="31"/>
      <c r="CF42" s="31"/>
      <c r="CG42" s="31"/>
      <c r="CH42" s="31"/>
      <c r="CI42" s="31"/>
      <c r="CJ42" s="31"/>
      <c r="CK42" s="29"/>
    </row>
    <row r="43" spans="1:89" x14ac:dyDescent="0.25">
      <c r="A43" s="607">
        <v>85414900</v>
      </c>
      <c r="B43" s="78" t="s">
        <v>2790</v>
      </c>
      <c r="C43" s="78"/>
      <c r="D43" s="31">
        <v>1.2999999999999999E-2</v>
      </c>
      <c r="E43" s="29"/>
      <c r="F43" s="24">
        <f t="shared" si="1"/>
        <v>85414900</v>
      </c>
      <c r="G43" s="30"/>
      <c r="H43" s="31"/>
      <c r="I43" s="31"/>
      <c r="J43" s="31"/>
      <c r="K43" s="31"/>
      <c r="L43" s="31"/>
      <c r="M43" s="31"/>
      <c r="N43" s="31"/>
      <c r="O43" s="31"/>
      <c r="P43" s="31"/>
      <c r="Q43" s="31"/>
      <c r="R43" s="31"/>
      <c r="S43" s="31"/>
      <c r="T43" s="31"/>
      <c r="U43" s="31"/>
      <c r="V43" s="31"/>
      <c r="W43" s="31"/>
      <c r="X43" s="31"/>
      <c r="Y43" s="31"/>
      <c r="Z43" s="31"/>
      <c r="AA43" s="31"/>
      <c r="AB43" s="31"/>
      <c r="AC43" s="31"/>
      <c r="AD43" s="31"/>
      <c r="AE43" s="31">
        <v>0.12</v>
      </c>
      <c r="AF43" s="31"/>
      <c r="AG43" s="29"/>
      <c r="AH43" s="24">
        <f t="shared" si="3"/>
        <v>85414900</v>
      </c>
      <c r="AI43" s="32"/>
      <c r="AJ43" s="28"/>
      <c r="AK43" s="28"/>
      <c r="AL43" s="28"/>
      <c r="AM43" s="28"/>
      <c r="AN43" s="28"/>
      <c r="AO43" s="28"/>
      <c r="AP43" s="28"/>
      <c r="AQ43" s="28"/>
      <c r="AR43" s="28"/>
      <c r="AS43" s="28"/>
      <c r="AT43" s="28"/>
      <c r="AU43" s="28"/>
      <c r="AV43" s="28"/>
      <c r="AW43" s="28"/>
      <c r="AX43" s="28"/>
      <c r="AY43" s="28"/>
      <c r="AZ43" s="28"/>
      <c r="BA43" s="28"/>
      <c r="BB43" s="28"/>
      <c r="BC43" s="28"/>
      <c r="BD43" s="28"/>
      <c r="BE43" s="28"/>
      <c r="BF43" s="28"/>
      <c r="BG43" s="28"/>
      <c r="BH43" s="28"/>
      <c r="BI43" s="33"/>
      <c r="BJ43" s="24">
        <f t="shared" si="2"/>
        <v>85414900</v>
      </c>
      <c r="BK43" s="30"/>
      <c r="BL43" s="31"/>
      <c r="BM43" s="31"/>
      <c r="BN43" s="31"/>
      <c r="BO43" s="31"/>
      <c r="BP43" s="31"/>
      <c r="BQ43" s="31"/>
      <c r="BR43" s="31"/>
      <c r="BS43" s="31"/>
      <c r="BT43" s="31"/>
      <c r="BU43" s="31"/>
      <c r="BV43" s="31"/>
      <c r="BW43" s="31"/>
      <c r="BX43" s="31"/>
      <c r="BY43" s="31"/>
      <c r="BZ43" s="31"/>
      <c r="CA43" s="31"/>
      <c r="CB43" s="31"/>
      <c r="CC43" s="31"/>
      <c r="CD43" s="31"/>
      <c r="CE43" s="31"/>
      <c r="CF43" s="31"/>
      <c r="CG43" s="31"/>
      <c r="CH43" s="31"/>
      <c r="CI43" s="31"/>
      <c r="CJ43" s="31"/>
      <c r="CK43" s="29"/>
    </row>
    <row r="44" spans="1:89" x14ac:dyDescent="0.25">
      <c r="A44" s="607">
        <v>85437099</v>
      </c>
      <c r="B44" s="78" t="s">
        <v>594</v>
      </c>
      <c r="C44" s="78"/>
      <c r="D44" s="31">
        <v>6.5000000000000002E-2</v>
      </c>
      <c r="E44" s="29"/>
      <c r="F44" s="24">
        <f t="shared" si="1"/>
        <v>85437099</v>
      </c>
      <c r="G44" s="30"/>
      <c r="H44" s="31"/>
      <c r="I44" s="31"/>
      <c r="J44" s="31"/>
      <c r="K44" s="31"/>
      <c r="L44" s="31"/>
      <c r="M44" s="31"/>
      <c r="N44" s="31"/>
      <c r="O44" s="31"/>
      <c r="P44" s="31"/>
      <c r="Q44" s="31"/>
      <c r="R44" s="31"/>
      <c r="S44" s="31"/>
      <c r="T44" s="31"/>
      <c r="U44" s="31"/>
      <c r="V44" s="31"/>
      <c r="W44" s="31"/>
      <c r="X44" s="31"/>
      <c r="Y44" s="31"/>
      <c r="Z44" s="31"/>
      <c r="AA44" s="31"/>
      <c r="AB44" s="31"/>
      <c r="AC44" s="31"/>
      <c r="AD44" s="31"/>
      <c r="AE44" s="31">
        <v>0.12</v>
      </c>
      <c r="AF44" s="31"/>
      <c r="AG44" s="29"/>
      <c r="AH44" s="24">
        <f t="shared" si="3"/>
        <v>85437099</v>
      </c>
      <c r="AI44" s="32"/>
      <c r="AJ44" s="28"/>
      <c r="AK44" s="28"/>
      <c r="AL44" s="28"/>
      <c r="AM44" s="28"/>
      <c r="AN44" s="28"/>
      <c r="AO44" s="28"/>
      <c r="AP44" s="28"/>
      <c r="AQ44" s="28"/>
      <c r="AR44" s="28"/>
      <c r="AS44" s="28"/>
      <c r="AT44" s="28"/>
      <c r="AU44" s="28"/>
      <c r="AV44" s="28"/>
      <c r="AW44" s="28"/>
      <c r="AX44" s="28"/>
      <c r="AY44" s="28"/>
      <c r="AZ44" s="28"/>
      <c r="BA44" s="28"/>
      <c r="BB44" s="28"/>
      <c r="BC44" s="28"/>
      <c r="BD44" s="28"/>
      <c r="BE44" s="28"/>
      <c r="BF44" s="28"/>
      <c r="BG44" s="28"/>
      <c r="BH44" s="28"/>
      <c r="BI44" s="33"/>
      <c r="BJ44" s="24">
        <f t="shared" si="2"/>
        <v>85437099</v>
      </c>
      <c r="BK44" s="30"/>
      <c r="BL44" s="31"/>
      <c r="BM44" s="31"/>
      <c r="BN44" s="31"/>
      <c r="BO44" s="31"/>
      <c r="BP44" s="31"/>
      <c r="BQ44" s="31"/>
      <c r="BR44" s="31"/>
      <c r="BS44" s="31"/>
      <c r="BT44" s="31"/>
      <c r="BU44" s="31"/>
      <c r="BV44" s="31"/>
      <c r="BW44" s="31"/>
      <c r="BX44" s="31"/>
      <c r="BY44" s="31"/>
      <c r="BZ44" s="31"/>
      <c r="CA44" s="31"/>
      <c r="CB44" s="31"/>
      <c r="CC44" s="31"/>
      <c r="CD44" s="31"/>
      <c r="CE44" s="31"/>
      <c r="CF44" s="31"/>
      <c r="CG44" s="31"/>
      <c r="CH44" s="31"/>
      <c r="CI44" s="31"/>
      <c r="CJ44" s="31"/>
      <c r="CK44" s="29"/>
    </row>
    <row r="45" spans="1:89" x14ac:dyDescent="0.25">
      <c r="A45" s="607">
        <v>85444200</v>
      </c>
      <c r="B45" s="78"/>
      <c r="C45" s="78"/>
      <c r="D45" s="31">
        <v>0.05</v>
      </c>
      <c r="E45" s="29"/>
      <c r="F45" s="24">
        <f t="shared" si="1"/>
        <v>85444200</v>
      </c>
      <c r="G45" s="30"/>
      <c r="H45" s="31"/>
      <c r="I45" s="31"/>
      <c r="J45" s="31"/>
      <c r="K45" s="31"/>
      <c r="L45" s="31"/>
      <c r="M45" s="31"/>
      <c r="N45" s="31"/>
      <c r="O45" s="31"/>
      <c r="P45" s="31"/>
      <c r="Q45" s="31"/>
      <c r="R45" s="31"/>
      <c r="S45" s="31"/>
      <c r="T45" s="31"/>
      <c r="U45" s="31"/>
      <c r="V45" s="31"/>
      <c r="W45" s="31"/>
      <c r="X45" s="31"/>
      <c r="Y45" s="31"/>
      <c r="Z45" s="31"/>
      <c r="AA45" s="31"/>
      <c r="AB45" s="31"/>
      <c r="AC45" s="31"/>
      <c r="AD45" s="31"/>
      <c r="AE45" s="31">
        <v>0.18</v>
      </c>
      <c r="AF45" s="31"/>
      <c r="AG45" s="29"/>
      <c r="AH45" s="24">
        <f t="shared" si="3"/>
        <v>85444200</v>
      </c>
      <c r="AI45" s="32"/>
      <c r="AJ45" s="28"/>
      <c r="AK45" s="28"/>
      <c r="AL45" s="28"/>
      <c r="AM45" s="28"/>
      <c r="AN45" s="28"/>
      <c r="AO45" s="28"/>
      <c r="AP45" s="28"/>
      <c r="AQ45" s="28"/>
      <c r="AR45" s="28"/>
      <c r="AS45" s="28"/>
      <c r="AT45" s="28"/>
      <c r="AU45" s="28"/>
      <c r="AV45" s="28"/>
      <c r="AW45" s="28"/>
      <c r="AX45" s="28"/>
      <c r="AY45" s="28"/>
      <c r="AZ45" s="28"/>
      <c r="BA45" s="28"/>
      <c r="BB45" s="28"/>
      <c r="BC45" s="28"/>
      <c r="BD45" s="28"/>
      <c r="BE45" s="28"/>
      <c r="BF45" s="28"/>
      <c r="BG45" s="28"/>
      <c r="BH45" s="28"/>
      <c r="BI45" s="33"/>
      <c r="BJ45" s="24">
        <f t="shared" si="2"/>
        <v>85444200</v>
      </c>
      <c r="BK45" s="30"/>
      <c r="BL45" s="31"/>
      <c r="BM45" s="31"/>
      <c r="BN45" s="31"/>
      <c r="BO45" s="31"/>
      <c r="BP45" s="31"/>
      <c r="BQ45" s="31"/>
      <c r="BR45" s="31"/>
      <c r="BS45" s="31"/>
      <c r="BT45" s="31"/>
      <c r="BU45" s="31"/>
      <c r="BV45" s="31"/>
      <c r="BW45" s="31"/>
      <c r="BX45" s="31"/>
      <c r="BY45" s="31"/>
      <c r="BZ45" s="31"/>
      <c r="CA45" s="31"/>
      <c r="CB45" s="31"/>
      <c r="CC45" s="31"/>
      <c r="CD45" s="31"/>
      <c r="CE45" s="31"/>
      <c r="CF45" s="31"/>
      <c r="CG45" s="31"/>
      <c r="CH45" s="31"/>
      <c r="CI45" s="31"/>
      <c r="CJ45" s="31"/>
      <c r="CK45" s="29"/>
    </row>
    <row r="46" spans="1:89" x14ac:dyDescent="0.25">
      <c r="A46" s="607">
        <v>85447010</v>
      </c>
      <c r="B46" s="78" t="s">
        <v>838</v>
      </c>
      <c r="C46" s="78"/>
      <c r="D46" s="31">
        <v>0.03</v>
      </c>
      <c r="E46" s="29"/>
      <c r="F46" s="24">
        <f t="shared" si="1"/>
        <v>85447010</v>
      </c>
      <c r="G46" s="30"/>
      <c r="H46" s="31"/>
      <c r="I46" s="31"/>
      <c r="J46" s="31"/>
      <c r="K46" s="31"/>
      <c r="L46" s="31"/>
      <c r="M46" s="31"/>
      <c r="N46" s="31"/>
      <c r="O46" s="31"/>
      <c r="P46" s="31"/>
      <c r="Q46" s="31"/>
      <c r="R46" s="31"/>
      <c r="S46" s="31"/>
      <c r="T46" s="31"/>
      <c r="U46" s="31"/>
      <c r="V46" s="31"/>
      <c r="W46" s="31"/>
      <c r="X46" s="31"/>
      <c r="Y46" s="31"/>
      <c r="Z46" s="31"/>
      <c r="AA46" s="31"/>
      <c r="AB46" s="31"/>
      <c r="AC46" s="31"/>
      <c r="AD46" s="31"/>
      <c r="AE46" s="31">
        <v>0.18</v>
      </c>
      <c r="AF46" s="31"/>
      <c r="AG46" s="29"/>
      <c r="AH46" s="24">
        <f t="shared" si="3"/>
        <v>85447010</v>
      </c>
      <c r="AI46" s="32"/>
      <c r="AJ46" s="28"/>
      <c r="AK46" s="28"/>
      <c r="AL46" s="28"/>
      <c r="AM46" s="28"/>
      <c r="AN46" s="28"/>
      <c r="AO46" s="28"/>
      <c r="AP46" s="28"/>
      <c r="AQ46" s="28"/>
      <c r="AR46" s="28"/>
      <c r="AS46" s="28"/>
      <c r="AT46" s="28"/>
      <c r="AU46" s="28"/>
      <c r="AV46" s="28"/>
      <c r="AW46" s="28"/>
      <c r="AX46" s="28"/>
      <c r="AY46" s="28"/>
      <c r="AZ46" s="28"/>
      <c r="BA46" s="28"/>
      <c r="BB46" s="28"/>
      <c r="BC46" s="28"/>
      <c r="BD46" s="28"/>
      <c r="BE46" s="28"/>
      <c r="BF46" s="28"/>
      <c r="BG46" s="28"/>
      <c r="BH46" s="28"/>
      <c r="BI46" s="33"/>
      <c r="BJ46" s="24">
        <f t="shared" si="2"/>
        <v>85447010</v>
      </c>
      <c r="BK46" s="30"/>
      <c r="BL46" s="31"/>
      <c r="BM46" s="31"/>
      <c r="BN46" s="31"/>
      <c r="BO46" s="31"/>
      <c r="BP46" s="31"/>
      <c r="BQ46" s="31"/>
      <c r="BR46" s="31"/>
      <c r="BS46" s="31"/>
      <c r="BT46" s="31"/>
      <c r="BU46" s="31"/>
      <c r="BV46" s="31"/>
      <c r="BW46" s="31"/>
      <c r="BX46" s="31"/>
      <c r="BY46" s="31"/>
      <c r="BZ46" s="31"/>
      <c r="CA46" s="31"/>
      <c r="CB46" s="31"/>
      <c r="CC46" s="31"/>
      <c r="CD46" s="31"/>
      <c r="CE46" s="31"/>
      <c r="CF46" s="31"/>
      <c r="CG46" s="31"/>
      <c r="CH46" s="31"/>
      <c r="CI46" s="31"/>
      <c r="CJ46" s="31"/>
      <c r="CK46" s="29"/>
    </row>
    <row r="47" spans="1:89" x14ac:dyDescent="0.25">
      <c r="A47" s="607">
        <v>90303319</v>
      </c>
      <c r="B47" s="78"/>
      <c r="C47" s="78"/>
      <c r="D47" s="31">
        <v>0.05</v>
      </c>
      <c r="E47" s="29"/>
      <c r="F47" s="24">
        <f t="shared" si="1"/>
        <v>90303319</v>
      </c>
      <c r="G47" s="30"/>
      <c r="H47" s="31"/>
      <c r="I47" s="31"/>
      <c r="J47" s="31"/>
      <c r="K47" s="31"/>
      <c r="L47" s="31"/>
      <c r="M47" s="31"/>
      <c r="N47" s="31"/>
      <c r="O47" s="31"/>
      <c r="P47" s="31"/>
      <c r="Q47" s="31"/>
      <c r="R47" s="31"/>
      <c r="S47" s="31"/>
      <c r="T47" s="31"/>
      <c r="U47" s="31"/>
      <c r="V47" s="31"/>
      <c r="W47" s="31"/>
      <c r="X47" s="31"/>
      <c r="Y47" s="31"/>
      <c r="Z47" s="31"/>
      <c r="AA47" s="31"/>
      <c r="AB47" s="31"/>
      <c r="AC47" s="31"/>
      <c r="AD47" s="31"/>
      <c r="AE47" s="31">
        <v>0.12</v>
      </c>
      <c r="AF47" s="31"/>
      <c r="AG47" s="29"/>
      <c r="AH47" s="24">
        <f t="shared" si="3"/>
        <v>90303319</v>
      </c>
      <c r="AI47" s="32"/>
      <c r="AJ47" s="28"/>
      <c r="AK47" s="28"/>
      <c r="AL47" s="28"/>
      <c r="AM47" s="28"/>
      <c r="AN47" s="28"/>
      <c r="AO47" s="28"/>
      <c r="AP47" s="28"/>
      <c r="AQ47" s="28"/>
      <c r="AR47" s="28"/>
      <c r="AS47" s="28"/>
      <c r="AT47" s="28"/>
      <c r="AU47" s="28"/>
      <c r="AV47" s="28"/>
      <c r="AW47" s="28"/>
      <c r="AX47" s="28"/>
      <c r="AY47" s="28"/>
      <c r="AZ47" s="28"/>
      <c r="BA47" s="28"/>
      <c r="BB47" s="28"/>
      <c r="BC47" s="28"/>
      <c r="BD47" s="28"/>
      <c r="BE47" s="28"/>
      <c r="BF47" s="28"/>
      <c r="BG47" s="28"/>
      <c r="BH47" s="28"/>
      <c r="BI47" s="33"/>
      <c r="BJ47" s="24">
        <f t="shared" si="2"/>
        <v>90303319</v>
      </c>
      <c r="BK47" s="30"/>
      <c r="BL47" s="31"/>
      <c r="BM47" s="31"/>
      <c r="BN47" s="31"/>
      <c r="BO47" s="31"/>
      <c r="BP47" s="31"/>
      <c r="BQ47" s="31"/>
      <c r="BR47" s="31"/>
      <c r="BS47" s="31"/>
      <c r="BT47" s="31"/>
      <c r="BU47" s="31"/>
      <c r="BV47" s="31"/>
      <c r="BW47" s="31"/>
      <c r="BX47" s="31"/>
      <c r="BY47" s="31"/>
      <c r="BZ47" s="31"/>
      <c r="CA47" s="31"/>
      <c r="CB47" s="31"/>
      <c r="CC47" s="31"/>
      <c r="CD47" s="31"/>
      <c r="CE47" s="31"/>
      <c r="CF47" s="31"/>
      <c r="CG47" s="31"/>
      <c r="CH47" s="31"/>
      <c r="CI47" s="31"/>
      <c r="CJ47" s="31"/>
      <c r="CK47" s="29"/>
    </row>
    <row r="48" spans="1:89" x14ac:dyDescent="0.25">
      <c r="A48" s="607">
        <v>90303319</v>
      </c>
      <c r="B48" s="78" t="s">
        <v>1075</v>
      </c>
      <c r="C48" s="78"/>
      <c r="D48" s="31">
        <v>0</v>
      </c>
      <c r="E48" s="29"/>
      <c r="F48" s="24">
        <f t="shared" si="1"/>
        <v>90303319</v>
      </c>
      <c r="G48" s="30"/>
      <c r="H48" s="31"/>
      <c r="I48" s="31"/>
      <c r="J48" s="31"/>
      <c r="K48" s="31"/>
      <c r="L48" s="31"/>
      <c r="M48" s="31"/>
      <c r="N48" s="31"/>
      <c r="O48" s="31"/>
      <c r="P48" s="31"/>
      <c r="Q48" s="31"/>
      <c r="R48" s="31"/>
      <c r="S48" s="31"/>
      <c r="T48" s="31"/>
      <c r="U48" s="31"/>
      <c r="V48" s="31"/>
      <c r="W48" s="31"/>
      <c r="X48" s="31"/>
      <c r="Y48" s="31"/>
      <c r="Z48" s="31"/>
      <c r="AA48" s="31"/>
      <c r="AB48" s="31"/>
      <c r="AC48" s="31"/>
      <c r="AD48" s="31"/>
      <c r="AE48" s="31">
        <v>0.12</v>
      </c>
      <c r="AF48" s="31"/>
      <c r="AG48" s="29"/>
      <c r="AH48" s="24">
        <f t="shared" si="3"/>
        <v>90303319</v>
      </c>
      <c r="AI48" s="32"/>
      <c r="AJ48" s="28"/>
      <c r="AK48" s="28"/>
      <c r="AL48" s="28"/>
      <c r="AM48" s="28"/>
      <c r="AN48" s="28"/>
      <c r="AO48" s="28"/>
      <c r="AP48" s="28"/>
      <c r="AQ48" s="28"/>
      <c r="AR48" s="28"/>
      <c r="AS48" s="28"/>
      <c r="AT48" s="28"/>
      <c r="AU48" s="28"/>
      <c r="AV48" s="28"/>
      <c r="AW48" s="28"/>
      <c r="AX48" s="28"/>
      <c r="AY48" s="28"/>
      <c r="AZ48" s="28"/>
      <c r="BA48" s="28"/>
      <c r="BB48" s="28"/>
      <c r="BC48" s="28"/>
      <c r="BD48" s="28"/>
      <c r="BE48" s="28"/>
      <c r="BF48" s="28"/>
      <c r="BG48" s="28"/>
      <c r="BH48" s="28"/>
      <c r="BI48" s="33"/>
      <c r="BJ48" s="24">
        <f t="shared" si="2"/>
        <v>90303319</v>
      </c>
      <c r="BK48" s="30"/>
      <c r="BL48" s="31"/>
      <c r="BM48" s="31"/>
      <c r="BN48" s="31"/>
      <c r="BO48" s="31"/>
      <c r="BP48" s="31"/>
      <c r="BQ48" s="31"/>
      <c r="BR48" s="31"/>
      <c r="BS48" s="31"/>
      <c r="BT48" s="31"/>
      <c r="BU48" s="31"/>
      <c r="BV48" s="31"/>
      <c r="BW48" s="31"/>
      <c r="BX48" s="31"/>
      <c r="BY48" s="31"/>
      <c r="BZ48" s="31"/>
      <c r="CA48" s="31"/>
      <c r="CB48" s="31"/>
      <c r="CC48" s="31"/>
      <c r="CD48" s="31"/>
      <c r="CE48" s="31"/>
      <c r="CF48" s="31"/>
      <c r="CG48" s="31"/>
      <c r="CH48" s="31"/>
      <c r="CI48" s="31"/>
      <c r="CJ48" s="31"/>
      <c r="CK48" s="29"/>
    </row>
    <row r="49" spans="1:89" x14ac:dyDescent="0.25">
      <c r="A49" s="607">
        <v>90303390</v>
      </c>
      <c r="B49" s="78" t="s">
        <v>1073</v>
      </c>
      <c r="C49" s="78"/>
      <c r="D49" s="31">
        <v>3.2500000000000001E-2</v>
      </c>
      <c r="E49" s="29"/>
      <c r="F49" s="24">
        <f t="shared" si="1"/>
        <v>90303390</v>
      </c>
      <c r="G49" s="30"/>
      <c r="H49" s="31"/>
      <c r="I49" s="31"/>
      <c r="J49" s="31"/>
      <c r="K49" s="31"/>
      <c r="L49" s="31"/>
      <c r="M49" s="31"/>
      <c r="N49" s="31"/>
      <c r="O49" s="31"/>
      <c r="P49" s="31"/>
      <c r="Q49" s="31"/>
      <c r="R49" s="31"/>
      <c r="S49" s="31"/>
      <c r="T49" s="31"/>
      <c r="U49" s="31"/>
      <c r="V49" s="31"/>
      <c r="W49" s="31"/>
      <c r="X49" s="31"/>
      <c r="Y49" s="31"/>
      <c r="Z49" s="31"/>
      <c r="AA49" s="31"/>
      <c r="AB49" s="31"/>
      <c r="AC49" s="31"/>
      <c r="AD49" s="31"/>
      <c r="AE49" s="31">
        <v>0.12</v>
      </c>
      <c r="AF49" s="31"/>
      <c r="AG49" s="29"/>
      <c r="AH49" s="24">
        <f t="shared" si="3"/>
        <v>90303390</v>
      </c>
      <c r="AI49" s="32"/>
      <c r="AJ49" s="28"/>
      <c r="AK49" s="28"/>
      <c r="AL49" s="28"/>
      <c r="AM49" s="28"/>
      <c r="AN49" s="28"/>
      <c r="AO49" s="28"/>
      <c r="AP49" s="28"/>
      <c r="AQ49" s="28"/>
      <c r="AR49" s="28"/>
      <c r="AS49" s="28"/>
      <c r="AT49" s="28"/>
      <c r="AU49" s="28"/>
      <c r="AV49" s="28"/>
      <c r="AW49" s="28"/>
      <c r="AX49" s="28"/>
      <c r="AY49" s="28"/>
      <c r="AZ49" s="28"/>
      <c r="BA49" s="28"/>
      <c r="BB49" s="28"/>
      <c r="BC49" s="28"/>
      <c r="BD49" s="28"/>
      <c r="BE49" s="28"/>
      <c r="BF49" s="28"/>
      <c r="BG49" s="28"/>
      <c r="BH49" s="28"/>
      <c r="BI49" s="33"/>
      <c r="BJ49" s="24">
        <f t="shared" si="2"/>
        <v>90303390</v>
      </c>
      <c r="BK49" s="30"/>
      <c r="BL49" s="31"/>
      <c r="BM49" s="31"/>
      <c r="BN49" s="31"/>
      <c r="BO49" s="31"/>
      <c r="BP49" s="31"/>
      <c r="BQ49" s="31"/>
      <c r="BR49" s="31"/>
      <c r="BS49" s="31"/>
      <c r="BT49" s="31"/>
      <c r="BU49" s="31"/>
      <c r="BV49" s="31"/>
      <c r="BW49" s="31"/>
      <c r="BX49" s="31"/>
      <c r="BY49" s="31"/>
      <c r="BZ49" s="31"/>
      <c r="CA49" s="31"/>
      <c r="CB49" s="31"/>
      <c r="CC49" s="31"/>
      <c r="CD49" s="31"/>
      <c r="CE49" s="31"/>
      <c r="CF49" s="31"/>
      <c r="CG49" s="31"/>
      <c r="CH49" s="31"/>
      <c r="CI49" s="31"/>
      <c r="CJ49" s="31"/>
      <c r="CK49" s="29"/>
    </row>
    <row r="50" spans="1:89" x14ac:dyDescent="0.25">
      <c r="A50" s="607">
        <v>90303990</v>
      </c>
      <c r="B50" s="78" t="s">
        <v>749</v>
      </c>
      <c r="C50" s="78"/>
      <c r="D50" s="31">
        <v>3.2500000000000001E-2</v>
      </c>
      <c r="E50" s="29"/>
      <c r="F50" s="24">
        <f t="shared" si="1"/>
        <v>90303990</v>
      </c>
      <c r="G50" s="30"/>
      <c r="H50" s="31"/>
      <c r="I50" s="31"/>
      <c r="J50" s="31"/>
      <c r="K50" s="31"/>
      <c r="L50" s="31"/>
      <c r="M50" s="31"/>
      <c r="N50" s="31"/>
      <c r="O50" s="31"/>
      <c r="P50" s="31"/>
      <c r="Q50" s="31"/>
      <c r="R50" s="31"/>
      <c r="S50" s="31"/>
      <c r="T50" s="31"/>
      <c r="U50" s="31"/>
      <c r="V50" s="31"/>
      <c r="W50" s="31"/>
      <c r="X50" s="31"/>
      <c r="Y50" s="31"/>
      <c r="Z50" s="31"/>
      <c r="AA50" s="31"/>
      <c r="AB50" s="31"/>
      <c r="AC50" s="31"/>
      <c r="AD50" s="31"/>
      <c r="AE50" s="31">
        <v>0.04</v>
      </c>
      <c r="AF50" s="31"/>
      <c r="AG50" s="29"/>
      <c r="AH50" s="24">
        <f t="shared" si="3"/>
        <v>90303990</v>
      </c>
      <c r="AI50" s="32"/>
      <c r="AJ50" s="28"/>
      <c r="AK50" s="28"/>
      <c r="AL50" s="28"/>
      <c r="AM50" s="28"/>
      <c r="AN50" s="28"/>
      <c r="AO50" s="28"/>
      <c r="AP50" s="28"/>
      <c r="AQ50" s="28"/>
      <c r="AR50" s="28"/>
      <c r="AS50" s="28"/>
      <c r="AT50" s="28"/>
      <c r="AU50" s="28"/>
      <c r="AV50" s="28"/>
      <c r="AW50" s="28"/>
      <c r="AX50" s="28"/>
      <c r="AY50" s="28"/>
      <c r="AZ50" s="28"/>
      <c r="BA50" s="28"/>
      <c r="BB50" s="28"/>
      <c r="BC50" s="28"/>
      <c r="BD50" s="28"/>
      <c r="BE50" s="28"/>
      <c r="BF50" s="28"/>
      <c r="BG50" s="28"/>
      <c r="BH50" s="28"/>
      <c r="BI50" s="33"/>
      <c r="BJ50" s="24">
        <f t="shared" si="2"/>
        <v>90303990</v>
      </c>
      <c r="BK50" s="30"/>
      <c r="BL50" s="31"/>
      <c r="BM50" s="31"/>
      <c r="BN50" s="31"/>
      <c r="BO50" s="31"/>
      <c r="BP50" s="31"/>
      <c r="BQ50" s="31"/>
      <c r="BR50" s="31"/>
      <c r="BS50" s="31"/>
      <c r="BT50" s="31"/>
      <c r="BU50" s="31"/>
      <c r="BV50" s="31"/>
      <c r="BW50" s="31"/>
      <c r="BX50" s="31"/>
      <c r="BY50" s="31"/>
      <c r="BZ50" s="31"/>
      <c r="CA50" s="31"/>
      <c r="CB50" s="31"/>
      <c r="CC50" s="31"/>
      <c r="CD50" s="31"/>
      <c r="CE50" s="31"/>
      <c r="CF50" s="31"/>
      <c r="CG50" s="31"/>
      <c r="CH50" s="31"/>
      <c r="CI50" s="31"/>
      <c r="CJ50" s="31"/>
      <c r="CK50" s="29"/>
    </row>
    <row r="51" spans="1:89" x14ac:dyDescent="0.25">
      <c r="A51" s="607">
        <v>90308490</v>
      </c>
      <c r="B51" s="78" t="s">
        <v>1117</v>
      </c>
      <c r="C51" s="78"/>
      <c r="D51" s="31">
        <v>3.2500000000000001E-2</v>
      </c>
      <c r="E51" s="29"/>
      <c r="F51" s="24">
        <f t="shared" si="1"/>
        <v>90308490</v>
      </c>
      <c r="G51" s="30"/>
      <c r="H51" s="31"/>
      <c r="I51" s="31"/>
      <c r="J51" s="31"/>
      <c r="K51" s="31"/>
      <c r="L51" s="31"/>
      <c r="M51" s="31"/>
      <c r="N51" s="31"/>
      <c r="O51" s="31"/>
      <c r="P51" s="31"/>
      <c r="Q51" s="31"/>
      <c r="R51" s="31"/>
      <c r="S51" s="31"/>
      <c r="T51" s="31"/>
      <c r="U51" s="31"/>
      <c r="V51" s="31"/>
      <c r="W51" s="31"/>
      <c r="X51" s="31"/>
      <c r="Y51" s="31"/>
      <c r="Z51" s="31"/>
      <c r="AA51" s="31"/>
      <c r="AB51" s="31"/>
      <c r="AC51" s="31"/>
      <c r="AD51" s="31"/>
      <c r="AE51" s="31">
        <v>0.12</v>
      </c>
      <c r="AF51" s="31"/>
      <c r="AG51" s="29"/>
      <c r="AH51" s="24">
        <f t="shared" si="3"/>
        <v>90308490</v>
      </c>
      <c r="AI51" s="32"/>
      <c r="AJ51" s="28"/>
      <c r="AK51" s="28"/>
      <c r="AL51" s="28"/>
      <c r="AM51" s="28"/>
      <c r="AN51" s="28"/>
      <c r="AO51" s="28"/>
      <c r="AP51" s="28"/>
      <c r="AQ51" s="28"/>
      <c r="AR51" s="28"/>
      <c r="AS51" s="28"/>
      <c r="AT51" s="28"/>
      <c r="AU51" s="28"/>
      <c r="AV51" s="28"/>
      <c r="AW51" s="28"/>
      <c r="AX51" s="28"/>
      <c r="AY51" s="28"/>
      <c r="AZ51" s="28"/>
      <c r="BA51" s="28"/>
      <c r="BB51" s="28"/>
      <c r="BC51" s="28"/>
      <c r="BD51" s="28"/>
      <c r="BE51" s="28"/>
      <c r="BF51" s="28"/>
      <c r="BG51" s="28"/>
      <c r="BH51" s="28"/>
      <c r="BI51" s="33"/>
      <c r="BJ51" s="24">
        <f t="shared" si="2"/>
        <v>90308490</v>
      </c>
      <c r="BK51" s="30"/>
      <c r="BL51" s="31"/>
      <c r="BM51" s="31"/>
      <c r="BN51" s="31"/>
      <c r="BO51" s="31"/>
      <c r="BP51" s="31"/>
      <c r="BQ51" s="31"/>
      <c r="BR51" s="31"/>
      <c r="BS51" s="31"/>
      <c r="BT51" s="31"/>
      <c r="BU51" s="31"/>
      <c r="BV51" s="31"/>
      <c r="BW51" s="31"/>
      <c r="BX51" s="31"/>
      <c r="BY51" s="31"/>
      <c r="BZ51" s="31"/>
      <c r="CA51" s="31"/>
      <c r="CB51" s="31"/>
      <c r="CC51" s="31"/>
      <c r="CD51" s="31"/>
      <c r="CE51" s="31"/>
      <c r="CF51" s="31"/>
      <c r="CG51" s="31"/>
      <c r="CH51" s="31"/>
      <c r="CI51" s="31"/>
      <c r="CJ51" s="31"/>
      <c r="CK51" s="29"/>
    </row>
    <row r="52" spans="1:89" x14ac:dyDescent="0.25">
      <c r="A52" s="607">
        <v>90308990</v>
      </c>
      <c r="B52" s="78" t="s">
        <v>718</v>
      </c>
      <c r="C52" s="78"/>
      <c r="D52" s="31">
        <v>3.2500000000000001E-2</v>
      </c>
      <c r="E52" s="29"/>
      <c r="F52" s="24">
        <f t="shared" si="1"/>
        <v>90308990</v>
      </c>
      <c r="G52" s="30"/>
      <c r="H52" s="31"/>
      <c r="I52" s="31"/>
      <c r="J52" s="31"/>
      <c r="K52" s="31"/>
      <c r="L52" s="31"/>
      <c r="M52" s="31"/>
      <c r="N52" s="31"/>
      <c r="O52" s="31"/>
      <c r="P52" s="31"/>
      <c r="Q52" s="31"/>
      <c r="R52" s="31"/>
      <c r="S52" s="31"/>
      <c r="T52" s="31"/>
      <c r="U52" s="31"/>
      <c r="V52" s="31"/>
      <c r="W52" s="31"/>
      <c r="X52" s="31"/>
      <c r="Y52" s="31"/>
      <c r="Z52" s="31"/>
      <c r="AA52" s="31"/>
      <c r="AB52" s="31"/>
      <c r="AC52" s="31"/>
      <c r="AD52" s="31"/>
      <c r="AE52" s="31">
        <v>0.12</v>
      </c>
      <c r="AF52" s="31"/>
      <c r="AG52" s="29"/>
      <c r="AH52" s="24">
        <f t="shared" si="3"/>
        <v>90308990</v>
      </c>
      <c r="AI52" s="32"/>
      <c r="AJ52" s="28"/>
      <c r="AK52" s="28"/>
      <c r="AL52" s="28"/>
      <c r="AM52" s="28"/>
      <c r="AN52" s="28"/>
      <c r="AO52" s="28"/>
      <c r="AP52" s="28"/>
      <c r="AQ52" s="28"/>
      <c r="AR52" s="28"/>
      <c r="AS52" s="28"/>
      <c r="AT52" s="28"/>
      <c r="AU52" s="28"/>
      <c r="AV52" s="28"/>
      <c r="AW52" s="28"/>
      <c r="AX52" s="28"/>
      <c r="AY52" s="28"/>
      <c r="AZ52" s="28"/>
      <c r="BA52" s="28"/>
      <c r="BB52" s="28"/>
      <c r="BC52" s="28"/>
      <c r="BD52" s="28"/>
      <c r="BE52" s="28"/>
      <c r="BF52" s="28"/>
      <c r="BG52" s="28"/>
      <c r="BH52" s="28"/>
      <c r="BI52" s="33"/>
      <c r="BJ52" s="24">
        <f t="shared" si="2"/>
        <v>90308990</v>
      </c>
      <c r="BK52" s="30"/>
      <c r="BL52" s="31"/>
      <c r="BM52" s="31"/>
      <c r="BN52" s="31"/>
      <c r="BO52" s="31"/>
      <c r="BP52" s="31"/>
      <c r="BQ52" s="31"/>
      <c r="BR52" s="31"/>
      <c r="BS52" s="31"/>
      <c r="BT52" s="31"/>
      <c r="BU52" s="31"/>
      <c r="BV52" s="31"/>
      <c r="BW52" s="31"/>
      <c r="BX52" s="31"/>
      <c r="BY52" s="31"/>
      <c r="BZ52" s="31"/>
      <c r="CA52" s="31"/>
      <c r="CB52" s="31"/>
      <c r="CC52" s="31"/>
      <c r="CD52" s="31"/>
      <c r="CE52" s="31"/>
      <c r="CF52" s="31"/>
      <c r="CG52" s="31"/>
      <c r="CH52" s="31"/>
      <c r="CI52" s="31"/>
      <c r="CJ52" s="31"/>
      <c r="CK52" s="29"/>
    </row>
    <row r="53" spans="1:89" x14ac:dyDescent="0.25">
      <c r="A53" s="32">
        <v>90309090</v>
      </c>
      <c r="B53" s="78" t="s">
        <v>594</v>
      </c>
      <c r="C53" s="78"/>
      <c r="D53" s="31">
        <v>0.05</v>
      </c>
      <c r="E53" s="29"/>
      <c r="F53" s="24">
        <f t="shared" si="1"/>
        <v>90309090</v>
      </c>
      <c r="G53" s="30"/>
      <c r="H53" s="31"/>
      <c r="I53" s="31"/>
      <c r="J53" s="31"/>
      <c r="K53" s="31"/>
      <c r="L53" s="31"/>
      <c r="M53" s="31"/>
      <c r="N53" s="31"/>
      <c r="O53" s="31"/>
      <c r="P53" s="31"/>
      <c r="Q53" s="31"/>
      <c r="R53" s="31"/>
      <c r="S53" s="31"/>
      <c r="T53" s="31"/>
      <c r="U53" s="31"/>
      <c r="V53" s="31"/>
      <c r="W53" s="31"/>
      <c r="X53" s="31"/>
      <c r="Y53" s="31"/>
      <c r="Z53" s="31"/>
      <c r="AA53" s="31"/>
      <c r="AB53" s="31"/>
      <c r="AC53" s="31"/>
      <c r="AD53" s="31"/>
      <c r="AE53" s="31">
        <v>0.12</v>
      </c>
      <c r="AF53" s="31"/>
      <c r="AG53" s="29"/>
      <c r="AH53" s="24">
        <f t="shared" si="3"/>
        <v>90309090</v>
      </c>
      <c r="AI53" s="32"/>
      <c r="AJ53" s="28"/>
      <c r="AK53" s="28"/>
      <c r="AL53" s="28"/>
      <c r="AM53" s="28"/>
      <c r="AN53" s="28"/>
      <c r="AO53" s="28"/>
      <c r="AP53" s="28"/>
      <c r="AQ53" s="28"/>
      <c r="AR53" s="28"/>
      <c r="AS53" s="28"/>
      <c r="AT53" s="28"/>
      <c r="AU53" s="28"/>
      <c r="AV53" s="28"/>
      <c r="AW53" s="28"/>
      <c r="AX53" s="28"/>
      <c r="AY53" s="28"/>
      <c r="AZ53" s="28"/>
      <c r="BA53" s="28"/>
      <c r="BB53" s="28"/>
      <c r="BC53" s="28"/>
      <c r="BD53" s="28"/>
      <c r="BE53" s="28"/>
      <c r="BF53" s="28"/>
      <c r="BG53" s="28"/>
      <c r="BH53" s="28"/>
      <c r="BI53" s="33"/>
      <c r="BJ53" s="24">
        <f t="shared" si="2"/>
        <v>90309090</v>
      </c>
      <c r="BK53" s="30"/>
      <c r="BL53" s="31"/>
      <c r="BM53" s="31"/>
      <c r="BN53" s="31"/>
      <c r="BO53" s="31"/>
      <c r="BP53" s="31"/>
      <c r="BQ53" s="31"/>
      <c r="BR53" s="31"/>
      <c r="BS53" s="31"/>
      <c r="BT53" s="31"/>
      <c r="BU53" s="31"/>
      <c r="BV53" s="31"/>
      <c r="BW53" s="31"/>
      <c r="BX53" s="31"/>
      <c r="BY53" s="31"/>
      <c r="BZ53" s="31"/>
      <c r="CA53" s="31"/>
      <c r="CB53" s="31"/>
      <c r="CC53" s="31"/>
      <c r="CD53" s="31"/>
      <c r="CE53" s="31"/>
      <c r="CF53" s="31"/>
      <c r="CG53" s="31"/>
      <c r="CH53" s="31"/>
      <c r="CI53" s="31"/>
      <c r="CJ53" s="31"/>
      <c r="CK53" s="29"/>
    </row>
    <row r="54" spans="1:89" x14ac:dyDescent="0.25">
      <c r="A54" s="607">
        <v>90321090</v>
      </c>
      <c r="B54" s="78" t="s">
        <v>624</v>
      </c>
      <c r="C54" s="78"/>
      <c r="D54" s="31">
        <v>0.15</v>
      </c>
      <c r="E54" s="29"/>
      <c r="F54" s="24">
        <f t="shared" si="1"/>
        <v>90321090</v>
      </c>
      <c r="G54" s="30"/>
      <c r="H54" s="31"/>
      <c r="I54" s="31"/>
      <c r="J54" s="31"/>
      <c r="K54" s="31"/>
      <c r="L54" s="31"/>
      <c r="M54" s="31"/>
      <c r="N54" s="31"/>
      <c r="O54" s="31"/>
      <c r="P54" s="31"/>
      <c r="Q54" s="31"/>
      <c r="R54" s="31"/>
      <c r="S54" s="31"/>
      <c r="T54" s="31"/>
      <c r="U54" s="31"/>
      <c r="V54" s="31"/>
      <c r="W54" s="31"/>
      <c r="X54" s="31"/>
      <c r="Y54" s="31"/>
      <c r="Z54" s="31"/>
      <c r="AA54" s="31"/>
      <c r="AB54" s="31"/>
      <c r="AC54" s="31"/>
      <c r="AD54" s="31"/>
      <c r="AE54" s="31">
        <v>0.18</v>
      </c>
      <c r="AF54" s="31"/>
      <c r="AG54" s="29"/>
      <c r="AH54" s="24">
        <f t="shared" si="3"/>
        <v>90321090</v>
      </c>
      <c r="AI54" s="32"/>
      <c r="AJ54" s="28"/>
      <c r="AK54" s="28"/>
      <c r="AL54" s="28"/>
      <c r="AM54" s="28"/>
      <c r="AN54" s="28"/>
      <c r="AO54" s="28"/>
      <c r="AP54" s="28"/>
      <c r="AQ54" s="28"/>
      <c r="AR54" s="28"/>
      <c r="AS54" s="28"/>
      <c r="AT54" s="28"/>
      <c r="AU54" s="28"/>
      <c r="AV54" s="28"/>
      <c r="AW54" s="28"/>
      <c r="AX54" s="28"/>
      <c r="AY54" s="28"/>
      <c r="AZ54" s="28"/>
      <c r="BA54" s="28"/>
      <c r="BB54" s="28"/>
      <c r="BC54" s="28"/>
      <c r="BD54" s="28"/>
      <c r="BE54" s="28"/>
      <c r="BF54" s="28"/>
      <c r="BG54" s="28"/>
      <c r="BH54" s="28"/>
      <c r="BI54" s="33"/>
      <c r="BJ54" s="24">
        <f t="shared" si="2"/>
        <v>90321090</v>
      </c>
      <c r="BK54" s="30"/>
      <c r="BL54" s="31"/>
      <c r="BM54" s="31"/>
      <c r="BN54" s="31"/>
      <c r="BO54" s="31"/>
      <c r="BP54" s="31"/>
      <c r="BQ54" s="31"/>
      <c r="BR54" s="31"/>
      <c r="BS54" s="31"/>
      <c r="BT54" s="31"/>
      <c r="BU54" s="31"/>
      <c r="BV54" s="31"/>
      <c r="BW54" s="31"/>
      <c r="BX54" s="31"/>
      <c r="BY54" s="31"/>
      <c r="BZ54" s="31"/>
      <c r="CA54" s="31"/>
      <c r="CB54" s="31"/>
      <c r="CC54" s="31"/>
      <c r="CD54" s="31"/>
      <c r="CE54" s="31"/>
      <c r="CF54" s="31"/>
      <c r="CG54" s="31"/>
      <c r="CH54" s="31"/>
      <c r="CI54" s="31"/>
      <c r="CJ54" s="31"/>
      <c r="CK54" s="29"/>
    </row>
    <row r="55" spans="1:89" x14ac:dyDescent="0.25">
      <c r="A55" s="607">
        <v>90328911</v>
      </c>
      <c r="B55" s="78"/>
      <c r="C55" s="78"/>
      <c r="D55" s="31">
        <v>0.15</v>
      </c>
      <c r="E55" s="29"/>
      <c r="F55" s="24">
        <f t="shared" si="1"/>
        <v>90328911</v>
      </c>
      <c r="G55" s="30"/>
      <c r="H55" s="31"/>
      <c r="I55" s="31"/>
      <c r="J55" s="31"/>
      <c r="K55" s="31"/>
      <c r="L55" s="31"/>
      <c r="M55" s="31"/>
      <c r="N55" s="31"/>
      <c r="O55" s="31"/>
      <c r="P55" s="31"/>
      <c r="Q55" s="31"/>
      <c r="R55" s="31"/>
      <c r="S55" s="31"/>
      <c r="T55" s="31"/>
      <c r="U55" s="31"/>
      <c r="V55" s="31"/>
      <c r="W55" s="31"/>
      <c r="X55" s="31"/>
      <c r="Y55" s="31"/>
      <c r="Z55" s="31"/>
      <c r="AA55" s="31"/>
      <c r="AB55" s="31"/>
      <c r="AC55" s="31"/>
      <c r="AD55" s="31"/>
      <c r="AE55" s="31">
        <v>0.12</v>
      </c>
      <c r="AF55" s="31"/>
      <c r="AG55" s="29"/>
      <c r="AH55" s="24">
        <f t="shared" si="3"/>
        <v>90328911</v>
      </c>
      <c r="AI55" s="32"/>
      <c r="AJ55" s="28"/>
      <c r="AK55" s="28"/>
      <c r="AL55" s="28"/>
      <c r="AM55" s="28"/>
      <c r="AN55" s="28"/>
      <c r="AO55" s="28"/>
      <c r="AP55" s="28"/>
      <c r="AQ55" s="28"/>
      <c r="AR55" s="28"/>
      <c r="AS55" s="28"/>
      <c r="AT55" s="28"/>
      <c r="AU55" s="28"/>
      <c r="AV55" s="28"/>
      <c r="AW55" s="28"/>
      <c r="AX55" s="28"/>
      <c r="AY55" s="28"/>
      <c r="AZ55" s="28"/>
      <c r="BA55" s="28"/>
      <c r="BB55" s="28"/>
      <c r="BC55" s="28"/>
      <c r="BD55" s="28"/>
      <c r="BE55" s="28"/>
      <c r="BF55" s="28"/>
      <c r="BG55" s="28"/>
      <c r="BH55" s="28"/>
      <c r="BI55" s="33"/>
      <c r="BJ55" s="24">
        <f t="shared" si="2"/>
        <v>90328911</v>
      </c>
      <c r="BK55" s="30"/>
      <c r="BL55" s="31"/>
      <c r="BM55" s="31"/>
      <c r="BN55" s="31"/>
      <c r="BO55" s="31"/>
      <c r="BP55" s="31"/>
      <c r="BQ55" s="31"/>
      <c r="BR55" s="31"/>
      <c r="BS55" s="31"/>
      <c r="BT55" s="31"/>
      <c r="BU55" s="31"/>
      <c r="BV55" s="31"/>
      <c r="BW55" s="31"/>
      <c r="BX55" s="31"/>
      <c r="BY55" s="31"/>
      <c r="BZ55" s="31"/>
      <c r="CA55" s="31"/>
      <c r="CB55" s="31"/>
      <c r="CC55" s="31"/>
      <c r="CD55" s="31"/>
      <c r="CE55" s="31"/>
      <c r="CF55" s="31"/>
      <c r="CG55" s="31"/>
      <c r="CH55" s="31"/>
      <c r="CI55" s="31"/>
      <c r="CJ55" s="31"/>
      <c r="CK55" s="29"/>
    </row>
    <row r="56" spans="1:89" x14ac:dyDescent="0.25">
      <c r="A56" s="607">
        <v>90328982</v>
      </c>
      <c r="B56" s="78"/>
      <c r="C56" s="78"/>
      <c r="D56" s="31">
        <v>0.15</v>
      </c>
      <c r="E56" s="29"/>
      <c r="F56" s="24">
        <f t="shared" si="1"/>
        <v>90328982</v>
      </c>
      <c r="G56" s="30"/>
      <c r="H56" s="31"/>
      <c r="I56" s="31"/>
      <c r="J56" s="31"/>
      <c r="K56" s="31"/>
      <c r="L56" s="31"/>
      <c r="M56" s="31"/>
      <c r="N56" s="31"/>
      <c r="O56" s="31"/>
      <c r="P56" s="31"/>
      <c r="Q56" s="31"/>
      <c r="R56" s="31"/>
      <c r="S56" s="31"/>
      <c r="T56" s="31"/>
      <c r="U56" s="31"/>
      <c r="V56" s="31"/>
      <c r="W56" s="31"/>
      <c r="X56" s="31"/>
      <c r="Y56" s="31"/>
      <c r="Z56" s="31"/>
      <c r="AA56" s="31"/>
      <c r="AB56" s="31"/>
      <c r="AC56" s="31"/>
      <c r="AD56" s="31"/>
      <c r="AE56" s="31">
        <v>0.12</v>
      </c>
      <c r="AF56" s="31"/>
      <c r="AG56" s="29"/>
      <c r="AH56" s="24">
        <f t="shared" si="3"/>
        <v>90328982</v>
      </c>
      <c r="AI56" s="32"/>
      <c r="AJ56" s="28"/>
      <c r="AK56" s="28"/>
      <c r="AL56" s="28"/>
      <c r="AM56" s="28"/>
      <c r="AN56" s="28"/>
      <c r="AO56" s="28"/>
      <c r="AP56" s="28"/>
      <c r="AQ56" s="28"/>
      <c r="AR56" s="28"/>
      <c r="AS56" s="28"/>
      <c r="AT56" s="28"/>
      <c r="AU56" s="28"/>
      <c r="AV56" s="28"/>
      <c r="AW56" s="28"/>
      <c r="AX56" s="28"/>
      <c r="AY56" s="28"/>
      <c r="AZ56" s="28"/>
      <c r="BA56" s="28"/>
      <c r="BB56" s="28"/>
      <c r="BC56" s="28"/>
      <c r="BD56" s="28"/>
      <c r="BE56" s="28"/>
      <c r="BF56" s="28"/>
      <c r="BG56" s="28"/>
      <c r="BH56" s="28"/>
      <c r="BI56" s="33"/>
      <c r="BJ56" s="24">
        <f t="shared" si="2"/>
        <v>90328982</v>
      </c>
      <c r="BK56" s="30"/>
      <c r="BL56" s="31"/>
      <c r="BM56" s="31"/>
      <c r="BN56" s="31"/>
      <c r="BO56" s="31"/>
      <c r="BP56" s="31"/>
      <c r="BQ56" s="31"/>
      <c r="BR56" s="31"/>
      <c r="BS56" s="31"/>
      <c r="BT56" s="31"/>
      <c r="BU56" s="31"/>
      <c r="BV56" s="31"/>
      <c r="BW56" s="31"/>
      <c r="BX56" s="31"/>
      <c r="BY56" s="31"/>
      <c r="BZ56" s="31"/>
      <c r="CA56" s="31"/>
      <c r="CB56" s="31"/>
      <c r="CC56" s="31"/>
      <c r="CD56" s="31"/>
      <c r="CE56" s="31"/>
      <c r="CF56" s="31"/>
      <c r="CG56" s="31"/>
      <c r="CH56" s="31"/>
      <c r="CI56" s="31"/>
      <c r="CJ56" s="31"/>
      <c r="CK56" s="29"/>
    </row>
    <row r="57" spans="1:89" x14ac:dyDescent="0.25">
      <c r="A57" s="607">
        <v>90328990</v>
      </c>
      <c r="B57" s="78"/>
      <c r="C57" s="78"/>
      <c r="D57" s="31">
        <v>0.15</v>
      </c>
      <c r="E57" s="29"/>
      <c r="F57" s="24">
        <f t="shared" si="1"/>
        <v>90328990</v>
      </c>
      <c r="G57" s="30"/>
      <c r="H57" s="31"/>
      <c r="I57" s="31"/>
      <c r="J57" s="31"/>
      <c r="K57" s="31"/>
      <c r="L57" s="31"/>
      <c r="M57" s="31"/>
      <c r="N57" s="31"/>
      <c r="O57" s="31"/>
      <c r="P57" s="31"/>
      <c r="Q57" s="31"/>
      <c r="R57" s="31"/>
      <c r="S57" s="31"/>
      <c r="T57" s="31"/>
      <c r="U57" s="31"/>
      <c r="V57" s="31"/>
      <c r="W57" s="31"/>
      <c r="X57" s="31"/>
      <c r="Y57" s="31"/>
      <c r="Z57" s="31"/>
      <c r="AA57" s="31"/>
      <c r="AB57" s="31"/>
      <c r="AC57" s="31"/>
      <c r="AD57" s="31"/>
      <c r="AE57" s="31">
        <v>0.12</v>
      </c>
      <c r="AF57" s="31"/>
      <c r="AG57" s="29"/>
      <c r="AH57" s="24">
        <f t="shared" si="3"/>
        <v>90328990</v>
      </c>
      <c r="AI57" s="32"/>
      <c r="AJ57" s="28"/>
      <c r="AK57" s="28"/>
      <c r="AL57" s="28"/>
      <c r="AM57" s="28"/>
      <c r="AN57" s="28"/>
      <c r="AO57" s="28"/>
      <c r="AP57" s="28"/>
      <c r="AQ57" s="28"/>
      <c r="AR57" s="28"/>
      <c r="AS57" s="28"/>
      <c r="AT57" s="28"/>
      <c r="AU57" s="28"/>
      <c r="AV57" s="28"/>
      <c r="AW57" s="28"/>
      <c r="AX57" s="28"/>
      <c r="AY57" s="28"/>
      <c r="AZ57" s="28"/>
      <c r="BA57" s="28"/>
      <c r="BB57" s="28"/>
      <c r="BC57" s="28"/>
      <c r="BD57" s="28"/>
      <c r="BE57" s="28"/>
      <c r="BF57" s="28"/>
      <c r="BG57" s="28"/>
      <c r="BH57" s="28"/>
      <c r="BI57" s="33"/>
      <c r="BJ57" s="24">
        <f t="shared" si="2"/>
        <v>90328990</v>
      </c>
      <c r="BK57" s="30"/>
      <c r="BL57" s="31"/>
      <c r="BM57" s="31"/>
      <c r="BN57" s="31"/>
      <c r="BO57" s="31"/>
      <c r="BP57" s="31"/>
      <c r="BQ57" s="31"/>
      <c r="BR57" s="31"/>
      <c r="BS57" s="31"/>
      <c r="BT57" s="31"/>
      <c r="BU57" s="31"/>
      <c r="BV57" s="31"/>
      <c r="BW57" s="31"/>
      <c r="BX57" s="31"/>
      <c r="BY57" s="31"/>
      <c r="BZ57" s="31"/>
      <c r="CA57" s="31"/>
      <c r="CB57" s="31"/>
      <c r="CC57" s="31"/>
      <c r="CD57" s="31"/>
      <c r="CE57" s="31"/>
      <c r="CF57" s="31"/>
      <c r="CG57" s="31"/>
      <c r="CH57" s="31"/>
      <c r="CI57" s="31"/>
      <c r="CJ57" s="31"/>
      <c r="CK57" s="29"/>
    </row>
    <row r="58" spans="1:89" x14ac:dyDescent="0.25">
      <c r="A58" s="607">
        <v>90330000</v>
      </c>
      <c r="B58" s="78" t="s">
        <v>1076</v>
      </c>
      <c r="C58" s="78"/>
      <c r="D58" s="31">
        <v>0.15</v>
      </c>
      <c r="E58" s="29"/>
      <c r="F58" s="24">
        <f t="shared" si="1"/>
        <v>90330000</v>
      </c>
      <c r="G58" s="30"/>
      <c r="H58" s="31"/>
      <c r="I58" s="31"/>
      <c r="J58" s="31"/>
      <c r="K58" s="31"/>
      <c r="L58" s="31"/>
      <c r="M58" s="31"/>
      <c r="N58" s="31"/>
      <c r="O58" s="31"/>
      <c r="P58" s="31"/>
      <c r="Q58" s="31"/>
      <c r="R58" s="31"/>
      <c r="S58" s="31"/>
      <c r="T58" s="31"/>
      <c r="U58" s="31"/>
      <c r="V58" s="31"/>
      <c r="W58" s="31"/>
      <c r="X58" s="31"/>
      <c r="Y58" s="31"/>
      <c r="Z58" s="31"/>
      <c r="AA58" s="31"/>
      <c r="AB58" s="31"/>
      <c r="AC58" s="31"/>
      <c r="AD58" s="31"/>
      <c r="AE58" s="31">
        <v>0.18</v>
      </c>
      <c r="AF58" s="31"/>
      <c r="AG58" s="29"/>
      <c r="AH58" s="24">
        <f t="shared" si="3"/>
        <v>90330000</v>
      </c>
      <c r="AI58" s="32"/>
      <c r="AJ58" s="28"/>
      <c r="AK58" s="28"/>
      <c r="AL58" s="28"/>
      <c r="AM58" s="28"/>
      <c r="AN58" s="28"/>
      <c r="AO58" s="28"/>
      <c r="AP58" s="28"/>
      <c r="AQ58" s="28"/>
      <c r="AR58" s="28"/>
      <c r="AS58" s="28"/>
      <c r="AT58" s="28"/>
      <c r="AU58" s="28"/>
      <c r="AV58" s="28"/>
      <c r="AW58" s="28"/>
      <c r="AX58" s="28"/>
      <c r="AY58" s="28"/>
      <c r="AZ58" s="28"/>
      <c r="BA58" s="28"/>
      <c r="BB58" s="28"/>
      <c r="BC58" s="28"/>
      <c r="BD58" s="28"/>
      <c r="BE58" s="28"/>
      <c r="BF58" s="28"/>
      <c r="BG58" s="28"/>
      <c r="BH58" s="28"/>
      <c r="BI58" s="33"/>
      <c r="BJ58" s="24">
        <f t="shared" si="2"/>
        <v>90330000</v>
      </c>
      <c r="BK58" s="30"/>
      <c r="BL58" s="31"/>
      <c r="BM58" s="31"/>
      <c r="BN58" s="31"/>
      <c r="BO58" s="31"/>
      <c r="BP58" s="31"/>
      <c r="BQ58" s="31"/>
      <c r="BR58" s="31"/>
      <c r="BS58" s="31"/>
      <c r="BT58" s="31"/>
      <c r="BU58" s="31"/>
      <c r="BV58" s="31"/>
      <c r="BW58" s="31"/>
      <c r="BX58" s="31"/>
      <c r="BY58" s="31"/>
      <c r="BZ58" s="31"/>
      <c r="CA58" s="31"/>
      <c r="CB58" s="31"/>
      <c r="CC58" s="31"/>
      <c r="CD58" s="31"/>
      <c r="CE58" s="31"/>
      <c r="CF58" s="31"/>
      <c r="CG58" s="31"/>
      <c r="CH58" s="31"/>
      <c r="CI58" s="31"/>
      <c r="CJ58" s="31"/>
      <c r="CK58" s="29"/>
    </row>
    <row r="59" spans="1:89" x14ac:dyDescent="0.25">
      <c r="A59" s="607">
        <v>94031000</v>
      </c>
      <c r="B59" s="78" t="s">
        <v>1069</v>
      </c>
      <c r="C59" s="78"/>
      <c r="D59" s="31">
        <v>3.2500000000000001E-2</v>
      </c>
      <c r="E59" s="29"/>
      <c r="F59" s="24">
        <f t="shared" si="1"/>
        <v>94031000</v>
      </c>
      <c r="G59" s="30"/>
      <c r="H59" s="31"/>
      <c r="I59" s="31"/>
      <c r="J59" s="31"/>
      <c r="K59" s="31"/>
      <c r="L59" s="31"/>
      <c r="M59" s="31"/>
      <c r="N59" s="31"/>
      <c r="O59" s="31"/>
      <c r="P59" s="31"/>
      <c r="Q59" s="31"/>
      <c r="R59" s="31"/>
      <c r="S59" s="31"/>
      <c r="T59" s="31"/>
      <c r="U59" s="31"/>
      <c r="V59" s="31"/>
      <c r="W59" s="31"/>
      <c r="X59" s="31"/>
      <c r="Y59" s="31"/>
      <c r="Z59" s="31"/>
      <c r="AA59" s="31"/>
      <c r="AB59" s="31"/>
      <c r="AC59" s="31"/>
      <c r="AD59" s="31"/>
      <c r="AE59" s="31">
        <v>0.12</v>
      </c>
      <c r="AF59" s="31"/>
      <c r="AG59" s="29"/>
      <c r="AH59" s="24">
        <f t="shared" si="3"/>
        <v>94031000</v>
      </c>
      <c r="AI59" s="32"/>
      <c r="AJ59" s="28"/>
      <c r="AK59" s="28"/>
      <c r="AL59" s="28"/>
      <c r="AM59" s="28"/>
      <c r="AN59" s="28"/>
      <c r="AO59" s="28"/>
      <c r="AP59" s="28"/>
      <c r="AQ59" s="28"/>
      <c r="AR59" s="28"/>
      <c r="AS59" s="28"/>
      <c r="AT59" s="28"/>
      <c r="AU59" s="28"/>
      <c r="AV59" s="28"/>
      <c r="AW59" s="28"/>
      <c r="AX59" s="28"/>
      <c r="AY59" s="28"/>
      <c r="AZ59" s="28"/>
      <c r="BA59" s="28"/>
      <c r="BB59" s="28"/>
      <c r="BC59" s="28"/>
      <c r="BD59" s="28"/>
      <c r="BE59" s="28"/>
      <c r="BF59" s="28"/>
      <c r="BG59" s="28"/>
      <c r="BH59" s="28"/>
      <c r="BI59" s="33"/>
      <c r="BJ59" s="24">
        <f t="shared" si="2"/>
        <v>94031000</v>
      </c>
      <c r="BK59" s="30"/>
      <c r="BL59" s="31"/>
      <c r="BM59" s="31"/>
      <c r="BN59" s="31"/>
      <c r="BO59" s="31"/>
      <c r="BP59" s="31"/>
      <c r="BQ59" s="31"/>
      <c r="BR59" s="31"/>
      <c r="BS59" s="31"/>
      <c r="BT59" s="31"/>
      <c r="BU59" s="31"/>
      <c r="BV59" s="31"/>
      <c r="BW59" s="31"/>
      <c r="BX59" s="31"/>
      <c r="BY59" s="31"/>
      <c r="BZ59" s="31"/>
      <c r="CA59" s="31"/>
      <c r="CB59" s="31"/>
      <c r="CC59" s="31"/>
      <c r="CD59" s="31"/>
      <c r="CE59" s="31"/>
      <c r="CF59" s="31"/>
      <c r="CG59" s="31"/>
      <c r="CH59" s="31"/>
      <c r="CI59" s="31"/>
      <c r="CJ59" s="31"/>
      <c r="CK59" s="29"/>
    </row>
    <row r="60" spans="1:89" x14ac:dyDescent="0.25">
      <c r="A60" s="607"/>
      <c r="B60" s="78"/>
      <c r="C60" s="78"/>
      <c r="D60" s="31"/>
      <c r="E60" s="29"/>
      <c r="F60" s="24">
        <f t="shared" si="1"/>
        <v>0</v>
      </c>
      <c r="G60" s="30"/>
      <c r="H60" s="31"/>
      <c r="I60" s="31"/>
      <c r="J60" s="31"/>
      <c r="K60" s="31"/>
      <c r="L60" s="31"/>
      <c r="M60" s="31"/>
      <c r="N60" s="31"/>
      <c r="O60" s="31"/>
      <c r="P60" s="31"/>
      <c r="Q60" s="31"/>
      <c r="R60" s="31"/>
      <c r="S60" s="31"/>
      <c r="T60" s="31"/>
      <c r="U60" s="31"/>
      <c r="V60" s="31"/>
      <c r="W60" s="31"/>
      <c r="X60" s="31"/>
      <c r="Y60" s="31"/>
      <c r="Z60" s="31"/>
      <c r="AA60" s="31"/>
      <c r="AB60" s="31"/>
      <c r="AC60" s="31"/>
      <c r="AD60" s="31"/>
      <c r="AE60" s="31"/>
      <c r="AF60" s="31"/>
      <c r="AG60" s="29"/>
      <c r="AH60" s="24">
        <f t="shared" si="3"/>
        <v>0</v>
      </c>
      <c r="AI60" s="32"/>
      <c r="AJ60" s="28"/>
      <c r="AK60" s="28"/>
      <c r="AL60" s="28"/>
      <c r="AM60" s="28"/>
      <c r="AN60" s="28"/>
      <c r="AO60" s="28"/>
      <c r="AP60" s="28"/>
      <c r="AQ60" s="28"/>
      <c r="AR60" s="28"/>
      <c r="AS60" s="28"/>
      <c r="AT60" s="28"/>
      <c r="AU60" s="28"/>
      <c r="AV60" s="28"/>
      <c r="AW60" s="28"/>
      <c r="AX60" s="28"/>
      <c r="AY60" s="28"/>
      <c r="AZ60" s="28"/>
      <c r="BA60" s="28"/>
      <c r="BB60" s="28"/>
      <c r="BC60" s="28"/>
      <c r="BD60" s="28"/>
      <c r="BE60" s="28"/>
      <c r="BF60" s="28"/>
      <c r="BG60" s="28"/>
      <c r="BH60" s="28"/>
      <c r="BI60" s="33"/>
      <c r="BJ60" s="24">
        <f t="shared" si="2"/>
        <v>0</v>
      </c>
      <c r="BK60" s="30"/>
      <c r="BL60" s="31"/>
      <c r="BM60" s="31"/>
      <c r="BN60" s="31"/>
      <c r="BO60" s="31"/>
      <c r="BP60" s="31"/>
      <c r="BQ60" s="31"/>
      <c r="BR60" s="31"/>
      <c r="BS60" s="31"/>
      <c r="BT60" s="31"/>
      <c r="BU60" s="31"/>
      <c r="BV60" s="31"/>
      <c r="BW60" s="31"/>
      <c r="BX60" s="31"/>
      <c r="BY60" s="31"/>
      <c r="BZ60" s="31"/>
      <c r="CA60" s="31"/>
      <c r="CB60" s="31"/>
      <c r="CC60" s="31"/>
      <c r="CD60" s="31"/>
      <c r="CE60" s="31"/>
      <c r="CF60" s="31"/>
      <c r="CG60" s="31"/>
      <c r="CH60" s="31"/>
      <c r="CI60" s="31"/>
      <c r="CJ60" s="31"/>
      <c r="CK60" s="29"/>
    </row>
    <row r="61" spans="1:89" x14ac:dyDescent="0.25">
      <c r="A61" s="607"/>
      <c r="B61" s="78"/>
      <c r="C61" s="78"/>
      <c r="D61" s="31"/>
      <c r="E61" s="29"/>
      <c r="F61" s="24">
        <f t="shared" si="1"/>
        <v>0</v>
      </c>
      <c r="G61" s="30"/>
      <c r="H61" s="31"/>
      <c r="I61" s="31"/>
      <c r="J61" s="31"/>
      <c r="K61" s="31"/>
      <c r="L61" s="31"/>
      <c r="M61" s="31"/>
      <c r="N61" s="31"/>
      <c r="O61" s="31"/>
      <c r="P61" s="31"/>
      <c r="Q61" s="31"/>
      <c r="R61" s="31"/>
      <c r="S61" s="31"/>
      <c r="T61" s="31"/>
      <c r="U61" s="31"/>
      <c r="V61" s="31"/>
      <c r="W61" s="31"/>
      <c r="X61" s="31"/>
      <c r="Y61" s="31"/>
      <c r="Z61" s="31"/>
      <c r="AA61" s="31"/>
      <c r="AB61" s="31"/>
      <c r="AC61" s="31"/>
      <c r="AD61" s="31"/>
      <c r="AE61" s="31"/>
      <c r="AF61" s="31"/>
      <c r="AG61" s="29"/>
      <c r="AH61" s="24">
        <f t="shared" si="3"/>
        <v>0</v>
      </c>
      <c r="AI61" s="32"/>
      <c r="AJ61" s="28"/>
      <c r="AK61" s="28"/>
      <c r="AL61" s="28"/>
      <c r="AM61" s="28"/>
      <c r="AN61" s="28"/>
      <c r="AO61" s="28"/>
      <c r="AP61" s="28"/>
      <c r="AQ61" s="28"/>
      <c r="AR61" s="28"/>
      <c r="AS61" s="28"/>
      <c r="AT61" s="28"/>
      <c r="AU61" s="28"/>
      <c r="AV61" s="28"/>
      <c r="AW61" s="28"/>
      <c r="AX61" s="28"/>
      <c r="AY61" s="28"/>
      <c r="AZ61" s="28"/>
      <c r="BA61" s="28"/>
      <c r="BB61" s="28"/>
      <c r="BC61" s="28"/>
      <c r="BD61" s="28"/>
      <c r="BE61" s="28"/>
      <c r="BF61" s="28"/>
      <c r="BG61" s="28"/>
      <c r="BH61" s="28"/>
      <c r="BI61" s="33"/>
      <c r="BJ61" s="24">
        <f t="shared" si="2"/>
        <v>0</v>
      </c>
      <c r="BK61" s="30"/>
      <c r="BL61" s="31"/>
      <c r="BM61" s="31"/>
      <c r="BN61" s="31"/>
      <c r="BO61" s="31"/>
      <c r="BP61" s="31"/>
      <c r="BQ61" s="31"/>
      <c r="BR61" s="31"/>
      <c r="BS61" s="31"/>
      <c r="BT61" s="31"/>
      <c r="BU61" s="31"/>
      <c r="BV61" s="31"/>
      <c r="BW61" s="31"/>
      <c r="BX61" s="31"/>
      <c r="BY61" s="31"/>
      <c r="BZ61" s="31"/>
      <c r="CA61" s="31"/>
      <c r="CB61" s="31"/>
      <c r="CC61" s="31"/>
      <c r="CD61" s="31"/>
      <c r="CE61" s="31"/>
      <c r="CF61" s="31"/>
      <c r="CG61" s="31"/>
      <c r="CH61" s="31"/>
      <c r="CI61" s="31"/>
      <c r="CJ61" s="31"/>
      <c r="CK61" s="29"/>
    </row>
    <row r="62" spans="1:89" x14ac:dyDescent="0.25">
      <c r="A62" s="607"/>
      <c r="B62" s="78"/>
      <c r="C62" s="78"/>
      <c r="D62" s="31"/>
      <c r="E62" s="29"/>
      <c r="F62" s="24">
        <f t="shared" si="1"/>
        <v>0</v>
      </c>
      <c r="G62" s="30"/>
      <c r="H62" s="31"/>
      <c r="I62" s="31"/>
      <c r="J62" s="31"/>
      <c r="K62" s="31"/>
      <c r="L62" s="31"/>
      <c r="M62" s="31"/>
      <c r="N62" s="31"/>
      <c r="O62" s="31"/>
      <c r="P62" s="31"/>
      <c r="Q62" s="31"/>
      <c r="R62" s="31"/>
      <c r="S62" s="31"/>
      <c r="T62" s="31"/>
      <c r="U62" s="31"/>
      <c r="V62" s="31"/>
      <c r="W62" s="31"/>
      <c r="X62" s="31"/>
      <c r="Y62" s="31"/>
      <c r="Z62" s="31"/>
      <c r="AA62" s="31"/>
      <c r="AB62" s="31"/>
      <c r="AC62" s="31"/>
      <c r="AD62" s="31"/>
      <c r="AE62" s="31"/>
      <c r="AF62" s="31"/>
      <c r="AG62" s="29"/>
      <c r="AH62" s="24">
        <f t="shared" si="3"/>
        <v>0</v>
      </c>
      <c r="AI62" s="32"/>
      <c r="AJ62" s="28"/>
      <c r="AK62" s="28"/>
      <c r="AL62" s="28"/>
      <c r="AM62" s="28"/>
      <c r="AN62" s="28"/>
      <c r="AO62" s="28"/>
      <c r="AP62" s="28"/>
      <c r="AQ62" s="28"/>
      <c r="AR62" s="28"/>
      <c r="AS62" s="28"/>
      <c r="AT62" s="28"/>
      <c r="AU62" s="28"/>
      <c r="AV62" s="28"/>
      <c r="AW62" s="28"/>
      <c r="AX62" s="28"/>
      <c r="AY62" s="28"/>
      <c r="AZ62" s="28"/>
      <c r="BA62" s="28"/>
      <c r="BB62" s="28"/>
      <c r="BC62" s="28"/>
      <c r="BD62" s="28"/>
      <c r="BE62" s="28"/>
      <c r="BF62" s="28"/>
      <c r="BG62" s="28"/>
      <c r="BH62" s="28"/>
      <c r="BI62" s="33"/>
      <c r="BJ62" s="24">
        <f t="shared" si="2"/>
        <v>0</v>
      </c>
      <c r="BK62" s="30"/>
      <c r="BL62" s="31"/>
      <c r="BM62" s="31"/>
      <c r="BN62" s="31"/>
      <c r="BO62" s="31"/>
      <c r="BP62" s="31"/>
      <c r="BQ62" s="31"/>
      <c r="BR62" s="31"/>
      <c r="BS62" s="31"/>
      <c r="BT62" s="31"/>
      <c r="BU62" s="31"/>
      <c r="BV62" s="31"/>
      <c r="BW62" s="31"/>
      <c r="BX62" s="31"/>
      <c r="BY62" s="31"/>
      <c r="BZ62" s="31"/>
      <c r="CA62" s="31"/>
      <c r="CB62" s="31"/>
      <c r="CC62" s="31"/>
      <c r="CD62" s="31"/>
      <c r="CE62" s="31"/>
      <c r="CF62" s="31"/>
      <c r="CG62" s="31"/>
      <c r="CH62" s="31"/>
      <c r="CI62" s="31"/>
      <c r="CJ62" s="31"/>
      <c r="CK62" s="29"/>
    </row>
    <row r="63" spans="1:89" x14ac:dyDescent="0.25">
      <c r="A63" s="607"/>
      <c r="B63" s="78"/>
      <c r="C63" s="78"/>
      <c r="D63" s="31"/>
      <c r="E63" s="29"/>
      <c r="F63" s="24">
        <f t="shared" si="1"/>
        <v>0</v>
      </c>
      <c r="G63" s="30"/>
      <c r="H63" s="31"/>
      <c r="I63" s="31"/>
      <c r="J63" s="31"/>
      <c r="K63" s="31"/>
      <c r="L63" s="31"/>
      <c r="M63" s="31"/>
      <c r="N63" s="31"/>
      <c r="O63" s="31"/>
      <c r="P63" s="31"/>
      <c r="Q63" s="31"/>
      <c r="R63" s="31"/>
      <c r="S63" s="31"/>
      <c r="T63" s="31"/>
      <c r="U63" s="31"/>
      <c r="V63" s="31"/>
      <c r="W63" s="31"/>
      <c r="X63" s="31"/>
      <c r="Y63" s="31"/>
      <c r="Z63" s="31"/>
      <c r="AA63" s="31"/>
      <c r="AB63" s="31"/>
      <c r="AC63" s="31"/>
      <c r="AD63" s="31"/>
      <c r="AE63" s="31"/>
      <c r="AF63" s="31"/>
      <c r="AG63" s="29"/>
      <c r="AH63" s="24">
        <f t="shared" si="3"/>
        <v>0</v>
      </c>
      <c r="AI63" s="32"/>
      <c r="AJ63" s="28"/>
      <c r="AK63" s="28"/>
      <c r="AL63" s="28"/>
      <c r="AM63" s="28"/>
      <c r="AN63" s="28"/>
      <c r="AO63" s="28"/>
      <c r="AP63" s="28"/>
      <c r="AQ63" s="28"/>
      <c r="AR63" s="28"/>
      <c r="AS63" s="28"/>
      <c r="AT63" s="28"/>
      <c r="AU63" s="28"/>
      <c r="AV63" s="28"/>
      <c r="AW63" s="28"/>
      <c r="AX63" s="28"/>
      <c r="AY63" s="28"/>
      <c r="AZ63" s="28"/>
      <c r="BA63" s="28"/>
      <c r="BB63" s="28"/>
      <c r="BC63" s="28"/>
      <c r="BD63" s="28"/>
      <c r="BE63" s="28"/>
      <c r="BF63" s="28"/>
      <c r="BG63" s="28"/>
      <c r="BH63" s="28"/>
      <c r="BI63" s="33"/>
      <c r="BJ63" s="24">
        <f t="shared" si="2"/>
        <v>0</v>
      </c>
      <c r="BK63" s="30"/>
      <c r="BL63" s="31"/>
      <c r="BM63" s="31"/>
      <c r="BN63" s="31"/>
      <c r="BO63" s="31"/>
      <c r="BP63" s="31"/>
      <c r="BQ63" s="31"/>
      <c r="BR63" s="31"/>
      <c r="BS63" s="31"/>
      <c r="BT63" s="31"/>
      <c r="BU63" s="31"/>
      <c r="BV63" s="31"/>
      <c r="BW63" s="31"/>
      <c r="BX63" s="31"/>
      <c r="BY63" s="31"/>
      <c r="BZ63" s="31"/>
      <c r="CA63" s="31"/>
      <c r="CB63" s="31"/>
      <c r="CC63" s="31"/>
      <c r="CD63" s="31"/>
      <c r="CE63" s="31"/>
      <c r="CF63" s="31"/>
      <c r="CG63" s="31"/>
      <c r="CH63" s="31"/>
      <c r="CI63" s="31"/>
      <c r="CJ63" s="31"/>
      <c r="CK63" s="29"/>
    </row>
    <row r="64" spans="1:89" x14ac:dyDescent="0.25">
      <c r="A64" s="607"/>
      <c r="B64" s="78"/>
      <c r="C64" s="78"/>
      <c r="D64" s="31"/>
      <c r="E64" s="29"/>
      <c r="F64" s="24">
        <f t="shared" si="1"/>
        <v>0</v>
      </c>
      <c r="G64" s="30"/>
      <c r="H64" s="31"/>
      <c r="I64" s="31"/>
      <c r="J64" s="31"/>
      <c r="K64" s="31"/>
      <c r="L64" s="31"/>
      <c r="M64" s="31"/>
      <c r="N64" s="31"/>
      <c r="O64" s="31"/>
      <c r="P64" s="31"/>
      <c r="Q64" s="31"/>
      <c r="R64" s="31"/>
      <c r="S64" s="31"/>
      <c r="T64" s="31"/>
      <c r="U64" s="31"/>
      <c r="V64" s="31"/>
      <c r="W64" s="31"/>
      <c r="X64" s="31"/>
      <c r="Y64" s="31"/>
      <c r="Z64" s="31"/>
      <c r="AA64" s="31"/>
      <c r="AB64" s="31"/>
      <c r="AC64" s="31"/>
      <c r="AD64" s="31"/>
      <c r="AE64" s="31"/>
      <c r="AF64" s="31"/>
      <c r="AG64" s="29"/>
      <c r="AH64" s="24">
        <f t="shared" si="3"/>
        <v>0</v>
      </c>
      <c r="AI64" s="32"/>
      <c r="AJ64" s="28"/>
      <c r="AK64" s="28"/>
      <c r="AL64" s="28"/>
      <c r="AM64" s="28"/>
      <c r="AN64" s="28"/>
      <c r="AO64" s="28"/>
      <c r="AP64" s="28"/>
      <c r="AQ64" s="28"/>
      <c r="AR64" s="28"/>
      <c r="AS64" s="28"/>
      <c r="AT64" s="28"/>
      <c r="AU64" s="28"/>
      <c r="AV64" s="28"/>
      <c r="AW64" s="28"/>
      <c r="AX64" s="28"/>
      <c r="AY64" s="28"/>
      <c r="AZ64" s="28"/>
      <c r="BA64" s="28"/>
      <c r="BB64" s="28"/>
      <c r="BC64" s="28"/>
      <c r="BD64" s="28"/>
      <c r="BE64" s="28"/>
      <c r="BF64" s="28"/>
      <c r="BG64" s="28"/>
      <c r="BH64" s="28"/>
      <c r="BI64" s="33"/>
      <c r="BJ64" s="24">
        <f t="shared" si="2"/>
        <v>0</v>
      </c>
      <c r="BK64" s="30"/>
      <c r="BL64" s="31"/>
      <c r="BM64" s="31"/>
      <c r="BN64" s="31"/>
      <c r="BO64" s="31"/>
      <c r="BP64" s="31"/>
      <c r="BQ64" s="31"/>
      <c r="BR64" s="31"/>
      <c r="BS64" s="31"/>
      <c r="BT64" s="31"/>
      <c r="BU64" s="31"/>
      <c r="BV64" s="31"/>
      <c r="BW64" s="31"/>
      <c r="BX64" s="31"/>
      <c r="BY64" s="31"/>
      <c r="BZ64" s="31"/>
      <c r="CA64" s="31"/>
      <c r="CB64" s="31"/>
      <c r="CC64" s="31"/>
      <c r="CD64" s="31"/>
      <c r="CE64" s="31"/>
      <c r="CF64" s="31"/>
      <c r="CG64" s="31"/>
      <c r="CH64" s="31"/>
      <c r="CI64" s="31"/>
      <c r="CJ64" s="31"/>
      <c r="CK64" s="29"/>
    </row>
    <row r="65" spans="1:89" x14ac:dyDescent="0.25">
      <c r="A65" s="607"/>
      <c r="B65" s="78"/>
      <c r="C65" s="78"/>
      <c r="D65" s="31"/>
      <c r="E65" s="29"/>
      <c r="F65" s="24">
        <f t="shared" si="1"/>
        <v>0</v>
      </c>
      <c r="G65" s="30"/>
      <c r="H65" s="31"/>
      <c r="I65" s="31"/>
      <c r="J65" s="31"/>
      <c r="K65" s="31"/>
      <c r="L65" s="31"/>
      <c r="M65" s="31"/>
      <c r="N65" s="31"/>
      <c r="O65" s="31"/>
      <c r="P65" s="31"/>
      <c r="Q65" s="31"/>
      <c r="R65" s="31"/>
      <c r="S65" s="31"/>
      <c r="T65" s="31"/>
      <c r="U65" s="31"/>
      <c r="V65" s="31"/>
      <c r="W65" s="31"/>
      <c r="X65" s="31"/>
      <c r="Y65" s="31"/>
      <c r="Z65" s="31"/>
      <c r="AA65" s="31"/>
      <c r="AB65" s="31"/>
      <c r="AC65" s="31"/>
      <c r="AD65" s="31"/>
      <c r="AE65" s="31"/>
      <c r="AF65" s="31"/>
      <c r="AG65" s="29"/>
      <c r="AH65" s="24">
        <f t="shared" si="3"/>
        <v>0</v>
      </c>
      <c r="AI65" s="32"/>
      <c r="AJ65" s="28"/>
      <c r="AK65" s="28"/>
      <c r="AL65" s="28"/>
      <c r="AM65" s="28"/>
      <c r="AN65" s="28"/>
      <c r="AO65" s="28"/>
      <c r="AP65" s="28"/>
      <c r="AQ65" s="28"/>
      <c r="AR65" s="28"/>
      <c r="AS65" s="28"/>
      <c r="AT65" s="28"/>
      <c r="AU65" s="28"/>
      <c r="AV65" s="28"/>
      <c r="AW65" s="28"/>
      <c r="AX65" s="28"/>
      <c r="AY65" s="28"/>
      <c r="AZ65" s="28"/>
      <c r="BA65" s="28"/>
      <c r="BB65" s="28"/>
      <c r="BC65" s="28"/>
      <c r="BD65" s="28"/>
      <c r="BE65" s="28"/>
      <c r="BF65" s="28"/>
      <c r="BG65" s="28"/>
      <c r="BH65" s="28"/>
      <c r="BI65" s="33"/>
      <c r="BJ65" s="24">
        <f t="shared" si="2"/>
        <v>0</v>
      </c>
      <c r="BK65" s="30"/>
      <c r="BL65" s="31"/>
      <c r="BM65" s="31"/>
      <c r="BN65" s="31"/>
      <c r="BO65" s="31"/>
      <c r="BP65" s="31"/>
      <c r="BQ65" s="31"/>
      <c r="BR65" s="31"/>
      <c r="BS65" s="31"/>
      <c r="BT65" s="31"/>
      <c r="BU65" s="31"/>
      <c r="BV65" s="31"/>
      <c r="BW65" s="31"/>
      <c r="BX65" s="31"/>
      <c r="BY65" s="31"/>
      <c r="BZ65" s="31"/>
      <c r="CA65" s="31"/>
      <c r="CB65" s="31"/>
      <c r="CC65" s="31"/>
      <c r="CD65" s="31"/>
      <c r="CE65" s="31"/>
      <c r="CF65" s="31"/>
      <c r="CG65" s="31"/>
      <c r="CH65" s="31"/>
      <c r="CI65" s="31"/>
      <c r="CJ65" s="31"/>
      <c r="CK65" s="29"/>
    </row>
    <row r="66" spans="1:89" x14ac:dyDescent="0.25">
      <c r="A66" s="607"/>
      <c r="B66" s="78"/>
      <c r="C66" s="78"/>
      <c r="D66" s="31"/>
      <c r="E66" s="29"/>
      <c r="F66" s="24">
        <f t="shared" si="1"/>
        <v>0</v>
      </c>
      <c r="G66" s="30"/>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29"/>
      <c r="AH66" s="24">
        <f t="shared" si="3"/>
        <v>0</v>
      </c>
      <c r="AI66" s="32"/>
      <c r="AJ66" s="28"/>
      <c r="AK66" s="28"/>
      <c r="AL66" s="28"/>
      <c r="AM66" s="28"/>
      <c r="AN66" s="28"/>
      <c r="AO66" s="28"/>
      <c r="AP66" s="28"/>
      <c r="AQ66" s="28"/>
      <c r="AR66" s="28"/>
      <c r="AS66" s="28"/>
      <c r="AT66" s="28"/>
      <c r="AU66" s="28"/>
      <c r="AV66" s="28"/>
      <c r="AW66" s="28"/>
      <c r="AX66" s="28"/>
      <c r="AY66" s="28"/>
      <c r="AZ66" s="28"/>
      <c r="BA66" s="28"/>
      <c r="BB66" s="28"/>
      <c r="BC66" s="28"/>
      <c r="BD66" s="28"/>
      <c r="BE66" s="28"/>
      <c r="BF66" s="28"/>
      <c r="BG66" s="28"/>
      <c r="BH66" s="28"/>
      <c r="BI66" s="33"/>
      <c r="BJ66" s="24">
        <f t="shared" si="2"/>
        <v>0</v>
      </c>
      <c r="BK66" s="30"/>
      <c r="BL66" s="31"/>
      <c r="BM66" s="31"/>
      <c r="BN66" s="31"/>
      <c r="BO66" s="31"/>
      <c r="BP66" s="31"/>
      <c r="BQ66" s="31"/>
      <c r="BR66" s="31"/>
      <c r="BS66" s="31"/>
      <c r="BT66" s="31"/>
      <c r="BU66" s="31"/>
      <c r="BV66" s="31"/>
      <c r="BW66" s="31"/>
      <c r="BX66" s="31"/>
      <c r="BY66" s="31"/>
      <c r="BZ66" s="31"/>
      <c r="CA66" s="31"/>
      <c r="CB66" s="31"/>
      <c r="CC66" s="31"/>
      <c r="CD66" s="31"/>
      <c r="CE66" s="31"/>
      <c r="CF66" s="31"/>
      <c r="CG66" s="31"/>
      <c r="CH66" s="31"/>
      <c r="CI66" s="31"/>
      <c r="CJ66" s="31"/>
      <c r="CK66" s="29"/>
    </row>
    <row r="67" spans="1:89" x14ac:dyDescent="0.25">
      <c r="A67" s="607"/>
      <c r="B67" s="78"/>
      <c r="C67" s="78"/>
      <c r="D67" s="31"/>
      <c r="E67" s="29"/>
      <c r="F67" s="24">
        <f t="shared" si="1"/>
        <v>0</v>
      </c>
      <c r="G67" s="30"/>
      <c r="H67" s="31"/>
      <c r="I67" s="31"/>
      <c r="J67" s="31"/>
      <c r="K67" s="31"/>
      <c r="L67" s="31"/>
      <c r="M67" s="31"/>
      <c r="N67" s="31"/>
      <c r="O67" s="31"/>
      <c r="P67" s="31"/>
      <c r="Q67" s="31"/>
      <c r="R67" s="31"/>
      <c r="S67" s="31"/>
      <c r="T67" s="31"/>
      <c r="U67" s="31"/>
      <c r="V67" s="31"/>
      <c r="W67" s="31"/>
      <c r="X67" s="31"/>
      <c r="Y67" s="31"/>
      <c r="Z67" s="31"/>
      <c r="AA67" s="31"/>
      <c r="AB67" s="31"/>
      <c r="AC67" s="31"/>
      <c r="AD67" s="31"/>
      <c r="AE67" s="31"/>
      <c r="AF67" s="31"/>
      <c r="AG67" s="29"/>
      <c r="AH67" s="24">
        <f t="shared" si="3"/>
        <v>0</v>
      </c>
      <c r="AI67" s="32"/>
      <c r="AJ67" s="28"/>
      <c r="AK67" s="28"/>
      <c r="AL67" s="28"/>
      <c r="AM67" s="28"/>
      <c r="AN67" s="28"/>
      <c r="AO67" s="28"/>
      <c r="AP67" s="28"/>
      <c r="AQ67" s="28"/>
      <c r="AR67" s="28"/>
      <c r="AS67" s="28"/>
      <c r="AT67" s="28"/>
      <c r="AU67" s="28"/>
      <c r="AV67" s="28"/>
      <c r="AW67" s="28"/>
      <c r="AX67" s="28"/>
      <c r="AY67" s="28"/>
      <c r="AZ67" s="28"/>
      <c r="BA67" s="28"/>
      <c r="BB67" s="28"/>
      <c r="BC67" s="28"/>
      <c r="BD67" s="28"/>
      <c r="BE67" s="28"/>
      <c r="BF67" s="28"/>
      <c r="BG67" s="28"/>
      <c r="BH67" s="28"/>
      <c r="BI67" s="33"/>
      <c r="BJ67" s="24">
        <f t="shared" si="2"/>
        <v>0</v>
      </c>
      <c r="BK67" s="30"/>
      <c r="BL67" s="31"/>
      <c r="BM67" s="31"/>
      <c r="BN67" s="31"/>
      <c r="BO67" s="31"/>
      <c r="BP67" s="31"/>
      <c r="BQ67" s="31"/>
      <c r="BR67" s="31"/>
      <c r="BS67" s="31"/>
      <c r="BT67" s="31"/>
      <c r="BU67" s="31"/>
      <c r="BV67" s="31"/>
      <c r="BW67" s="31"/>
      <c r="BX67" s="31"/>
      <c r="BY67" s="31"/>
      <c r="BZ67" s="31"/>
      <c r="CA67" s="31"/>
      <c r="CB67" s="31"/>
      <c r="CC67" s="31"/>
      <c r="CD67" s="31"/>
      <c r="CE67" s="31"/>
      <c r="CF67" s="31"/>
      <c r="CG67" s="31"/>
      <c r="CH67" s="31"/>
      <c r="CI67" s="31"/>
      <c r="CJ67" s="31"/>
      <c r="CK67" s="29"/>
    </row>
    <row r="68" spans="1:89" x14ac:dyDescent="0.25">
      <c r="A68" s="607"/>
      <c r="B68" s="78"/>
      <c r="C68" s="78"/>
      <c r="D68" s="31"/>
      <c r="E68" s="29"/>
      <c r="F68" s="24">
        <f t="shared" ref="F68:F99" si="4">A68</f>
        <v>0</v>
      </c>
      <c r="G68" s="30"/>
      <c r="H68" s="31"/>
      <c r="I68" s="31"/>
      <c r="J68" s="31"/>
      <c r="K68" s="31"/>
      <c r="L68" s="31"/>
      <c r="M68" s="31"/>
      <c r="N68" s="31"/>
      <c r="O68" s="31"/>
      <c r="P68" s="31"/>
      <c r="Q68" s="31"/>
      <c r="R68" s="31"/>
      <c r="S68" s="31"/>
      <c r="T68" s="31"/>
      <c r="U68" s="31"/>
      <c r="V68" s="31"/>
      <c r="W68" s="31"/>
      <c r="X68" s="31"/>
      <c r="Y68" s="31"/>
      <c r="Z68" s="31"/>
      <c r="AA68" s="31"/>
      <c r="AB68" s="31"/>
      <c r="AC68" s="31"/>
      <c r="AD68" s="31"/>
      <c r="AE68" s="31"/>
      <c r="AF68" s="31"/>
      <c r="AG68" s="29"/>
      <c r="AH68" s="24">
        <f t="shared" ref="AH68:AH99" si="5">F68</f>
        <v>0</v>
      </c>
      <c r="AI68" s="32"/>
      <c r="AJ68" s="28"/>
      <c r="AK68" s="28"/>
      <c r="AL68" s="28"/>
      <c r="AM68" s="28"/>
      <c r="AN68" s="28"/>
      <c r="AO68" s="28"/>
      <c r="AP68" s="28"/>
      <c r="AQ68" s="28"/>
      <c r="AR68" s="28"/>
      <c r="AS68" s="28"/>
      <c r="AT68" s="28"/>
      <c r="AU68" s="28"/>
      <c r="AV68" s="28"/>
      <c r="AW68" s="28"/>
      <c r="AX68" s="28"/>
      <c r="AY68" s="28"/>
      <c r="AZ68" s="28"/>
      <c r="BA68" s="28"/>
      <c r="BB68" s="28"/>
      <c r="BC68" s="28"/>
      <c r="BD68" s="28"/>
      <c r="BE68" s="28"/>
      <c r="BF68" s="28"/>
      <c r="BG68" s="28"/>
      <c r="BH68" s="28"/>
      <c r="BI68" s="33"/>
      <c r="BJ68" s="24">
        <f t="shared" ref="BJ68:BJ99" si="6">AH68</f>
        <v>0</v>
      </c>
      <c r="BK68" s="30"/>
      <c r="BL68" s="31"/>
      <c r="BM68" s="31"/>
      <c r="BN68" s="31"/>
      <c r="BO68" s="31"/>
      <c r="BP68" s="31"/>
      <c r="BQ68" s="31"/>
      <c r="BR68" s="31"/>
      <c r="BS68" s="31"/>
      <c r="BT68" s="31"/>
      <c r="BU68" s="31"/>
      <c r="BV68" s="31"/>
      <c r="BW68" s="31"/>
      <c r="BX68" s="31"/>
      <c r="BY68" s="31"/>
      <c r="BZ68" s="31"/>
      <c r="CA68" s="31"/>
      <c r="CB68" s="31"/>
      <c r="CC68" s="31"/>
      <c r="CD68" s="31"/>
      <c r="CE68" s="31"/>
      <c r="CF68" s="31"/>
      <c r="CG68" s="31"/>
      <c r="CH68" s="31"/>
      <c r="CI68" s="31"/>
      <c r="CJ68" s="31"/>
      <c r="CK68" s="29"/>
    </row>
    <row r="69" spans="1:89" x14ac:dyDescent="0.25">
      <c r="A69" s="607"/>
      <c r="B69" s="78"/>
      <c r="C69" s="78"/>
      <c r="D69" s="31"/>
      <c r="E69" s="29"/>
      <c r="F69" s="24">
        <f t="shared" si="4"/>
        <v>0</v>
      </c>
      <c r="G69" s="30"/>
      <c r="H69" s="31"/>
      <c r="I69" s="31"/>
      <c r="J69" s="31"/>
      <c r="K69" s="31"/>
      <c r="L69" s="31"/>
      <c r="M69" s="31"/>
      <c r="N69" s="31"/>
      <c r="O69" s="31"/>
      <c r="P69" s="31"/>
      <c r="Q69" s="31"/>
      <c r="R69" s="31"/>
      <c r="S69" s="31"/>
      <c r="T69" s="31"/>
      <c r="U69" s="31"/>
      <c r="V69" s="31"/>
      <c r="W69" s="31"/>
      <c r="X69" s="31"/>
      <c r="Y69" s="31"/>
      <c r="Z69" s="31"/>
      <c r="AA69" s="31"/>
      <c r="AB69" s="31"/>
      <c r="AC69" s="31"/>
      <c r="AD69" s="31"/>
      <c r="AE69" s="31"/>
      <c r="AF69" s="31"/>
      <c r="AG69" s="29"/>
      <c r="AH69" s="24">
        <f t="shared" si="5"/>
        <v>0</v>
      </c>
      <c r="AI69" s="32"/>
      <c r="AJ69" s="28"/>
      <c r="AK69" s="28"/>
      <c r="AL69" s="28"/>
      <c r="AM69" s="28"/>
      <c r="AN69" s="28"/>
      <c r="AO69" s="28"/>
      <c r="AP69" s="28"/>
      <c r="AQ69" s="28"/>
      <c r="AR69" s="28"/>
      <c r="AS69" s="28"/>
      <c r="AT69" s="28"/>
      <c r="AU69" s="28"/>
      <c r="AV69" s="28"/>
      <c r="AW69" s="28"/>
      <c r="AX69" s="28"/>
      <c r="AY69" s="28"/>
      <c r="AZ69" s="28"/>
      <c r="BA69" s="28"/>
      <c r="BB69" s="28"/>
      <c r="BC69" s="28"/>
      <c r="BD69" s="28"/>
      <c r="BE69" s="28"/>
      <c r="BF69" s="28"/>
      <c r="BG69" s="28"/>
      <c r="BH69" s="28"/>
      <c r="BI69" s="33"/>
      <c r="BJ69" s="24">
        <f t="shared" si="6"/>
        <v>0</v>
      </c>
      <c r="BK69" s="30"/>
      <c r="BL69" s="31"/>
      <c r="BM69" s="31"/>
      <c r="BN69" s="31"/>
      <c r="BO69" s="31"/>
      <c r="BP69" s="31"/>
      <c r="BQ69" s="31"/>
      <c r="BR69" s="31"/>
      <c r="BS69" s="31"/>
      <c r="BT69" s="31"/>
      <c r="BU69" s="31"/>
      <c r="BV69" s="31"/>
      <c r="BW69" s="31"/>
      <c r="BX69" s="31"/>
      <c r="BY69" s="31"/>
      <c r="BZ69" s="31"/>
      <c r="CA69" s="31"/>
      <c r="CB69" s="31"/>
      <c r="CC69" s="31"/>
      <c r="CD69" s="31"/>
      <c r="CE69" s="31"/>
      <c r="CF69" s="31"/>
      <c r="CG69" s="31"/>
      <c r="CH69" s="31"/>
      <c r="CI69" s="31"/>
      <c r="CJ69" s="31"/>
      <c r="CK69" s="29"/>
    </row>
    <row r="70" spans="1:89" x14ac:dyDescent="0.25">
      <c r="A70" s="607"/>
      <c r="B70" s="78"/>
      <c r="C70" s="78"/>
      <c r="D70" s="31"/>
      <c r="E70" s="29"/>
      <c r="F70" s="24">
        <f t="shared" si="4"/>
        <v>0</v>
      </c>
      <c r="G70" s="30"/>
      <c r="H70" s="31"/>
      <c r="I70" s="31"/>
      <c r="J70" s="31"/>
      <c r="K70" s="31"/>
      <c r="L70" s="31"/>
      <c r="M70" s="31"/>
      <c r="N70" s="31"/>
      <c r="O70" s="31"/>
      <c r="P70" s="31"/>
      <c r="Q70" s="31"/>
      <c r="R70" s="31"/>
      <c r="S70" s="31"/>
      <c r="T70" s="31"/>
      <c r="U70" s="31"/>
      <c r="V70" s="31"/>
      <c r="W70" s="31"/>
      <c r="X70" s="31"/>
      <c r="Y70" s="31"/>
      <c r="Z70" s="31"/>
      <c r="AA70" s="31"/>
      <c r="AB70" s="31"/>
      <c r="AC70" s="31"/>
      <c r="AD70" s="31"/>
      <c r="AE70" s="31"/>
      <c r="AF70" s="31"/>
      <c r="AG70" s="29"/>
      <c r="AH70" s="24">
        <f t="shared" si="5"/>
        <v>0</v>
      </c>
      <c r="AI70" s="32"/>
      <c r="AJ70" s="28"/>
      <c r="AK70" s="28"/>
      <c r="AL70" s="28"/>
      <c r="AM70" s="28"/>
      <c r="AN70" s="28"/>
      <c r="AO70" s="28"/>
      <c r="AP70" s="28"/>
      <c r="AQ70" s="28"/>
      <c r="AR70" s="28"/>
      <c r="AS70" s="28"/>
      <c r="AT70" s="28"/>
      <c r="AU70" s="28"/>
      <c r="AV70" s="28"/>
      <c r="AW70" s="28"/>
      <c r="AX70" s="28"/>
      <c r="AY70" s="28"/>
      <c r="AZ70" s="28"/>
      <c r="BA70" s="28"/>
      <c r="BB70" s="28"/>
      <c r="BC70" s="28"/>
      <c r="BD70" s="28"/>
      <c r="BE70" s="28"/>
      <c r="BF70" s="28"/>
      <c r="BG70" s="28"/>
      <c r="BH70" s="28"/>
      <c r="BI70" s="33"/>
      <c r="BJ70" s="24">
        <f t="shared" si="6"/>
        <v>0</v>
      </c>
      <c r="BK70" s="30"/>
      <c r="BL70" s="31"/>
      <c r="BM70" s="31"/>
      <c r="BN70" s="31"/>
      <c r="BO70" s="31"/>
      <c r="BP70" s="31"/>
      <c r="BQ70" s="31"/>
      <c r="BR70" s="31"/>
      <c r="BS70" s="31"/>
      <c r="BT70" s="31"/>
      <c r="BU70" s="31"/>
      <c r="BV70" s="31"/>
      <c r="BW70" s="31"/>
      <c r="BX70" s="31"/>
      <c r="BY70" s="31"/>
      <c r="BZ70" s="31"/>
      <c r="CA70" s="31"/>
      <c r="CB70" s="31"/>
      <c r="CC70" s="31"/>
      <c r="CD70" s="31"/>
      <c r="CE70" s="31"/>
      <c r="CF70" s="31"/>
      <c r="CG70" s="31"/>
      <c r="CH70" s="31"/>
      <c r="CI70" s="31"/>
      <c r="CJ70" s="31"/>
      <c r="CK70" s="29"/>
    </row>
    <row r="71" spans="1:89" x14ac:dyDescent="0.25">
      <c r="A71" s="607"/>
      <c r="B71" s="78"/>
      <c r="C71" s="78"/>
      <c r="D71" s="31"/>
      <c r="E71" s="29"/>
      <c r="F71" s="24">
        <f t="shared" si="4"/>
        <v>0</v>
      </c>
      <c r="G71" s="30"/>
      <c r="H71" s="31"/>
      <c r="I71" s="31"/>
      <c r="J71" s="31"/>
      <c r="K71" s="31"/>
      <c r="L71" s="31"/>
      <c r="M71" s="31"/>
      <c r="N71" s="31"/>
      <c r="O71" s="31"/>
      <c r="P71" s="31"/>
      <c r="Q71" s="31"/>
      <c r="R71" s="31"/>
      <c r="S71" s="31"/>
      <c r="T71" s="31"/>
      <c r="U71" s="31"/>
      <c r="V71" s="31"/>
      <c r="W71" s="31"/>
      <c r="X71" s="31"/>
      <c r="Y71" s="31"/>
      <c r="Z71" s="31"/>
      <c r="AA71" s="31"/>
      <c r="AB71" s="31"/>
      <c r="AC71" s="31"/>
      <c r="AD71" s="31"/>
      <c r="AE71" s="31"/>
      <c r="AF71" s="31"/>
      <c r="AG71" s="29"/>
      <c r="AH71" s="24">
        <f t="shared" si="5"/>
        <v>0</v>
      </c>
      <c r="AI71" s="32"/>
      <c r="AJ71" s="28"/>
      <c r="AK71" s="28"/>
      <c r="AL71" s="28"/>
      <c r="AM71" s="28"/>
      <c r="AN71" s="28"/>
      <c r="AO71" s="28"/>
      <c r="AP71" s="28"/>
      <c r="AQ71" s="28"/>
      <c r="AR71" s="28"/>
      <c r="AS71" s="28"/>
      <c r="AT71" s="28"/>
      <c r="AU71" s="28"/>
      <c r="AV71" s="28"/>
      <c r="AW71" s="28"/>
      <c r="AX71" s="28"/>
      <c r="AY71" s="28"/>
      <c r="AZ71" s="28"/>
      <c r="BA71" s="28"/>
      <c r="BB71" s="28"/>
      <c r="BC71" s="28"/>
      <c r="BD71" s="28"/>
      <c r="BE71" s="28"/>
      <c r="BF71" s="28"/>
      <c r="BG71" s="28"/>
      <c r="BH71" s="28"/>
      <c r="BI71" s="33"/>
      <c r="BJ71" s="24">
        <f t="shared" si="6"/>
        <v>0</v>
      </c>
      <c r="BK71" s="30"/>
      <c r="BL71" s="31"/>
      <c r="BM71" s="31"/>
      <c r="BN71" s="31"/>
      <c r="BO71" s="31"/>
      <c r="BP71" s="31"/>
      <c r="BQ71" s="31"/>
      <c r="BR71" s="31"/>
      <c r="BS71" s="31"/>
      <c r="BT71" s="31"/>
      <c r="BU71" s="31"/>
      <c r="BV71" s="31"/>
      <c r="BW71" s="31"/>
      <c r="BX71" s="31"/>
      <c r="BY71" s="31"/>
      <c r="BZ71" s="31"/>
      <c r="CA71" s="31"/>
      <c r="CB71" s="31"/>
      <c r="CC71" s="31"/>
      <c r="CD71" s="31"/>
      <c r="CE71" s="31"/>
      <c r="CF71" s="31"/>
      <c r="CG71" s="31"/>
      <c r="CH71" s="31"/>
      <c r="CI71" s="31"/>
      <c r="CJ71" s="31"/>
      <c r="CK71" s="29"/>
    </row>
    <row r="72" spans="1:89" x14ac:dyDescent="0.25">
      <c r="A72" s="607"/>
      <c r="B72" s="78"/>
      <c r="C72" s="78"/>
      <c r="D72" s="31"/>
      <c r="E72" s="29"/>
      <c r="F72" s="24">
        <f t="shared" si="4"/>
        <v>0</v>
      </c>
      <c r="G72" s="30"/>
      <c r="H72" s="31"/>
      <c r="I72" s="31"/>
      <c r="J72" s="31"/>
      <c r="K72" s="31"/>
      <c r="L72" s="31"/>
      <c r="M72" s="31"/>
      <c r="N72" s="31"/>
      <c r="O72" s="31"/>
      <c r="P72" s="31"/>
      <c r="Q72" s="31"/>
      <c r="R72" s="31"/>
      <c r="S72" s="31"/>
      <c r="T72" s="31"/>
      <c r="U72" s="31"/>
      <c r="V72" s="31"/>
      <c r="W72" s="31"/>
      <c r="X72" s="31"/>
      <c r="Y72" s="31"/>
      <c r="Z72" s="31"/>
      <c r="AA72" s="31"/>
      <c r="AB72" s="31"/>
      <c r="AC72" s="31"/>
      <c r="AD72" s="31"/>
      <c r="AE72" s="31"/>
      <c r="AF72" s="31"/>
      <c r="AG72" s="29"/>
      <c r="AH72" s="24">
        <f t="shared" si="5"/>
        <v>0</v>
      </c>
      <c r="AI72" s="32"/>
      <c r="AJ72" s="28"/>
      <c r="AK72" s="28"/>
      <c r="AL72" s="28"/>
      <c r="AM72" s="28"/>
      <c r="AN72" s="28"/>
      <c r="AO72" s="28"/>
      <c r="AP72" s="28"/>
      <c r="AQ72" s="28"/>
      <c r="AR72" s="28"/>
      <c r="AS72" s="28"/>
      <c r="AT72" s="28"/>
      <c r="AU72" s="28"/>
      <c r="AV72" s="28"/>
      <c r="AW72" s="28"/>
      <c r="AX72" s="28"/>
      <c r="AY72" s="28"/>
      <c r="AZ72" s="28"/>
      <c r="BA72" s="28"/>
      <c r="BB72" s="28"/>
      <c r="BC72" s="28"/>
      <c r="BD72" s="28"/>
      <c r="BE72" s="28"/>
      <c r="BF72" s="28"/>
      <c r="BG72" s="28"/>
      <c r="BH72" s="28"/>
      <c r="BI72" s="33"/>
      <c r="BJ72" s="24">
        <f t="shared" si="6"/>
        <v>0</v>
      </c>
      <c r="BK72" s="30"/>
      <c r="BL72" s="31"/>
      <c r="BM72" s="31"/>
      <c r="BN72" s="31"/>
      <c r="BO72" s="31"/>
      <c r="BP72" s="31"/>
      <c r="BQ72" s="31"/>
      <c r="BR72" s="31"/>
      <c r="BS72" s="31"/>
      <c r="BT72" s="31"/>
      <c r="BU72" s="31"/>
      <c r="BV72" s="31"/>
      <c r="BW72" s="31"/>
      <c r="BX72" s="31"/>
      <c r="BY72" s="31"/>
      <c r="BZ72" s="31"/>
      <c r="CA72" s="31"/>
      <c r="CB72" s="31"/>
      <c r="CC72" s="31"/>
      <c r="CD72" s="31"/>
      <c r="CE72" s="31"/>
      <c r="CF72" s="31"/>
      <c r="CG72" s="31"/>
      <c r="CH72" s="31"/>
      <c r="CI72" s="31"/>
      <c r="CJ72" s="31"/>
      <c r="CK72" s="29"/>
    </row>
    <row r="73" spans="1:89" x14ac:dyDescent="0.25">
      <c r="A73" s="607"/>
      <c r="B73" s="78"/>
      <c r="C73" s="78"/>
      <c r="D73" s="31"/>
      <c r="E73" s="29"/>
      <c r="F73" s="24">
        <f t="shared" si="4"/>
        <v>0</v>
      </c>
      <c r="G73" s="30"/>
      <c r="H73" s="31"/>
      <c r="I73" s="31"/>
      <c r="J73" s="31"/>
      <c r="K73" s="31"/>
      <c r="L73" s="31"/>
      <c r="M73" s="31"/>
      <c r="N73" s="31"/>
      <c r="O73" s="31"/>
      <c r="P73" s="31"/>
      <c r="Q73" s="31"/>
      <c r="R73" s="31"/>
      <c r="S73" s="31"/>
      <c r="T73" s="31"/>
      <c r="U73" s="31"/>
      <c r="V73" s="31"/>
      <c r="W73" s="31"/>
      <c r="X73" s="31"/>
      <c r="Y73" s="31"/>
      <c r="Z73" s="31"/>
      <c r="AA73" s="31"/>
      <c r="AB73" s="31"/>
      <c r="AC73" s="31"/>
      <c r="AD73" s="31"/>
      <c r="AE73" s="31"/>
      <c r="AF73" s="31"/>
      <c r="AG73" s="29"/>
      <c r="AH73" s="24">
        <f t="shared" si="5"/>
        <v>0</v>
      </c>
      <c r="AI73" s="32"/>
      <c r="AJ73" s="28"/>
      <c r="AK73" s="28"/>
      <c r="AL73" s="28"/>
      <c r="AM73" s="28"/>
      <c r="AN73" s="28"/>
      <c r="AO73" s="28"/>
      <c r="AP73" s="28"/>
      <c r="AQ73" s="28"/>
      <c r="AR73" s="28"/>
      <c r="AS73" s="28"/>
      <c r="AT73" s="28"/>
      <c r="AU73" s="28"/>
      <c r="AV73" s="28"/>
      <c r="AW73" s="28"/>
      <c r="AX73" s="28"/>
      <c r="AY73" s="28"/>
      <c r="AZ73" s="28"/>
      <c r="BA73" s="28"/>
      <c r="BB73" s="28"/>
      <c r="BC73" s="28"/>
      <c r="BD73" s="28"/>
      <c r="BE73" s="28"/>
      <c r="BF73" s="28"/>
      <c r="BG73" s="28"/>
      <c r="BH73" s="28"/>
      <c r="BI73" s="33"/>
      <c r="BJ73" s="24">
        <f t="shared" si="6"/>
        <v>0</v>
      </c>
      <c r="BK73" s="30"/>
      <c r="BL73" s="31"/>
      <c r="BM73" s="31"/>
      <c r="BN73" s="31"/>
      <c r="BO73" s="31"/>
      <c r="BP73" s="31"/>
      <c r="BQ73" s="31"/>
      <c r="BR73" s="31"/>
      <c r="BS73" s="31"/>
      <c r="BT73" s="31"/>
      <c r="BU73" s="31"/>
      <c r="BV73" s="31"/>
      <c r="BW73" s="31"/>
      <c r="BX73" s="31"/>
      <c r="BY73" s="31"/>
      <c r="BZ73" s="31"/>
      <c r="CA73" s="31"/>
      <c r="CB73" s="31"/>
      <c r="CC73" s="31"/>
      <c r="CD73" s="31"/>
      <c r="CE73" s="31"/>
      <c r="CF73" s="31"/>
      <c r="CG73" s="31"/>
      <c r="CH73" s="31"/>
      <c r="CI73" s="31"/>
      <c r="CJ73" s="31"/>
      <c r="CK73" s="29"/>
    </row>
    <row r="74" spans="1:89" x14ac:dyDescent="0.25">
      <c r="A74" s="607"/>
      <c r="B74" s="78"/>
      <c r="C74" s="78"/>
      <c r="D74" s="31"/>
      <c r="E74" s="29"/>
      <c r="F74" s="24">
        <f t="shared" si="4"/>
        <v>0</v>
      </c>
      <c r="G74" s="30"/>
      <c r="H74" s="31"/>
      <c r="I74" s="31"/>
      <c r="J74" s="31"/>
      <c r="K74" s="31"/>
      <c r="L74" s="31"/>
      <c r="M74" s="31"/>
      <c r="N74" s="31"/>
      <c r="O74" s="31"/>
      <c r="P74" s="31"/>
      <c r="Q74" s="31"/>
      <c r="R74" s="31"/>
      <c r="S74" s="31"/>
      <c r="T74" s="31"/>
      <c r="U74" s="31"/>
      <c r="V74" s="31"/>
      <c r="W74" s="31"/>
      <c r="X74" s="31"/>
      <c r="Y74" s="31"/>
      <c r="Z74" s="31"/>
      <c r="AA74" s="31"/>
      <c r="AB74" s="31"/>
      <c r="AC74" s="31"/>
      <c r="AD74" s="31"/>
      <c r="AE74" s="31"/>
      <c r="AF74" s="31"/>
      <c r="AG74" s="29"/>
      <c r="AH74" s="24">
        <f t="shared" si="5"/>
        <v>0</v>
      </c>
      <c r="AI74" s="32"/>
      <c r="AJ74" s="28"/>
      <c r="AK74" s="28"/>
      <c r="AL74" s="28"/>
      <c r="AM74" s="28"/>
      <c r="AN74" s="28"/>
      <c r="AO74" s="28"/>
      <c r="AP74" s="28"/>
      <c r="AQ74" s="28"/>
      <c r="AR74" s="28"/>
      <c r="AS74" s="28"/>
      <c r="AT74" s="28"/>
      <c r="AU74" s="28"/>
      <c r="AV74" s="28"/>
      <c r="AW74" s="28"/>
      <c r="AX74" s="28"/>
      <c r="AY74" s="28"/>
      <c r="AZ74" s="28"/>
      <c r="BA74" s="28"/>
      <c r="BB74" s="28"/>
      <c r="BC74" s="28"/>
      <c r="BD74" s="28"/>
      <c r="BE74" s="28"/>
      <c r="BF74" s="28"/>
      <c r="BG74" s="28"/>
      <c r="BH74" s="28"/>
      <c r="BI74" s="33"/>
      <c r="BJ74" s="24">
        <f t="shared" si="6"/>
        <v>0</v>
      </c>
      <c r="BK74" s="30"/>
      <c r="BL74" s="31"/>
      <c r="BM74" s="31"/>
      <c r="BN74" s="31"/>
      <c r="BO74" s="31"/>
      <c r="BP74" s="31"/>
      <c r="BQ74" s="31"/>
      <c r="BR74" s="31"/>
      <c r="BS74" s="31"/>
      <c r="BT74" s="31"/>
      <c r="BU74" s="31"/>
      <c r="BV74" s="31"/>
      <c r="BW74" s="31"/>
      <c r="BX74" s="31"/>
      <c r="BY74" s="31"/>
      <c r="BZ74" s="31"/>
      <c r="CA74" s="31"/>
      <c r="CB74" s="31"/>
      <c r="CC74" s="31"/>
      <c r="CD74" s="31"/>
      <c r="CE74" s="31"/>
      <c r="CF74" s="31"/>
      <c r="CG74" s="31"/>
      <c r="CH74" s="31"/>
      <c r="CI74" s="31"/>
      <c r="CJ74" s="31"/>
      <c r="CK74" s="29"/>
    </row>
    <row r="75" spans="1:89" x14ac:dyDescent="0.25">
      <c r="A75" s="607"/>
      <c r="B75" s="78"/>
      <c r="C75" s="78"/>
      <c r="D75" s="31"/>
      <c r="E75" s="29"/>
      <c r="F75" s="24">
        <f t="shared" si="4"/>
        <v>0</v>
      </c>
      <c r="G75" s="30"/>
      <c r="H75" s="31"/>
      <c r="I75" s="31"/>
      <c r="J75" s="31"/>
      <c r="K75" s="31"/>
      <c r="L75" s="31"/>
      <c r="M75" s="31"/>
      <c r="N75" s="31"/>
      <c r="O75" s="31"/>
      <c r="P75" s="31"/>
      <c r="Q75" s="31"/>
      <c r="R75" s="31"/>
      <c r="S75" s="31"/>
      <c r="T75" s="31"/>
      <c r="U75" s="31"/>
      <c r="V75" s="31"/>
      <c r="W75" s="31"/>
      <c r="X75" s="31"/>
      <c r="Y75" s="31"/>
      <c r="Z75" s="31"/>
      <c r="AA75" s="31"/>
      <c r="AB75" s="31"/>
      <c r="AC75" s="31"/>
      <c r="AD75" s="31"/>
      <c r="AE75" s="31"/>
      <c r="AF75" s="31"/>
      <c r="AG75" s="29"/>
      <c r="AH75" s="24">
        <f t="shared" si="5"/>
        <v>0</v>
      </c>
      <c r="AI75" s="32"/>
      <c r="AJ75" s="28"/>
      <c r="AK75" s="28"/>
      <c r="AL75" s="28"/>
      <c r="AM75" s="28"/>
      <c r="AN75" s="28"/>
      <c r="AO75" s="28"/>
      <c r="AP75" s="28"/>
      <c r="AQ75" s="28"/>
      <c r="AR75" s="28"/>
      <c r="AS75" s="28"/>
      <c r="AT75" s="28"/>
      <c r="AU75" s="28"/>
      <c r="AV75" s="28"/>
      <c r="AW75" s="28"/>
      <c r="AX75" s="28"/>
      <c r="AY75" s="28"/>
      <c r="AZ75" s="28"/>
      <c r="BA75" s="28"/>
      <c r="BB75" s="28"/>
      <c r="BC75" s="28"/>
      <c r="BD75" s="28"/>
      <c r="BE75" s="28"/>
      <c r="BF75" s="28"/>
      <c r="BG75" s="28"/>
      <c r="BH75" s="28"/>
      <c r="BI75" s="33"/>
      <c r="BJ75" s="24">
        <f t="shared" si="6"/>
        <v>0</v>
      </c>
      <c r="BK75" s="30"/>
      <c r="BL75" s="31"/>
      <c r="BM75" s="31"/>
      <c r="BN75" s="31"/>
      <c r="BO75" s="31"/>
      <c r="BP75" s="31"/>
      <c r="BQ75" s="31"/>
      <c r="BR75" s="31"/>
      <c r="BS75" s="31"/>
      <c r="BT75" s="31"/>
      <c r="BU75" s="31"/>
      <c r="BV75" s="31"/>
      <c r="BW75" s="31"/>
      <c r="BX75" s="31"/>
      <c r="BY75" s="31"/>
      <c r="BZ75" s="31"/>
      <c r="CA75" s="31"/>
      <c r="CB75" s="31"/>
      <c r="CC75" s="31"/>
      <c r="CD75" s="31"/>
      <c r="CE75" s="31"/>
      <c r="CF75" s="31"/>
      <c r="CG75" s="31"/>
      <c r="CH75" s="31"/>
      <c r="CI75" s="31"/>
      <c r="CJ75" s="31"/>
      <c r="CK75" s="29"/>
    </row>
    <row r="76" spans="1:89" x14ac:dyDescent="0.25">
      <c r="A76" s="607"/>
      <c r="B76" s="78"/>
      <c r="C76" s="78"/>
      <c r="D76" s="31"/>
      <c r="E76" s="29"/>
      <c r="F76" s="24">
        <f t="shared" si="4"/>
        <v>0</v>
      </c>
      <c r="G76" s="30"/>
      <c r="H76" s="31"/>
      <c r="I76" s="31"/>
      <c r="J76" s="31"/>
      <c r="K76" s="31"/>
      <c r="L76" s="31"/>
      <c r="M76" s="31"/>
      <c r="N76" s="31"/>
      <c r="O76" s="31"/>
      <c r="P76" s="31"/>
      <c r="Q76" s="31"/>
      <c r="R76" s="31"/>
      <c r="S76" s="31"/>
      <c r="T76" s="31"/>
      <c r="U76" s="31"/>
      <c r="V76" s="31"/>
      <c r="W76" s="31"/>
      <c r="X76" s="31"/>
      <c r="Y76" s="31"/>
      <c r="Z76" s="31"/>
      <c r="AA76" s="31"/>
      <c r="AB76" s="31"/>
      <c r="AC76" s="31"/>
      <c r="AD76" s="31"/>
      <c r="AE76" s="31"/>
      <c r="AF76" s="31"/>
      <c r="AG76" s="29"/>
      <c r="AH76" s="24">
        <f t="shared" si="5"/>
        <v>0</v>
      </c>
      <c r="AI76" s="32"/>
      <c r="AJ76" s="28"/>
      <c r="AK76" s="28"/>
      <c r="AL76" s="28"/>
      <c r="AM76" s="28"/>
      <c r="AN76" s="28"/>
      <c r="AO76" s="28"/>
      <c r="AP76" s="28"/>
      <c r="AQ76" s="28"/>
      <c r="AR76" s="28"/>
      <c r="AS76" s="28"/>
      <c r="AT76" s="28"/>
      <c r="AU76" s="28"/>
      <c r="AV76" s="28"/>
      <c r="AW76" s="28"/>
      <c r="AX76" s="28"/>
      <c r="AY76" s="28"/>
      <c r="AZ76" s="28"/>
      <c r="BA76" s="28"/>
      <c r="BB76" s="28"/>
      <c r="BC76" s="28"/>
      <c r="BD76" s="28"/>
      <c r="BE76" s="28"/>
      <c r="BF76" s="28"/>
      <c r="BG76" s="28"/>
      <c r="BH76" s="28"/>
      <c r="BI76" s="33"/>
      <c r="BJ76" s="24">
        <f t="shared" si="6"/>
        <v>0</v>
      </c>
      <c r="BK76" s="30"/>
      <c r="BL76" s="31"/>
      <c r="BM76" s="31"/>
      <c r="BN76" s="31"/>
      <c r="BO76" s="31"/>
      <c r="BP76" s="31"/>
      <c r="BQ76" s="31"/>
      <c r="BR76" s="31"/>
      <c r="BS76" s="31"/>
      <c r="BT76" s="31"/>
      <c r="BU76" s="31"/>
      <c r="BV76" s="31"/>
      <c r="BW76" s="31"/>
      <c r="BX76" s="31"/>
      <c r="BY76" s="31"/>
      <c r="BZ76" s="31"/>
      <c r="CA76" s="31"/>
      <c r="CB76" s="31"/>
      <c r="CC76" s="31"/>
      <c r="CD76" s="31"/>
      <c r="CE76" s="31"/>
      <c r="CF76" s="31"/>
      <c r="CG76" s="31"/>
      <c r="CH76" s="31"/>
      <c r="CI76" s="31"/>
      <c r="CJ76" s="31"/>
      <c r="CK76" s="29"/>
    </row>
    <row r="77" spans="1:89" x14ac:dyDescent="0.25">
      <c r="A77" s="607"/>
      <c r="B77" s="78"/>
      <c r="C77" s="78"/>
      <c r="D77" s="31"/>
      <c r="E77" s="29"/>
      <c r="F77" s="24">
        <f t="shared" si="4"/>
        <v>0</v>
      </c>
      <c r="G77" s="30"/>
      <c r="H77" s="31"/>
      <c r="I77" s="31"/>
      <c r="J77" s="31"/>
      <c r="K77" s="31"/>
      <c r="L77" s="31"/>
      <c r="M77" s="31"/>
      <c r="N77" s="31"/>
      <c r="O77" s="31"/>
      <c r="P77" s="31"/>
      <c r="Q77" s="31"/>
      <c r="R77" s="31"/>
      <c r="S77" s="31"/>
      <c r="T77" s="31"/>
      <c r="U77" s="31"/>
      <c r="V77" s="31"/>
      <c r="W77" s="31"/>
      <c r="X77" s="31"/>
      <c r="Y77" s="31"/>
      <c r="Z77" s="31"/>
      <c r="AA77" s="31"/>
      <c r="AB77" s="31"/>
      <c r="AC77" s="31"/>
      <c r="AD77" s="31"/>
      <c r="AE77" s="31"/>
      <c r="AF77" s="31"/>
      <c r="AG77" s="29"/>
      <c r="AH77" s="24">
        <f t="shared" si="5"/>
        <v>0</v>
      </c>
      <c r="AI77" s="32"/>
      <c r="AJ77" s="28"/>
      <c r="AK77" s="28"/>
      <c r="AL77" s="28"/>
      <c r="AM77" s="28"/>
      <c r="AN77" s="28"/>
      <c r="AO77" s="28"/>
      <c r="AP77" s="28"/>
      <c r="AQ77" s="28"/>
      <c r="AR77" s="28"/>
      <c r="AS77" s="28"/>
      <c r="AT77" s="28"/>
      <c r="AU77" s="28"/>
      <c r="AV77" s="28"/>
      <c r="AW77" s="28"/>
      <c r="AX77" s="28"/>
      <c r="AY77" s="28"/>
      <c r="AZ77" s="28"/>
      <c r="BA77" s="28"/>
      <c r="BB77" s="28"/>
      <c r="BC77" s="28"/>
      <c r="BD77" s="28"/>
      <c r="BE77" s="28"/>
      <c r="BF77" s="28"/>
      <c r="BG77" s="28"/>
      <c r="BH77" s="28"/>
      <c r="BI77" s="33"/>
      <c r="BJ77" s="24">
        <f t="shared" si="6"/>
        <v>0</v>
      </c>
      <c r="BK77" s="30"/>
      <c r="BL77" s="31"/>
      <c r="BM77" s="31"/>
      <c r="BN77" s="31"/>
      <c r="BO77" s="31"/>
      <c r="BP77" s="31"/>
      <c r="BQ77" s="31"/>
      <c r="BR77" s="31"/>
      <c r="BS77" s="31"/>
      <c r="BT77" s="31"/>
      <c r="BU77" s="31"/>
      <c r="BV77" s="31"/>
      <c r="BW77" s="31"/>
      <c r="BX77" s="31"/>
      <c r="BY77" s="31"/>
      <c r="BZ77" s="31"/>
      <c r="CA77" s="31"/>
      <c r="CB77" s="31"/>
      <c r="CC77" s="31"/>
      <c r="CD77" s="31"/>
      <c r="CE77" s="31"/>
      <c r="CF77" s="31"/>
      <c r="CG77" s="31"/>
      <c r="CH77" s="31"/>
      <c r="CI77" s="31"/>
      <c r="CJ77" s="31"/>
      <c r="CK77" s="29"/>
    </row>
    <row r="78" spans="1:89" x14ac:dyDescent="0.25">
      <c r="A78" s="607"/>
      <c r="B78" s="78"/>
      <c r="C78" s="78"/>
      <c r="D78" s="31"/>
      <c r="E78" s="29"/>
      <c r="F78" s="24">
        <f t="shared" si="4"/>
        <v>0</v>
      </c>
      <c r="G78" s="30"/>
      <c r="H78" s="31"/>
      <c r="I78" s="31"/>
      <c r="J78" s="31"/>
      <c r="K78" s="31"/>
      <c r="L78" s="31"/>
      <c r="M78" s="31"/>
      <c r="N78" s="31"/>
      <c r="O78" s="31"/>
      <c r="P78" s="31"/>
      <c r="Q78" s="31"/>
      <c r="R78" s="31"/>
      <c r="S78" s="31"/>
      <c r="T78" s="31"/>
      <c r="U78" s="31"/>
      <c r="V78" s="31"/>
      <c r="W78" s="31"/>
      <c r="X78" s="31"/>
      <c r="Y78" s="31"/>
      <c r="Z78" s="31"/>
      <c r="AA78" s="31"/>
      <c r="AB78" s="31"/>
      <c r="AC78" s="31"/>
      <c r="AD78" s="31"/>
      <c r="AE78" s="31"/>
      <c r="AF78" s="31"/>
      <c r="AG78" s="29"/>
      <c r="AH78" s="24">
        <f t="shared" si="5"/>
        <v>0</v>
      </c>
      <c r="AI78" s="32"/>
      <c r="AJ78" s="28"/>
      <c r="AK78" s="28"/>
      <c r="AL78" s="28"/>
      <c r="AM78" s="28"/>
      <c r="AN78" s="28"/>
      <c r="AO78" s="28"/>
      <c r="AP78" s="28"/>
      <c r="AQ78" s="28"/>
      <c r="AR78" s="28"/>
      <c r="AS78" s="28"/>
      <c r="AT78" s="28"/>
      <c r="AU78" s="28"/>
      <c r="AV78" s="28"/>
      <c r="AW78" s="28"/>
      <c r="AX78" s="28"/>
      <c r="AY78" s="28"/>
      <c r="AZ78" s="28"/>
      <c r="BA78" s="28"/>
      <c r="BB78" s="28"/>
      <c r="BC78" s="28"/>
      <c r="BD78" s="28"/>
      <c r="BE78" s="28"/>
      <c r="BF78" s="28"/>
      <c r="BG78" s="28"/>
      <c r="BH78" s="28"/>
      <c r="BI78" s="33"/>
      <c r="BJ78" s="24">
        <f t="shared" si="6"/>
        <v>0</v>
      </c>
      <c r="BK78" s="30"/>
      <c r="BL78" s="31"/>
      <c r="BM78" s="31"/>
      <c r="BN78" s="31"/>
      <c r="BO78" s="31"/>
      <c r="BP78" s="31"/>
      <c r="BQ78" s="31"/>
      <c r="BR78" s="31"/>
      <c r="BS78" s="31"/>
      <c r="BT78" s="31"/>
      <c r="BU78" s="31"/>
      <c r="BV78" s="31"/>
      <c r="BW78" s="31"/>
      <c r="BX78" s="31"/>
      <c r="BY78" s="31"/>
      <c r="BZ78" s="31"/>
      <c r="CA78" s="31"/>
      <c r="CB78" s="31"/>
      <c r="CC78" s="31"/>
      <c r="CD78" s="31"/>
      <c r="CE78" s="31"/>
      <c r="CF78" s="31"/>
      <c r="CG78" s="31"/>
      <c r="CH78" s="31"/>
      <c r="CI78" s="31"/>
      <c r="CJ78" s="31"/>
      <c r="CK78" s="29"/>
    </row>
    <row r="79" spans="1:89" x14ac:dyDescent="0.25">
      <c r="A79" s="607"/>
      <c r="B79" s="78"/>
      <c r="C79" s="78"/>
      <c r="D79" s="31"/>
      <c r="E79" s="29"/>
      <c r="F79" s="24">
        <f t="shared" si="4"/>
        <v>0</v>
      </c>
      <c r="G79" s="30"/>
      <c r="H79" s="31"/>
      <c r="I79" s="31"/>
      <c r="J79" s="31"/>
      <c r="K79" s="31"/>
      <c r="L79" s="31"/>
      <c r="M79" s="31"/>
      <c r="N79" s="31"/>
      <c r="O79" s="31"/>
      <c r="P79" s="31"/>
      <c r="Q79" s="31"/>
      <c r="R79" s="31"/>
      <c r="S79" s="31"/>
      <c r="T79" s="31"/>
      <c r="U79" s="31"/>
      <c r="V79" s="31"/>
      <c r="W79" s="31"/>
      <c r="X79" s="31"/>
      <c r="Y79" s="31"/>
      <c r="Z79" s="31"/>
      <c r="AA79" s="31"/>
      <c r="AB79" s="31"/>
      <c r="AC79" s="31"/>
      <c r="AD79" s="31"/>
      <c r="AE79" s="31"/>
      <c r="AF79" s="31"/>
      <c r="AG79" s="29"/>
      <c r="AH79" s="24">
        <f t="shared" si="5"/>
        <v>0</v>
      </c>
      <c r="AI79" s="32"/>
      <c r="AJ79" s="28"/>
      <c r="AK79" s="28"/>
      <c r="AL79" s="28"/>
      <c r="AM79" s="28"/>
      <c r="AN79" s="28"/>
      <c r="AO79" s="28"/>
      <c r="AP79" s="28"/>
      <c r="AQ79" s="28"/>
      <c r="AR79" s="28"/>
      <c r="AS79" s="28"/>
      <c r="AT79" s="28"/>
      <c r="AU79" s="28"/>
      <c r="AV79" s="28"/>
      <c r="AW79" s="28"/>
      <c r="AX79" s="28"/>
      <c r="AY79" s="28"/>
      <c r="AZ79" s="28"/>
      <c r="BA79" s="28"/>
      <c r="BB79" s="28"/>
      <c r="BC79" s="28"/>
      <c r="BD79" s="28"/>
      <c r="BE79" s="28"/>
      <c r="BF79" s="28"/>
      <c r="BG79" s="28"/>
      <c r="BH79" s="28"/>
      <c r="BI79" s="33"/>
      <c r="BJ79" s="24">
        <f t="shared" si="6"/>
        <v>0</v>
      </c>
      <c r="BK79" s="30"/>
      <c r="BL79" s="31"/>
      <c r="BM79" s="31"/>
      <c r="BN79" s="31"/>
      <c r="BO79" s="31"/>
      <c r="BP79" s="31"/>
      <c r="BQ79" s="31"/>
      <c r="BR79" s="31"/>
      <c r="BS79" s="31"/>
      <c r="BT79" s="31"/>
      <c r="BU79" s="31"/>
      <c r="BV79" s="31"/>
      <c r="BW79" s="31"/>
      <c r="BX79" s="31"/>
      <c r="BY79" s="31"/>
      <c r="BZ79" s="31"/>
      <c r="CA79" s="31"/>
      <c r="CB79" s="31"/>
      <c r="CC79" s="31"/>
      <c r="CD79" s="31"/>
      <c r="CE79" s="31"/>
      <c r="CF79" s="31"/>
      <c r="CG79" s="31"/>
      <c r="CH79" s="31"/>
      <c r="CI79" s="31"/>
      <c r="CJ79" s="31"/>
      <c r="CK79" s="29"/>
    </row>
    <row r="80" spans="1:89" x14ac:dyDescent="0.25">
      <c r="A80" s="607"/>
      <c r="B80" s="78"/>
      <c r="C80" s="78"/>
      <c r="D80" s="31"/>
      <c r="E80" s="29"/>
      <c r="F80" s="24">
        <f t="shared" si="4"/>
        <v>0</v>
      </c>
      <c r="G80" s="30"/>
      <c r="H80" s="31"/>
      <c r="I80" s="31"/>
      <c r="J80" s="31"/>
      <c r="K80" s="31"/>
      <c r="L80" s="31"/>
      <c r="M80" s="31"/>
      <c r="N80" s="31"/>
      <c r="O80" s="31"/>
      <c r="P80" s="31"/>
      <c r="Q80" s="31"/>
      <c r="R80" s="31"/>
      <c r="S80" s="31"/>
      <c r="T80" s="31"/>
      <c r="U80" s="31"/>
      <c r="V80" s="31"/>
      <c r="W80" s="31"/>
      <c r="X80" s="31"/>
      <c r="Y80" s="31"/>
      <c r="Z80" s="31"/>
      <c r="AA80" s="31"/>
      <c r="AB80" s="31"/>
      <c r="AC80" s="31"/>
      <c r="AD80" s="31"/>
      <c r="AE80" s="31"/>
      <c r="AF80" s="31"/>
      <c r="AG80" s="29"/>
      <c r="AH80" s="24">
        <f t="shared" si="5"/>
        <v>0</v>
      </c>
      <c r="AI80" s="32"/>
      <c r="AJ80" s="28"/>
      <c r="AK80" s="28"/>
      <c r="AL80" s="28"/>
      <c r="AM80" s="28"/>
      <c r="AN80" s="28"/>
      <c r="AO80" s="28"/>
      <c r="AP80" s="28"/>
      <c r="AQ80" s="28"/>
      <c r="AR80" s="28"/>
      <c r="AS80" s="28"/>
      <c r="AT80" s="28"/>
      <c r="AU80" s="28"/>
      <c r="AV80" s="28"/>
      <c r="AW80" s="28"/>
      <c r="AX80" s="28"/>
      <c r="AY80" s="28"/>
      <c r="AZ80" s="28"/>
      <c r="BA80" s="28"/>
      <c r="BB80" s="28"/>
      <c r="BC80" s="28"/>
      <c r="BD80" s="28"/>
      <c r="BE80" s="28"/>
      <c r="BF80" s="28"/>
      <c r="BG80" s="28"/>
      <c r="BH80" s="28"/>
      <c r="BI80" s="33"/>
      <c r="BJ80" s="24">
        <f t="shared" si="6"/>
        <v>0</v>
      </c>
      <c r="BK80" s="30"/>
      <c r="BL80" s="31"/>
      <c r="BM80" s="31"/>
      <c r="BN80" s="31"/>
      <c r="BO80" s="31"/>
      <c r="BP80" s="31"/>
      <c r="BQ80" s="31"/>
      <c r="BR80" s="31"/>
      <c r="BS80" s="31"/>
      <c r="BT80" s="31"/>
      <c r="BU80" s="31"/>
      <c r="BV80" s="31"/>
      <c r="BW80" s="31"/>
      <c r="BX80" s="31"/>
      <c r="BY80" s="31"/>
      <c r="BZ80" s="31"/>
      <c r="CA80" s="31"/>
      <c r="CB80" s="31"/>
      <c r="CC80" s="31"/>
      <c r="CD80" s="31"/>
      <c r="CE80" s="31"/>
      <c r="CF80" s="31"/>
      <c r="CG80" s="31"/>
      <c r="CH80" s="31"/>
      <c r="CI80" s="31"/>
      <c r="CJ80" s="31"/>
      <c r="CK80" s="29"/>
    </row>
    <row r="81" spans="1:89" x14ac:dyDescent="0.25">
      <c r="A81" s="607"/>
      <c r="B81" s="78"/>
      <c r="C81" s="78"/>
      <c r="D81" s="31"/>
      <c r="E81" s="29"/>
      <c r="F81" s="24">
        <f t="shared" si="4"/>
        <v>0</v>
      </c>
      <c r="G81" s="30"/>
      <c r="H81" s="31"/>
      <c r="I81" s="31"/>
      <c r="J81" s="31"/>
      <c r="K81" s="31"/>
      <c r="L81" s="31"/>
      <c r="M81" s="31"/>
      <c r="N81" s="31"/>
      <c r="O81" s="31"/>
      <c r="P81" s="31"/>
      <c r="Q81" s="31"/>
      <c r="R81" s="31"/>
      <c r="S81" s="31"/>
      <c r="T81" s="31"/>
      <c r="U81" s="31"/>
      <c r="V81" s="31"/>
      <c r="W81" s="31"/>
      <c r="X81" s="31"/>
      <c r="Y81" s="31"/>
      <c r="Z81" s="31"/>
      <c r="AA81" s="31"/>
      <c r="AB81" s="31"/>
      <c r="AC81" s="31"/>
      <c r="AD81" s="31"/>
      <c r="AE81" s="31"/>
      <c r="AF81" s="31"/>
      <c r="AG81" s="29"/>
      <c r="AH81" s="24">
        <f t="shared" si="5"/>
        <v>0</v>
      </c>
      <c r="AI81" s="32"/>
      <c r="AJ81" s="28"/>
      <c r="AK81" s="28"/>
      <c r="AL81" s="28"/>
      <c r="AM81" s="28"/>
      <c r="AN81" s="28"/>
      <c r="AO81" s="28"/>
      <c r="AP81" s="28"/>
      <c r="AQ81" s="28"/>
      <c r="AR81" s="28"/>
      <c r="AS81" s="28"/>
      <c r="AT81" s="28"/>
      <c r="AU81" s="28"/>
      <c r="AV81" s="28"/>
      <c r="AW81" s="28"/>
      <c r="AX81" s="28"/>
      <c r="AY81" s="28"/>
      <c r="AZ81" s="28"/>
      <c r="BA81" s="28"/>
      <c r="BB81" s="28"/>
      <c r="BC81" s="28"/>
      <c r="BD81" s="28"/>
      <c r="BE81" s="28"/>
      <c r="BF81" s="28"/>
      <c r="BG81" s="28"/>
      <c r="BH81" s="28"/>
      <c r="BI81" s="33"/>
      <c r="BJ81" s="24">
        <f t="shared" si="6"/>
        <v>0</v>
      </c>
      <c r="BK81" s="30"/>
      <c r="BL81" s="31"/>
      <c r="BM81" s="31"/>
      <c r="BN81" s="31"/>
      <c r="BO81" s="31"/>
      <c r="BP81" s="31"/>
      <c r="BQ81" s="31"/>
      <c r="BR81" s="31"/>
      <c r="BS81" s="31"/>
      <c r="BT81" s="31"/>
      <c r="BU81" s="31"/>
      <c r="BV81" s="31"/>
      <c r="BW81" s="31"/>
      <c r="BX81" s="31"/>
      <c r="BY81" s="31"/>
      <c r="BZ81" s="31"/>
      <c r="CA81" s="31"/>
      <c r="CB81" s="31"/>
      <c r="CC81" s="31"/>
      <c r="CD81" s="31"/>
      <c r="CE81" s="31"/>
      <c r="CF81" s="31"/>
      <c r="CG81" s="31"/>
      <c r="CH81" s="31"/>
      <c r="CI81" s="31"/>
      <c r="CJ81" s="31"/>
      <c r="CK81" s="29"/>
    </row>
    <row r="82" spans="1:89" x14ac:dyDescent="0.25">
      <c r="A82" s="607"/>
      <c r="B82" s="78"/>
      <c r="C82" s="78"/>
      <c r="D82" s="31"/>
      <c r="E82" s="29"/>
      <c r="F82" s="24">
        <f t="shared" si="4"/>
        <v>0</v>
      </c>
      <c r="G82" s="30"/>
      <c r="H82" s="31"/>
      <c r="I82" s="31"/>
      <c r="J82" s="31"/>
      <c r="K82" s="31"/>
      <c r="L82" s="31"/>
      <c r="M82" s="31"/>
      <c r="N82" s="31"/>
      <c r="O82" s="31"/>
      <c r="P82" s="31"/>
      <c r="Q82" s="31"/>
      <c r="R82" s="31"/>
      <c r="S82" s="31"/>
      <c r="T82" s="31"/>
      <c r="U82" s="31"/>
      <c r="V82" s="31"/>
      <c r="W82" s="31"/>
      <c r="X82" s="31"/>
      <c r="Y82" s="31"/>
      <c r="Z82" s="31"/>
      <c r="AA82" s="31"/>
      <c r="AB82" s="31"/>
      <c r="AC82" s="31"/>
      <c r="AD82" s="31"/>
      <c r="AE82" s="31"/>
      <c r="AF82" s="31"/>
      <c r="AG82" s="29"/>
      <c r="AH82" s="24">
        <f t="shared" si="5"/>
        <v>0</v>
      </c>
      <c r="AI82" s="32"/>
      <c r="AJ82" s="28"/>
      <c r="AK82" s="28"/>
      <c r="AL82" s="28"/>
      <c r="AM82" s="28"/>
      <c r="AN82" s="28"/>
      <c r="AO82" s="28"/>
      <c r="AP82" s="28"/>
      <c r="AQ82" s="28"/>
      <c r="AR82" s="28"/>
      <c r="AS82" s="28"/>
      <c r="AT82" s="28"/>
      <c r="AU82" s="28"/>
      <c r="AV82" s="28"/>
      <c r="AW82" s="28"/>
      <c r="AX82" s="28"/>
      <c r="AY82" s="28"/>
      <c r="AZ82" s="28"/>
      <c r="BA82" s="28"/>
      <c r="BB82" s="28"/>
      <c r="BC82" s="28"/>
      <c r="BD82" s="28"/>
      <c r="BE82" s="28"/>
      <c r="BF82" s="28"/>
      <c r="BG82" s="28"/>
      <c r="BH82" s="28"/>
      <c r="BI82" s="33"/>
      <c r="BJ82" s="24">
        <f t="shared" si="6"/>
        <v>0</v>
      </c>
      <c r="BK82" s="30"/>
      <c r="BL82" s="31"/>
      <c r="BM82" s="31"/>
      <c r="BN82" s="31"/>
      <c r="BO82" s="31"/>
      <c r="BP82" s="31"/>
      <c r="BQ82" s="31"/>
      <c r="BR82" s="31"/>
      <c r="BS82" s="31"/>
      <c r="BT82" s="31"/>
      <c r="BU82" s="31"/>
      <c r="BV82" s="31"/>
      <c r="BW82" s="31"/>
      <c r="BX82" s="31"/>
      <c r="BY82" s="31"/>
      <c r="BZ82" s="31"/>
      <c r="CA82" s="31"/>
      <c r="CB82" s="31"/>
      <c r="CC82" s="31"/>
      <c r="CD82" s="31"/>
      <c r="CE82" s="31"/>
      <c r="CF82" s="31"/>
      <c r="CG82" s="31"/>
      <c r="CH82" s="31"/>
      <c r="CI82" s="31"/>
      <c r="CJ82" s="31"/>
      <c r="CK82" s="29"/>
    </row>
    <row r="83" spans="1:89" x14ac:dyDescent="0.25">
      <c r="A83" s="607"/>
      <c r="B83" s="78"/>
      <c r="C83" s="78"/>
      <c r="D83" s="31"/>
      <c r="E83" s="29"/>
      <c r="F83" s="24">
        <f t="shared" si="4"/>
        <v>0</v>
      </c>
      <c r="G83" s="30"/>
      <c r="H83" s="31"/>
      <c r="I83" s="31"/>
      <c r="J83" s="31"/>
      <c r="K83" s="31"/>
      <c r="L83" s="31"/>
      <c r="M83" s="31"/>
      <c r="N83" s="31"/>
      <c r="O83" s="31"/>
      <c r="P83" s="31"/>
      <c r="Q83" s="31"/>
      <c r="R83" s="31"/>
      <c r="S83" s="31"/>
      <c r="T83" s="31"/>
      <c r="U83" s="31"/>
      <c r="V83" s="31"/>
      <c r="W83" s="31"/>
      <c r="X83" s="31"/>
      <c r="Y83" s="31"/>
      <c r="Z83" s="31"/>
      <c r="AA83" s="31"/>
      <c r="AB83" s="31"/>
      <c r="AC83" s="31"/>
      <c r="AD83" s="31"/>
      <c r="AE83" s="31"/>
      <c r="AF83" s="31"/>
      <c r="AG83" s="29"/>
      <c r="AH83" s="24">
        <f t="shared" si="5"/>
        <v>0</v>
      </c>
      <c r="AI83" s="32"/>
      <c r="AJ83" s="28"/>
      <c r="AK83" s="28"/>
      <c r="AL83" s="28"/>
      <c r="AM83" s="28"/>
      <c r="AN83" s="28"/>
      <c r="AO83" s="28"/>
      <c r="AP83" s="28"/>
      <c r="AQ83" s="28"/>
      <c r="AR83" s="28"/>
      <c r="AS83" s="28"/>
      <c r="AT83" s="28"/>
      <c r="AU83" s="28"/>
      <c r="AV83" s="28"/>
      <c r="AW83" s="28"/>
      <c r="AX83" s="28"/>
      <c r="AY83" s="28"/>
      <c r="AZ83" s="28"/>
      <c r="BA83" s="28"/>
      <c r="BB83" s="28"/>
      <c r="BC83" s="28"/>
      <c r="BD83" s="28"/>
      <c r="BE83" s="28"/>
      <c r="BF83" s="28"/>
      <c r="BG83" s="28"/>
      <c r="BH83" s="28"/>
      <c r="BI83" s="33"/>
      <c r="BJ83" s="24">
        <f t="shared" si="6"/>
        <v>0</v>
      </c>
      <c r="BK83" s="30"/>
      <c r="BL83" s="31"/>
      <c r="BM83" s="31"/>
      <c r="BN83" s="31"/>
      <c r="BO83" s="31"/>
      <c r="BP83" s="31"/>
      <c r="BQ83" s="31"/>
      <c r="BR83" s="31"/>
      <c r="BS83" s="31"/>
      <c r="BT83" s="31"/>
      <c r="BU83" s="31"/>
      <c r="BV83" s="31"/>
      <c r="BW83" s="31"/>
      <c r="BX83" s="31"/>
      <c r="BY83" s="31"/>
      <c r="BZ83" s="31"/>
      <c r="CA83" s="31"/>
      <c r="CB83" s="31"/>
      <c r="CC83" s="31"/>
      <c r="CD83" s="31"/>
      <c r="CE83" s="31"/>
      <c r="CF83" s="31"/>
      <c r="CG83" s="31"/>
      <c r="CH83" s="31"/>
      <c r="CI83" s="31"/>
      <c r="CJ83" s="31"/>
      <c r="CK83" s="29"/>
    </row>
    <row r="84" spans="1:89" x14ac:dyDescent="0.25">
      <c r="A84" s="607"/>
      <c r="B84" s="78"/>
      <c r="C84" s="78"/>
      <c r="D84" s="31"/>
      <c r="E84" s="29"/>
      <c r="F84" s="24">
        <f t="shared" si="4"/>
        <v>0</v>
      </c>
      <c r="G84" s="30"/>
      <c r="H84" s="31"/>
      <c r="I84" s="31"/>
      <c r="J84" s="31"/>
      <c r="K84" s="31"/>
      <c r="L84" s="31"/>
      <c r="M84" s="31"/>
      <c r="N84" s="31"/>
      <c r="O84" s="31"/>
      <c r="P84" s="31"/>
      <c r="Q84" s="31"/>
      <c r="R84" s="31"/>
      <c r="S84" s="31"/>
      <c r="T84" s="31"/>
      <c r="U84" s="31"/>
      <c r="V84" s="31"/>
      <c r="W84" s="31"/>
      <c r="X84" s="31"/>
      <c r="Y84" s="31"/>
      <c r="Z84" s="31"/>
      <c r="AA84" s="31"/>
      <c r="AB84" s="31"/>
      <c r="AC84" s="31"/>
      <c r="AD84" s="31"/>
      <c r="AE84" s="31"/>
      <c r="AF84" s="31"/>
      <c r="AG84" s="29"/>
      <c r="AH84" s="24">
        <f t="shared" si="5"/>
        <v>0</v>
      </c>
      <c r="AI84" s="32"/>
      <c r="AJ84" s="28"/>
      <c r="AK84" s="28"/>
      <c r="AL84" s="28"/>
      <c r="AM84" s="28"/>
      <c r="AN84" s="28"/>
      <c r="AO84" s="28"/>
      <c r="AP84" s="28"/>
      <c r="AQ84" s="28"/>
      <c r="AR84" s="28"/>
      <c r="AS84" s="28"/>
      <c r="AT84" s="28"/>
      <c r="AU84" s="28"/>
      <c r="AV84" s="28"/>
      <c r="AW84" s="28"/>
      <c r="AX84" s="28"/>
      <c r="AY84" s="28"/>
      <c r="AZ84" s="28"/>
      <c r="BA84" s="28"/>
      <c r="BB84" s="28"/>
      <c r="BC84" s="28"/>
      <c r="BD84" s="28"/>
      <c r="BE84" s="28"/>
      <c r="BF84" s="28"/>
      <c r="BG84" s="28"/>
      <c r="BH84" s="28"/>
      <c r="BI84" s="33"/>
      <c r="BJ84" s="24">
        <f t="shared" si="6"/>
        <v>0</v>
      </c>
      <c r="BK84" s="30"/>
      <c r="BL84" s="31"/>
      <c r="BM84" s="31"/>
      <c r="BN84" s="31"/>
      <c r="BO84" s="31"/>
      <c r="BP84" s="31"/>
      <c r="BQ84" s="31"/>
      <c r="BR84" s="31"/>
      <c r="BS84" s="31"/>
      <c r="BT84" s="31"/>
      <c r="BU84" s="31"/>
      <c r="BV84" s="31"/>
      <c r="BW84" s="31"/>
      <c r="BX84" s="31"/>
      <c r="BY84" s="31"/>
      <c r="BZ84" s="31"/>
      <c r="CA84" s="31"/>
      <c r="CB84" s="31"/>
      <c r="CC84" s="31"/>
      <c r="CD84" s="31"/>
      <c r="CE84" s="31"/>
      <c r="CF84" s="31"/>
      <c r="CG84" s="31"/>
      <c r="CH84" s="31"/>
      <c r="CI84" s="31"/>
      <c r="CJ84" s="31"/>
      <c r="CK84" s="29"/>
    </row>
    <row r="85" spans="1:89" x14ac:dyDescent="0.25">
      <c r="A85" s="607"/>
      <c r="B85" s="78"/>
      <c r="C85" s="78"/>
      <c r="D85" s="31"/>
      <c r="E85" s="29"/>
      <c r="F85" s="24">
        <f t="shared" si="4"/>
        <v>0</v>
      </c>
      <c r="G85" s="30"/>
      <c r="H85" s="31"/>
      <c r="I85" s="31"/>
      <c r="J85" s="31"/>
      <c r="K85" s="31"/>
      <c r="L85" s="31"/>
      <c r="M85" s="31"/>
      <c r="N85" s="31"/>
      <c r="O85" s="31"/>
      <c r="P85" s="31"/>
      <c r="Q85" s="31"/>
      <c r="R85" s="31"/>
      <c r="S85" s="31"/>
      <c r="T85" s="31"/>
      <c r="U85" s="31"/>
      <c r="V85" s="31"/>
      <c r="W85" s="31"/>
      <c r="X85" s="31"/>
      <c r="Y85" s="31"/>
      <c r="Z85" s="31"/>
      <c r="AA85" s="31"/>
      <c r="AB85" s="31"/>
      <c r="AC85" s="31"/>
      <c r="AD85" s="31"/>
      <c r="AE85" s="31"/>
      <c r="AF85" s="31"/>
      <c r="AG85" s="29"/>
      <c r="AH85" s="24">
        <f t="shared" si="5"/>
        <v>0</v>
      </c>
      <c r="AI85" s="32"/>
      <c r="AJ85" s="28"/>
      <c r="AK85" s="28"/>
      <c r="AL85" s="28"/>
      <c r="AM85" s="28"/>
      <c r="AN85" s="28"/>
      <c r="AO85" s="28"/>
      <c r="AP85" s="28"/>
      <c r="AQ85" s="28"/>
      <c r="AR85" s="28"/>
      <c r="AS85" s="28"/>
      <c r="AT85" s="28"/>
      <c r="AU85" s="28"/>
      <c r="AV85" s="28"/>
      <c r="AW85" s="28"/>
      <c r="AX85" s="28"/>
      <c r="AY85" s="28"/>
      <c r="AZ85" s="28"/>
      <c r="BA85" s="28"/>
      <c r="BB85" s="28"/>
      <c r="BC85" s="28"/>
      <c r="BD85" s="28"/>
      <c r="BE85" s="28"/>
      <c r="BF85" s="28"/>
      <c r="BG85" s="28"/>
      <c r="BH85" s="28"/>
      <c r="BI85" s="33"/>
      <c r="BJ85" s="24">
        <f t="shared" si="6"/>
        <v>0</v>
      </c>
      <c r="BK85" s="30"/>
      <c r="BL85" s="31"/>
      <c r="BM85" s="31"/>
      <c r="BN85" s="31"/>
      <c r="BO85" s="31"/>
      <c r="BP85" s="31"/>
      <c r="BQ85" s="31"/>
      <c r="BR85" s="31"/>
      <c r="BS85" s="31"/>
      <c r="BT85" s="31"/>
      <c r="BU85" s="31"/>
      <c r="BV85" s="31"/>
      <c r="BW85" s="31"/>
      <c r="BX85" s="31"/>
      <c r="BY85" s="31"/>
      <c r="BZ85" s="31"/>
      <c r="CA85" s="31"/>
      <c r="CB85" s="31"/>
      <c r="CC85" s="31"/>
      <c r="CD85" s="31"/>
      <c r="CE85" s="31"/>
      <c r="CF85" s="31"/>
      <c r="CG85" s="31"/>
      <c r="CH85" s="31"/>
      <c r="CI85" s="31"/>
      <c r="CJ85" s="31"/>
      <c r="CK85" s="29"/>
    </row>
    <row r="86" spans="1:89" x14ac:dyDescent="0.25">
      <c r="A86" s="607"/>
      <c r="B86" s="78"/>
      <c r="C86" s="78"/>
      <c r="D86" s="31"/>
      <c r="E86" s="29"/>
      <c r="F86" s="24">
        <f t="shared" si="4"/>
        <v>0</v>
      </c>
      <c r="G86" s="30"/>
      <c r="H86" s="31"/>
      <c r="I86" s="31"/>
      <c r="J86" s="31"/>
      <c r="K86" s="31"/>
      <c r="L86" s="31"/>
      <c r="M86" s="31"/>
      <c r="N86" s="31"/>
      <c r="O86" s="31"/>
      <c r="P86" s="31"/>
      <c r="Q86" s="31"/>
      <c r="R86" s="31"/>
      <c r="S86" s="31"/>
      <c r="T86" s="31"/>
      <c r="U86" s="31"/>
      <c r="V86" s="31"/>
      <c r="W86" s="31"/>
      <c r="X86" s="31"/>
      <c r="Y86" s="31"/>
      <c r="Z86" s="31"/>
      <c r="AA86" s="31"/>
      <c r="AB86" s="31"/>
      <c r="AC86" s="31"/>
      <c r="AD86" s="31"/>
      <c r="AE86" s="31"/>
      <c r="AF86" s="31"/>
      <c r="AG86" s="29"/>
      <c r="AH86" s="24">
        <f t="shared" si="5"/>
        <v>0</v>
      </c>
      <c r="AI86" s="32"/>
      <c r="AJ86" s="28"/>
      <c r="AK86" s="28"/>
      <c r="AL86" s="28"/>
      <c r="AM86" s="28"/>
      <c r="AN86" s="28"/>
      <c r="AO86" s="28"/>
      <c r="AP86" s="28"/>
      <c r="AQ86" s="28"/>
      <c r="AR86" s="28"/>
      <c r="AS86" s="28"/>
      <c r="AT86" s="28"/>
      <c r="AU86" s="28"/>
      <c r="AV86" s="28"/>
      <c r="AW86" s="28"/>
      <c r="AX86" s="28"/>
      <c r="AY86" s="28"/>
      <c r="AZ86" s="28"/>
      <c r="BA86" s="28"/>
      <c r="BB86" s="28"/>
      <c r="BC86" s="28"/>
      <c r="BD86" s="28"/>
      <c r="BE86" s="28"/>
      <c r="BF86" s="28"/>
      <c r="BG86" s="28"/>
      <c r="BH86" s="28"/>
      <c r="BI86" s="33"/>
      <c r="BJ86" s="24">
        <f t="shared" si="6"/>
        <v>0</v>
      </c>
      <c r="BK86" s="30"/>
      <c r="BL86" s="31"/>
      <c r="BM86" s="31"/>
      <c r="BN86" s="31"/>
      <c r="BO86" s="31"/>
      <c r="BP86" s="31"/>
      <c r="BQ86" s="31"/>
      <c r="BR86" s="31"/>
      <c r="BS86" s="31"/>
      <c r="BT86" s="31"/>
      <c r="BU86" s="31"/>
      <c r="BV86" s="31"/>
      <c r="BW86" s="31"/>
      <c r="BX86" s="31"/>
      <c r="BY86" s="31"/>
      <c r="BZ86" s="31"/>
      <c r="CA86" s="31"/>
      <c r="CB86" s="31"/>
      <c r="CC86" s="31"/>
      <c r="CD86" s="31"/>
      <c r="CE86" s="31"/>
      <c r="CF86" s="31"/>
      <c r="CG86" s="31"/>
      <c r="CH86" s="31"/>
      <c r="CI86" s="31"/>
      <c r="CJ86" s="31"/>
      <c r="CK86" s="29"/>
    </row>
    <row r="87" spans="1:89" x14ac:dyDescent="0.25">
      <c r="A87" s="607"/>
      <c r="B87" s="78"/>
      <c r="C87" s="78"/>
      <c r="D87" s="31"/>
      <c r="E87" s="29"/>
      <c r="F87" s="24">
        <f t="shared" si="4"/>
        <v>0</v>
      </c>
      <c r="G87" s="30"/>
      <c r="H87" s="31"/>
      <c r="I87" s="31"/>
      <c r="J87" s="31"/>
      <c r="K87" s="31"/>
      <c r="L87" s="31"/>
      <c r="M87" s="31"/>
      <c r="N87" s="31"/>
      <c r="O87" s="31"/>
      <c r="P87" s="31"/>
      <c r="Q87" s="31"/>
      <c r="R87" s="31"/>
      <c r="S87" s="31"/>
      <c r="T87" s="31"/>
      <c r="U87" s="31"/>
      <c r="V87" s="31"/>
      <c r="W87" s="31"/>
      <c r="X87" s="31"/>
      <c r="Y87" s="31"/>
      <c r="Z87" s="31"/>
      <c r="AA87" s="31"/>
      <c r="AB87" s="31"/>
      <c r="AC87" s="31"/>
      <c r="AD87" s="31"/>
      <c r="AE87" s="31"/>
      <c r="AF87" s="31"/>
      <c r="AG87" s="29"/>
      <c r="AH87" s="24">
        <f t="shared" si="5"/>
        <v>0</v>
      </c>
      <c r="AI87" s="32"/>
      <c r="AJ87" s="28"/>
      <c r="AK87" s="28"/>
      <c r="AL87" s="28"/>
      <c r="AM87" s="28"/>
      <c r="AN87" s="28"/>
      <c r="AO87" s="28"/>
      <c r="AP87" s="28"/>
      <c r="AQ87" s="28"/>
      <c r="AR87" s="28"/>
      <c r="AS87" s="28"/>
      <c r="AT87" s="28"/>
      <c r="AU87" s="28"/>
      <c r="AV87" s="28"/>
      <c r="AW87" s="28"/>
      <c r="AX87" s="28"/>
      <c r="AY87" s="28"/>
      <c r="AZ87" s="28"/>
      <c r="BA87" s="28"/>
      <c r="BB87" s="28"/>
      <c r="BC87" s="28"/>
      <c r="BD87" s="28"/>
      <c r="BE87" s="28"/>
      <c r="BF87" s="28"/>
      <c r="BG87" s="28"/>
      <c r="BH87" s="28"/>
      <c r="BI87" s="33"/>
      <c r="BJ87" s="24">
        <f t="shared" si="6"/>
        <v>0</v>
      </c>
      <c r="BK87" s="30"/>
      <c r="BL87" s="31"/>
      <c r="BM87" s="31"/>
      <c r="BN87" s="31"/>
      <c r="BO87" s="31"/>
      <c r="BP87" s="31"/>
      <c r="BQ87" s="31"/>
      <c r="BR87" s="31"/>
      <c r="BS87" s="31"/>
      <c r="BT87" s="31"/>
      <c r="BU87" s="31"/>
      <c r="BV87" s="31"/>
      <c r="BW87" s="31"/>
      <c r="BX87" s="31"/>
      <c r="BY87" s="31"/>
      <c r="BZ87" s="31"/>
      <c r="CA87" s="31"/>
      <c r="CB87" s="31"/>
      <c r="CC87" s="31"/>
      <c r="CD87" s="31"/>
      <c r="CE87" s="31"/>
      <c r="CF87" s="31"/>
      <c r="CG87" s="31"/>
      <c r="CH87" s="31"/>
      <c r="CI87" s="31"/>
      <c r="CJ87" s="31"/>
      <c r="CK87" s="29"/>
    </row>
    <row r="88" spans="1:89" x14ac:dyDescent="0.25">
      <c r="A88" s="607"/>
      <c r="B88" s="78"/>
      <c r="C88" s="78"/>
      <c r="D88" s="31"/>
      <c r="E88" s="29"/>
      <c r="F88" s="24">
        <f t="shared" si="4"/>
        <v>0</v>
      </c>
      <c r="G88" s="30"/>
      <c r="H88" s="31"/>
      <c r="I88" s="31"/>
      <c r="J88" s="31"/>
      <c r="K88" s="31"/>
      <c r="L88" s="31"/>
      <c r="M88" s="31"/>
      <c r="N88" s="31"/>
      <c r="O88" s="31"/>
      <c r="P88" s="31"/>
      <c r="Q88" s="31"/>
      <c r="R88" s="31"/>
      <c r="S88" s="31"/>
      <c r="T88" s="31"/>
      <c r="U88" s="31"/>
      <c r="V88" s="31"/>
      <c r="W88" s="31"/>
      <c r="X88" s="31"/>
      <c r="Y88" s="31"/>
      <c r="Z88" s="31"/>
      <c r="AA88" s="31"/>
      <c r="AB88" s="31"/>
      <c r="AC88" s="31"/>
      <c r="AD88" s="31"/>
      <c r="AE88" s="31"/>
      <c r="AF88" s="31"/>
      <c r="AG88" s="29"/>
      <c r="AH88" s="24">
        <f t="shared" si="5"/>
        <v>0</v>
      </c>
      <c r="AI88" s="32"/>
      <c r="AJ88" s="28"/>
      <c r="AK88" s="28"/>
      <c r="AL88" s="28"/>
      <c r="AM88" s="28"/>
      <c r="AN88" s="28"/>
      <c r="AO88" s="28"/>
      <c r="AP88" s="28"/>
      <c r="AQ88" s="28"/>
      <c r="AR88" s="28"/>
      <c r="AS88" s="28"/>
      <c r="AT88" s="28"/>
      <c r="AU88" s="28"/>
      <c r="AV88" s="28"/>
      <c r="AW88" s="28"/>
      <c r="AX88" s="28"/>
      <c r="AY88" s="28"/>
      <c r="AZ88" s="28"/>
      <c r="BA88" s="28"/>
      <c r="BB88" s="28"/>
      <c r="BC88" s="28"/>
      <c r="BD88" s="28"/>
      <c r="BE88" s="28"/>
      <c r="BF88" s="28"/>
      <c r="BG88" s="28"/>
      <c r="BH88" s="28"/>
      <c r="BI88" s="33"/>
      <c r="BJ88" s="24">
        <f t="shared" si="6"/>
        <v>0</v>
      </c>
      <c r="BK88" s="30"/>
      <c r="BL88" s="31"/>
      <c r="BM88" s="31"/>
      <c r="BN88" s="31"/>
      <c r="BO88" s="31"/>
      <c r="BP88" s="31"/>
      <c r="BQ88" s="31"/>
      <c r="BR88" s="31"/>
      <c r="BS88" s="31"/>
      <c r="BT88" s="31"/>
      <c r="BU88" s="31"/>
      <c r="BV88" s="31"/>
      <c r="BW88" s="31"/>
      <c r="BX88" s="31"/>
      <c r="BY88" s="31"/>
      <c r="BZ88" s="31"/>
      <c r="CA88" s="31"/>
      <c r="CB88" s="31"/>
      <c r="CC88" s="31"/>
      <c r="CD88" s="31"/>
      <c r="CE88" s="31"/>
      <c r="CF88" s="31"/>
      <c r="CG88" s="31"/>
      <c r="CH88" s="31"/>
      <c r="CI88" s="31"/>
      <c r="CJ88" s="31"/>
      <c r="CK88" s="29"/>
    </row>
    <row r="89" spans="1:89" x14ac:dyDescent="0.25">
      <c r="A89" s="607"/>
      <c r="B89" s="78"/>
      <c r="C89" s="78"/>
      <c r="D89" s="31"/>
      <c r="E89" s="29"/>
      <c r="F89" s="24">
        <f t="shared" si="4"/>
        <v>0</v>
      </c>
      <c r="G89" s="30"/>
      <c r="H89" s="31"/>
      <c r="I89" s="31"/>
      <c r="J89" s="31"/>
      <c r="K89" s="31"/>
      <c r="L89" s="31"/>
      <c r="M89" s="31"/>
      <c r="N89" s="31"/>
      <c r="O89" s="31"/>
      <c r="P89" s="31"/>
      <c r="Q89" s="31"/>
      <c r="R89" s="31"/>
      <c r="S89" s="31"/>
      <c r="T89" s="31"/>
      <c r="U89" s="31"/>
      <c r="V89" s="31"/>
      <c r="W89" s="31"/>
      <c r="X89" s="31"/>
      <c r="Y89" s="31"/>
      <c r="Z89" s="31"/>
      <c r="AA89" s="31"/>
      <c r="AB89" s="31"/>
      <c r="AC89" s="31"/>
      <c r="AD89" s="31"/>
      <c r="AE89" s="31"/>
      <c r="AF89" s="31"/>
      <c r="AG89" s="29"/>
      <c r="AH89" s="24">
        <f t="shared" si="5"/>
        <v>0</v>
      </c>
      <c r="AI89" s="32"/>
      <c r="AJ89" s="28"/>
      <c r="AK89" s="28"/>
      <c r="AL89" s="28"/>
      <c r="AM89" s="28"/>
      <c r="AN89" s="28"/>
      <c r="AO89" s="28"/>
      <c r="AP89" s="28"/>
      <c r="AQ89" s="28"/>
      <c r="AR89" s="28"/>
      <c r="AS89" s="28"/>
      <c r="AT89" s="28"/>
      <c r="AU89" s="28"/>
      <c r="AV89" s="28"/>
      <c r="AW89" s="28"/>
      <c r="AX89" s="28"/>
      <c r="AY89" s="28"/>
      <c r="AZ89" s="28"/>
      <c r="BA89" s="28"/>
      <c r="BB89" s="28"/>
      <c r="BC89" s="28"/>
      <c r="BD89" s="28"/>
      <c r="BE89" s="28"/>
      <c r="BF89" s="28"/>
      <c r="BG89" s="28"/>
      <c r="BH89" s="28"/>
      <c r="BI89" s="33"/>
      <c r="BJ89" s="24">
        <f t="shared" si="6"/>
        <v>0</v>
      </c>
      <c r="BK89" s="30"/>
      <c r="BL89" s="31"/>
      <c r="BM89" s="31"/>
      <c r="BN89" s="31"/>
      <c r="BO89" s="31"/>
      <c r="BP89" s="31"/>
      <c r="BQ89" s="31"/>
      <c r="BR89" s="31"/>
      <c r="BS89" s="31"/>
      <c r="BT89" s="31"/>
      <c r="BU89" s="31"/>
      <c r="BV89" s="31"/>
      <c r="BW89" s="31"/>
      <c r="BX89" s="31"/>
      <c r="BY89" s="31"/>
      <c r="BZ89" s="31"/>
      <c r="CA89" s="31"/>
      <c r="CB89" s="31"/>
      <c r="CC89" s="31"/>
      <c r="CD89" s="31"/>
      <c r="CE89" s="31"/>
      <c r="CF89" s="31"/>
      <c r="CG89" s="31"/>
      <c r="CH89" s="31"/>
      <c r="CI89" s="31"/>
      <c r="CJ89" s="31"/>
      <c r="CK89" s="29"/>
    </row>
    <row r="90" spans="1:89" x14ac:dyDescent="0.25">
      <c r="A90" s="607"/>
      <c r="B90" s="78"/>
      <c r="C90" s="78"/>
      <c r="D90" s="31"/>
      <c r="E90" s="29"/>
      <c r="F90" s="24">
        <f t="shared" si="4"/>
        <v>0</v>
      </c>
      <c r="G90" s="30"/>
      <c r="H90" s="31"/>
      <c r="I90" s="31"/>
      <c r="J90" s="31"/>
      <c r="K90" s="31"/>
      <c r="L90" s="31"/>
      <c r="M90" s="31"/>
      <c r="N90" s="31"/>
      <c r="O90" s="31"/>
      <c r="P90" s="31"/>
      <c r="Q90" s="31"/>
      <c r="R90" s="31"/>
      <c r="S90" s="31"/>
      <c r="T90" s="31"/>
      <c r="U90" s="31"/>
      <c r="V90" s="31"/>
      <c r="W90" s="31"/>
      <c r="X90" s="31"/>
      <c r="Y90" s="31"/>
      <c r="Z90" s="31"/>
      <c r="AA90" s="31"/>
      <c r="AB90" s="31"/>
      <c r="AC90" s="31"/>
      <c r="AD90" s="31"/>
      <c r="AE90" s="31"/>
      <c r="AF90" s="31"/>
      <c r="AG90" s="29"/>
      <c r="AH90" s="24">
        <f t="shared" si="5"/>
        <v>0</v>
      </c>
      <c r="AI90" s="32"/>
      <c r="AJ90" s="28"/>
      <c r="AK90" s="28"/>
      <c r="AL90" s="28"/>
      <c r="AM90" s="28"/>
      <c r="AN90" s="28"/>
      <c r="AO90" s="28"/>
      <c r="AP90" s="28"/>
      <c r="AQ90" s="28"/>
      <c r="AR90" s="28"/>
      <c r="AS90" s="28"/>
      <c r="AT90" s="28"/>
      <c r="AU90" s="28"/>
      <c r="AV90" s="28"/>
      <c r="AW90" s="28"/>
      <c r="AX90" s="28"/>
      <c r="AY90" s="28"/>
      <c r="AZ90" s="28"/>
      <c r="BA90" s="28"/>
      <c r="BB90" s="28"/>
      <c r="BC90" s="28"/>
      <c r="BD90" s="28"/>
      <c r="BE90" s="28"/>
      <c r="BF90" s="28"/>
      <c r="BG90" s="28"/>
      <c r="BH90" s="28"/>
      <c r="BI90" s="33"/>
      <c r="BJ90" s="24">
        <f t="shared" si="6"/>
        <v>0</v>
      </c>
      <c r="BK90" s="30"/>
      <c r="BL90" s="31"/>
      <c r="BM90" s="31"/>
      <c r="BN90" s="31"/>
      <c r="BO90" s="31"/>
      <c r="BP90" s="31"/>
      <c r="BQ90" s="31"/>
      <c r="BR90" s="31"/>
      <c r="BS90" s="31"/>
      <c r="BT90" s="31"/>
      <c r="BU90" s="31"/>
      <c r="BV90" s="31"/>
      <c r="BW90" s="31"/>
      <c r="BX90" s="31"/>
      <c r="BY90" s="31"/>
      <c r="BZ90" s="31"/>
      <c r="CA90" s="31"/>
      <c r="CB90" s="31"/>
      <c r="CC90" s="31"/>
      <c r="CD90" s="31"/>
      <c r="CE90" s="31"/>
      <c r="CF90" s="31"/>
      <c r="CG90" s="31"/>
      <c r="CH90" s="31"/>
      <c r="CI90" s="31"/>
      <c r="CJ90" s="31"/>
      <c r="CK90" s="29"/>
    </row>
    <row r="91" spans="1:89" x14ac:dyDescent="0.25">
      <c r="A91" s="607"/>
      <c r="B91" s="78"/>
      <c r="C91" s="78"/>
      <c r="D91" s="31"/>
      <c r="E91" s="29"/>
      <c r="F91" s="24">
        <f t="shared" si="4"/>
        <v>0</v>
      </c>
      <c r="G91" s="30"/>
      <c r="H91" s="31"/>
      <c r="I91" s="31"/>
      <c r="J91" s="31"/>
      <c r="K91" s="31"/>
      <c r="L91" s="31"/>
      <c r="M91" s="31"/>
      <c r="N91" s="31"/>
      <c r="O91" s="31"/>
      <c r="P91" s="31"/>
      <c r="Q91" s="31"/>
      <c r="R91" s="31"/>
      <c r="S91" s="31"/>
      <c r="T91" s="31"/>
      <c r="U91" s="31"/>
      <c r="V91" s="31"/>
      <c r="W91" s="31"/>
      <c r="X91" s="31"/>
      <c r="Y91" s="31"/>
      <c r="Z91" s="31"/>
      <c r="AA91" s="31"/>
      <c r="AB91" s="31"/>
      <c r="AC91" s="31"/>
      <c r="AD91" s="31"/>
      <c r="AE91" s="31"/>
      <c r="AF91" s="31"/>
      <c r="AG91" s="29"/>
      <c r="AH91" s="24">
        <f t="shared" si="5"/>
        <v>0</v>
      </c>
      <c r="AI91" s="32"/>
      <c r="AJ91" s="28"/>
      <c r="AK91" s="28"/>
      <c r="AL91" s="28"/>
      <c r="AM91" s="28"/>
      <c r="AN91" s="28"/>
      <c r="AO91" s="28"/>
      <c r="AP91" s="28"/>
      <c r="AQ91" s="28"/>
      <c r="AR91" s="28"/>
      <c r="AS91" s="28"/>
      <c r="AT91" s="28"/>
      <c r="AU91" s="28"/>
      <c r="AV91" s="28"/>
      <c r="AW91" s="28"/>
      <c r="AX91" s="28"/>
      <c r="AY91" s="28"/>
      <c r="AZ91" s="28"/>
      <c r="BA91" s="28"/>
      <c r="BB91" s="28"/>
      <c r="BC91" s="28"/>
      <c r="BD91" s="28"/>
      <c r="BE91" s="28"/>
      <c r="BF91" s="28"/>
      <c r="BG91" s="28"/>
      <c r="BH91" s="28"/>
      <c r="BI91" s="33"/>
      <c r="BJ91" s="24">
        <f t="shared" si="6"/>
        <v>0</v>
      </c>
      <c r="BK91" s="30"/>
      <c r="BL91" s="31"/>
      <c r="BM91" s="31"/>
      <c r="BN91" s="31"/>
      <c r="BO91" s="31"/>
      <c r="BP91" s="31"/>
      <c r="BQ91" s="31"/>
      <c r="BR91" s="31"/>
      <c r="BS91" s="31"/>
      <c r="BT91" s="31"/>
      <c r="BU91" s="31"/>
      <c r="BV91" s="31"/>
      <c r="BW91" s="31"/>
      <c r="BX91" s="31"/>
      <c r="BY91" s="31"/>
      <c r="BZ91" s="31"/>
      <c r="CA91" s="31"/>
      <c r="CB91" s="31"/>
      <c r="CC91" s="31"/>
      <c r="CD91" s="31"/>
      <c r="CE91" s="31"/>
      <c r="CF91" s="31"/>
      <c r="CG91" s="31"/>
      <c r="CH91" s="31"/>
      <c r="CI91" s="31"/>
      <c r="CJ91" s="31"/>
      <c r="CK91" s="29"/>
    </row>
    <row r="92" spans="1:89" x14ac:dyDescent="0.25">
      <c r="A92" s="607"/>
      <c r="B92" s="78"/>
      <c r="C92" s="78"/>
      <c r="D92" s="31"/>
      <c r="E92" s="29"/>
      <c r="F92" s="24">
        <f t="shared" si="4"/>
        <v>0</v>
      </c>
      <c r="G92" s="30"/>
      <c r="H92" s="31"/>
      <c r="I92" s="31"/>
      <c r="J92" s="31"/>
      <c r="K92" s="31"/>
      <c r="L92" s="31"/>
      <c r="M92" s="31"/>
      <c r="N92" s="31"/>
      <c r="O92" s="31"/>
      <c r="P92" s="31"/>
      <c r="Q92" s="31"/>
      <c r="R92" s="31"/>
      <c r="S92" s="31"/>
      <c r="T92" s="31"/>
      <c r="U92" s="31"/>
      <c r="V92" s="31"/>
      <c r="W92" s="31"/>
      <c r="X92" s="31"/>
      <c r="Y92" s="31"/>
      <c r="Z92" s="31"/>
      <c r="AA92" s="31"/>
      <c r="AB92" s="31"/>
      <c r="AC92" s="31"/>
      <c r="AD92" s="31"/>
      <c r="AE92" s="31"/>
      <c r="AF92" s="31"/>
      <c r="AG92" s="29"/>
      <c r="AH92" s="24">
        <f t="shared" si="5"/>
        <v>0</v>
      </c>
      <c r="AI92" s="32"/>
      <c r="AJ92" s="28"/>
      <c r="AK92" s="28"/>
      <c r="AL92" s="28"/>
      <c r="AM92" s="28"/>
      <c r="AN92" s="28"/>
      <c r="AO92" s="28"/>
      <c r="AP92" s="28"/>
      <c r="AQ92" s="28"/>
      <c r="AR92" s="28"/>
      <c r="AS92" s="28"/>
      <c r="AT92" s="28"/>
      <c r="AU92" s="28"/>
      <c r="AV92" s="28"/>
      <c r="AW92" s="28"/>
      <c r="AX92" s="28"/>
      <c r="AY92" s="28"/>
      <c r="AZ92" s="28"/>
      <c r="BA92" s="28"/>
      <c r="BB92" s="28"/>
      <c r="BC92" s="28"/>
      <c r="BD92" s="28"/>
      <c r="BE92" s="28"/>
      <c r="BF92" s="28"/>
      <c r="BG92" s="28"/>
      <c r="BH92" s="28"/>
      <c r="BI92" s="33"/>
      <c r="BJ92" s="24">
        <f t="shared" si="6"/>
        <v>0</v>
      </c>
      <c r="BK92" s="30"/>
      <c r="BL92" s="31"/>
      <c r="BM92" s="31"/>
      <c r="BN92" s="31"/>
      <c r="BO92" s="31"/>
      <c r="BP92" s="31"/>
      <c r="BQ92" s="31"/>
      <c r="BR92" s="31"/>
      <c r="BS92" s="31"/>
      <c r="BT92" s="31"/>
      <c r="BU92" s="31"/>
      <c r="BV92" s="31"/>
      <c r="BW92" s="31"/>
      <c r="BX92" s="31"/>
      <c r="BY92" s="31"/>
      <c r="BZ92" s="31"/>
      <c r="CA92" s="31"/>
      <c r="CB92" s="31"/>
      <c r="CC92" s="31"/>
      <c r="CD92" s="31"/>
      <c r="CE92" s="31"/>
      <c r="CF92" s="31"/>
      <c r="CG92" s="31"/>
      <c r="CH92" s="31"/>
      <c r="CI92" s="31"/>
      <c r="CJ92" s="31"/>
      <c r="CK92" s="29"/>
    </row>
    <row r="93" spans="1:89" x14ac:dyDescent="0.25">
      <c r="A93" s="607"/>
      <c r="B93" s="78"/>
      <c r="C93" s="78"/>
      <c r="D93" s="31"/>
      <c r="E93" s="29"/>
      <c r="F93" s="24">
        <f t="shared" si="4"/>
        <v>0</v>
      </c>
      <c r="G93" s="30"/>
      <c r="H93" s="31"/>
      <c r="I93" s="31"/>
      <c r="J93" s="31"/>
      <c r="K93" s="31"/>
      <c r="L93" s="31"/>
      <c r="M93" s="31"/>
      <c r="N93" s="31"/>
      <c r="O93" s="31"/>
      <c r="P93" s="31"/>
      <c r="Q93" s="31"/>
      <c r="R93" s="31"/>
      <c r="S93" s="31"/>
      <c r="T93" s="31"/>
      <c r="U93" s="31"/>
      <c r="V93" s="31"/>
      <c r="W93" s="31"/>
      <c r="X93" s="31"/>
      <c r="Y93" s="31"/>
      <c r="Z93" s="31"/>
      <c r="AA93" s="31"/>
      <c r="AB93" s="31"/>
      <c r="AC93" s="31"/>
      <c r="AD93" s="31"/>
      <c r="AE93" s="31"/>
      <c r="AF93" s="31"/>
      <c r="AG93" s="29"/>
      <c r="AH93" s="24">
        <f t="shared" si="5"/>
        <v>0</v>
      </c>
      <c r="AI93" s="32"/>
      <c r="AJ93" s="28"/>
      <c r="AK93" s="28"/>
      <c r="AL93" s="28"/>
      <c r="AM93" s="28"/>
      <c r="AN93" s="28"/>
      <c r="AO93" s="28"/>
      <c r="AP93" s="28"/>
      <c r="AQ93" s="28"/>
      <c r="AR93" s="28"/>
      <c r="AS93" s="28"/>
      <c r="AT93" s="28"/>
      <c r="AU93" s="28"/>
      <c r="AV93" s="28"/>
      <c r="AW93" s="28"/>
      <c r="AX93" s="28"/>
      <c r="AY93" s="28"/>
      <c r="AZ93" s="28"/>
      <c r="BA93" s="28"/>
      <c r="BB93" s="28"/>
      <c r="BC93" s="28"/>
      <c r="BD93" s="28"/>
      <c r="BE93" s="28"/>
      <c r="BF93" s="28"/>
      <c r="BG93" s="28"/>
      <c r="BH93" s="28"/>
      <c r="BI93" s="33"/>
      <c r="BJ93" s="24">
        <f t="shared" si="6"/>
        <v>0</v>
      </c>
      <c r="BK93" s="30"/>
      <c r="BL93" s="31"/>
      <c r="BM93" s="31"/>
      <c r="BN93" s="31"/>
      <c r="BO93" s="31"/>
      <c r="BP93" s="31"/>
      <c r="BQ93" s="31"/>
      <c r="BR93" s="31"/>
      <c r="BS93" s="31"/>
      <c r="BT93" s="31"/>
      <c r="BU93" s="31"/>
      <c r="BV93" s="31"/>
      <c r="BW93" s="31"/>
      <c r="BX93" s="31"/>
      <c r="BY93" s="31"/>
      <c r="BZ93" s="31"/>
      <c r="CA93" s="31"/>
      <c r="CB93" s="31"/>
      <c r="CC93" s="31"/>
      <c r="CD93" s="31"/>
      <c r="CE93" s="31"/>
      <c r="CF93" s="31"/>
      <c r="CG93" s="31"/>
      <c r="CH93" s="31"/>
      <c r="CI93" s="31"/>
      <c r="CJ93" s="31"/>
      <c r="CK93" s="29"/>
    </row>
    <row r="94" spans="1:89" x14ac:dyDescent="0.25">
      <c r="A94" s="607"/>
      <c r="B94" s="78"/>
      <c r="C94" s="78"/>
      <c r="D94" s="31"/>
      <c r="E94" s="29"/>
      <c r="F94" s="24">
        <f t="shared" si="4"/>
        <v>0</v>
      </c>
      <c r="G94" s="30"/>
      <c r="H94" s="31"/>
      <c r="I94" s="31"/>
      <c r="J94" s="31"/>
      <c r="K94" s="31"/>
      <c r="L94" s="31"/>
      <c r="M94" s="31"/>
      <c r="N94" s="31"/>
      <c r="O94" s="31"/>
      <c r="P94" s="31"/>
      <c r="Q94" s="31"/>
      <c r="R94" s="31"/>
      <c r="S94" s="31"/>
      <c r="T94" s="31"/>
      <c r="U94" s="31"/>
      <c r="V94" s="31"/>
      <c r="W94" s="31"/>
      <c r="X94" s="31"/>
      <c r="Y94" s="31"/>
      <c r="Z94" s="31"/>
      <c r="AA94" s="31"/>
      <c r="AB94" s="31"/>
      <c r="AC94" s="31"/>
      <c r="AD94" s="31"/>
      <c r="AE94" s="31"/>
      <c r="AF94" s="31"/>
      <c r="AG94" s="29"/>
      <c r="AH94" s="24">
        <f t="shared" si="5"/>
        <v>0</v>
      </c>
      <c r="AI94" s="32"/>
      <c r="AJ94" s="28"/>
      <c r="AK94" s="28"/>
      <c r="AL94" s="28"/>
      <c r="AM94" s="28"/>
      <c r="AN94" s="28"/>
      <c r="AO94" s="28"/>
      <c r="AP94" s="28"/>
      <c r="AQ94" s="28"/>
      <c r="AR94" s="28"/>
      <c r="AS94" s="28"/>
      <c r="AT94" s="28"/>
      <c r="AU94" s="28"/>
      <c r="AV94" s="28"/>
      <c r="AW94" s="28"/>
      <c r="AX94" s="28"/>
      <c r="AY94" s="28"/>
      <c r="AZ94" s="28"/>
      <c r="BA94" s="28"/>
      <c r="BB94" s="28"/>
      <c r="BC94" s="28"/>
      <c r="BD94" s="28"/>
      <c r="BE94" s="28"/>
      <c r="BF94" s="28"/>
      <c r="BG94" s="28"/>
      <c r="BH94" s="28"/>
      <c r="BI94" s="33"/>
      <c r="BJ94" s="24">
        <f t="shared" si="6"/>
        <v>0</v>
      </c>
      <c r="BK94" s="30"/>
      <c r="BL94" s="31"/>
      <c r="BM94" s="31"/>
      <c r="BN94" s="31"/>
      <c r="BO94" s="31"/>
      <c r="BP94" s="31"/>
      <c r="BQ94" s="31"/>
      <c r="BR94" s="31"/>
      <c r="BS94" s="31"/>
      <c r="BT94" s="31"/>
      <c r="BU94" s="31"/>
      <c r="BV94" s="31"/>
      <c r="BW94" s="31"/>
      <c r="BX94" s="31"/>
      <c r="BY94" s="31"/>
      <c r="BZ94" s="31"/>
      <c r="CA94" s="31"/>
      <c r="CB94" s="31"/>
      <c r="CC94" s="31"/>
      <c r="CD94" s="31"/>
      <c r="CE94" s="31"/>
      <c r="CF94" s="31"/>
      <c r="CG94" s="31"/>
      <c r="CH94" s="31"/>
      <c r="CI94" s="31"/>
      <c r="CJ94" s="31"/>
      <c r="CK94" s="29"/>
    </row>
    <row r="95" spans="1:89" x14ac:dyDescent="0.25">
      <c r="A95" s="607"/>
      <c r="B95" s="78"/>
      <c r="C95" s="78"/>
      <c r="D95" s="31"/>
      <c r="E95" s="29"/>
      <c r="F95" s="24">
        <f t="shared" si="4"/>
        <v>0</v>
      </c>
      <c r="G95" s="30"/>
      <c r="H95" s="31"/>
      <c r="I95" s="31"/>
      <c r="J95" s="31"/>
      <c r="K95" s="31"/>
      <c r="L95" s="31"/>
      <c r="M95" s="31"/>
      <c r="N95" s="31"/>
      <c r="O95" s="31"/>
      <c r="P95" s="31"/>
      <c r="Q95" s="31"/>
      <c r="R95" s="31"/>
      <c r="S95" s="31"/>
      <c r="T95" s="31"/>
      <c r="U95" s="31"/>
      <c r="V95" s="31"/>
      <c r="W95" s="31"/>
      <c r="X95" s="31"/>
      <c r="Y95" s="31"/>
      <c r="Z95" s="31"/>
      <c r="AA95" s="31"/>
      <c r="AB95" s="31"/>
      <c r="AC95" s="31"/>
      <c r="AD95" s="31"/>
      <c r="AE95" s="31"/>
      <c r="AF95" s="31"/>
      <c r="AG95" s="29"/>
      <c r="AH95" s="24">
        <f t="shared" si="5"/>
        <v>0</v>
      </c>
      <c r="AI95" s="32"/>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33"/>
      <c r="BJ95" s="24">
        <f t="shared" si="6"/>
        <v>0</v>
      </c>
      <c r="BK95" s="30"/>
      <c r="BL95" s="31"/>
      <c r="BM95" s="31"/>
      <c r="BN95" s="31"/>
      <c r="BO95" s="31"/>
      <c r="BP95" s="31"/>
      <c r="BQ95" s="31"/>
      <c r="BR95" s="31"/>
      <c r="BS95" s="31"/>
      <c r="BT95" s="31"/>
      <c r="BU95" s="31"/>
      <c r="BV95" s="31"/>
      <c r="BW95" s="31"/>
      <c r="BX95" s="31"/>
      <c r="BY95" s="31"/>
      <c r="BZ95" s="31"/>
      <c r="CA95" s="31"/>
      <c r="CB95" s="31"/>
      <c r="CC95" s="31"/>
      <c r="CD95" s="31"/>
      <c r="CE95" s="31"/>
      <c r="CF95" s="31"/>
      <c r="CG95" s="31"/>
      <c r="CH95" s="31"/>
      <c r="CI95" s="31"/>
      <c r="CJ95" s="31"/>
      <c r="CK95" s="29"/>
    </row>
    <row r="96" spans="1:89" x14ac:dyDescent="0.25">
      <c r="A96" s="607"/>
      <c r="B96" s="78"/>
      <c r="C96" s="78"/>
      <c r="D96" s="31"/>
      <c r="E96" s="29"/>
      <c r="F96" s="24">
        <f t="shared" si="4"/>
        <v>0</v>
      </c>
      <c r="G96" s="30"/>
      <c r="H96" s="31"/>
      <c r="I96" s="31"/>
      <c r="J96" s="31"/>
      <c r="K96" s="31"/>
      <c r="L96" s="31"/>
      <c r="M96" s="31"/>
      <c r="N96" s="31"/>
      <c r="O96" s="31"/>
      <c r="P96" s="31"/>
      <c r="Q96" s="31"/>
      <c r="R96" s="31"/>
      <c r="S96" s="31"/>
      <c r="T96" s="31"/>
      <c r="U96" s="31"/>
      <c r="V96" s="31"/>
      <c r="W96" s="31"/>
      <c r="X96" s="31"/>
      <c r="Y96" s="31"/>
      <c r="Z96" s="31"/>
      <c r="AA96" s="31"/>
      <c r="AB96" s="31"/>
      <c r="AC96" s="31"/>
      <c r="AD96" s="31"/>
      <c r="AE96" s="31"/>
      <c r="AF96" s="31"/>
      <c r="AG96" s="29"/>
      <c r="AH96" s="24">
        <f t="shared" si="5"/>
        <v>0</v>
      </c>
      <c r="AI96" s="32"/>
      <c r="AJ96" s="28"/>
      <c r="AK96" s="28"/>
      <c r="AL96" s="28"/>
      <c r="AM96" s="28"/>
      <c r="AN96" s="28"/>
      <c r="AO96" s="28"/>
      <c r="AP96" s="28"/>
      <c r="AQ96" s="28"/>
      <c r="AR96" s="28"/>
      <c r="AS96" s="28"/>
      <c r="AT96" s="28"/>
      <c r="AU96" s="28"/>
      <c r="AV96" s="28"/>
      <c r="AW96" s="28"/>
      <c r="AX96" s="28"/>
      <c r="AY96" s="28"/>
      <c r="AZ96" s="28"/>
      <c r="BA96" s="28"/>
      <c r="BB96" s="28"/>
      <c r="BC96" s="28"/>
      <c r="BD96" s="28"/>
      <c r="BE96" s="28"/>
      <c r="BF96" s="28"/>
      <c r="BG96" s="28"/>
      <c r="BH96" s="28"/>
      <c r="BI96" s="33"/>
      <c r="BJ96" s="24">
        <f t="shared" si="6"/>
        <v>0</v>
      </c>
      <c r="BK96" s="30"/>
      <c r="BL96" s="31"/>
      <c r="BM96" s="31"/>
      <c r="BN96" s="31"/>
      <c r="BO96" s="31"/>
      <c r="BP96" s="31"/>
      <c r="BQ96" s="31"/>
      <c r="BR96" s="31"/>
      <c r="BS96" s="31"/>
      <c r="BT96" s="31"/>
      <c r="BU96" s="31"/>
      <c r="BV96" s="31"/>
      <c r="BW96" s="31"/>
      <c r="BX96" s="31"/>
      <c r="BY96" s="31"/>
      <c r="BZ96" s="31"/>
      <c r="CA96" s="31"/>
      <c r="CB96" s="31"/>
      <c r="CC96" s="31"/>
      <c r="CD96" s="31"/>
      <c r="CE96" s="31"/>
      <c r="CF96" s="31"/>
      <c r="CG96" s="31"/>
      <c r="CH96" s="31"/>
      <c r="CI96" s="31"/>
      <c r="CJ96" s="31"/>
      <c r="CK96" s="29"/>
    </row>
    <row r="97" spans="1:90" x14ac:dyDescent="0.25">
      <c r="A97" s="607"/>
      <c r="B97" s="78"/>
      <c r="C97" s="78"/>
      <c r="D97" s="31"/>
      <c r="E97" s="29"/>
      <c r="F97" s="24">
        <f t="shared" si="4"/>
        <v>0</v>
      </c>
      <c r="G97" s="30"/>
      <c r="H97" s="31"/>
      <c r="I97" s="31"/>
      <c r="J97" s="31"/>
      <c r="K97" s="31"/>
      <c r="L97" s="31"/>
      <c r="M97" s="31"/>
      <c r="N97" s="31"/>
      <c r="O97" s="31"/>
      <c r="P97" s="31"/>
      <c r="Q97" s="31"/>
      <c r="R97" s="31"/>
      <c r="S97" s="31"/>
      <c r="T97" s="31"/>
      <c r="U97" s="31"/>
      <c r="V97" s="31"/>
      <c r="W97" s="31"/>
      <c r="X97" s="31"/>
      <c r="Y97" s="31"/>
      <c r="Z97" s="31"/>
      <c r="AA97" s="31"/>
      <c r="AB97" s="31"/>
      <c r="AC97" s="31"/>
      <c r="AD97" s="31"/>
      <c r="AE97" s="31"/>
      <c r="AF97" s="31"/>
      <c r="AG97" s="29"/>
      <c r="AH97" s="24">
        <f t="shared" si="5"/>
        <v>0</v>
      </c>
      <c r="AI97" s="32"/>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33"/>
      <c r="BJ97" s="24">
        <f t="shared" si="6"/>
        <v>0</v>
      </c>
      <c r="BK97" s="30"/>
      <c r="BL97" s="31"/>
      <c r="BM97" s="31"/>
      <c r="BN97" s="31"/>
      <c r="BO97" s="31"/>
      <c r="BP97" s="31"/>
      <c r="BQ97" s="31"/>
      <c r="BR97" s="31"/>
      <c r="BS97" s="31"/>
      <c r="BT97" s="31"/>
      <c r="BU97" s="31"/>
      <c r="BV97" s="31"/>
      <c r="BW97" s="31"/>
      <c r="BX97" s="31"/>
      <c r="BY97" s="31"/>
      <c r="BZ97" s="31"/>
      <c r="CA97" s="31"/>
      <c r="CB97" s="31"/>
      <c r="CC97" s="31"/>
      <c r="CD97" s="31"/>
      <c r="CE97" s="31"/>
      <c r="CF97" s="31"/>
      <c r="CG97" s="31"/>
      <c r="CH97" s="31"/>
      <c r="CI97" s="31"/>
      <c r="CJ97" s="31"/>
      <c r="CK97" s="29"/>
    </row>
    <row r="98" spans="1:90" x14ac:dyDescent="0.25">
      <c r="A98" s="607"/>
      <c r="B98" s="78"/>
      <c r="C98" s="78"/>
      <c r="D98" s="31"/>
      <c r="E98" s="29"/>
      <c r="F98" s="24">
        <f t="shared" si="4"/>
        <v>0</v>
      </c>
      <c r="G98" s="30"/>
      <c r="H98" s="31"/>
      <c r="I98" s="31"/>
      <c r="J98" s="31"/>
      <c r="K98" s="31"/>
      <c r="L98" s="31"/>
      <c r="M98" s="31"/>
      <c r="N98" s="31"/>
      <c r="O98" s="31"/>
      <c r="P98" s="31"/>
      <c r="Q98" s="31"/>
      <c r="R98" s="31"/>
      <c r="S98" s="31"/>
      <c r="T98" s="31"/>
      <c r="U98" s="31"/>
      <c r="V98" s="31"/>
      <c r="W98" s="31"/>
      <c r="X98" s="31"/>
      <c r="Y98" s="31"/>
      <c r="Z98" s="31"/>
      <c r="AA98" s="31"/>
      <c r="AB98" s="31"/>
      <c r="AC98" s="31"/>
      <c r="AD98" s="31"/>
      <c r="AE98" s="31"/>
      <c r="AF98" s="31"/>
      <c r="AG98" s="29"/>
      <c r="AH98" s="24">
        <f t="shared" si="5"/>
        <v>0</v>
      </c>
      <c r="AI98" s="32"/>
      <c r="AJ98" s="28"/>
      <c r="AK98" s="28"/>
      <c r="AL98" s="28"/>
      <c r="AM98" s="28"/>
      <c r="AN98" s="28"/>
      <c r="AO98" s="28"/>
      <c r="AP98" s="28"/>
      <c r="AQ98" s="28"/>
      <c r="AR98" s="28"/>
      <c r="AS98" s="28"/>
      <c r="AT98" s="28"/>
      <c r="AU98" s="28"/>
      <c r="AV98" s="28"/>
      <c r="AW98" s="28"/>
      <c r="AX98" s="28"/>
      <c r="AY98" s="28"/>
      <c r="AZ98" s="28"/>
      <c r="BA98" s="28"/>
      <c r="BB98" s="28"/>
      <c r="BC98" s="28"/>
      <c r="BD98" s="28"/>
      <c r="BE98" s="28"/>
      <c r="BF98" s="28"/>
      <c r="BG98" s="28"/>
      <c r="BH98" s="28"/>
      <c r="BI98" s="33"/>
      <c r="BJ98" s="24">
        <f t="shared" si="6"/>
        <v>0</v>
      </c>
      <c r="BK98" s="30"/>
      <c r="BL98" s="31"/>
      <c r="BM98" s="31"/>
      <c r="BN98" s="31"/>
      <c r="BO98" s="31"/>
      <c r="BP98" s="31"/>
      <c r="BQ98" s="31"/>
      <c r="BR98" s="31"/>
      <c r="BS98" s="31"/>
      <c r="BT98" s="31"/>
      <c r="BU98" s="31"/>
      <c r="BV98" s="31"/>
      <c r="BW98" s="31"/>
      <c r="BX98" s="31"/>
      <c r="BY98" s="31"/>
      <c r="BZ98" s="31"/>
      <c r="CA98" s="31"/>
      <c r="CB98" s="31"/>
      <c r="CC98" s="31"/>
      <c r="CD98" s="31"/>
      <c r="CE98" s="31"/>
      <c r="CF98" s="31"/>
      <c r="CG98" s="31"/>
      <c r="CH98" s="31"/>
      <c r="CI98" s="31"/>
      <c r="CJ98" s="31"/>
      <c r="CK98" s="29"/>
    </row>
    <row r="99" spans="1:90" x14ac:dyDescent="0.25">
      <c r="A99" s="608"/>
      <c r="B99" s="89"/>
      <c r="C99" s="89"/>
      <c r="D99" s="38"/>
      <c r="E99" s="35"/>
      <c r="F99" s="36">
        <f t="shared" si="4"/>
        <v>0</v>
      </c>
      <c r="G99" s="37"/>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5"/>
      <c r="AH99" s="36">
        <f t="shared" si="5"/>
        <v>0</v>
      </c>
      <c r="AI99" s="39"/>
      <c r="AJ99" s="34"/>
      <c r="AK99" s="34"/>
      <c r="AL99" s="34"/>
      <c r="AM99" s="34"/>
      <c r="AN99" s="34"/>
      <c r="AO99" s="34"/>
      <c r="AP99" s="34"/>
      <c r="AQ99" s="34"/>
      <c r="AR99" s="34"/>
      <c r="AS99" s="34"/>
      <c r="AT99" s="34"/>
      <c r="AU99" s="34"/>
      <c r="AV99" s="34"/>
      <c r="AW99" s="34"/>
      <c r="AX99" s="34"/>
      <c r="AY99" s="34"/>
      <c r="AZ99" s="34"/>
      <c r="BA99" s="34"/>
      <c r="BB99" s="34"/>
      <c r="BC99" s="34"/>
      <c r="BD99" s="34"/>
      <c r="BE99" s="34"/>
      <c r="BF99" s="34"/>
      <c r="BG99" s="34"/>
      <c r="BH99" s="34"/>
      <c r="BI99" s="40"/>
      <c r="BJ99" s="36">
        <f t="shared" si="6"/>
        <v>0</v>
      </c>
      <c r="BK99" s="37"/>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5"/>
      <c r="CL99" s="177"/>
    </row>
    <row r="100" spans="1:90" x14ac:dyDescent="0.25">
      <c r="A100" s="187"/>
      <c r="B100" s="76"/>
      <c r="C100" s="76"/>
      <c r="D100" s="76"/>
      <c r="E100" s="76"/>
      <c r="F100" s="76"/>
      <c r="G100" s="76"/>
      <c r="H100" s="76"/>
      <c r="I100" s="76"/>
      <c r="J100" s="76"/>
      <c r="K100" s="76"/>
      <c r="L100" s="76"/>
      <c r="M100" s="76"/>
      <c r="N100" s="76"/>
      <c r="O100" s="76"/>
      <c r="P100" s="76"/>
      <c r="Q100" s="76"/>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row>
    <row r="101" spans="1:90" hidden="1" x14ac:dyDescent="0.25">
      <c r="A101" s="113" t="s">
        <v>167</v>
      </c>
      <c r="B101" s="115" t="s">
        <v>165</v>
      </c>
      <c r="D101" s="115">
        <v>0</v>
      </c>
      <c r="E101" s="115">
        <v>0</v>
      </c>
    </row>
  </sheetData>
  <mergeCells count="3">
    <mergeCell ref="BK1:CK1"/>
    <mergeCell ref="AI1:BI1"/>
    <mergeCell ref="G1:AG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tabColor rgb="FF66FF33"/>
  </sheetPr>
  <dimension ref="A2:AN39"/>
  <sheetViews>
    <sheetView zoomScale="80" zoomScaleNormal="80" workbookViewId="0">
      <selection activeCell="G15" sqref="G15"/>
    </sheetView>
  </sheetViews>
  <sheetFormatPr defaultColWidth="9.109375" defaultRowHeight="13.2" x14ac:dyDescent="0.25"/>
  <cols>
    <col min="1" max="1" width="3.6640625" style="113" customWidth="1"/>
    <col min="2" max="2" width="36.88671875" style="113" customWidth="1"/>
    <col min="3" max="31" width="5.6640625" style="113" customWidth="1"/>
    <col min="32" max="32" width="3.6640625" style="113" customWidth="1"/>
    <col min="33" max="33" width="23.44140625" style="113" bestFit="1" customWidth="1"/>
    <col min="34" max="34" width="10.6640625" style="113" customWidth="1"/>
    <col min="35" max="35" width="24.6640625" style="113" customWidth="1"/>
    <col min="36" max="36" width="1.6640625" style="113" customWidth="1"/>
    <col min="37" max="37" width="9.109375" style="113"/>
    <col min="38" max="38" width="1.6640625" style="113" customWidth="1"/>
    <col min="39" max="39" width="24.88671875" style="113" bestFit="1" customWidth="1"/>
    <col min="40" max="40" width="9.109375" style="115"/>
    <col min="41" max="16384" width="9.109375" style="113"/>
  </cols>
  <sheetData>
    <row r="2" spans="1:40" ht="15" customHeight="1" x14ac:dyDescent="0.25">
      <c r="D2" s="114" t="s">
        <v>84</v>
      </c>
      <c r="AG2" s="114" t="s">
        <v>203</v>
      </c>
      <c r="AM2" s="114" t="s">
        <v>361</v>
      </c>
    </row>
    <row r="3" spans="1:40" ht="15" customHeight="1" x14ac:dyDescent="0.25">
      <c r="D3" s="114" t="s">
        <v>85</v>
      </c>
      <c r="AG3" s="114"/>
    </row>
    <row r="4" spans="1:40" ht="15" customHeight="1" x14ac:dyDescent="0.25">
      <c r="B4" s="114" t="s">
        <v>113</v>
      </c>
      <c r="C4" s="115"/>
      <c r="D4" s="174" t="str">
        <f>C5</f>
        <v>AC</v>
      </c>
      <c r="E4" s="174" t="str">
        <f>C6</f>
        <v>AL</v>
      </c>
      <c r="F4" s="174" t="str">
        <f>C7</f>
        <v>AM</v>
      </c>
      <c r="G4" s="174" t="str">
        <f>C8</f>
        <v>AP</v>
      </c>
      <c r="H4" s="174" t="str">
        <f>C9</f>
        <v>BA</v>
      </c>
      <c r="I4" s="174" t="str">
        <f>C10</f>
        <v>CE</v>
      </c>
      <c r="J4" s="174" t="str">
        <f>C11</f>
        <v>DF</v>
      </c>
      <c r="K4" s="174" t="str">
        <f>C12</f>
        <v>ES</v>
      </c>
      <c r="L4" s="174" t="str">
        <f>C13</f>
        <v>GO</v>
      </c>
      <c r="M4" s="174" t="str">
        <f>C14</f>
        <v>MA</v>
      </c>
      <c r="N4" s="174" t="str">
        <f>C15</f>
        <v>MT</v>
      </c>
      <c r="O4" s="174" t="str">
        <f>C16</f>
        <v>MS</v>
      </c>
      <c r="P4" s="174" t="str">
        <f>C17</f>
        <v>MG</v>
      </c>
      <c r="Q4" s="174" t="str">
        <f>C18</f>
        <v>PA</v>
      </c>
      <c r="R4" s="174" t="str">
        <f>C19</f>
        <v>PB</v>
      </c>
      <c r="S4" s="174" t="str">
        <f>C20</f>
        <v>PR</v>
      </c>
      <c r="T4" s="174" t="str">
        <f>C21</f>
        <v>PE</v>
      </c>
      <c r="U4" s="174" t="str">
        <f>C22</f>
        <v>PI</v>
      </c>
      <c r="V4" s="174" t="str">
        <f>C23</f>
        <v>RN</v>
      </c>
      <c r="W4" s="174" t="str">
        <f>C24</f>
        <v>RS</v>
      </c>
      <c r="X4" s="174" t="str">
        <f>C25</f>
        <v>RJ</v>
      </c>
      <c r="Y4" s="174" t="str">
        <f>C26</f>
        <v>RO</v>
      </c>
      <c r="Z4" s="174" t="str">
        <f>C27</f>
        <v>RR</v>
      </c>
      <c r="AA4" s="174" t="str">
        <f>C28</f>
        <v>SC</v>
      </c>
      <c r="AB4" s="174" t="str">
        <f>C29</f>
        <v>SP</v>
      </c>
      <c r="AC4" s="174" t="str">
        <f>C30</f>
        <v>SE</v>
      </c>
      <c r="AD4" s="174" t="str">
        <f>C31</f>
        <v>TO</v>
      </c>
      <c r="AE4" s="174" t="str">
        <f>C32</f>
        <v>SX</v>
      </c>
      <c r="AG4" s="392" t="s">
        <v>159</v>
      </c>
      <c r="AH4" s="393" t="s">
        <v>166</v>
      </c>
      <c r="AI4" s="394" t="s">
        <v>206</v>
      </c>
      <c r="AK4" s="223" t="s">
        <v>18</v>
      </c>
      <c r="AM4" s="395" t="s">
        <v>159</v>
      </c>
      <c r="AN4" s="262" t="s">
        <v>360</v>
      </c>
    </row>
    <row r="5" spans="1:40" ht="15" customHeight="1" x14ac:dyDescent="0.25">
      <c r="B5" s="353" t="s">
        <v>114</v>
      </c>
      <c r="C5" s="174" t="s">
        <v>86</v>
      </c>
      <c r="D5" s="425">
        <v>0.19</v>
      </c>
      <c r="E5" s="396">
        <v>0.12</v>
      </c>
      <c r="F5" s="396">
        <v>0.12</v>
      </c>
      <c r="G5" s="396">
        <v>0.12</v>
      </c>
      <c r="H5" s="396">
        <v>0.12</v>
      </c>
      <c r="I5" s="396">
        <v>0.12</v>
      </c>
      <c r="J5" s="396">
        <v>0.12</v>
      </c>
      <c r="K5" s="396">
        <v>0.12</v>
      </c>
      <c r="L5" s="396">
        <v>0.12</v>
      </c>
      <c r="M5" s="396">
        <v>0.12</v>
      </c>
      <c r="N5" s="396">
        <v>0.12</v>
      </c>
      <c r="O5" s="396">
        <v>0.12</v>
      </c>
      <c r="P5" s="396">
        <v>0.12</v>
      </c>
      <c r="Q5" s="396">
        <v>0.12</v>
      </c>
      <c r="R5" s="396">
        <v>0.12</v>
      </c>
      <c r="S5" s="396">
        <v>0.12</v>
      </c>
      <c r="T5" s="396">
        <v>0.12</v>
      </c>
      <c r="U5" s="396">
        <v>0.12</v>
      </c>
      <c r="V5" s="396">
        <v>0.12</v>
      </c>
      <c r="W5" s="396">
        <v>0.12</v>
      </c>
      <c r="X5" s="396">
        <v>0.12</v>
      </c>
      <c r="Y5" s="396">
        <v>0.12</v>
      </c>
      <c r="Z5" s="396">
        <v>0.12</v>
      </c>
      <c r="AA5" s="396">
        <v>0.12</v>
      </c>
      <c r="AB5" s="396">
        <v>0.12</v>
      </c>
      <c r="AC5" s="396">
        <v>0.12</v>
      </c>
      <c r="AD5" s="396">
        <v>0.12</v>
      </c>
      <c r="AE5" s="397">
        <v>0</v>
      </c>
      <c r="AG5" s="398" t="str">
        <f>Dados!E86</f>
        <v xml:space="preserve">  Chaparia</v>
      </c>
      <c r="AH5" s="399" t="s">
        <v>164</v>
      </c>
      <c r="AI5" s="400">
        <v>1</v>
      </c>
      <c r="AK5" s="412">
        <v>0.03</v>
      </c>
      <c r="AM5" s="398" t="str">
        <f>AG5</f>
        <v xml:space="preserve">  Chaparia</v>
      </c>
      <c r="AN5" s="401" t="s">
        <v>357</v>
      </c>
    </row>
    <row r="6" spans="1:40" ht="15" customHeight="1" x14ac:dyDescent="0.25">
      <c r="A6" s="391"/>
      <c r="B6" s="353" t="s">
        <v>115</v>
      </c>
      <c r="C6" s="174" t="s">
        <v>87</v>
      </c>
      <c r="D6" s="402">
        <v>0.12</v>
      </c>
      <c r="E6" s="426">
        <v>0.19</v>
      </c>
      <c r="F6" s="403">
        <v>0.12</v>
      </c>
      <c r="G6" s="403">
        <v>0.12</v>
      </c>
      <c r="H6" s="403">
        <v>0.12</v>
      </c>
      <c r="I6" s="403">
        <v>0.12</v>
      </c>
      <c r="J6" s="403">
        <v>0.12</v>
      </c>
      <c r="K6" s="403">
        <v>0.12</v>
      </c>
      <c r="L6" s="403">
        <v>0.12</v>
      </c>
      <c r="M6" s="403">
        <v>0.12</v>
      </c>
      <c r="N6" s="403">
        <v>0.12</v>
      </c>
      <c r="O6" s="403">
        <v>0.12</v>
      </c>
      <c r="P6" s="403">
        <v>0.12</v>
      </c>
      <c r="Q6" s="403">
        <v>0.12</v>
      </c>
      <c r="R6" s="403">
        <v>0.12</v>
      </c>
      <c r="S6" s="403">
        <v>0.12</v>
      </c>
      <c r="T6" s="403">
        <v>0.12</v>
      </c>
      <c r="U6" s="403">
        <v>0.12</v>
      </c>
      <c r="V6" s="403">
        <v>0.12</v>
      </c>
      <c r="W6" s="403">
        <v>0.12</v>
      </c>
      <c r="X6" s="403">
        <v>0.12</v>
      </c>
      <c r="Y6" s="403">
        <v>0.12</v>
      </c>
      <c r="Z6" s="403">
        <v>0.12</v>
      </c>
      <c r="AA6" s="403">
        <v>0.12</v>
      </c>
      <c r="AB6" s="403">
        <v>0.12</v>
      </c>
      <c r="AC6" s="403">
        <v>0.12</v>
      </c>
      <c r="AD6" s="403">
        <v>0.12</v>
      </c>
      <c r="AE6" s="404">
        <v>0</v>
      </c>
      <c r="AG6" s="405" t="str">
        <f>Dados!E87</f>
        <v xml:space="preserve">  IED</v>
      </c>
      <c r="AH6" s="406" t="s">
        <v>164</v>
      </c>
      <c r="AI6" s="407">
        <v>1</v>
      </c>
      <c r="AK6" s="413">
        <v>0.03</v>
      </c>
      <c r="AM6" s="405" t="str">
        <f t="shared" ref="AM6:AM34" si="0">AG6</f>
        <v xml:space="preserve">  IED</v>
      </c>
      <c r="AN6" s="408" t="s">
        <v>357</v>
      </c>
    </row>
    <row r="7" spans="1:40" ht="15" customHeight="1" x14ac:dyDescent="0.25">
      <c r="A7" s="391"/>
      <c r="B7" s="353" t="s">
        <v>116</v>
      </c>
      <c r="C7" s="174" t="s">
        <v>88</v>
      </c>
      <c r="D7" s="409">
        <v>0.12</v>
      </c>
      <c r="E7" s="410">
        <v>0.12</v>
      </c>
      <c r="F7" s="427">
        <v>0.2</v>
      </c>
      <c r="G7" s="410">
        <v>0.12</v>
      </c>
      <c r="H7" s="410">
        <v>0.12</v>
      </c>
      <c r="I7" s="410">
        <v>0.12</v>
      </c>
      <c r="J7" s="410">
        <v>0.12</v>
      </c>
      <c r="K7" s="410">
        <v>0.12</v>
      </c>
      <c r="L7" s="410">
        <v>0.12</v>
      </c>
      <c r="M7" s="410">
        <v>0.12</v>
      </c>
      <c r="N7" s="410">
        <v>0.12</v>
      </c>
      <c r="O7" s="410">
        <v>0.12</v>
      </c>
      <c r="P7" s="410">
        <v>0.12</v>
      </c>
      <c r="Q7" s="410">
        <v>0.12</v>
      </c>
      <c r="R7" s="410">
        <v>0.12</v>
      </c>
      <c r="S7" s="410">
        <v>0.12</v>
      </c>
      <c r="T7" s="410">
        <v>0.12</v>
      </c>
      <c r="U7" s="410">
        <v>0.12</v>
      </c>
      <c r="V7" s="410">
        <v>0.12</v>
      </c>
      <c r="W7" s="410">
        <v>0.12</v>
      </c>
      <c r="X7" s="410">
        <v>0.12</v>
      </c>
      <c r="Y7" s="410">
        <v>0.12</v>
      </c>
      <c r="Z7" s="410">
        <v>0.12</v>
      </c>
      <c r="AA7" s="410">
        <v>0.12</v>
      </c>
      <c r="AB7" s="410">
        <v>0.12</v>
      </c>
      <c r="AC7" s="410">
        <v>0.12</v>
      </c>
      <c r="AD7" s="410">
        <v>0.12</v>
      </c>
      <c r="AE7" s="411">
        <v>0</v>
      </c>
      <c r="AG7" s="405" t="str">
        <f>Dados!E88</f>
        <v xml:space="preserve">  UTR/PLC</v>
      </c>
      <c r="AH7" s="406" t="s">
        <v>164</v>
      </c>
      <c r="AI7" s="407">
        <v>1</v>
      </c>
      <c r="AK7" s="413">
        <v>0.03</v>
      </c>
      <c r="AM7" s="405" t="str">
        <f t="shared" ref="AM7:AM10" si="1">AG7</f>
        <v xml:space="preserve">  UTR/PLC</v>
      </c>
      <c r="AN7" s="408" t="s">
        <v>357</v>
      </c>
    </row>
    <row r="8" spans="1:40" ht="15" customHeight="1" x14ac:dyDescent="0.25">
      <c r="A8" s="391"/>
      <c r="B8" s="353" t="s">
        <v>117</v>
      </c>
      <c r="C8" s="174" t="s">
        <v>89</v>
      </c>
      <c r="D8" s="409">
        <v>0.12</v>
      </c>
      <c r="E8" s="410">
        <v>0.12</v>
      </c>
      <c r="F8" s="410">
        <v>0.12</v>
      </c>
      <c r="G8" s="427">
        <v>0.18</v>
      </c>
      <c r="H8" s="410">
        <v>0.12</v>
      </c>
      <c r="I8" s="410">
        <v>0.12</v>
      </c>
      <c r="J8" s="410">
        <v>0.12</v>
      </c>
      <c r="K8" s="410">
        <v>0.12</v>
      </c>
      <c r="L8" s="410">
        <v>0.12</v>
      </c>
      <c r="M8" s="410">
        <v>0.12</v>
      </c>
      <c r="N8" s="410">
        <v>0.12</v>
      </c>
      <c r="O8" s="410">
        <v>0.12</v>
      </c>
      <c r="P8" s="410">
        <v>0.12</v>
      </c>
      <c r="Q8" s="410">
        <v>0.12</v>
      </c>
      <c r="R8" s="410">
        <v>0.12</v>
      </c>
      <c r="S8" s="410">
        <v>0.12</v>
      </c>
      <c r="T8" s="410">
        <v>0.12</v>
      </c>
      <c r="U8" s="410">
        <v>0.12</v>
      </c>
      <c r="V8" s="410">
        <v>0.12</v>
      </c>
      <c r="W8" s="410">
        <v>0.12</v>
      </c>
      <c r="X8" s="410">
        <v>0.12</v>
      </c>
      <c r="Y8" s="410">
        <v>0.12</v>
      </c>
      <c r="Z8" s="410">
        <v>0.12</v>
      </c>
      <c r="AA8" s="410">
        <v>0.12</v>
      </c>
      <c r="AB8" s="410">
        <v>0.12</v>
      </c>
      <c r="AC8" s="410">
        <v>0.12</v>
      </c>
      <c r="AD8" s="410">
        <v>0.12</v>
      </c>
      <c r="AE8" s="411">
        <v>0</v>
      </c>
      <c r="AG8" s="405" t="str">
        <f>Dados!E89</f>
        <v xml:space="preserve">  Rede</v>
      </c>
      <c r="AH8" s="406" t="s">
        <v>164</v>
      </c>
      <c r="AI8" s="407">
        <v>1</v>
      </c>
      <c r="AK8" s="413">
        <v>0.03</v>
      </c>
      <c r="AM8" s="405" t="str">
        <f t="shared" si="1"/>
        <v xml:space="preserve">  Rede</v>
      </c>
      <c r="AN8" s="408" t="s">
        <v>357</v>
      </c>
    </row>
    <row r="9" spans="1:40" ht="15" customHeight="1" x14ac:dyDescent="0.25">
      <c r="A9" s="391"/>
      <c r="B9" s="353" t="s">
        <v>118</v>
      </c>
      <c r="C9" s="174" t="s">
        <v>90</v>
      </c>
      <c r="D9" s="409">
        <v>0.12</v>
      </c>
      <c r="E9" s="410">
        <v>0.12</v>
      </c>
      <c r="F9" s="410">
        <v>0.12</v>
      </c>
      <c r="G9" s="410">
        <v>0.12</v>
      </c>
      <c r="H9" s="427">
        <v>0.19</v>
      </c>
      <c r="I9" s="410">
        <v>0.12</v>
      </c>
      <c r="J9" s="410">
        <v>0.12</v>
      </c>
      <c r="K9" s="410">
        <v>0.12</v>
      </c>
      <c r="L9" s="410">
        <v>0.12</v>
      </c>
      <c r="M9" s="410">
        <v>0.12</v>
      </c>
      <c r="N9" s="410">
        <v>0.12</v>
      </c>
      <c r="O9" s="410">
        <v>0.12</v>
      </c>
      <c r="P9" s="410">
        <v>0.12</v>
      </c>
      <c r="Q9" s="410">
        <v>0.12</v>
      </c>
      <c r="R9" s="410">
        <v>0.12</v>
      </c>
      <c r="S9" s="410">
        <v>0.12</v>
      </c>
      <c r="T9" s="410">
        <v>0.12</v>
      </c>
      <c r="U9" s="410">
        <v>0.12</v>
      </c>
      <c r="V9" s="410">
        <v>0.12</v>
      </c>
      <c r="W9" s="410">
        <v>0.12</v>
      </c>
      <c r="X9" s="410">
        <v>0.12</v>
      </c>
      <c r="Y9" s="410">
        <v>0.12</v>
      </c>
      <c r="Z9" s="410">
        <v>0.12</v>
      </c>
      <c r="AA9" s="410">
        <v>0.12</v>
      </c>
      <c r="AB9" s="410">
        <v>0.12</v>
      </c>
      <c r="AC9" s="410">
        <v>0.12</v>
      </c>
      <c r="AD9" s="410">
        <v>0.12</v>
      </c>
      <c r="AE9" s="411">
        <v>0</v>
      </c>
      <c r="AG9" s="405" t="str">
        <f>Dados!E90</f>
        <v xml:space="preserve">  Informática</v>
      </c>
      <c r="AH9" s="406" t="s">
        <v>164</v>
      </c>
      <c r="AI9" s="407">
        <v>1</v>
      </c>
      <c r="AK9" s="413">
        <v>0.03</v>
      </c>
      <c r="AM9" s="405" t="str">
        <f t="shared" si="1"/>
        <v xml:space="preserve">  Informática</v>
      </c>
      <c r="AN9" s="408" t="s">
        <v>357</v>
      </c>
    </row>
    <row r="10" spans="1:40" ht="15" customHeight="1" x14ac:dyDescent="0.25">
      <c r="A10" s="391"/>
      <c r="B10" s="353" t="s">
        <v>119</v>
      </c>
      <c r="C10" s="174" t="s">
        <v>91</v>
      </c>
      <c r="D10" s="409">
        <v>0.12</v>
      </c>
      <c r="E10" s="410">
        <v>0.12</v>
      </c>
      <c r="F10" s="410">
        <v>0.12</v>
      </c>
      <c r="G10" s="410">
        <v>0.12</v>
      </c>
      <c r="H10" s="410">
        <v>0.12</v>
      </c>
      <c r="I10" s="427">
        <v>0.2</v>
      </c>
      <c r="J10" s="410">
        <v>0.12</v>
      </c>
      <c r="K10" s="410">
        <v>0.12</v>
      </c>
      <c r="L10" s="410">
        <v>0.12</v>
      </c>
      <c r="M10" s="410">
        <v>0.12</v>
      </c>
      <c r="N10" s="410">
        <v>0.12</v>
      </c>
      <c r="O10" s="410">
        <v>0.12</v>
      </c>
      <c r="P10" s="410">
        <v>0.12</v>
      </c>
      <c r="Q10" s="410">
        <v>0.12</v>
      </c>
      <c r="R10" s="410">
        <v>0.12</v>
      </c>
      <c r="S10" s="410">
        <v>0.12</v>
      </c>
      <c r="T10" s="410">
        <v>0.12</v>
      </c>
      <c r="U10" s="410">
        <v>0.12</v>
      </c>
      <c r="V10" s="410">
        <v>0.12</v>
      </c>
      <c r="W10" s="410">
        <v>0.12</v>
      </c>
      <c r="X10" s="410">
        <v>0.12</v>
      </c>
      <c r="Y10" s="410">
        <v>0.12</v>
      </c>
      <c r="Z10" s="410">
        <v>0.12</v>
      </c>
      <c r="AA10" s="410">
        <v>0.12</v>
      </c>
      <c r="AB10" s="410">
        <v>0.12</v>
      </c>
      <c r="AC10" s="410">
        <v>0.12</v>
      </c>
      <c r="AD10" s="410">
        <v>0.12</v>
      </c>
      <c r="AE10" s="411">
        <v>0</v>
      </c>
      <c r="AG10" s="405" t="str">
        <f>Dados!E91</f>
        <v xml:space="preserve">  Software</v>
      </c>
      <c r="AH10" s="406" t="s">
        <v>165</v>
      </c>
      <c r="AI10" s="407">
        <v>1</v>
      </c>
      <c r="AK10" s="413">
        <v>0.03</v>
      </c>
      <c r="AM10" s="405" t="str">
        <f t="shared" si="1"/>
        <v xml:space="preserve">  Software</v>
      </c>
      <c r="AN10" s="408" t="s">
        <v>358</v>
      </c>
    </row>
    <row r="11" spans="1:40" ht="15" customHeight="1" x14ac:dyDescent="0.25">
      <c r="A11" s="391"/>
      <c r="B11" s="353" t="s">
        <v>120</v>
      </c>
      <c r="C11" s="174" t="s">
        <v>92</v>
      </c>
      <c r="D11" s="409">
        <v>0.12</v>
      </c>
      <c r="E11" s="410">
        <v>0.12</v>
      </c>
      <c r="F11" s="410">
        <v>0.12</v>
      </c>
      <c r="G11" s="410">
        <v>0.12</v>
      </c>
      <c r="H11" s="410">
        <v>0.12</v>
      </c>
      <c r="I11" s="410">
        <v>0.12</v>
      </c>
      <c r="J11" s="427">
        <v>0.2</v>
      </c>
      <c r="K11" s="410">
        <v>0.12</v>
      </c>
      <c r="L11" s="410">
        <v>0.12</v>
      </c>
      <c r="M11" s="410">
        <v>0.12</v>
      </c>
      <c r="N11" s="410">
        <v>0.12</v>
      </c>
      <c r="O11" s="410">
        <v>0.12</v>
      </c>
      <c r="P11" s="410">
        <v>0.12</v>
      </c>
      <c r="Q11" s="410">
        <v>0.12</v>
      </c>
      <c r="R11" s="410">
        <v>0.12</v>
      </c>
      <c r="S11" s="410">
        <v>0.12</v>
      </c>
      <c r="T11" s="410">
        <v>0.12</v>
      </c>
      <c r="U11" s="410">
        <v>0.12</v>
      </c>
      <c r="V11" s="410">
        <v>0.12</v>
      </c>
      <c r="W11" s="410">
        <v>0.12</v>
      </c>
      <c r="X11" s="410">
        <v>0.12</v>
      </c>
      <c r="Y11" s="410">
        <v>0.12</v>
      </c>
      <c r="Z11" s="410">
        <v>0.12</v>
      </c>
      <c r="AA11" s="410">
        <v>0.12</v>
      </c>
      <c r="AB11" s="410">
        <v>0.12</v>
      </c>
      <c r="AC11" s="410">
        <v>0.12</v>
      </c>
      <c r="AD11" s="410">
        <v>0.12</v>
      </c>
      <c r="AE11" s="411">
        <v>0</v>
      </c>
      <c r="AG11" s="405" t="str">
        <f>Dados!E92</f>
        <v xml:space="preserve">  Comunicação</v>
      </c>
      <c r="AH11" s="406" t="s">
        <v>164</v>
      </c>
      <c r="AI11" s="407">
        <v>1</v>
      </c>
      <c r="AK11" s="413">
        <v>0.03</v>
      </c>
      <c r="AM11" s="405" t="str">
        <f t="shared" si="0"/>
        <v xml:space="preserve">  Comunicação</v>
      </c>
      <c r="AN11" s="408" t="s">
        <v>357</v>
      </c>
    </row>
    <row r="12" spans="1:40" ht="15" customHeight="1" x14ac:dyDescent="0.25">
      <c r="A12" s="391"/>
      <c r="B12" s="353" t="s">
        <v>121</v>
      </c>
      <c r="C12" s="174" t="s">
        <v>93</v>
      </c>
      <c r="D12" s="409">
        <v>0.12</v>
      </c>
      <c r="E12" s="410">
        <v>0.12</v>
      </c>
      <c r="F12" s="410">
        <v>0.12</v>
      </c>
      <c r="G12" s="410">
        <v>0.12</v>
      </c>
      <c r="H12" s="410">
        <v>0.12</v>
      </c>
      <c r="I12" s="410">
        <v>0.12</v>
      </c>
      <c r="J12" s="410">
        <v>0.12</v>
      </c>
      <c r="K12" s="427">
        <v>0.17</v>
      </c>
      <c r="L12" s="410">
        <v>0.12</v>
      </c>
      <c r="M12" s="410">
        <v>0.12</v>
      </c>
      <c r="N12" s="410">
        <v>0.12</v>
      </c>
      <c r="O12" s="410">
        <v>0.12</v>
      </c>
      <c r="P12" s="410">
        <v>0.12</v>
      </c>
      <c r="Q12" s="410">
        <v>0.12</v>
      </c>
      <c r="R12" s="410">
        <v>0.12</v>
      </c>
      <c r="S12" s="410">
        <v>0.12</v>
      </c>
      <c r="T12" s="410">
        <v>0.12</v>
      </c>
      <c r="U12" s="410">
        <v>0.12</v>
      </c>
      <c r="V12" s="410">
        <v>0.12</v>
      </c>
      <c r="W12" s="410">
        <v>0.12</v>
      </c>
      <c r="X12" s="410">
        <v>0.12</v>
      </c>
      <c r="Y12" s="410">
        <v>0.12</v>
      </c>
      <c r="Z12" s="410">
        <v>0.12</v>
      </c>
      <c r="AA12" s="410">
        <v>0.12</v>
      </c>
      <c r="AB12" s="410">
        <v>0.12</v>
      </c>
      <c r="AC12" s="410">
        <v>0.12</v>
      </c>
      <c r="AD12" s="410">
        <v>0.12</v>
      </c>
      <c r="AE12" s="411">
        <v>0</v>
      </c>
      <c r="AG12" s="405" t="str">
        <f>Dados!E93</f>
        <v xml:space="preserve">  Relé auxiliar</v>
      </c>
      <c r="AH12" s="406" t="s">
        <v>164</v>
      </c>
      <c r="AI12" s="407">
        <v>1</v>
      </c>
      <c r="AK12" s="413">
        <v>0.03</v>
      </c>
      <c r="AM12" s="405" t="str">
        <f t="shared" si="0"/>
        <v xml:space="preserve">  Relé auxiliar</v>
      </c>
      <c r="AN12" s="408" t="s">
        <v>357</v>
      </c>
    </row>
    <row r="13" spans="1:40" ht="15" customHeight="1" x14ac:dyDescent="0.25">
      <c r="A13" s="391"/>
      <c r="B13" s="353" t="s">
        <v>122</v>
      </c>
      <c r="C13" s="174" t="s">
        <v>94</v>
      </c>
      <c r="D13" s="409">
        <v>0.12</v>
      </c>
      <c r="E13" s="410">
        <v>0.12</v>
      </c>
      <c r="F13" s="410">
        <v>0.12</v>
      </c>
      <c r="G13" s="410">
        <v>0.12</v>
      </c>
      <c r="H13" s="410">
        <v>0.12</v>
      </c>
      <c r="I13" s="410">
        <v>0.12</v>
      </c>
      <c r="J13" s="410">
        <v>0.12</v>
      </c>
      <c r="K13" s="410">
        <v>0.12</v>
      </c>
      <c r="L13" s="427">
        <v>0.17</v>
      </c>
      <c r="M13" s="410">
        <v>0.12</v>
      </c>
      <c r="N13" s="410">
        <v>0.12</v>
      </c>
      <c r="O13" s="410">
        <v>0.12</v>
      </c>
      <c r="P13" s="410">
        <v>0.12</v>
      </c>
      <c r="Q13" s="410">
        <v>0.12</v>
      </c>
      <c r="R13" s="410">
        <v>0.12</v>
      </c>
      <c r="S13" s="410">
        <v>0.12</v>
      </c>
      <c r="T13" s="410">
        <v>0.12</v>
      </c>
      <c r="U13" s="410">
        <v>0.12</v>
      </c>
      <c r="V13" s="410">
        <v>0.12</v>
      </c>
      <c r="W13" s="410">
        <v>0.12</v>
      </c>
      <c r="X13" s="410">
        <v>0.12</v>
      </c>
      <c r="Y13" s="410">
        <v>0.12</v>
      </c>
      <c r="Z13" s="410">
        <v>0.12</v>
      </c>
      <c r="AA13" s="410">
        <v>0.12</v>
      </c>
      <c r="AB13" s="410">
        <v>0.12</v>
      </c>
      <c r="AC13" s="410">
        <v>0.12</v>
      </c>
      <c r="AD13" s="410">
        <v>0.12</v>
      </c>
      <c r="AE13" s="411">
        <v>0</v>
      </c>
      <c r="AG13" s="405" t="str">
        <f>Dados!E94</f>
        <v xml:space="preserve">  Bloco de teste</v>
      </c>
      <c r="AH13" s="406" t="s">
        <v>164</v>
      </c>
      <c r="AI13" s="407">
        <v>1</v>
      </c>
      <c r="AK13" s="413">
        <v>0.03</v>
      </c>
      <c r="AM13" s="405" t="str">
        <f t="shared" si="0"/>
        <v xml:space="preserve">  Bloco de teste</v>
      </c>
      <c r="AN13" s="408" t="s">
        <v>357</v>
      </c>
    </row>
    <row r="14" spans="1:40" ht="15" customHeight="1" x14ac:dyDescent="0.25">
      <c r="A14" s="391"/>
      <c r="B14" s="353" t="s">
        <v>123</v>
      </c>
      <c r="C14" s="174" t="s">
        <v>95</v>
      </c>
      <c r="D14" s="409">
        <v>0.12</v>
      </c>
      <c r="E14" s="410">
        <v>0.12</v>
      </c>
      <c r="F14" s="410">
        <v>0.12</v>
      </c>
      <c r="G14" s="410">
        <v>0.12</v>
      </c>
      <c r="H14" s="410">
        <v>0.12</v>
      </c>
      <c r="I14" s="410">
        <v>0.12</v>
      </c>
      <c r="J14" s="410">
        <v>0.12</v>
      </c>
      <c r="K14" s="410">
        <v>0.12</v>
      </c>
      <c r="L14" s="410">
        <v>0.12</v>
      </c>
      <c r="M14" s="427">
        <v>0.2</v>
      </c>
      <c r="N14" s="410">
        <v>0.12</v>
      </c>
      <c r="O14" s="410">
        <v>0.12</v>
      </c>
      <c r="P14" s="410">
        <v>0.12</v>
      </c>
      <c r="Q14" s="410">
        <v>0.12</v>
      </c>
      <c r="R14" s="410">
        <v>0.12</v>
      </c>
      <c r="S14" s="410">
        <v>0.12</v>
      </c>
      <c r="T14" s="410">
        <v>0.12</v>
      </c>
      <c r="U14" s="410">
        <v>0.12</v>
      </c>
      <c r="V14" s="410">
        <v>0.12</v>
      </c>
      <c r="W14" s="410">
        <v>0.12</v>
      </c>
      <c r="X14" s="410">
        <v>0.12</v>
      </c>
      <c r="Y14" s="410">
        <v>0.12</v>
      </c>
      <c r="Z14" s="410">
        <v>0.12</v>
      </c>
      <c r="AA14" s="410">
        <v>0.12</v>
      </c>
      <c r="AB14" s="410">
        <v>0.12</v>
      </c>
      <c r="AC14" s="410">
        <v>0.12</v>
      </c>
      <c r="AD14" s="410">
        <v>0.12</v>
      </c>
      <c r="AE14" s="411">
        <v>0</v>
      </c>
      <c r="AG14" s="405" t="str">
        <f>Dados!E95</f>
        <v xml:space="preserve">  Miscelânea</v>
      </c>
      <c r="AH14" s="406" t="s">
        <v>164</v>
      </c>
      <c r="AI14" s="407">
        <v>1</v>
      </c>
      <c r="AK14" s="413">
        <v>0.03</v>
      </c>
      <c r="AM14" s="405" t="str">
        <f t="shared" si="0"/>
        <v xml:space="preserve">  Miscelânea</v>
      </c>
      <c r="AN14" s="408" t="s">
        <v>357</v>
      </c>
    </row>
    <row r="15" spans="1:40" ht="15" customHeight="1" x14ac:dyDescent="0.25">
      <c r="A15" s="391"/>
      <c r="B15" s="353" t="s">
        <v>124</v>
      </c>
      <c r="C15" s="174" t="s">
        <v>96</v>
      </c>
      <c r="D15" s="409">
        <v>0.12</v>
      </c>
      <c r="E15" s="410">
        <v>0.12</v>
      </c>
      <c r="F15" s="410">
        <v>0.12</v>
      </c>
      <c r="G15" s="410">
        <v>0.12</v>
      </c>
      <c r="H15" s="410">
        <v>0.12</v>
      </c>
      <c r="I15" s="410">
        <v>0.12</v>
      </c>
      <c r="J15" s="410">
        <v>0.12</v>
      </c>
      <c r="K15" s="410">
        <v>0.12</v>
      </c>
      <c r="L15" s="410">
        <v>0.12</v>
      </c>
      <c r="M15" s="410">
        <v>0.12</v>
      </c>
      <c r="N15" s="427">
        <v>0.17</v>
      </c>
      <c r="O15" s="410">
        <v>0.12</v>
      </c>
      <c r="P15" s="410">
        <v>0.12</v>
      </c>
      <c r="Q15" s="410">
        <v>0.12</v>
      </c>
      <c r="R15" s="410">
        <v>0.12</v>
      </c>
      <c r="S15" s="410">
        <v>0.12</v>
      </c>
      <c r="T15" s="410">
        <v>0.12</v>
      </c>
      <c r="U15" s="410">
        <v>0.12</v>
      </c>
      <c r="V15" s="410">
        <v>0.12</v>
      </c>
      <c r="W15" s="410">
        <v>0.12</v>
      </c>
      <c r="X15" s="410">
        <v>0.12</v>
      </c>
      <c r="Y15" s="410">
        <v>0.12</v>
      </c>
      <c r="Z15" s="410">
        <v>0.12</v>
      </c>
      <c r="AA15" s="410">
        <v>0.12</v>
      </c>
      <c r="AB15" s="410">
        <v>0.12</v>
      </c>
      <c r="AC15" s="410">
        <v>0.12</v>
      </c>
      <c r="AD15" s="410">
        <v>0.12</v>
      </c>
      <c r="AE15" s="411">
        <v>0</v>
      </c>
      <c r="AG15" s="405" t="str">
        <f>Dados!E96</f>
        <v xml:space="preserve">  Cabo óptico</v>
      </c>
      <c r="AH15" s="406" t="s">
        <v>164</v>
      </c>
      <c r="AI15" s="407">
        <v>1</v>
      </c>
      <c r="AK15" s="413">
        <v>0.03</v>
      </c>
      <c r="AM15" s="405" t="str">
        <f t="shared" si="0"/>
        <v xml:space="preserve">  Cabo óptico</v>
      </c>
      <c r="AN15" s="408" t="s">
        <v>357</v>
      </c>
    </row>
    <row r="16" spans="1:40" ht="15" customHeight="1" x14ac:dyDescent="0.25">
      <c r="A16" s="391"/>
      <c r="B16" s="353" t="s">
        <v>125</v>
      </c>
      <c r="C16" s="174" t="s">
        <v>97</v>
      </c>
      <c r="D16" s="409">
        <v>0.12</v>
      </c>
      <c r="E16" s="410">
        <v>0.12</v>
      </c>
      <c r="F16" s="410">
        <v>0.12</v>
      </c>
      <c r="G16" s="410">
        <v>0.12</v>
      </c>
      <c r="H16" s="410">
        <v>0.12</v>
      </c>
      <c r="I16" s="410">
        <v>0.12</v>
      </c>
      <c r="J16" s="410">
        <v>0.12</v>
      </c>
      <c r="K16" s="410">
        <v>0.12</v>
      </c>
      <c r="L16" s="410">
        <v>0.12</v>
      </c>
      <c r="M16" s="410">
        <v>0.12</v>
      </c>
      <c r="N16" s="410">
        <v>0.12</v>
      </c>
      <c r="O16" s="427">
        <v>0.17</v>
      </c>
      <c r="P16" s="410">
        <v>0.12</v>
      </c>
      <c r="Q16" s="410">
        <v>0.12</v>
      </c>
      <c r="R16" s="410">
        <v>0.12</v>
      </c>
      <c r="S16" s="410">
        <v>0.12</v>
      </c>
      <c r="T16" s="410">
        <v>0.12</v>
      </c>
      <c r="U16" s="410">
        <v>0.12</v>
      </c>
      <c r="V16" s="410">
        <v>0.12</v>
      </c>
      <c r="W16" s="410">
        <v>0.12</v>
      </c>
      <c r="X16" s="410">
        <v>0.12</v>
      </c>
      <c r="Y16" s="410">
        <v>0.12</v>
      </c>
      <c r="Z16" s="410">
        <v>0.12</v>
      </c>
      <c r="AA16" s="410">
        <v>0.12</v>
      </c>
      <c r="AB16" s="410">
        <v>0.12</v>
      </c>
      <c r="AC16" s="410">
        <v>0.12</v>
      </c>
      <c r="AD16" s="410">
        <v>0.12</v>
      </c>
      <c r="AE16" s="411">
        <v>0</v>
      </c>
      <c r="AG16" s="405" t="str">
        <f>Dados!E97</f>
        <v xml:space="preserve">  Cabo elétrico</v>
      </c>
      <c r="AH16" s="406" t="s">
        <v>164</v>
      </c>
      <c r="AI16" s="407">
        <v>1</v>
      </c>
      <c r="AK16" s="413">
        <v>0.03</v>
      </c>
      <c r="AM16" s="405" t="str">
        <f t="shared" si="0"/>
        <v xml:space="preserve">  Cabo elétrico</v>
      </c>
      <c r="AN16" s="408" t="s">
        <v>357</v>
      </c>
    </row>
    <row r="17" spans="1:40" ht="15" customHeight="1" x14ac:dyDescent="0.25">
      <c r="A17" s="391"/>
      <c r="B17" s="353" t="s">
        <v>126</v>
      </c>
      <c r="C17" s="174" t="s">
        <v>98</v>
      </c>
      <c r="D17" s="409">
        <v>7.0000000000000007E-2</v>
      </c>
      <c r="E17" s="410">
        <v>7.0000000000000007E-2</v>
      </c>
      <c r="F17" s="410">
        <v>7.0000000000000007E-2</v>
      </c>
      <c r="G17" s="410">
        <v>7.0000000000000007E-2</v>
      </c>
      <c r="H17" s="410">
        <v>7.0000000000000007E-2</v>
      </c>
      <c r="I17" s="410">
        <v>7.0000000000000007E-2</v>
      </c>
      <c r="J17" s="410">
        <v>7.0000000000000007E-2</v>
      </c>
      <c r="K17" s="410">
        <v>7.0000000000000007E-2</v>
      </c>
      <c r="L17" s="410">
        <v>7.0000000000000007E-2</v>
      </c>
      <c r="M17" s="410">
        <v>7.0000000000000007E-2</v>
      </c>
      <c r="N17" s="410">
        <v>7.0000000000000007E-2</v>
      </c>
      <c r="O17" s="410">
        <v>7.0000000000000007E-2</v>
      </c>
      <c r="P17" s="427">
        <v>0.18</v>
      </c>
      <c r="Q17" s="410">
        <v>7.0000000000000007E-2</v>
      </c>
      <c r="R17" s="410">
        <v>7.0000000000000007E-2</v>
      </c>
      <c r="S17" s="410">
        <v>0.12</v>
      </c>
      <c r="T17" s="410">
        <v>7.0000000000000007E-2</v>
      </c>
      <c r="U17" s="410">
        <v>7.0000000000000007E-2</v>
      </c>
      <c r="V17" s="410">
        <v>7.0000000000000007E-2</v>
      </c>
      <c r="W17" s="410">
        <v>0.12</v>
      </c>
      <c r="X17" s="410">
        <v>0.12</v>
      </c>
      <c r="Y17" s="410">
        <v>7.0000000000000007E-2</v>
      </c>
      <c r="Z17" s="410">
        <v>7.0000000000000007E-2</v>
      </c>
      <c r="AA17" s="410">
        <v>0.12</v>
      </c>
      <c r="AB17" s="410">
        <v>0.12</v>
      </c>
      <c r="AC17" s="410">
        <v>7.0000000000000007E-2</v>
      </c>
      <c r="AD17" s="410">
        <v>7.0000000000000007E-2</v>
      </c>
      <c r="AE17" s="411">
        <v>0</v>
      </c>
      <c r="AG17" s="405" t="str">
        <f>Dados!E98</f>
        <v xml:space="preserve">  Medidor</v>
      </c>
      <c r="AH17" s="406" t="s">
        <v>164</v>
      </c>
      <c r="AI17" s="407">
        <v>1</v>
      </c>
      <c r="AK17" s="413">
        <v>0.03</v>
      </c>
      <c r="AM17" s="405" t="str">
        <f t="shared" si="0"/>
        <v xml:space="preserve">  Medidor</v>
      </c>
      <c r="AN17" s="408" t="s">
        <v>357</v>
      </c>
    </row>
    <row r="18" spans="1:40" ht="15" customHeight="1" x14ac:dyDescent="0.25">
      <c r="A18" s="391"/>
      <c r="B18" s="353" t="s">
        <v>127</v>
      </c>
      <c r="C18" s="174" t="s">
        <v>99</v>
      </c>
      <c r="D18" s="409">
        <v>0.12</v>
      </c>
      <c r="E18" s="410">
        <v>0.12</v>
      </c>
      <c r="F18" s="410">
        <v>0.12</v>
      </c>
      <c r="G18" s="410">
        <v>0.12</v>
      </c>
      <c r="H18" s="410">
        <v>0.12</v>
      </c>
      <c r="I18" s="410">
        <v>0.12</v>
      </c>
      <c r="J18" s="410">
        <v>0.12</v>
      </c>
      <c r="K18" s="410">
        <v>0.12</v>
      </c>
      <c r="L18" s="410">
        <v>0.12</v>
      </c>
      <c r="M18" s="410">
        <v>0.12</v>
      </c>
      <c r="N18" s="410">
        <v>0.12</v>
      </c>
      <c r="O18" s="410">
        <v>0.12</v>
      </c>
      <c r="P18" s="410">
        <v>0.12</v>
      </c>
      <c r="Q18" s="427">
        <v>0.19</v>
      </c>
      <c r="R18" s="410">
        <v>0.12</v>
      </c>
      <c r="S18" s="410">
        <v>0.12</v>
      </c>
      <c r="T18" s="410">
        <v>0.12</v>
      </c>
      <c r="U18" s="410">
        <v>0.12</v>
      </c>
      <c r="V18" s="410">
        <v>0.12</v>
      </c>
      <c r="W18" s="410">
        <v>0.12</v>
      </c>
      <c r="X18" s="410">
        <v>0.12</v>
      </c>
      <c r="Y18" s="410">
        <v>0.12</v>
      </c>
      <c r="Z18" s="410">
        <v>0.12</v>
      </c>
      <c r="AA18" s="410">
        <v>0.12</v>
      </c>
      <c r="AB18" s="410">
        <v>0.12</v>
      </c>
      <c r="AC18" s="410">
        <v>0.12</v>
      </c>
      <c r="AD18" s="410">
        <v>0.12</v>
      </c>
      <c r="AE18" s="411">
        <v>0</v>
      </c>
      <c r="AG18" s="405" t="str">
        <f>Dados!E99</f>
        <v xml:space="preserve">  Disjuntor principal</v>
      </c>
      <c r="AH18" s="406" t="s">
        <v>164</v>
      </c>
      <c r="AI18" s="407">
        <v>1</v>
      </c>
      <c r="AK18" s="413">
        <v>0.03</v>
      </c>
      <c r="AM18" s="405" t="str">
        <f t="shared" si="0"/>
        <v xml:space="preserve">  Disjuntor principal</v>
      </c>
      <c r="AN18" s="408" t="s">
        <v>357</v>
      </c>
    </row>
    <row r="19" spans="1:40" ht="15" customHeight="1" x14ac:dyDescent="0.25">
      <c r="A19" s="391"/>
      <c r="B19" s="353" t="s">
        <v>128</v>
      </c>
      <c r="C19" s="174" t="s">
        <v>100</v>
      </c>
      <c r="D19" s="409">
        <v>0.12</v>
      </c>
      <c r="E19" s="410">
        <v>0.12</v>
      </c>
      <c r="F19" s="410">
        <v>0.12</v>
      </c>
      <c r="G19" s="410">
        <v>0.12</v>
      </c>
      <c r="H19" s="410">
        <v>0.12</v>
      </c>
      <c r="I19" s="410">
        <v>0.12</v>
      </c>
      <c r="J19" s="410">
        <v>0.12</v>
      </c>
      <c r="K19" s="410">
        <v>0.12</v>
      </c>
      <c r="L19" s="410">
        <v>0.12</v>
      </c>
      <c r="M19" s="410">
        <v>0.12</v>
      </c>
      <c r="N19" s="410">
        <v>0.12</v>
      </c>
      <c r="O19" s="410">
        <v>0.12</v>
      </c>
      <c r="P19" s="410">
        <v>0.12</v>
      </c>
      <c r="Q19" s="410">
        <v>0.12</v>
      </c>
      <c r="R19" s="427">
        <v>0.2</v>
      </c>
      <c r="S19" s="410">
        <v>0.12</v>
      </c>
      <c r="T19" s="410">
        <v>0.12</v>
      </c>
      <c r="U19" s="410">
        <v>0.12</v>
      </c>
      <c r="V19" s="410">
        <v>0.12</v>
      </c>
      <c r="W19" s="410">
        <v>0.12</v>
      </c>
      <c r="X19" s="410">
        <v>0.12</v>
      </c>
      <c r="Y19" s="410">
        <v>0.12</v>
      </c>
      <c r="Z19" s="410">
        <v>0.12</v>
      </c>
      <c r="AA19" s="410">
        <v>0.12</v>
      </c>
      <c r="AB19" s="410">
        <v>0.12</v>
      </c>
      <c r="AC19" s="410">
        <v>0.12</v>
      </c>
      <c r="AD19" s="410">
        <v>0.12</v>
      </c>
      <c r="AE19" s="411">
        <v>0</v>
      </c>
      <c r="AG19" s="405" t="str">
        <f>Dados!E100</f>
        <v xml:space="preserve">  Disjuntor de distribuição</v>
      </c>
      <c r="AH19" s="406" t="s">
        <v>164</v>
      </c>
      <c r="AI19" s="407">
        <v>1</v>
      </c>
      <c r="AK19" s="413">
        <v>0.03</v>
      </c>
      <c r="AM19" s="405" t="str">
        <f t="shared" si="0"/>
        <v xml:space="preserve">  Disjuntor de distribuição</v>
      </c>
      <c r="AN19" s="408" t="s">
        <v>357</v>
      </c>
    </row>
    <row r="20" spans="1:40" ht="15" customHeight="1" x14ac:dyDescent="0.25">
      <c r="A20" s="391"/>
      <c r="B20" s="353" t="s">
        <v>129</v>
      </c>
      <c r="C20" s="174" t="s">
        <v>101</v>
      </c>
      <c r="D20" s="409">
        <v>7.0000000000000007E-2</v>
      </c>
      <c r="E20" s="410">
        <v>7.0000000000000007E-2</v>
      </c>
      <c r="F20" s="410">
        <v>7.0000000000000007E-2</v>
      </c>
      <c r="G20" s="410">
        <v>7.0000000000000007E-2</v>
      </c>
      <c r="H20" s="410">
        <v>7.0000000000000007E-2</v>
      </c>
      <c r="I20" s="410">
        <v>7.0000000000000007E-2</v>
      </c>
      <c r="J20" s="410">
        <v>7.0000000000000007E-2</v>
      </c>
      <c r="K20" s="410">
        <v>7.0000000000000007E-2</v>
      </c>
      <c r="L20" s="410">
        <v>7.0000000000000007E-2</v>
      </c>
      <c r="M20" s="410">
        <v>7.0000000000000007E-2</v>
      </c>
      <c r="N20" s="410">
        <v>7.0000000000000007E-2</v>
      </c>
      <c r="O20" s="410">
        <v>7.0000000000000007E-2</v>
      </c>
      <c r="P20" s="410">
        <v>0.12</v>
      </c>
      <c r="Q20" s="410">
        <v>7.0000000000000007E-2</v>
      </c>
      <c r="R20" s="410">
        <v>7.0000000000000007E-2</v>
      </c>
      <c r="S20" s="427">
        <v>0.19</v>
      </c>
      <c r="T20" s="410">
        <v>7.0000000000000007E-2</v>
      </c>
      <c r="U20" s="410">
        <v>7.0000000000000007E-2</v>
      </c>
      <c r="V20" s="410">
        <v>7.0000000000000007E-2</v>
      </c>
      <c r="W20" s="410">
        <v>0.12</v>
      </c>
      <c r="X20" s="410">
        <v>0.12</v>
      </c>
      <c r="Y20" s="410">
        <v>7.0000000000000007E-2</v>
      </c>
      <c r="Z20" s="410">
        <v>7.0000000000000007E-2</v>
      </c>
      <c r="AA20" s="410">
        <v>0.12</v>
      </c>
      <c r="AB20" s="410">
        <v>0.12</v>
      </c>
      <c r="AC20" s="410">
        <v>7.0000000000000007E-2</v>
      </c>
      <c r="AD20" s="410">
        <v>7.0000000000000007E-2</v>
      </c>
      <c r="AE20" s="411">
        <v>0</v>
      </c>
      <c r="AG20" s="405" t="str">
        <f>Dados!E101</f>
        <v xml:space="preserve">  TC/TP</v>
      </c>
      <c r="AH20" s="406" t="s">
        <v>164</v>
      </c>
      <c r="AI20" s="407">
        <v>1</v>
      </c>
      <c r="AK20" s="413">
        <v>0.03</v>
      </c>
      <c r="AM20" s="405" t="str">
        <f t="shared" si="0"/>
        <v xml:space="preserve">  TC/TP</v>
      </c>
      <c r="AN20" s="408" t="s">
        <v>357</v>
      </c>
    </row>
    <row r="21" spans="1:40" ht="15" customHeight="1" x14ac:dyDescent="0.25">
      <c r="A21" s="391"/>
      <c r="B21" s="353" t="s">
        <v>130</v>
      </c>
      <c r="C21" s="174" t="s">
        <v>102</v>
      </c>
      <c r="D21" s="409">
        <v>0.12</v>
      </c>
      <c r="E21" s="410">
        <v>0.12</v>
      </c>
      <c r="F21" s="410">
        <v>0.12</v>
      </c>
      <c r="G21" s="410">
        <v>0.12</v>
      </c>
      <c r="H21" s="410">
        <v>0.12</v>
      </c>
      <c r="I21" s="410">
        <v>0.12</v>
      </c>
      <c r="J21" s="410">
        <v>0.12</v>
      </c>
      <c r="K21" s="410">
        <v>0.12</v>
      </c>
      <c r="L21" s="410">
        <v>0.12</v>
      </c>
      <c r="M21" s="410">
        <v>0.12</v>
      </c>
      <c r="N21" s="410">
        <v>0.12</v>
      </c>
      <c r="O21" s="410">
        <v>0.12</v>
      </c>
      <c r="P21" s="410">
        <v>0.12</v>
      </c>
      <c r="Q21" s="410">
        <v>0.12</v>
      </c>
      <c r="R21" s="410">
        <v>0.12</v>
      </c>
      <c r="S21" s="410">
        <v>0.12</v>
      </c>
      <c r="T21" s="427">
        <v>0.20499999999999999</v>
      </c>
      <c r="U21" s="410">
        <v>0.12</v>
      </c>
      <c r="V21" s="410">
        <v>0.12</v>
      </c>
      <c r="W21" s="410">
        <v>0.12</v>
      </c>
      <c r="X21" s="410">
        <v>0.12</v>
      </c>
      <c r="Y21" s="410">
        <v>0.12</v>
      </c>
      <c r="Z21" s="410">
        <v>0.12</v>
      </c>
      <c r="AA21" s="410">
        <v>0.12</v>
      </c>
      <c r="AB21" s="410">
        <v>0.12</v>
      </c>
      <c r="AC21" s="410">
        <v>0.12</v>
      </c>
      <c r="AD21" s="410">
        <v>0.12</v>
      </c>
      <c r="AE21" s="411">
        <v>0</v>
      </c>
      <c r="AG21" s="405" t="str">
        <f>Dados!E102</f>
        <v xml:space="preserve">  Barramento</v>
      </c>
      <c r="AH21" s="406" t="s">
        <v>164</v>
      </c>
      <c r="AI21" s="407">
        <v>1</v>
      </c>
      <c r="AK21" s="413">
        <v>0.03</v>
      </c>
      <c r="AM21" s="405" t="str">
        <f t="shared" si="0"/>
        <v xml:space="preserve">  Barramento</v>
      </c>
      <c r="AN21" s="408" t="s">
        <v>357</v>
      </c>
    </row>
    <row r="22" spans="1:40" ht="15" customHeight="1" x14ac:dyDescent="0.25">
      <c r="A22" s="391"/>
      <c r="B22" s="353" t="s">
        <v>131</v>
      </c>
      <c r="C22" s="174" t="s">
        <v>103</v>
      </c>
      <c r="D22" s="409">
        <v>0.12</v>
      </c>
      <c r="E22" s="410">
        <v>0.12</v>
      </c>
      <c r="F22" s="410">
        <v>0.12</v>
      </c>
      <c r="G22" s="410">
        <v>0.12</v>
      </c>
      <c r="H22" s="410">
        <v>0.12</v>
      </c>
      <c r="I22" s="410">
        <v>0.12</v>
      </c>
      <c r="J22" s="410">
        <v>0.12</v>
      </c>
      <c r="K22" s="410">
        <v>0.12</v>
      </c>
      <c r="L22" s="410">
        <v>0.12</v>
      </c>
      <c r="M22" s="410">
        <v>0.12</v>
      </c>
      <c r="N22" s="410">
        <v>0.12</v>
      </c>
      <c r="O22" s="410">
        <v>0.12</v>
      </c>
      <c r="P22" s="410">
        <v>0.12</v>
      </c>
      <c r="Q22" s="410">
        <v>0.12</v>
      </c>
      <c r="R22" s="410">
        <v>0.12</v>
      </c>
      <c r="S22" s="410">
        <v>0.12</v>
      </c>
      <c r="T22" s="410">
        <v>0.12</v>
      </c>
      <c r="U22" s="427">
        <v>0.21</v>
      </c>
      <c r="V22" s="410">
        <v>0.12</v>
      </c>
      <c r="W22" s="410">
        <v>0.12</v>
      </c>
      <c r="X22" s="410">
        <v>0.12</v>
      </c>
      <c r="Y22" s="410">
        <v>0.12</v>
      </c>
      <c r="Z22" s="410">
        <v>0.12</v>
      </c>
      <c r="AA22" s="410">
        <v>0.12</v>
      </c>
      <c r="AB22" s="410">
        <v>0.12</v>
      </c>
      <c r="AC22" s="410">
        <v>0.12</v>
      </c>
      <c r="AD22" s="410">
        <v>0.12</v>
      </c>
      <c r="AE22" s="411">
        <v>0</v>
      </c>
      <c r="AG22" s="405" t="str">
        <f>Dados!E104</f>
        <v xml:space="preserve">  Projeto</v>
      </c>
      <c r="AH22" s="406" t="s">
        <v>165</v>
      </c>
      <c r="AI22" s="407">
        <v>1</v>
      </c>
      <c r="AK22" s="413">
        <v>0.03</v>
      </c>
      <c r="AM22" s="405" t="str">
        <f t="shared" si="0"/>
        <v xml:space="preserve">  Projeto</v>
      </c>
      <c r="AN22" s="408" t="s">
        <v>358</v>
      </c>
    </row>
    <row r="23" spans="1:40" ht="15" customHeight="1" x14ac:dyDescent="0.25">
      <c r="A23" s="391"/>
      <c r="B23" s="353" t="s">
        <v>132</v>
      </c>
      <c r="C23" s="174" t="s">
        <v>104</v>
      </c>
      <c r="D23" s="409">
        <v>0.12</v>
      </c>
      <c r="E23" s="410">
        <v>0.12</v>
      </c>
      <c r="F23" s="410">
        <v>0.12</v>
      </c>
      <c r="G23" s="410">
        <v>0.12</v>
      </c>
      <c r="H23" s="410">
        <v>0.12</v>
      </c>
      <c r="I23" s="410">
        <v>0.12</v>
      </c>
      <c r="J23" s="410">
        <v>0.12</v>
      </c>
      <c r="K23" s="410">
        <v>0.12</v>
      </c>
      <c r="L23" s="410">
        <v>0.12</v>
      </c>
      <c r="M23" s="410">
        <v>0.12</v>
      </c>
      <c r="N23" s="410">
        <v>0.12</v>
      </c>
      <c r="O23" s="410">
        <v>0.12</v>
      </c>
      <c r="P23" s="410">
        <v>0.12</v>
      </c>
      <c r="Q23" s="410">
        <v>0.12</v>
      </c>
      <c r="R23" s="410">
        <v>0.12</v>
      </c>
      <c r="S23" s="410">
        <v>0.12</v>
      </c>
      <c r="T23" s="410">
        <v>0.12</v>
      </c>
      <c r="U23" s="410">
        <v>0.12</v>
      </c>
      <c r="V23" s="427">
        <v>0.2</v>
      </c>
      <c r="W23" s="410">
        <v>0.12</v>
      </c>
      <c r="X23" s="410">
        <v>0.12</v>
      </c>
      <c r="Y23" s="410">
        <v>0.12</v>
      </c>
      <c r="Z23" s="410">
        <v>0.12</v>
      </c>
      <c r="AA23" s="410">
        <v>0.12</v>
      </c>
      <c r="AB23" s="410">
        <v>0.12</v>
      </c>
      <c r="AC23" s="410">
        <v>0.12</v>
      </c>
      <c r="AD23" s="410">
        <v>0.12</v>
      </c>
      <c r="AE23" s="411">
        <v>0</v>
      </c>
      <c r="AG23" s="405" t="str">
        <f>Dados!E105</f>
        <v xml:space="preserve">  Parametrização</v>
      </c>
      <c r="AH23" s="406" t="s">
        <v>165</v>
      </c>
      <c r="AI23" s="407">
        <v>1</v>
      </c>
      <c r="AK23" s="413">
        <v>0.03</v>
      </c>
      <c r="AM23" s="405" t="str">
        <f t="shared" si="0"/>
        <v xml:space="preserve">  Parametrização</v>
      </c>
      <c r="AN23" s="408" t="s">
        <v>358</v>
      </c>
    </row>
    <row r="24" spans="1:40" ht="15" customHeight="1" x14ac:dyDescent="0.25">
      <c r="A24" s="391"/>
      <c r="B24" s="353" t="s">
        <v>133</v>
      </c>
      <c r="C24" s="174" t="s">
        <v>105</v>
      </c>
      <c r="D24" s="409">
        <v>7.0000000000000007E-2</v>
      </c>
      <c r="E24" s="410">
        <v>7.0000000000000007E-2</v>
      </c>
      <c r="F24" s="410">
        <v>7.0000000000000007E-2</v>
      </c>
      <c r="G24" s="410">
        <v>7.0000000000000007E-2</v>
      </c>
      <c r="H24" s="410">
        <v>7.0000000000000007E-2</v>
      </c>
      <c r="I24" s="410">
        <v>7.0000000000000007E-2</v>
      </c>
      <c r="J24" s="410">
        <v>7.0000000000000007E-2</v>
      </c>
      <c r="K24" s="410">
        <v>7.0000000000000007E-2</v>
      </c>
      <c r="L24" s="410">
        <v>7.0000000000000007E-2</v>
      </c>
      <c r="M24" s="410">
        <v>7.0000000000000007E-2</v>
      </c>
      <c r="N24" s="410">
        <v>7.0000000000000007E-2</v>
      </c>
      <c r="O24" s="410">
        <v>7.0000000000000007E-2</v>
      </c>
      <c r="P24" s="410">
        <v>0.12</v>
      </c>
      <c r="Q24" s="410">
        <v>7.0000000000000007E-2</v>
      </c>
      <c r="R24" s="410">
        <v>7.0000000000000007E-2</v>
      </c>
      <c r="S24" s="410">
        <v>0.12</v>
      </c>
      <c r="T24" s="410">
        <v>7.0000000000000007E-2</v>
      </c>
      <c r="U24" s="410">
        <v>7.0000000000000007E-2</v>
      </c>
      <c r="V24" s="410">
        <v>7.0000000000000007E-2</v>
      </c>
      <c r="W24" s="427">
        <v>0.17</v>
      </c>
      <c r="X24" s="410">
        <v>0.12</v>
      </c>
      <c r="Y24" s="410">
        <v>7.0000000000000007E-2</v>
      </c>
      <c r="Z24" s="410">
        <v>7.0000000000000007E-2</v>
      </c>
      <c r="AA24" s="410">
        <v>0.12</v>
      </c>
      <c r="AB24" s="410">
        <v>0.12</v>
      </c>
      <c r="AC24" s="410">
        <v>7.0000000000000007E-2</v>
      </c>
      <c r="AD24" s="410">
        <v>7.0000000000000007E-2</v>
      </c>
      <c r="AE24" s="411">
        <v>0</v>
      </c>
      <c r="AG24" s="405" t="str">
        <f>Dados!E106</f>
        <v xml:space="preserve">  Montagem em fábrica</v>
      </c>
      <c r="AH24" s="406" t="s">
        <v>165</v>
      </c>
      <c r="AI24" s="407">
        <v>1</v>
      </c>
      <c r="AK24" s="413">
        <v>0.03</v>
      </c>
      <c r="AM24" s="405" t="str">
        <f t="shared" si="0"/>
        <v xml:space="preserve">  Montagem em fábrica</v>
      </c>
      <c r="AN24" s="408" t="s">
        <v>358</v>
      </c>
    </row>
    <row r="25" spans="1:40" ht="15" customHeight="1" x14ac:dyDescent="0.25">
      <c r="A25" s="391"/>
      <c r="B25" s="353" t="s">
        <v>134</v>
      </c>
      <c r="C25" s="174" t="s">
        <v>106</v>
      </c>
      <c r="D25" s="409">
        <v>7.0000000000000007E-2</v>
      </c>
      <c r="E25" s="410">
        <v>7.0000000000000007E-2</v>
      </c>
      <c r="F25" s="410">
        <v>7.0000000000000007E-2</v>
      </c>
      <c r="G25" s="410">
        <v>7.0000000000000007E-2</v>
      </c>
      <c r="H25" s="410">
        <v>7.0000000000000007E-2</v>
      </c>
      <c r="I25" s="410">
        <v>7.0000000000000007E-2</v>
      </c>
      <c r="J25" s="410">
        <v>7.0000000000000007E-2</v>
      </c>
      <c r="K25" s="410">
        <v>7.0000000000000007E-2</v>
      </c>
      <c r="L25" s="410">
        <v>7.0000000000000007E-2</v>
      </c>
      <c r="M25" s="410">
        <v>7.0000000000000007E-2</v>
      </c>
      <c r="N25" s="410">
        <v>7.0000000000000007E-2</v>
      </c>
      <c r="O25" s="410">
        <v>7.0000000000000007E-2</v>
      </c>
      <c r="P25" s="410">
        <v>0.12</v>
      </c>
      <c r="Q25" s="410">
        <v>7.0000000000000007E-2</v>
      </c>
      <c r="R25" s="410">
        <v>7.0000000000000007E-2</v>
      </c>
      <c r="S25" s="410">
        <v>0.12</v>
      </c>
      <c r="T25" s="410">
        <v>7.0000000000000007E-2</v>
      </c>
      <c r="U25" s="410">
        <v>7.0000000000000007E-2</v>
      </c>
      <c r="V25" s="410">
        <v>7.0000000000000007E-2</v>
      </c>
      <c r="W25" s="410">
        <v>0.12</v>
      </c>
      <c r="X25" s="427">
        <v>0.2</v>
      </c>
      <c r="Y25" s="410">
        <v>7.0000000000000007E-2</v>
      </c>
      <c r="Z25" s="410">
        <v>7.0000000000000007E-2</v>
      </c>
      <c r="AA25" s="410">
        <v>0.12</v>
      </c>
      <c r="AB25" s="410">
        <v>0.12</v>
      </c>
      <c r="AC25" s="410">
        <v>7.0000000000000007E-2</v>
      </c>
      <c r="AD25" s="410">
        <v>7.0000000000000007E-2</v>
      </c>
      <c r="AE25" s="411">
        <v>0</v>
      </c>
      <c r="AG25" s="405" t="str">
        <f>Dados!E107</f>
        <v xml:space="preserve">  Testes em fábrica</v>
      </c>
      <c r="AH25" s="406" t="s">
        <v>165</v>
      </c>
      <c r="AI25" s="407">
        <v>1</v>
      </c>
      <c r="AK25" s="413">
        <v>0.03</v>
      </c>
      <c r="AM25" s="405" t="str">
        <f t="shared" si="0"/>
        <v xml:space="preserve">  Testes em fábrica</v>
      </c>
      <c r="AN25" s="408" t="s">
        <v>358</v>
      </c>
    </row>
    <row r="26" spans="1:40" ht="15" customHeight="1" x14ac:dyDescent="0.25">
      <c r="A26" s="391"/>
      <c r="B26" s="353" t="s">
        <v>135</v>
      </c>
      <c r="C26" s="174" t="s">
        <v>107</v>
      </c>
      <c r="D26" s="409">
        <v>0.12</v>
      </c>
      <c r="E26" s="410">
        <v>0.12</v>
      </c>
      <c r="F26" s="410">
        <v>0.12</v>
      </c>
      <c r="G26" s="410">
        <v>0.12</v>
      </c>
      <c r="H26" s="410">
        <v>0.12</v>
      </c>
      <c r="I26" s="410">
        <v>0.12</v>
      </c>
      <c r="J26" s="410">
        <v>0.12</v>
      </c>
      <c r="K26" s="410">
        <v>0.12</v>
      </c>
      <c r="L26" s="410">
        <v>0.12</v>
      </c>
      <c r="M26" s="410">
        <v>0.12</v>
      </c>
      <c r="N26" s="410">
        <v>0.12</v>
      </c>
      <c r="O26" s="410">
        <v>0.12</v>
      </c>
      <c r="P26" s="410">
        <v>0.12</v>
      </c>
      <c r="Q26" s="410">
        <v>0.12</v>
      </c>
      <c r="R26" s="410">
        <v>0.12</v>
      </c>
      <c r="S26" s="410">
        <v>0.12</v>
      </c>
      <c r="T26" s="410">
        <v>0.12</v>
      </c>
      <c r="U26" s="410">
        <v>0.12</v>
      </c>
      <c r="V26" s="410">
        <v>0.12</v>
      </c>
      <c r="W26" s="410">
        <v>0.12</v>
      </c>
      <c r="X26" s="410">
        <v>0.12</v>
      </c>
      <c r="Y26" s="427">
        <v>0.19500000000000001</v>
      </c>
      <c r="Z26" s="410">
        <v>0.12</v>
      </c>
      <c r="AA26" s="410">
        <v>0.12</v>
      </c>
      <c r="AB26" s="410">
        <v>0.12</v>
      </c>
      <c r="AC26" s="410">
        <v>0.12</v>
      </c>
      <c r="AD26" s="410">
        <v>0.12</v>
      </c>
      <c r="AE26" s="411">
        <v>0</v>
      </c>
      <c r="AG26" s="405" t="str">
        <f>Dados!E109</f>
        <v xml:space="preserve">  Montagem em campo</v>
      </c>
      <c r="AH26" s="406" t="s">
        <v>165</v>
      </c>
      <c r="AI26" s="407">
        <v>1</v>
      </c>
      <c r="AK26" s="413">
        <v>0.03</v>
      </c>
      <c r="AM26" s="405" t="str">
        <f t="shared" si="0"/>
        <v xml:space="preserve">  Montagem em campo</v>
      </c>
      <c r="AN26" s="408" t="s">
        <v>358</v>
      </c>
    </row>
    <row r="27" spans="1:40" ht="15" customHeight="1" x14ac:dyDescent="0.25">
      <c r="A27" s="391"/>
      <c r="B27" s="353" t="s">
        <v>136</v>
      </c>
      <c r="C27" s="174" t="s">
        <v>108</v>
      </c>
      <c r="D27" s="409">
        <v>0.12</v>
      </c>
      <c r="E27" s="410">
        <v>0.12</v>
      </c>
      <c r="F27" s="410">
        <v>0.12</v>
      </c>
      <c r="G27" s="410">
        <v>0.12</v>
      </c>
      <c r="H27" s="410">
        <v>0.12</v>
      </c>
      <c r="I27" s="410">
        <v>0.12</v>
      </c>
      <c r="J27" s="410">
        <v>0.12</v>
      </c>
      <c r="K27" s="410">
        <v>0.12</v>
      </c>
      <c r="L27" s="410">
        <v>0.12</v>
      </c>
      <c r="M27" s="410">
        <v>0.12</v>
      </c>
      <c r="N27" s="410">
        <v>0.12</v>
      </c>
      <c r="O27" s="410">
        <v>0.12</v>
      </c>
      <c r="P27" s="410">
        <v>0.12</v>
      </c>
      <c r="Q27" s="410">
        <v>0.12</v>
      </c>
      <c r="R27" s="410">
        <v>0.12</v>
      </c>
      <c r="S27" s="410">
        <v>0.12</v>
      </c>
      <c r="T27" s="410">
        <v>0.12</v>
      </c>
      <c r="U27" s="410">
        <v>0.12</v>
      </c>
      <c r="V27" s="410">
        <v>0.12</v>
      </c>
      <c r="W27" s="410">
        <v>0.12</v>
      </c>
      <c r="X27" s="410">
        <v>0.12</v>
      </c>
      <c r="Y27" s="410">
        <v>0.12</v>
      </c>
      <c r="Z27" s="427">
        <v>0.2</v>
      </c>
      <c r="AA27" s="410">
        <v>0.12</v>
      </c>
      <c r="AB27" s="410">
        <v>0.12</v>
      </c>
      <c r="AC27" s="410">
        <v>0.12</v>
      </c>
      <c r="AD27" s="410">
        <v>0.12</v>
      </c>
      <c r="AE27" s="411">
        <v>0</v>
      </c>
      <c r="AG27" s="405" t="str">
        <f>Dados!E110</f>
        <v xml:space="preserve">  Instalações elétricas</v>
      </c>
      <c r="AH27" s="406" t="s">
        <v>165</v>
      </c>
      <c r="AI27" s="407">
        <v>1</v>
      </c>
      <c r="AK27" s="413">
        <v>0.03</v>
      </c>
      <c r="AM27" s="405" t="str">
        <f t="shared" si="0"/>
        <v xml:space="preserve">  Instalações elétricas</v>
      </c>
      <c r="AN27" s="408" t="s">
        <v>358</v>
      </c>
    </row>
    <row r="28" spans="1:40" ht="15" customHeight="1" x14ac:dyDescent="0.25">
      <c r="A28" s="391"/>
      <c r="B28" s="353" t="s">
        <v>137</v>
      </c>
      <c r="C28" s="174" t="s">
        <v>109</v>
      </c>
      <c r="D28" s="409">
        <v>7.0000000000000007E-2</v>
      </c>
      <c r="E28" s="410">
        <v>7.0000000000000007E-2</v>
      </c>
      <c r="F28" s="410">
        <v>7.0000000000000007E-2</v>
      </c>
      <c r="G28" s="410">
        <v>7.0000000000000007E-2</v>
      </c>
      <c r="H28" s="410">
        <v>7.0000000000000007E-2</v>
      </c>
      <c r="I28" s="410">
        <v>7.0000000000000007E-2</v>
      </c>
      <c r="J28" s="410">
        <v>7.0000000000000007E-2</v>
      </c>
      <c r="K28" s="410">
        <v>7.0000000000000007E-2</v>
      </c>
      <c r="L28" s="410">
        <v>7.0000000000000007E-2</v>
      </c>
      <c r="M28" s="410">
        <v>7.0000000000000007E-2</v>
      </c>
      <c r="N28" s="410">
        <v>7.0000000000000007E-2</v>
      </c>
      <c r="O28" s="410">
        <v>7.0000000000000007E-2</v>
      </c>
      <c r="P28" s="410">
        <v>0.12</v>
      </c>
      <c r="Q28" s="410">
        <v>7.0000000000000007E-2</v>
      </c>
      <c r="R28" s="410">
        <v>7.0000000000000007E-2</v>
      </c>
      <c r="S28" s="410">
        <v>0.12</v>
      </c>
      <c r="T28" s="410">
        <v>7.0000000000000007E-2</v>
      </c>
      <c r="U28" s="410">
        <v>7.0000000000000007E-2</v>
      </c>
      <c r="V28" s="410">
        <v>7.0000000000000007E-2</v>
      </c>
      <c r="W28" s="410">
        <v>0.12</v>
      </c>
      <c r="X28" s="410">
        <v>0.12</v>
      </c>
      <c r="Y28" s="410">
        <v>7.0000000000000007E-2</v>
      </c>
      <c r="Z28" s="410">
        <v>7.0000000000000007E-2</v>
      </c>
      <c r="AA28" s="427">
        <v>0.17</v>
      </c>
      <c r="AB28" s="410">
        <v>0.12</v>
      </c>
      <c r="AC28" s="410">
        <v>7.0000000000000007E-2</v>
      </c>
      <c r="AD28" s="410">
        <v>7.0000000000000007E-2</v>
      </c>
      <c r="AE28" s="411">
        <v>0</v>
      </c>
      <c r="AG28" s="405" t="str">
        <f>Dados!E111</f>
        <v xml:space="preserve">  Obra civil</v>
      </c>
      <c r="AH28" s="406" t="s">
        <v>165</v>
      </c>
      <c r="AI28" s="407">
        <v>1</v>
      </c>
      <c r="AK28" s="413">
        <v>0.03</v>
      </c>
      <c r="AM28" s="405" t="str">
        <f t="shared" ref="AM28" si="2">AG28</f>
        <v xml:space="preserve">  Obra civil</v>
      </c>
      <c r="AN28" s="408" t="s">
        <v>358</v>
      </c>
    </row>
    <row r="29" spans="1:40" ht="15" customHeight="1" x14ac:dyDescent="0.25">
      <c r="A29" s="391"/>
      <c r="B29" s="353" t="s">
        <v>138</v>
      </c>
      <c r="C29" s="174" t="s">
        <v>110</v>
      </c>
      <c r="D29" s="409">
        <v>7.0000000000000007E-2</v>
      </c>
      <c r="E29" s="410">
        <v>7.0000000000000007E-2</v>
      </c>
      <c r="F29" s="410">
        <v>7.0000000000000007E-2</v>
      </c>
      <c r="G29" s="410">
        <v>7.0000000000000007E-2</v>
      </c>
      <c r="H29" s="410">
        <v>7.0000000000000007E-2</v>
      </c>
      <c r="I29" s="410">
        <v>7.0000000000000007E-2</v>
      </c>
      <c r="J29" s="410">
        <v>7.0000000000000007E-2</v>
      </c>
      <c r="K29" s="410">
        <v>7.0000000000000007E-2</v>
      </c>
      <c r="L29" s="410">
        <v>7.0000000000000007E-2</v>
      </c>
      <c r="M29" s="410">
        <v>7.0000000000000007E-2</v>
      </c>
      <c r="N29" s="410">
        <v>7.0000000000000007E-2</v>
      </c>
      <c r="O29" s="410">
        <v>7.0000000000000007E-2</v>
      </c>
      <c r="P29" s="410">
        <v>0.12</v>
      </c>
      <c r="Q29" s="410">
        <v>7.0000000000000007E-2</v>
      </c>
      <c r="R29" s="410">
        <v>7.0000000000000007E-2</v>
      </c>
      <c r="S29" s="410">
        <v>0.12</v>
      </c>
      <c r="T29" s="410">
        <v>7.0000000000000007E-2</v>
      </c>
      <c r="U29" s="410">
        <v>7.0000000000000007E-2</v>
      </c>
      <c r="V29" s="410">
        <v>7.0000000000000007E-2</v>
      </c>
      <c r="W29" s="410">
        <v>0.12</v>
      </c>
      <c r="X29" s="410">
        <v>0.12</v>
      </c>
      <c r="Y29" s="410">
        <v>7.0000000000000007E-2</v>
      </c>
      <c r="Z29" s="410">
        <v>7.0000000000000007E-2</v>
      </c>
      <c r="AA29" s="410">
        <v>0.12</v>
      </c>
      <c r="AB29" s="427">
        <v>0.18</v>
      </c>
      <c r="AC29" s="410">
        <v>7.0000000000000007E-2</v>
      </c>
      <c r="AD29" s="539">
        <v>7.0000000000000007E-2</v>
      </c>
      <c r="AE29" s="411">
        <v>0</v>
      </c>
      <c r="AG29" s="405" t="str">
        <f>Dados!E112</f>
        <v xml:space="preserve">  Comissionamento pátio</v>
      </c>
      <c r="AH29" s="406" t="s">
        <v>165</v>
      </c>
      <c r="AI29" s="407">
        <v>1</v>
      </c>
      <c r="AK29" s="413">
        <v>0.03</v>
      </c>
      <c r="AM29" s="405" t="str">
        <f t="shared" si="0"/>
        <v xml:space="preserve">  Comissionamento pátio</v>
      </c>
      <c r="AN29" s="408" t="s">
        <v>358</v>
      </c>
    </row>
    <row r="30" spans="1:40" ht="15" customHeight="1" x14ac:dyDescent="0.25">
      <c r="A30" s="391"/>
      <c r="B30" s="353" t="s">
        <v>139</v>
      </c>
      <c r="C30" s="174" t="s">
        <v>111</v>
      </c>
      <c r="D30" s="409">
        <v>0.12</v>
      </c>
      <c r="E30" s="410">
        <v>0.12</v>
      </c>
      <c r="F30" s="410">
        <v>0.12</v>
      </c>
      <c r="G30" s="410">
        <v>0.12</v>
      </c>
      <c r="H30" s="410">
        <v>0.12</v>
      </c>
      <c r="I30" s="410">
        <v>0.12</v>
      </c>
      <c r="J30" s="410">
        <v>0.12</v>
      </c>
      <c r="K30" s="410">
        <v>0.12</v>
      </c>
      <c r="L30" s="410">
        <v>0.12</v>
      </c>
      <c r="M30" s="410">
        <v>0.12</v>
      </c>
      <c r="N30" s="410">
        <v>0.12</v>
      </c>
      <c r="O30" s="410">
        <v>0.12</v>
      </c>
      <c r="P30" s="410">
        <v>0.12</v>
      </c>
      <c r="Q30" s="410">
        <v>0.12</v>
      </c>
      <c r="R30" s="410">
        <v>0.12</v>
      </c>
      <c r="S30" s="410">
        <v>0.12</v>
      </c>
      <c r="T30" s="410">
        <v>0.12</v>
      </c>
      <c r="U30" s="410">
        <v>0.12</v>
      </c>
      <c r="V30" s="410">
        <v>0.12</v>
      </c>
      <c r="W30" s="410">
        <v>0.12</v>
      </c>
      <c r="X30" s="410">
        <v>0.12</v>
      </c>
      <c r="Y30" s="410">
        <v>0.12</v>
      </c>
      <c r="Z30" s="410">
        <v>0.12</v>
      </c>
      <c r="AA30" s="410">
        <v>0.12</v>
      </c>
      <c r="AB30" s="410">
        <v>0.12</v>
      </c>
      <c r="AC30" s="427">
        <v>0.19</v>
      </c>
      <c r="AD30" s="410">
        <v>0.12</v>
      </c>
      <c r="AE30" s="411">
        <v>0</v>
      </c>
      <c r="AG30" s="405" t="str">
        <f>Dados!E113</f>
        <v xml:space="preserve">  Comissionamento SPCS</v>
      </c>
      <c r="AH30" s="406" t="s">
        <v>165</v>
      </c>
      <c r="AI30" s="407">
        <v>1</v>
      </c>
      <c r="AK30" s="413">
        <v>0.03</v>
      </c>
      <c r="AM30" s="405" t="str">
        <f t="shared" si="0"/>
        <v xml:space="preserve">  Comissionamento SPCS</v>
      </c>
      <c r="AN30" s="408" t="s">
        <v>358</v>
      </c>
    </row>
    <row r="31" spans="1:40" ht="15" customHeight="1" x14ac:dyDescent="0.25">
      <c r="A31" s="391"/>
      <c r="B31" s="353" t="s">
        <v>140</v>
      </c>
      <c r="C31" s="174" t="s">
        <v>112</v>
      </c>
      <c r="D31" s="409">
        <v>0.12</v>
      </c>
      <c r="E31" s="410">
        <v>0.12</v>
      </c>
      <c r="F31" s="410">
        <v>0.12</v>
      </c>
      <c r="G31" s="410">
        <v>0.12</v>
      </c>
      <c r="H31" s="410">
        <v>0.12</v>
      </c>
      <c r="I31" s="410">
        <v>0.12</v>
      </c>
      <c r="J31" s="410">
        <v>0.12</v>
      </c>
      <c r="K31" s="410">
        <v>0.12</v>
      </c>
      <c r="L31" s="410">
        <v>0.12</v>
      </c>
      <c r="M31" s="410">
        <v>0.12</v>
      </c>
      <c r="N31" s="410">
        <v>0.12</v>
      </c>
      <c r="O31" s="410">
        <v>0.12</v>
      </c>
      <c r="P31" s="410">
        <v>0.12</v>
      </c>
      <c r="Q31" s="410">
        <v>0.12</v>
      </c>
      <c r="R31" s="410">
        <v>0.12</v>
      </c>
      <c r="S31" s="410">
        <v>0.12</v>
      </c>
      <c r="T31" s="410">
        <v>0.12</v>
      </c>
      <c r="U31" s="410">
        <v>0.12</v>
      </c>
      <c r="V31" s="410">
        <v>0.12</v>
      </c>
      <c r="W31" s="410">
        <v>0.12</v>
      </c>
      <c r="X31" s="410">
        <v>0.12</v>
      </c>
      <c r="Y31" s="410">
        <v>0.12</v>
      </c>
      <c r="Z31" s="410">
        <v>0.12</v>
      </c>
      <c r="AA31" s="410">
        <v>0.12</v>
      </c>
      <c r="AB31" s="410">
        <v>0.12</v>
      </c>
      <c r="AC31" s="410">
        <v>0.12</v>
      </c>
      <c r="AD31" s="427">
        <v>0.2</v>
      </c>
      <c r="AE31" s="411">
        <v>0</v>
      </c>
      <c r="AG31" s="405" t="str">
        <f>Dados!E114</f>
        <v>Treinamento</v>
      </c>
      <c r="AH31" s="406" t="s">
        <v>165</v>
      </c>
      <c r="AI31" s="407">
        <v>1</v>
      </c>
      <c r="AK31" s="413">
        <v>0.03</v>
      </c>
      <c r="AM31" s="405" t="str">
        <f t="shared" si="0"/>
        <v>Treinamento</v>
      </c>
      <c r="AN31" s="408" t="s">
        <v>358</v>
      </c>
    </row>
    <row r="32" spans="1:40" ht="15" customHeight="1" x14ac:dyDescent="0.25">
      <c r="A32" s="390"/>
      <c r="B32" s="353" t="s">
        <v>142</v>
      </c>
      <c r="C32" s="174" t="s">
        <v>141</v>
      </c>
      <c r="D32" s="419">
        <v>0</v>
      </c>
      <c r="E32" s="420">
        <v>0</v>
      </c>
      <c r="F32" s="420">
        <v>0</v>
      </c>
      <c r="G32" s="420">
        <v>0</v>
      </c>
      <c r="H32" s="420">
        <v>0</v>
      </c>
      <c r="I32" s="420">
        <v>0</v>
      </c>
      <c r="J32" s="420">
        <v>0</v>
      </c>
      <c r="K32" s="420">
        <v>0</v>
      </c>
      <c r="L32" s="420">
        <v>0</v>
      </c>
      <c r="M32" s="420">
        <v>0</v>
      </c>
      <c r="N32" s="420">
        <v>0</v>
      </c>
      <c r="O32" s="420">
        <v>0</v>
      </c>
      <c r="P32" s="420">
        <v>0</v>
      </c>
      <c r="Q32" s="420">
        <v>0</v>
      </c>
      <c r="R32" s="420">
        <v>0</v>
      </c>
      <c r="S32" s="420">
        <v>0</v>
      </c>
      <c r="T32" s="420">
        <v>0</v>
      </c>
      <c r="U32" s="420">
        <v>0</v>
      </c>
      <c r="V32" s="420">
        <v>0</v>
      </c>
      <c r="W32" s="420">
        <v>0</v>
      </c>
      <c r="X32" s="420">
        <v>0</v>
      </c>
      <c r="Y32" s="420">
        <v>0</v>
      </c>
      <c r="Z32" s="420">
        <v>0</v>
      </c>
      <c r="AA32" s="420">
        <v>0</v>
      </c>
      <c r="AB32" s="420">
        <v>0</v>
      </c>
      <c r="AC32" s="420">
        <v>0</v>
      </c>
      <c r="AD32" s="420">
        <v>0</v>
      </c>
      <c r="AE32" s="428">
        <v>0.12</v>
      </c>
      <c r="AG32" s="405" t="str">
        <f>Dados!E115</f>
        <v>GdV</v>
      </c>
      <c r="AH32" s="406" t="s">
        <v>165</v>
      </c>
      <c r="AI32" s="407">
        <v>1</v>
      </c>
      <c r="AK32" s="413">
        <v>0.03</v>
      </c>
      <c r="AM32" s="405" t="str">
        <f t="shared" si="0"/>
        <v>GdV</v>
      </c>
      <c r="AN32" s="408" t="s">
        <v>359</v>
      </c>
    </row>
    <row r="33" spans="33:40" ht="15" customHeight="1" x14ac:dyDescent="0.25">
      <c r="AG33" s="405" t="str">
        <f>Dados!E116</f>
        <v>Gerenciamento</v>
      </c>
      <c r="AH33" s="406" t="s">
        <v>165</v>
      </c>
      <c r="AI33" s="407">
        <v>1</v>
      </c>
      <c r="AK33" s="413">
        <v>0.03</v>
      </c>
      <c r="AM33" s="405" t="str">
        <f t="shared" si="0"/>
        <v>Gerenciamento</v>
      </c>
      <c r="AN33" s="408" t="s">
        <v>358</v>
      </c>
    </row>
    <row r="34" spans="33:40" ht="15" customHeight="1" x14ac:dyDescent="0.25">
      <c r="AG34" s="405" t="str">
        <f>Dados!E122</f>
        <v>Comissão</v>
      </c>
      <c r="AH34" s="406" t="s">
        <v>165</v>
      </c>
      <c r="AI34" s="407">
        <v>1</v>
      </c>
      <c r="AK34" s="414">
        <v>0.03</v>
      </c>
      <c r="AM34" s="415" t="str">
        <f t="shared" si="0"/>
        <v>Comissão</v>
      </c>
      <c r="AN34" s="417" t="s">
        <v>358</v>
      </c>
    </row>
    <row r="35" spans="33:40" ht="15" customHeight="1" x14ac:dyDescent="0.25">
      <c r="AG35" s="398" t="s">
        <v>70</v>
      </c>
      <c r="AH35" s="418"/>
      <c r="AI35" s="400">
        <v>1</v>
      </c>
      <c r="AK35" s="177"/>
    </row>
    <row r="36" spans="33:40" ht="15" customHeight="1" x14ac:dyDescent="0.25">
      <c r="AG36" s="405" t="s">
        <v>71</v>
      </c>
      <c r="AH36" s="421"/>
      <c r="AI36" s="407">
        <v>1</v>
      </c>
      <c r="AK36" s="177"/>
    </row>
    <row r="37" spans="33:40" ht="15" customHeight="1" x14ac:dyDescent="0.25">
      <c r="AG37" s="405" t="s">
        <v>72</v>
      </c>
      <c r="AH37" s="421"/>
      <c r="AI37" s="407">
        <v>1</v>
      </c>
      <c r="AK37" s="177"/>
    </row>
    <row r="38" spans="33:40" ht="15" customHeight="1" x14ac:dyDescent="0.25">
      <c r="AG38" s="415" t="s">
        <v>73</v>
      </c>
      <c r="AH38" s="422"/>
      <c r="AI38" s="416">
        <v>1</v>
      </c>
      <c r="AK38" s="423">
        <f>(AI35*Dados!F74+AI36*Dados!F75+AI37*Dados!F76+AI38*Dados!F77)/(Dados!F74+Dados!F75+Dados!F76+Dados!F77)</f>
        <v>1</v>
      </c>
    </row>
    <row r="39" spans="33:40" x14ac:dyDescent="0.25">
      <c r="AG39" s="187"/>
      <c r="AH39" s="187"/>
      <c r="AI39" s="424"/>
    </row>
  </sheetData>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tabColor rgb="FF66FF33"/>
  </sheetPr>
  <dimension ref="B1:Q30"/>
  <sheetViews>
    <sheetView zoomScale="80" zoomScaleNormal="80" workbookViewId="0">
      <selection activeCell="I21" sqref="I21"/>
    </sheetView>
  </sheetViews>
  <sheetFormatPr defaultColWidth="9.109375" defaultRowHeight="13.2" x14ac:dyDescent="0.25"/>
  <cols>
    <col min="1" max="1" width="3.6640625" style="189" customWidth="1"/>
    <col min="2" max="2" width="2.6640625" style="189" customWidth="1"/>
    <col min="3" max="3" width="27.33203125" style="120" bestFit="1" customWidth="1"/>
    <col min="4" max="4" width="1.6640625" style="113" customWidth="1"/>
    <col min="5" max="6" width="16.6640625" style="113" customWidth="1"/>
    <col min="7" max="7" width="1.6640625" style="113" customWidth="1"/>
    <col min="8" max="9" width="16.6640625" style="113" customWidth="1"/>
    <col min="10" max="10" width="2.6640625" style="189" hidden="1" customWidth="1"/>
    <col min="11" max="11" width="24.33203125" style="189" hidden="1" customWidth="1"/>
    <col min="12" max="13" width="2.6640625" style="189" customWidth="1"/>
    <col min="14" max="16384" width="9.109375" style="189"/>
  </cols>
  <sheetData>
    <row r="1" spans="2:12" ht="12.75" customHeight="1" x14ac:dyDescent="0.25"/>
    <row r="2" spans="2:12" ht="12.75" customHeight="1" x14ac:dyDescent="0.25">
      <c r="B2" s="429"/>
      <c r="C2" s="430"/>
      <c r="D2" s="187"/>
      <c r="E2" s="187"/>
      <c r="F2" s="187"/>
      <c r="G2" s="187"/>
      <c r="H2" s="187"/>
      <c r="I2" s="187"/>
      <c r="J2" s="431"/>
      <c r="K2" s="431"/>
      <c r="L2" s="432"/>
    </row>
    <row r="3" spans="2:12" ht="12.75" customHeight="1" x14ac:dyDescent="0.25">
      <c r="B3" s="433"/>
      <c r="C3" s="434" t="s">
        <v>356</v>
      </c>
      <c r="L3" s="435"/>
    </row>
    <row r="4" spans="2:12" ht="12.75" customHeight="1" x14ac:dyDescent="0.25">
      <c r="B4" s="433"/>
      <c r="L4" s="435"/>
    </row>
    <row r="5" spans="2:12" ht="12.75" customHeight="1" x14ac:dyDescent="0.25">
      <c r="B5" s="433"/>
      <c r="E5" s="883" t="s">
        <v>168</v>
      </c>
      <c r="F5" s="883"/>
      <c r="G5" s="883"/>
      <c r="H5" s="883"/>
      <c r="I5" s="883"/>
      <c r="K5" s="113"/>
      <c r="L5" s="435"/>
    </row>
    <row r="6" spans="2:12" ht="12.75" customHeight="1" x14ac:dyDescent="0.25">
      <c r="B6" s="433"/>
      <c r="K6" s="113"/>
      <c r="L6" s="435"/>
    </row>
    <row r="7" spans="2:12" ht="12.75" customHeight="1" x14ac:dyDescent="0.25">
      <c r="B7" s="433"/>
      <c r="E7" s="883" t="s">
        <v>145</v>
      </c>
      <c r="F7" s="883"/>
      <c r="H7" s="883" t="s">
        <v>146</v>
      </c>
      <c r="I7" s="883"/>
      <c r="L7" s="435"/>
    </row>
    <row r="8" spans="2:12" ht="12.75" customHeight="1" x14ac:dyDescent="0.25">
      <c r="B8" s="433"/>
      <c r="L8" s="435"/>
    </row>
    <row r="9" spans="2:12" ht="12.75" customHeight="1" x14ac:dyDescent="0.25">
      <c r="B9" s="433"/>
      <c r="E9" s="115" t="s">
        <v>169</v>
      </c>
      <c r="F9" s="115" t="s">
        <v>170</v>
      </c>
      <c r="H9" s="115" t="s">
        <v>169</v>
      </c>
      <c r="I9" s="115" t="s">
        <v>170</v>
      </c>
      <c r="K9" s="436" t="s">
        <v>188</v>
      </c>
      <c r="L9" s="435"/>
    </row>
    <row r="10" spans="2:12" ht="12.75" customHeight="1" x14ac:dyDescent="0.25">
      <c r="B10" s="433"/>
      <c r="C10" s="120" t="s">
        <v>171</v>
      </c>
      <c r="D10" s="120"/>
      <c r="E10" s="87">
        <f>IFERROR(SUMIFS(col_receitaIR,col_tipoIR,"Material",col_regime,"Presumido"),0)</f>
        <v>0</v>
      </c>
      <c r="F10" s="87">
        <f>E10</f>
        <v>0</v>
      </c>
      <c r="H10" s="87">
        <f>IFERROR(SUMIFS(col_receitaIR,col_tipoIR,"Serviço",col_regime,"Presumido"),0)</f>
        <v>0</v>
      </c>
      <c r="I10" s="87">
        <f>H10</f>
        <v>0</v>
      </c>
      <c r="K10" s="189" t="b">
        <f>IF(ABS(E10+H10+E19-bruto_baseIR)&lt;0.01,TRUE,FALSE)</f>
        <v>1</v>
      </c>
      <c r="L10" s="435"/>
    </row>
    <row r="11" spans="2:12" ht="12.75" customHeight="1" x14ac:dyDescent="0.25">
      <c r="B11" s="433"/>
      <c r="C11" s="120" t="s">
        <v>172</v>
      </c>
      <c r="D11" s="120"/>
      <c r="E11" s="465">
        <v>0.08</v>
      </c>
      <c r="F11" s="466">
        <v>0.12</v>
      </c>
      <c r="H11" s="465">
        <v>0.32</v>
      </c>
      <c r="I11" s="466">
        <v>0.32</v>
      </c>
      <c r="L11" s="435"/>
    </row>
    <row r="12" spans="2:12" ht="12.75" customHeight="1" x14ac:dyDescent="0.25">
      <c r="B12" s="433"/>
      <c r="C12" s="120" t="s">
        <v>173</v>
      </c>
      <c r="D12" s="120"/>
      <c r="E12" s="204">
        <f>E10*E11</f>
        <v>0</v>
      </c>
      <c r="F12" s="204">
        <f>F10*F11</f>
        <v>0</v>
      </c>
      <c r="H12" s="204">
        <f>H10*H11</f>
        <v>0</v>
      </c>
      <c r="I12" s="204">
        <f>I10*I11</f>
        <v>0</v>
      </c>
      <c r="L12" s="435"/>
    </row>
    <row r="13" spans="2:12" ht="12.75" customHeight="1" x14ac:dyDescent="0.25">
      <c r="B13" s="433"/>
      <c r="C13" s="120" t="s">
        <v>174</v>
      </c>
      <c r="D13" s="120"/>
      <c r="E13" s="465">
        <v>0.25</v>
      </c>
      <c r="F13" s="466">
        <v>0.09</v>
      </c>
      <c r="H13" s="437">
        <f>E13</f>
        <v>0.25</v>
      </c>
      <c r="I13" s="437">
        <f>F13</f>
        <v>0.09</v>
      </c>
      <c r="L13" s="435"/>
    </row>
    <row r="14" spans="2:12" ht="12.75" customHeight="1" x14ac:dyDescent="0.25">
      <c r="B14" s="433"/>
      <c r="C14" s="120" t="s">
        <v>175</v>
      </c>
      <c r="D14" s="120"/>
      <c r="E14" s="204">
        <f>E13*E12</f>
        <v>0</v>
      </c>
      <c r="F14" s="204">
        <f>F13*F12</f>
        <v>0</v>
      </c>
      <c r="G14" s="204"/>
      <c r="H14" s="204">
        <f>H13*H12</f>
        <v>0</v>
      </c>
      <c r="I14" s="204">
        <f>I13*I12</f>
        <v>0</v>
      </c>
      <c r="L14" s="435"/>
    </row>
    <row r="15" spans="2:12" ht="12.75" customHeight="1" x14ac:dyDescent="0.25">
      <c r="B15" s="433"/>
      <c r="L15" s="435"/>
    </row>
    <row r="16" spans="2:12" ht="12.75" customHeight="1" x14ac:dyDescent="0.25">
      <c r="B16" s="433"/>
      <c r="C16" s="438"/>
      <c r="D16" s="439"/>
      <c r="E16" s="883" t="s">
        <v>176</v>
      </c>
      <c r="F16" s="883"/>
      <c r="G16" s="439"/>
      <c r="H16" s="439"/>
      <c r="I16" s="439"/>
      <c r="L16" s="435"/>
    </row>
    <row r="17" spans="2:17" ht="12.75" customHeight="1" x14ac:dyDescent="0.25">
      <c r="B17" s="433"/>
      <c r="C17" s="438"/>
      <c r="D17" s="439"/>
      <c r="E17" s="189"/>
      <c r="F17" s="189"/>
      <c r="G17" s="189"/>
      <c r="H17" s="440"/>
      <c r="I17" s="440"/>
      <c r="L17" s="435"/>
    </row>
    <row r="18" spans="2:17" ht="12.75" customHeight="1" x14ac:dyDescent="0.25">
      <c r="B18" s="433"/>
      <c r="C18" s="113"/>
      <c r="E18" s="115" t="s">
        <v>169</v>
      </c>
      <c r="F18" s="115" t="s">
        <v>170</v>
      </c>
      <c r="G18" s="441"/>
      <c r="H18" s="120" t="s">
        <v>752</v>
      </c>
      <c r="I18" s="503">
        <f>Dados!N91</f>
        <v>0.32172801248969418</v>
      </c>
      <c r="K18" s="120"/>
      <c r="L18" s="435"/>
    </row>
    <row r="19" spans="2:17" ht="12.75" customHeight="1" x14ac:dyDescent="0.25">
      <c r="B19" s="433"/>
      <c r="C19" s="120" t="s">
        <v>171</v>
      </c>
      <c r="E19" s="204">
        <f>SUMIF(col_regime,"Real",col_receitaIR)</f>
        <v>1052788.7099949375</v>
      </c>
      <c r="F19" s="204">
        <f>E19</f>
        <v>1052788.7099949375</v>
      </c>
      <c r="G19" s="441"/>
      <c r="H19" s="120" t="s">
        <v>750</v>
      </c>
      <c r="I19" s="208">
        <f>over_pc</f>
        <v>0</v>
      </c>
      <c r="K19" s="438"/>
      <c r="L19" s="435"/>
      <c r="P19" s="113"/>
      <c r="Q19" s="113"/>
    </row>
    <row r="20" spans="2:17" ht="12.75" customHeight="1" x14ac:dyDescent="0.25">
      <c r="B20" s="433"/>
      <c r="C20" s="120" t="s">
        <v>177</v>
      </c>
      <c r="E20" s="204">
        <f>SUMIF(col_regime,"Real",col_custoIRreal)</f>
        <v>743865.30246542441</v>
      </c>
      <c r="F20" s="204">
        <f>E20</f>
        <v>743865.30246542441</v>
      </c>
      <c r="G20" s="439"/>
      <c r="H20" s="120" t="s">
        <v>362</v>
      </c>
      <c r="I20" s="208">
        <f>I18-I19</f>
        <v>0.32172801248969418</v>
      </c>
      <c r="L20" s="435"/>
      <c r="P20" s="113"/>
      <c r="Q20" s="113"/>
    </row>
    <row r="21" spans="2:17" ht="12.75" customHeight="1" x14ac:dyDescent="0.25">
      <c r="B21" s="433"/>
      <c r="C21" s="120" t="s">
        <v>173</v>
      </c>
      <c r="E21" s="204">
        <f>E19-E20</f>
        <v>308923.40752951312</v>
      </c>
      <c r="F21" s="204">
        <f>E21</f>
        <v>308923.40752951312</v>
      </c>
      <c r="H21" s="438" t="s">
        <v>727</v>
      </c>
      <c r="I21" s="503">
        <f>IF(ebit_pc&gt;=0,I19/I18,1)</f>
        <v>0</v>
      </c>
      <c r="L21" s="435"/>
    </row>
    <row r="22" spans="2:17" ht="12.75" customHeight="1" x14ac:dyDescent="0.25">
      <c r="B22" s="433"/>
      <c r="C22" s="120" t="s">
        <v>174</v>
      </c>
      <c r="E22" s="465">
        <v>0.25</v>
      </c>
      <c r="F22" s="466">
        <v>0.09</v>
      </c>
      <c r="L22" s="435"/>
    </row>
    <row r="23" spans="2:17" ht="12.75" customHeight="1" x14ac:dyDescent="0.25">
      <c r="B23" s="433"/>
      <c r="C23" s="120" t="s">
        <v>175</v>
      </c>
      <c r="E23" s="204">
        <f>E21*E22</f>
        <v>77230.85188237828</v>
      </c>
      <c r="F23" s="204">
        <f>F21*F22</f>
        <v>27803.106677656178</v>
      </c>
      <c r="L23" s="435"/>
    </row>
    <row r="24" spans="2:17" ht="12.75" customHeight="1" x14ac:dyDescent="0.25">
      <c r="B24" s="433"/>
      <c r="C24" s="113"/>
      <c r="L24" s="435"/>
    </row>
    <row r="25" spans="2:17" x14ac:dyDescent="0.25">
      <c r="B25" s="433"/>
      <c r="C25" s="113"/>
      <c r="D25" s="120"/>
      <c r="E25" s="881" t="s">
        <v>187</v>
      </c>
      <c r="F25" s="882"/>
      <c r="H25" s="189"/>
      <c r="L25" s="435"/>
    </row>
    <row r="26" spans="2:17" x14ac:dyDescent="0.25">
      <c r="B26" s="433"/>
      <c r="C26" s="113"/>
      <c r="E26" s="442" t="s">
        <v>169</v>
      </c>
      <c r="F26" s="443" t="s">
        <v>170</v>
      </c>
      <c r="L26" s="435"/>
    </row>
    <row r="27" spans="2:17" x14ac:dyDescent="0.25">
      <c r="B27" s="433"/>
      <c r="C27" s="444" t="s">
        <v>183</v>
      </c>
      <c r="D27" s="445"/>
      <c r="E27" s="446">
        <f>E14+H14</f>
        <v>0</v>
      </c>
      <c r="F27" s="447">
        <f>F14+I14</f>
        <v>0</v>
      </c>
      <c r="G27" s="448"/>
      <c r="H27" s="449">
        <f>SUM(E27:F27)</f>
        <v>0</v>
      </c>
      <c r="L27" s="435"/>
    </row>
    <row r="28" spans="2:17" x14ac:dyDescent="0.25">
      <c r="B28" s="433"/>
      <c r="C28" s="450" t="s">
        <v>184</v>
      </c>
      <c r="D28" s="451"/>
      <c r="E28" s="452">
        <f>E23</f>
        <v>77230.85188237828</v>
      </c>
      <c r="F28" s="453">
        <f>F23</f>
        <v>27803.106677656178</v>
      </c>
      <c r="G28" s="454"/>
      <c r="H28" s="455">
        <f>SUM(E28:F28)</f>
        <v>105033.95856003446</v>
      </c>
      <c r="L28" s="435"/>
    </row>
    <row r="29" spans="2:17" x14ac:dyDescent="0.25">
      <c r="B29" s="433"/>
      <c r="E29" s="456">
        <f>SUM(E27:E28)</f>
        <v>77230.85188237828</v>
      </c>
      <c r="F29" s="457">
        <f>SUM(F27:F28)</f>
        <v>27803.106677656178</v>
      </c>
      <c r="G29" s="458"/>
      <c r="H29" s="459">
        <f>SUM(H27:H28)</f>
        <v>105033.95856003446</v>
      </c>
      <c r="L29" s="435"/>
    </row>
    <row r="30" spans="2:17" x14ac:dyDescent="0.25">
      <c r="B30" s="460"/>
      <c r="C30" s="461"/>
      <c r="D30" s="462"/>
      <c r="E30" s="462"/>
      <c r="F30" s="462"/>
      <c r="G30" s="462"/>
      <c r="H30" s="462"/>
      <c r="I30" s="462"/>
      <c r="J30" s="463"/>
      <c r="K30" s="463"/>
      <c r="L30" s="464"/>
    </row>
  </sheetData>
  <mergeCells count="5">
    <mergeCell ref="E25:F25"/>
    <mergeCell ref="E5:I5"/>
    <mergeCell ref="E7:F7"/>
    <mergeCell ref="H7:I7"/>
    <mergeCell ref="E16:F16"/>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rgb="FF66FF33"/>
  </sheetPr>
  <dimension ref="B2:J44"/>
  <sheetViews>
    <sheetView zoomScaleNormal="100" workbookViewId="0">
      <selection activeCell="E43" sqref="E43"/>
    </sheetView>
  </sheetViews>
  <sheetFormatPr defaultColWidth="9.109375" defaultRowHeight="13.2" x14ac:dyDescent="0.25"/>
  <cols>
    <col min="1" max="1" width="3.6640625" style="113" customWidth="1"/>
    <col min="2" max="3" width="21.6640625" style="113" customWidth="1"/>
    <col min="4" max="4" width="9.109375" style="113"/>
    <col min="5" max="5" width="3.6640625" style="113" customWidth="1"/>
    <col min="6" max="6" width="12.6640625" style="113" customWidth="1"/>
    <col min="7" max="9" width="12.6640625" style="115" customWidth="1"/>
    <col min="10" max="10" width="12.6640625" style="113" customWidth="1"/>
    <col min="11" max="16384" width="9.109375" style="113"/>
  </cols>
  <sheetData>
    <row r="2" spans="2:10" x14ac:dyDescent="0.25">
      <c r="G2" s="180" t="s">
        <v>180</v>
      </c>
      <c r="H2" s="467" t="s">
        <v>181</v>
      </c>
    </row>
    <row r="3" spans="2:10" x14ac:dyDescent="0.25">
      <c r="B3" s="113" t="s">
        <v>246</v>
      </c>
      <c r="C3" s="16" t="s">
        <v>138</v>
      </c>
      <c r="D3" s="468" t="str">
        <f>IFERROR(VLOOKUP(C3,tbl_UF,2,FALSE),"")</f>
        <v>SP</v>
      </c>
      <c r="F3" s="469" t="s">
        <v>19</v>
      </c>
      <c r="G3" s="490">
        <v>6.4999999999999997E-3</v>
      </c>
      <c r="H3" s="491">
        <v>1.6500000000000001E-2</v>
      </c>
    </row>
    <row r="4" spans="2:10" x14ac:dyDescent="0.25">
      <c r="F4" s="470" t="s">
        <v>20</v>
      </c>
      <c r="G4" s="492">
        <v>0.03</v>
      </c>
      <c r="H4" s="493">
        <v>7.5999999999999998E-2</v>
      </c>
    </row>
    <row r="5" spans="2:10" x14ac:dyDescent="0.25">
      <c r="B5" s="113" t="s">
        <v>251</v>
      </c>
      <c r="C5" s="353" t="b">
        <f>IF(UForigem=UFdestino,FALSE,TRUE)</f>
        <v>1</v>
      </c>
    </row>
    <row r="7" spans="2:10" x14ac:dyDescent="0.25">
      <c r="C7" s="115" t="s">
        <v>22</v>
      </c>
      <c r="G7" s="473" t="s">
        <v>2357</v>
      </c>
      <c r="H7" s="474"/>
      <c r="I7" s="475"/>
      <c r="J7" s="174" t="s">
        <v>53</v>
      </c>
    </row>
    <row r="8" spans="2:10" x14ac:dyDescent="0.25">
      <c r="B8" s="478" t="s">
        <v>164</v>
      </c>
      <c r="C8" s="604"/>
      <c r="F8" s="469" t="s">
        <v>300</v>
      </c>
      <c r="G8" s="481">
        <v>500</v>
      </c>
      <c r="H8" s="482"/>
      <c r="I8" s="483"/>
      <c r="J8" s="471"/>
    </row>
    <row r="9" spans="2:10" x14ac:dyDescent="0.25">
      <c r="B9" s="479" t="s">
        <v>165</v>
      </c>
      <c r="C9" s="605"/>
      <c r="F9" s="472" t="s">
        <v>299</v>
      </c>
      <c r="G9" s="484"/>
      <c r="H9" s="485"/>
      <c r="I9" s="486"/>
      <c r="J9" s="471"/>
    </row>
    <row r="10" spans="2:10" x14ac:dyDescent="0.25">
      <c r="B10" s="479" t="s">
        <v>1910</v>
      </c>
      <c r="C10" s="727">
        <v>85372090</v>
      </c>
      <c r="F10" s="472" t="s">
        <v>298</v>
      </c>
      <c r="G10" s="484">
        <v>240</v>
      </c>
      <c r="H10" s="485"/>
      <c r="I10" s="486"/>
      <c r="J10" s="471"/>
    </row>
    <row r="11" spans="2:10" x14ac:dyDescent="0.25">
      <c r="B11" s="479" t="s">
        <v>1911</v>
      </c>
      <c r="C11" s="727">
        <v>85371090</v>
      </c>
      <c r="F11" s="472" t="s">
        <v>301</v>
      </c>
      <c r="G11" s="484">
        <v>220</v>
      </c>
      <c r="H11" s="485"/>
      <c r="I11" s="486"/>
      <c r="J11" s="471"/>
    </row>
    <row r="12" spans="2:10" x14ac:dyDescent="0.25">
      <c r="B12" s="479" t="s">
        <v>1912</v>
      </c>
      <c r="C12" s="727">
        <v>85381000</v>
      </c>
      <c r="F12" s="470" t="s">
        <v>302</v>
      </c>
      <c r="G12" s="487">
        <v>90</v>
      </c>
      <c r="H12" s="488"/>
      <c r="I12" s="489"/>
      <c r="J12" s="387"/>
    </row>
    <row r="13" spans="2:10" x14ac:dyDescent="0.25">
      <c r="B13" s="479"/>
      <c r="C13" s="727"/>
    </row>
    <row r="14" spans="2:10" x14ac:dyDescent="0.25">
      <c r="B14" s="480"/>
      <c r="C14" s="728"/>
    </row>
    <row r="16" spans="2:10" x14ac:dyDescent="0.25">
      <c r="B16" s="115" t="s">
        <v>290</v>
      </c>
      <c r="C16" s="115" t="s">
        <v>291</v>
      </c>
      <c r="F16" s="115" t="s">
        <v>750</v>
      </c>
    </row>
    <row r="17" spans="2:6" x14ac:dyDescent="0.25">
      <c r="B17" s="478" t="s">
        <v>286</v>
      </c>
      <c r="C17" s="494">
        <v>71</v>
      </c>
      <c r="F17" s="587">
        <v>0</v>
      </c>
    </row>
    <row r="18" spans="2:6" x14ac:dyDescent="0.25">
      <c r="B18" s="479" t="s">
        <v>287</v>
      </c>
      <c r="C18" s="495">
        <v>71</v>
      </c>
    </row>
    <row r="19" spans="2:6" x14ac:dyDescent="0.25">
      <c r="B19" s="479" t="s">
        <v>1132</v>
      </c>
      <c r="C19" s="495">
        <v>71</v>
      </c>
    </row>
    <row r="20" spans="2:6" x14ac:dyDescent="0.25">
      <c r="B20" s="479" t="s">
        <v>288</v>
      </c>
      <c r="C20" s="495">
        <v>62</v>
      </c>
    </row>
    <row r="21" spans="2:6" x14ac:dyDescent="0.25">
      <c r="B21" s="479" t="s">
        <v>1913</v>
      </c>
      <c r="C21" s="495">
        <v>83</v>
      </c>
    </row>
    <row r="22" spans="2:6" x14ac:dyDescent="0.25">
      <c r="B22" s="479" t="s">
        <v>289</v>
      </c>
      <c r="C22" s="495">
        <v>30</v>
      </c>
    </row>
    <row r="23" spans="2:6" x14ac:dyDescent="0.25">
      <c r="B23" s="479" t="s">
        <v>626</v>
      </c>
      <c r="C23" s="495">
        <v>180</v>
      </c>
    </row>
    <row r="24" spans="2:6" x14ac:dyDescent="0.25">
      <c r="B24" s="479" t="s">
        <v>2297</v>
      </c>
      <c r="C24" s="495">
        <v>200</v>
      </c>
    </row>
    <row r="25" spans="2:6" x14ac:dyDescent="0.25">
      <c r="B25" s="479"/>
      <c r="C25" s="495"/>
    </row>
    <row r="26" spans="2:6" x14ac:dyDescent="0.25">
      <c r="B26" s="479"/>
      <c r="C26" s="495"/>
    </row>
    <row r="27" spans="2:6" x14ac:dyDescent="0.25">
      <c r="B27" s="479"/>
      <c r="C27" s="495"/>
    </row>
    <row r="28" spans="2:6" x14ac:dyDescent="0.25">
      <c r="B28" s="479"/>
      <c r="C28" s="495"/>
    </row>
    <row r="29" spans="2:6" x14ac:dyDescent="0.25">
      <c r="B29" s="479"/>
      <c r="C29" s="495"/>
    </row>
    <row r="30" spans="2:6" x14ac:dyDescent="0.25">
      <c r="B30" s="479"/>
      <c r="C30" s="495"/>
    </row>
    <row r="31" spans="2:6" x14ac:dyDescent="0.25">
      <c r="B31" s="480"/>
      <c r="C31" s="496"/>
    </row>
    <row r="34" spans="2:5" x14ac:dyDescent="0.25">
      <c r="B34" s="113" t="s">
        <v>590</v>
      </c>
    </row>
    <row r="35" spans="2:5" ht="15" customHeight="1" x14ac:dyDescent="0.25">
      <c r="B35" s="476" t="s">
        <v>371</v>
      </c>
      <c r="C35" s="714" t="s">
        <v>3094</v>
      </c>
      <c r="D35" s="477"/>
      <c r="E35" s="113" t="s">
        <v>591</v>
      </c>
    </row>
    <row r="36" spans="2:5" ht="15" customHeight="1" x14ac:dyDescent="0.25">
      <c r="B36" s="884" t="s">
        <v>588</v>
      </c>
      <c r="C36" s="497" t="s">
        <v>38</v>
      </c>
      <c r="D36" s="498" t="s">
        <v>52</v>
      </c>
    </row>
    <row r="37" spans="2:5" ht="15" customHeight="1" x14ac:dyDescent="0.25">
      <c r="B37" s="884"/>
      <c r="C37" s="499" t="s">
        <v>377</v>
      </c>
      <c r="D37" s="324" t="s">
        <v>53</v>
      </c>
    </row>
    <row r="38" spans="2:5" ht="15" customHeight="1" x14ac:dyDescent="0.25">
      <c r="B38" s="884"/>
      <c r="C38" s="499" t="s">
        <v>22</v>
      </c>
      <c r="D38" s="324" t="s">
        <v>52</v>
      </c>
    </row>
    <row r="39" spans="2:5" ht="15" customHeight="1" x14ac:dyDescent="0.25">
      <c r="B39" s="884"/>
      <c r="C39" s="499" t="s">
        <v>733</v>
      </c>
      <c r="D39" s="324" t="s">
        <v>52</v>
      </c>
    </row>
    <row r="40" spans="2:5" ht="15" customHeight="1" x14ac:dyDescent="0.25">
      <c r="B40" s="884"/>
      <c r="C40" s="499" t="s">
        <v>169</v>
      </c>
      <c r="D40" s="324" t="s">
        <v>53</v>
      </c>
    </row>
    <row r="41" spans="2:5" ht="15" customHeight="1" x14ac:dyDescent="0.25">
      <c r="B41" s="885"/>
      <c r="C41" s="500" t="s">
        <v>589</v>
      </c>
      <c r="D41" s="325" t="s">
        <v>53</v>
      </c>
    </row>
    <row r="44" spans="2:5" x14ac:dyDescent="0.25">
      <c r="B44" s="120" t="s">
        <v>592</v>
      </c>
      <c r="C44" s="209">
        <v>45492</v>
      </c>
    </row>
  </sheetData>
  <mergeCells count="1">
    <mergeCell ref="B36:B41"/>
  </mergeCells>
  <conditionalFormatting sqref="D36:D41">
    <cfRule type="cellIs" dxfId="2" priority="1" operator="equal">
      <formula>"Não"</formula>
    </cfRule>
    <cfRule type="cellIs" dxfId="1" priority="2" operator="equal">
      <formula>"Sim"</formula>
    </cfRule>
  </conditionalFormatting>
  <dataValidations count="1">
    <dataValidation type="list" allowBlank="1" showInputMessage="1" showErrorMessage="1" sqref="D36:D41" xr:uid="{00000000-0002-0000-0E00-000000000000}">
      <formula1>"Sim,Não"</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Tributos!$B$5:$B$31</xm:f>
          </x14:formula1>
          <xm:sqref>C3</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tabColor rgb="FFFF0000"/>
  </sheetPr>
  <dimension ref="B6:C17"/>
  <sheetViews>
    <sheetView zoomScale="80" zoomScaleNormal="80" workbookViewId="0">
      <selection activeCell="F19" sqref="F19"/>
    </sheetView>
  </sheetViews>
  <sheetFormatPr defaultColWidth="9.109375" defaultRowHeight="13.2" x14ac:dyDescent="0.25"/>
  <cols>
    <col min="1" max="1" width="3.6640625" style="1" customWidth="1"/>
    <col min="2" max="2" width="35.6640625" style="1" customWidth="1"/>
    <col min="3" max="16384" width="9.109375" style="1"/>
  </cols>
  <sheetData>
    <row r="6" spans="2:3" x14ac:dyDescent="0.25">
      <c r="B6" s="1" t="s">
        <v>83</v>
      </c>
      <c r="C6" s="1" t="b">
        <f>IF(Escopo!AO273,TRUE,FALSE)</f>
        <v>1</v>
      </c>
    </row>
    <row r="7" spans="2:3" x14ac:dyDescent="0.25">
      <c r="B7" s="1" t="s">
        <v>82</v>
      </c>
      <c r="C7" s="1" t="b">
        <f>IF(Escopo!BU273,TRUE,FALSE)</f>
        <v>1</v>
      </c>
    </row>
    <row r="8" spans="2:3" x14ac:dyDescent="0.25">
      <c r="B8" s="1" t="s">
        <v>26</v>
      </c>
      <c r="C8" s="1" t="b">
        <f>IF(Dados!E130,TRUE,FALSE)</f>
        <v>1</v>
      </c>
    </row>
    <row r="9" spans="2:3" x14ac:dyDescent="0.25">
      <c r="B9" s="1" t="s">
        <v>318</v>
      </c>
      <c r="C9" s="1" t="b">
        <f>IF(AND(CF!AT2,CF!AT40,CF!E40:E61),TRUE,FALSE)</f>
        <v>0</v>
      </c>
    </row>
    <row r="10" spans="2:3" x14ac:dyDescent="0.25">
      <c r="B10" s="1" t="s">
        <v>321</v>
      </c>
      <c r="C10" s="1" t="b">
        <f>IF(Dados!V80,TRUE,FALSE)</f>
        <v>0</v>
      </c>
    </row>
    <row r="11" spans="2:3" x14ac:dyDescent="0.25">
      <c r="B11" s="1" t="s">
        <v>182</v>
      </c>
      <c r="C11" s="1" t="b">
        <f>IF(IRPJ!K10,TRUE,FALSE)</f>
        <v>1</v>
      </c>
    </row>
    <row r="12" spans="2:3" x14ac:dyDescent="0.25">
      <c r="B12" s="1" t="s">
        <v>381</v>
      </c>
      <c r="C12" s="1" t="b">
        <f>AND(Escopo!CR7:CR276)</f>
        <v>1</v>
      </c>
    </row>
    <row r="13" spans="2:3" x14ac:dyDescent="0.25">
      <c r="B13" s="1" t="s">
        <v>380</v>
      </c>
      <c r="C13" s="1" t="b">
        <f>NOT(OR(Escopo!CS7:CS276))</f>
        <v>1</v>
      </c>
    </row>
    <row r="14" spans="2:3" x14ac:dyDescent="0.25">
      <c r="B14" s="1" t="s">
        <v>339</v>
      </c>
      <c r="C14" s="1" t="b">
        <f>AND(Abertura!W3,Abertura!W75,Abertura!W111,Abertura!W147,Abertura!W183,Abertura!W219,Abertura!W255,Abertura!W291)</f>
        <v>1</v>
      </c>
    </row>
    <row r="15" spans="2:3" x14ac:dyDescent="0.25">
      <c r="B15" s="1" t="s">
        <v>1015</v>
      </c>
      <c r="C15" s="1" t="e">
        <f>Padrões!C227</f>
        <v>#N/A</v>
      </c>
    </row>
    <row r="16" spans="2:3" x14ac:dyDescent="0.25">
      <c r="B16" s="1" t="s">
        <v>1014</v>
      </c>
      <c r="C16" s="1" t="b">
        <f>AND(Escopo!DW274:DY274)</f>
        <v>1</v>
      </c>
    </row>
    <row r="17" spans="2:3" x14ac:dyDescent="0.25">
      <c r="B17" s="1" t="s">
        <v>1009</v>
      </c>
      <c r="C17" s="1" t="b">
        <f>AND('Abertura Padrões'!W3,'Abertura Padrões'!W39,'Abertura Padrões'!W75)</f>
        <v>1</v>
      </c>
    </row>
  </sheetData>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B2:V36"/>
  <sheetViews>
    <sheetView view="pageBreakPreview" zoomScaleNormal="100" zoomScaleSheetLayoutView="100" workbookViewId="0">
      <selection activeCell="P32" sqref="P32"/>
    </sheetView>
  </sheetViews>
  <sheetFormatPr defaultColWidth="8.88671875" defaultRowHeight="15" outlineLevelCol="1" x14ac:dyDescent="0.25"/>
  <cols>
    <col min="1" max="1" width="3.6640625" style="551" customWidth="1"/>
    <col min="2" max="2" width="6.6640625" style="551" customWidth="1"/>
    <col min="3" max="3" width="24.33203125" style="551" bestFit="1" customWidth="1"/>
    <col min="4" max="4" width="40.6640625" style="552" customWidth="1"/>
    <col min="5" max="5" width="3.6640625" style="551" customWidth="1"/>
    <col min="6" max="6" width="30.6640625" style="551" customWidth="1"/>
    <col min="7" max="7" width="10.6640625" style="553" customWidth="1"/>
    <col min="8" max="8" width="3.6640625" style="551" customWidth="1"/>
    <col min="9" max="21" width="8.88671875" style="551" outlineLevel="1"/>
    <col min="22" max="22" width="3.6640625" style="551" customWidth="1" outlineLevel="1"/>
    <col min="23" max="16384" width="8.88671875" style="551"/>
  </cols>
  <sheetData>
    <row r="2" spans="2:7" ht="15.6" x14ac:dyDescent="0.3">
      <c r="B2" s="550" t="s">
        <v>730</v>
      </c>
    </row>
    <row r="4" spans="2:7" x14ac:dyDescent="0.25">
      <c r="F4" s="551" t="s">
        <v>728</v>
      </c>
      <c r="G4" s="553" t="s">
        <v>319</v>
      </c>
    </row>
    <row r="5" spans="2:7" x14ac:dyDescent="0.25">
      <c r="C5" s="551" t="str">
        <f>Dados!E53</f>
        <v xml:space="preserve">Nome da Proposta </v>
      </c>
      <c r="D5" s="554" t="str">
        <f>Dados!F53</f>
        <v>WS4616407356 SAGE Água Vermelha</v>
      </c>
      <c r="F5" s="555">
        <f>Dados!U57</f>
        <v>0</v>
      </c>
      <c r="G5" s="556">
        <f>Dados!V57</f>
        <v>0</v>
      </c>
    </row>
    <row r="6" spans="2:7" x14ac:dyDescent="0.25">
      <c r="C6" s="551" t="str">
        <f>Dados!E55</f>
        <v xml:space="preserve">Cliente Direto </v>
      </c>
      <c r="D6" s="554" t="str">
        <f>Dados!F55</f>
        <v>CTEEP</v>
      </c>
      <c r="F6" s="557">
        <f>Dados!U58</f>
        <v>0</v>
      </c>
      <c r="G6" s="558">
        <f>Dados!V58</f>
        <v>0</v>
      </c>
    </row>
    <row r="7" spans="2:7" x14ac:dyDescent="0.25">
      <c r="C7" s="551" t="str">
        <f>Dados!E57</f>
        <v xml:space="preserve">Cliente Final </v>
      </c>
      <c r="D7" s="554" t="str">
        <f>Dados!F57</f>
        <v>CTEEP</v>
      </c>
      <c r="F7" s="557">
        <f>Dados!U59</f>
        <v>0</v>
      </c>
      <c r="G7" s="558">
        <f>Dados!V59</f>
        <v>0</v>
      </c>
    </row>
    <row r="8" spans="2:7" x14ac:dyDescent="0.25">
      <c r="C8" s="551" t="str">
        <f>Dados!E59</f>
        <v xml:space="preserve">Validade de Proposta </v>
      </c>
      <c r="D8" s="554">
        <f>validade</f>
        <v>30</v>
      </c>
      <c r="F8" s="557">
        <f>Dados!U60</f>
        <v>0</v>
      </c>
      <c r="G8" s="558">
        <f>Dados!V60</f>
        <v>0</v>
      </c>
    </row>
    <row r="9" spans="2:7" x14ac:dyDescent="0.25">
      <c r="C9" s="551" t="str">
        <f>Dados!E61</f>
        <v xml:space="preserve">Faturamento para </v>
      </c>
      <c r="D9" s="554" t="str">
        <f>Dados!F61</f>
        <v>CTEEP</v>
      </c>
      <c r="F9" s="557">
        <f>Dados!U61</f>
        <v>0</v>
      </c>
      <c r="G9" s="558">
        <f>Dados!V61</f>
        <v>0</v>
      </c>
    </row>
    <row r="10" spans="2:7" x14ac:dyDescent="0.25">
      <c r="C10" s="551" t="str">
        <f>Dados!E62</f>
        <v xml:space="preserve">UF de faturamento </v>
      </c>
      <c r="D10" s="554" t="str">
        <f>Dados!F62</f>
        <v>MG - MINAS GERAIS</v>
      </c>
      <c r="F10" s="557">
        <f>Dados!U62</f>
        <v>0</v>
      </c>
      <c r="G10" s="558">
        <f>Dados!V62</f>
        <v>0</v>
      </c>
    </row>
    <row r="11" spans="2:7" x14ac:dyDescent="0.25">
      <c r="C11" s="551" t="str">
        <f>Dados!E65</f>
        <v xml:space="preserve">Data da proposta </v>
      </c>
      <c r="D11" s="559">
        <f>Dados!F65</f>
        <v>45516</v>
      </c>
      <c r="F11" s="557">
        <f>Dados!U63</f>
        <v>0</v>
      </c>
      <c r="G11" s="558">
        <f>Dados!V63</f>
        <v>0</v>
      </c>
    </row>
    <row r="12" spans="2:7" x14ac:dyDescent="0.25">
      <c r="C12" s="551" t="str">
        <f>Dados!E66</f>
        <v xml:space="preserve">Início do Fornecimento </v>
      </c>
      <c r="D12" s="559">
        <f>Dados!F66</f>
        <v>45561</v>
      </c>
      <c r="F12" s="557">
        <f>Dados!U64</f>
        <v>0</v>
      </c>
      <c r="G12" s="558">
        <f>Dados!V64</f>
        <v>0</v>
      </c>
    </row>
    <row r="13" spans="2:7" x14ac:dyDescent="0.25">
      <c r="F13" s="557">
        <f>Dados!U65</f>
        <v>0</v>
      </c>
      <c r="G13" s="558">
        <f>Dados!V65</f>
        <v>0</v>
      </c>
    </row>
    <row r="14" spans="2:7" x14ac:dyDescent="0.25">
      <c r="C14" s="551" t="str">
        <f>Dados!L53</f>
        <v xml:space="preserve">Número de Série </v>
      </c>
      <c r="D14" s="560" t="str">
        <f>Dados!M53</f>
        <v>23_139_CONSOLIDADA</v>
      </c>
      <c r="F14" s="557">
        <f>Dados!U66</f>
        <v>0</v>
      </c>
      <c r="G14" s="558">
        <f>Dados!V66</f>
        <v>0</v>
      </c>
    </row>
    <row r="15" spans="2:7" x14ac:dyDescent="0.25">
      <c r="C15" s="551" t="str">
        <f>Dados!L55</f>
        <v xml:space="preserve">Posto </v>
      </c>
      <c r="D15" s="560" t="str">
        <f>Dados!M55</f>
        <v>Obra</v>
      </c>
      <c r="F15" s="557">
        <f>Dados!U67</f>
        <v>0</v>
      </c>
      <c r="G15" s="558">
        <f>Dados!V67</f>
        <v>0</v>
      </c>
    </row>
    <row r="16" spans="2:7" x14ac:dyDescent="0.25">
      <c r="C16" s="551" t="str">
        <f>Dados!L56</f>
        <v xml:space="preserve">Incoterms 2010 </v>
      </c>
      <c r="D16" s="560" t="str">
        <f>Dados!M56</f>
        <v>CIF - Cost, Insurance and Freight</v>
      </c>
      <c r="F16" s="557">
        <f>Dados!U68</f>
        <v>0</v>
      </c>
      <c r="G16" s="558">
        <f>Dados!V68</f>
        <v>0</v>
      </c>
    </row>
    <row r="17" spans="2:21" x14ac:dyDescent="0.25">
      <c r="C17" s="551" t="str">
        <f>Dados!L57</f>
        <v xml:space="preserve">Prazo de Entrega </v>
      </c>
      <c r="D17" s="554" t="str">
        <f>prazo_entrega&amp;" "&amp;Dados!O57</f>
        <v>12 meses</v>
      </c>
      <c r="F17" s="557">
        <f>Dados!U69</f>
        <v>0</v>
      </c>
      <c r="G17" s="558">
        <f>Dados!V69</f>
        <v>0</v>
      </c>
    </row>
    <row r="18" spans="2:21" x14ac:dyDescent="0.25">
      <c r="C18" s="551" t="str">
        <f>Dados!L58</f>
        <v xml:space="preserve">Data da Entrega </v>
      </c>
      <c r="D18" s="559">
        <f>Dados!M58</f>
        <v>45921</v>
      </c>
      <c r="F18" s="557">
        <f>Dados!U70</f>
        <v>0</v>
      </c>
      <c r="G18" s="558">
        <f>Dados!V70</f>
        <v>0</v>
      </c>
    </row>
    <row r="19" spans="2:21" x14ac:dyDescent="0.25">
      <c r="C19" s="551" t="str">
        <f>Dados!L60</f>
        <v xml:space="preserve">Prazo de Garantia </v>
      </c>
      <c r="D19" s="554">
        <f>MAX(Dados!M60:M61)</f>
        <v>18</v>
      </c>
      <c r="F19" s="557">
        <f>Dados!U71</f>
        <v>0</v>
      </c>
      <c r="G19" s="558">
        <f>Dados!V71</f>
        <v>0</v>
      </c>
    </row>
    <row r="20" spans="2:21" x14ac:dyDescent="0.25">
      <c r="F20" s="557">
        <f>Dados!U72</f>
        <v>0</v>
      </c>
      <c r="G20" s="558">
        <f>Dados!V72</f>
        <v>0</v>
      </c>
    </row>
    <row r="21" spans="2:21" x14ac:dyDescent="0.25">
      <c r="C21" s="561">
        <f>Dados!P69</f>
        <v>0</v>
      </c>
      <c r="D21" s="562">
        <f>Dados!R64</f>
        <v>0.15</v>
      </c>
      <c r="F21" s="557">
        <f>Dados!U73</f>
        <v>0</v>
      </c>
      <c r="G21" s="558">
        <f>Dados!V73</f>
        <v>0</v>
      </c>
    </row>
    <row r="22" spans="2:21" x14ac:dyDescent="0.25">
      <c r="C22" s="561">
        <f>Dados!P70</f>
        <v>0</v>
      </c>
      <c r="D22" s="562">
        <f>Dados!R65</f>
        <v>0.64794776875939952</v>
      </c>
      <c r="F22" s="557">
        <f>Dados!U74</f>
        <v>0</v>
      </c>
      <c r="G22" s="558">
        <f>Dados!V74</f>
        <v>0</v>
      </c>
    </row>
    <row r="23" spans="2:21" x14ac:dyDescent="0.25">
      <c r="F23" s="557">
        <f>Dados!U75</f>
        <v>0</v>
      </c>
      <c r="G23" s="558">
        <f>Dados!V75</f>
        <v>0</v>
      </c>
    </row>
    <row r="24" spans="2:21" x14ac:dyDescent="0.25">
      <c r="C24" s="551" t="str">
        <f>Dados!L96</f>
        <v xml:space="preserve">Líquido c/ MN </v>
      </c>
      <c r="D24" s="563">
        <f>Dados!M96</f>
        <v>960200.52820053604</v>
      </c>
      <c r="F24" s="557">
        <f>Dados!U76</f>
        <v>0</v>
      </c>
      <c r="G24" s="558">
        <f>Dados!V76</f>
        <v>0</v>
      </c>
    </row>
    <row r="25" spans="2:21" x14ac:dyDescent="0.25">
      <c r="C25" s="551" t="s">
        <v>729</v>
      </c>
      <c r="D25" s="563">
        <f>Dados!M109</f>
        <v>1052788.7099949375</v>
      </c>
      <c r="F25" s="557">
        <f>Dados!U77</f>
        <v>0</v>
      </c>
      <c r="G25" s="558">
        <f>Dados!V77</f>
        <v>0</v>
      </c>
    </row>
    <row r="26" spans="2:21" x14ac:dyDescent="0.25">
      <c r="C26" s="551" t="str">
        <f>Dados!L112</f>
        <v xml:space="preserve">Bruto c/ Fat. Direto </v>
      </c>
      <c r="D26" s="563">
        <f>Dados!M112</f>
        <v>1052788.7099949375</v>
      </c>
      <c r="F26" s="564">
        <f>Dados!U78</f>
        <v>0</v>
      </c>
      <c r="G26" s="565">
        <f>Dados!V78</f>
        <v>0</v>
      </c>
    </row>
    <row r="30" spans="2:21" ht="34.950000000000003" customHeight="1" x14ac:dyDescent="0.25">
      <c r="B30" s="886" t="s">
        <v>731</v>
      </c>
      <c r="C30" s="566" t="s">
        <v>350</v>
      </c>
      <c r="D30" s="567"/>
      <c r="E30" s="568"/>
      <c r="F30" s="568"/>
      <c r="G30" s="569"/>
      <c r="I30" s="886" t="s">
        <v>732</v>
      </c>
      <c r="J30" s="555"/>
      <c r="K30" s="570"/>
      <c r="L30" s="570"/>
      <c r="M30" s="570"/>
      <c r="N30" s="570"/>
      <c r="O30" s="570"/>
      <c r="P30" s="570"/>
      <c r="Q30" s="570"/>
      <c r="R30" s="570"/>
      <c r="S30" s="570"/>
      <c r="T30" s="570"/>
      <c r="U30" s="571"/>
    </row>
    <row r="31" spans="2:21" x14ac:dyDescent="0.25">
      <c r="B31" s="887"/>
      <c r="C31" s="566"/>
      <c r="I31" s="887"/>
      <c r="J31" s="557"/>
      <c r="U31" s="572"/>
    </row>
    <row r="32" spans="2:21" ht="34.950000000000003" customHeight="1" x14ac:dyDescent="0.25">
      <c r="B32" s="887"/>
      <c r="C32" s="566" t="s">
        <v>349</v>
      </c>
      <c r="D32" s="567"/>
      <c r="E32" s="568"/>
      <c r="F32" s="568"/>
      <c r="G32" s="569"/>
      <c r="I32" s="887"/>
      <c r="J32" s="557"/>
      <c r="U32" s="572"/>
    </row>
    <row r="33" spans="2:21" x14ac:dyDescent="0.25">
      <c r="B33" s="887"/>
      <c r="C33" s="566"/>
      <c r="I33" s="887"/>
      <c r="J33" s="557"/>
      <c r="U33" s="572"/>
    </row>
    <row r="34" spans="2:21" ht="34.950000000000003" customHeight="1" x14ac:dyDescent="0.25">
      <c r="B34" s="887"/>
      <c r="C34" s="566" t="s">
        <v>348</v>
      </c>
      <c r="D34" s="567"/>
      <c r="E34" s="568"/>
      <c r="F34" s="568"/>
      <c r="G34" s="569"/>
      <c r="I34" s="887"/>
      <c r="J34" s="557"/>
      <c r="U34" s="572"/>
    </row>
    <row r="35" spans="2:21" x14ac:dyDescent="0.25">
      <c r="B35" s="887"/>
      <c r="C35" s="566"/>
      <c r="I35" s="887"/>
      <c r="J35" s="557"/>
      <c r="U35" s="572"/>
    </row>
    <row r="36" spans="2:21" ht="34.950000000000003" customHeight="1" x14ac:dyDescent="0.25">
      <c r="B36" s="887"/>
      <c r="C36" s="566" t="s">
        <v>347</v>
      </c>
      <c r="D36" s="567"/>
      <c r="E36" s="568"/>
      <c r="F36" s="568"/>
      <c r="G36" s="569"/>
      <c r="I36" s="887"/>
      <c r="J36" s="564"/>
      <c r="K36" s="573"/>
      <c r="L36" s="573"/>
      <c r="M36" s="573"/>
      <c r="N36" s="573"/>
      <c r="O36" s="573"/>
      <c r="P36" s="573"/>
      <c r="Q36" s="573"/>
      <c r="R36" s="573"/>
      <c r="S36" s="573"/>
      <c r="T36" s="573"/>
      <c r="U36" s="574"/>
    </row>
  </sheetData>
  <mergeCells count="2">
    <mergeCell ref="B30:B36"/>
    <mergeCell ref="I30:I36"/>
  </mergeCells>
  <conditionalFormatting sqref="F5:G26">
    <cfRule type="cellIs" dxfId="0" priority="1" operator="equal">
      <formula>0</formula>
    </cfRule>
  </conditionalFormatting>
  <printOptions horizontalCentered="1" verticalCentered="1"/>
  <pageMargins left="0.70866141732283472" right="0.70866141732283472" top="0.74803149606299213" bottom="0.74803149606299213" header="0.31496062992125984" footer="0.31496062992125984"/>
  <pageSetup paperSize="9" scale="54" orientation="landscape"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39BB340A9209AB4BB6D09CA71559879C" ma:contentTypeVersion="15" ma:contentTypeDescription="Crie um novo documento." ma:contentTypeScope="" ma:versionID="ad20f1a1ac895aabec5b66750061db82">
  <xsd:schema xmlns:xsd="http://www.w3.org/2001/XMLSchema" xmlns:xs="http://www.w3.org/2001/XMLSchema" xmlns:p="http://schemas.microsoft.com/office/2006/metadata/properties" xmlns:ns2="003116e9-8f23-4c83-827c-d0f6d0b8a9c4" xmlns:ns3="68266a95-fbbb-474c-b33b-e1ad9374e026" targetNamespace="http://schemas.microsoft.com/office/2006/metadata/properties" ma:root="true" ma:fieldsID="f542d5ace6c695c083145c112faaff76" ns2:_="" ns3:_="">
    <xsd:import namespace="003116e9-8f23-4c83-827c-d0f6d0b8a9c4"/>
    <xsd:import namespace="68266a95-fbbb-474c-b33b-e1ad9374e026"/>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MediaLengthInSeconds"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03116e9-8f23-4c83-827c-d0f6d0b8a9c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Marcações de imagem" ma:readOnly="false" ma:fieldId="{5cf76f15-5ced-4ddc-b409-7134ff3c332f}" ma:taxonomyMulti="true" ma:sspId="ac63fed9-743f-4101-855d-c263c3c10132"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ObjectDetectorVersions" ma:index="21"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8266a95-fbbb-474c-b33b-e1ad9374e026"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a3ed4b9e-ec0b-4312-acb8-789b5803dfe7}" ma:internalName="TaxCatchAll" ma:showField="CatchAllData" ma:web="68266a95-fbbb-474c-b33b-e1ad9374e026">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003116e9-8f23-4c83-827c-d0f6d0b8a9c4">
      <Terms xmlns="http://schemas.microsoft.com/office/infopath/2007/PartnerControls"/>
    </lcf76f155ced4ddcb4097134ff3c332f>
    <TaxCatchAll xmlns="68266a95-fbbb-474c-b33b-e1ad9374e02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EA695BE-5D05-47FD-B214-348029682F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03116e9-8f23-4c83-827c-d0f6d0b8a9c4"/>
    <ds:schemaRef ds:uri="68266a95-fbbb-474c-b33b-e1ad9374e0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A1FE564-4198-4332-A27C-9DFCAC70D5E2}">
  <ds:schemaRefs>
    <ds:schemaRef ds:uri="http://schemas.microsoft.com/office/2006/metadata/properties"/>
    <ds:schemaRef ds:uri="http://schemas.microsoft.com/office/infopath/2007/PartnerControls"/>
    <ds:schemaRef ds:uri="003116e9-8f23-4c83-827c-d0f6d0b8a9c4"/>
    <ds:schemaRef ds:uri="68266a95-fbbb-474c-b33b-e1ad9374e026"/>
  </ds:schemaRefs>
</ds:datastoreItem>
</file>

<file path=customXml/itemProps3.xml><?xml version="1.0" encoding="utf-8"?>
<ds:datastoreItem xmlns:ds="http://schemas.openxmlformats.org/officeDocument/2006/customXml" ds:itemID="{6C1C49B2-1784-4D44-95DD-F0A7F926E44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18</vt:i4>
      </vt:variant>
      <vt:variant>
        <vt:lpstr>Intervalos Nomeados</vt:lpstr>
      </vt:variant>
      <vt:variant>
        <vt:i4>256</vt:i4>
      </vt:variant>
    </vt:vector>
  </HeadingPairs>
  <TitlesOfParts>
    <vt:vector size="274" baseType="lpstr">
      <vt:lpstr>LinkDB</vt:lpstr>
      <vt:lpstr>Abertura</vt:lpstr>
      <vt:lpstr>Abertura Padrões</vt:lpstr>
      <vt:lpstr>Dados</vt:lpstr>
      <vt:lpstr>Escopo</vt:lpstr>
      <vt:lpstr>Materiais</vt:lpstr>
      <vt:lpstr>Serviços</vt:lpstr>
      <vt:lpstr>Padrões</vt:lpstr>
      <vt:lpstr>80-20</vt:lpstr>
      <vt:lpstr>Risco &amp; Opp</vt:lpstr>
      <vt:lpstr>CF</vt:lpstr>
      <vt:lpstr>HH</vt:lpstr>
      <vt:lpstr>NCM</vt:lpstr>
      <vt:lpstr>Tributos</vt:lpstr>
      <vt:lpstr>IRPJ</vt:lpstr>
      <vt:lpstr>Parametrização</vt:lpstr>
      <vt:lpstr>Check Erro</vt:lpstr>
      <vt:lpstr>ResumoCom</vt:lpstr>
      <vt:lpstr>aliviadora_auto</vt:lpstr>
      <vt:lpstr>Escopo!Area_de_impressao</vt:lpstr>
      <vt:lpstr>ResumoCom!Area_de_impressao</vt:lpstr>
      <vt:lpstr>bottom_numbering</vt:lpstr>
      <vt:lpstr>bruto</vt:lpstr>
      <vt:lpstr>bruto_baseIR</vt:lpstr>
      <vt:lpstr>bruto_com_difal</vt:lpstr>
      <vt:lpstr>bruto_com_st</vt:lpstr>
      <vt:lpstr>bruto_sem_ipi</vt:lpstr>
      <vt:lpstr>cf_check</vt:lpstr>
      <vt:lpstr>cf_custo_calculado</vt:lpstr>
      <vt:lpstr>cf_custo_pc</vt:lpstr>
      <vt:lpstr>cf_delta</vt:lpstr>
      <vt:lpstr>cf_pc</vt:lpstr>
      <vt:lpstr>cf_taxa_credito_aa</vt:lpstr>
      <vt:lpstr>cf_taxa_debito_aa</vt:lpstr>
      <vt:lpstr>cobertura_pc</vt:lpstr>
      <vt:lpstr>cobertura_total</vt:lpstr>
      <vt:lpstr>cofins_cum</vt:lpstr>
      <vt:lpstr>cofins_naocum</vt:lpstr>
      <vt:lpstr>cofins_total</vt:lpstr>
      <vt:lpstr>col_abertura1</vt:lpstr>
      <vt:lpstr>col_abertura2</vt:lpstr>
      <vt:lpstr>col_brutototal</vt:lpstr>
      <vt:lpstr>col_brutounitario</vt:lpstr>
      <vt:lpstr>col_cofins</vt:lpstr>
      <vt:lpstr>col_custoIRreal</vt:lpstr>
      <vt:lpstr>col_custoTotal</vt:lpstr>
      <vt:lpstr>col_custoUnitario</vt:lpstr>
      <vt:lpstr>col_descricao</vt:lpstr>
      <vt:lpstr>col_fatdir</vt:lpstr>
      <vt:lpstr>col_fatdir_bruto_com_mn</vt:lpstr>
      <vt:lpstr>col_fatdir_cofins_mn</vt:lpstr>
      <vt:lpstr>col_fatdir_icms_mn</vt:lpstr>
      <vt:lpstr>col_fatdir_ipi_mn</vt:lpstr>
      <vt:lpstr>col_fatdir_iss_mn</vt:lpstr>
      <vt:lpstr>col_fatdir_liquido_com_mn</vt:lpstr>
      <vt:lpstr>col_fatdir_pi_mn</vt:lpstr>
      <vt:lpstr>col_fatdir_pis_mn</vt:lpstr>
      <vt:lpstr>col_finalidade</vt:lpstr>
      <vt:lpstr>col_fuppm_gdv</vt:lpstr>
      <vt:lpstr>col_fuppm_totalhh</vt:lpstr>
      <vt:lpstr>col_icms</vt:lpstr>
      <vt:lpstr>col_ipi</vt:lpstr>
      <vt:lpstr>col_iss</vt:lpstr>
      <vt:lpstr>col_isstd</vt:lpstr>
      <vt:lpstr>col_item</vt:lpstr>
      <vt:lpstr>col_liquidototal</vt:lpstr>
      <vt:lpstr>col_nivel</vt:lpstr>
      <vt:lpstr>col_pis</vt:lpstr>
      <vt:lpstr>col_PLcomMN</vt:lpstr>
      <vt:lpstr>col_PLsemMN</vt:lpstr>
      <vt:lpstr>col_PVcomDIFAL</vt:lpstr>
      <vt:lpstr>col_qtd</vt:lpstr>
      <vt:lpstr>col_receitaIR</vt:lpstr>
      <vt:lpstr>col_regime</vt:lpstr>
      <vt:lpstr>col_std_custo</vt:lpstr>
      <vt:lpstr>col_std_PL</vt:lpstr>
      <vt:lpstr>col_std_PV</vt:lpstr>
      <vt:lpstr>col_tag_num</vt:lpstr>
      <vt:lpstr>col_tipodemargem</vt:lpstr>
      <vt:lpstr>col_tipoIR</vt:lpstr>
      <vt:lpstr>col_tipolinha</vt:lpstr>
      <vt:lpstr>col_tipoWBS</vt:lpstr>
      <vt:lpstr>comissao_check</vt:lpstr>
      <vt:lpstr>comissao_custo</vt:lpstr>
      <vt:lpstr>comissao_delta</vt:lpstr>
      <vt:lpstr>comissao_pc</vt:lpstr>
      <vt:lpstr>custo_total</vt:lpstr>
      <vt:lpstr>difal_total</vt:lpstr>
      <vt:lpstr>down_categoria</vt:lpstr>
      <vt:lpstr>ebit_pc</vt:lpstr>
      <vt:lpstr>escopo_corner</vt:lpstr>
      <vt:lpstr>EUR</vt:lpstr>
      <vt:lpstr>exposicao</vt:lpstr>
      <vt:lpstr>fd_com_mn</vt:lpstr>
      <vt:lpstr>fd_sem_mn</vt:lpstr>
      <vt:lpstr>flag_interestadual</vt:lpstr>
      <vt:lpstr>ForcarFrete</vt:lpstr>
      <vt:lpstr>ForcarNOPAT</vt:lpstr>
      <vt:lpstr>ForcarNOPAT_selector</vt:lpstr>
      <vt:lpstr>frete_check</vt:lpstr>
      <vt:lpstr>frete_delta</vt:lpstr>
      <vt:lpstr>frete_seguro_pc</vt:lpstr>
      <vt:lpstr>garantia_pc</vt:lpstr>
      <vt:lpstr>head_mat_bruto</vt:lpstr>
      <vt:lpstr>head_mat_CLpresumido</vt:lpstr>
      <vt:lpstr>head_mat_CLreal</vt:lpstr>
      <vt:lpstr>head_mat_cpforn</vt:lpstr>
      <vt:lpstr>head_mat_credito_COFINS</vt:lpstr>
      <vt:lpstr>head_mat_credito_ICMS</vt:lpstr>
      <vt:lpstr>head_mat_credito_IPI</vt:lpstr>
      <vt:lpstr>head_mat_credito_PIS</vt:lpstr>
      <vt:lpstr>head_mat_descricao</vt:lpstr>
      <vt:lpstr>head_mat_div</vt:lpstr>
      <vt:lpstr>head_mat_fat_desc</vt:lpstr>
      <vt:lpstr>head_mat_fatdir</vt:lpstr>
      <vt:lpstr>head_mat_fornecedor</vt:lpstr>
      <vt:lpstr>head_mat_ICMS_input</vt:lpstr>
      <vt:lpstr>head_mat_IPI</vt:lpstr>
      <vt:lpstr>head_mat_IPI_input</vt:lpstr>
      <vt:lpstr>head_mat_ISS_input</vt:lpstr>
      <vt:lpstr>head_mat_item</vt:lpstr>
      <vt:lpstr>head_mat_moeda</vt:lpstr>
      <vt:lpstr>head_mat_NCM</vt:lpstr>
      <vt:lpstr>head_mat_PBrutoComIPI</vt:lpstr>
      <vt:lpstr>head_mat_reference</vt:lpstr>
      <vt:lpstr>head_mat_st</vt:lpstr>
      <vt:lpstr>head_mat_tag</vt:lpstr>
      <vt:lpstr>head_mat_WBS</vt:lpstr>
      <vt:lpstr>head_moeda_ref</vt:lpstr>
      <vt:lpstr>head_porNCM_II</vt:lpstr>
      <vt:lpstr>head_porNCM_IPI</vt:lpstr>
      <vt:lpstr>head_porNCM_NCM</vt:lpstr>
      <vt:lpstr>head_serv_CL</vt:lpstr>
      <vt:lpstr>head_serv_descricao</vt:lpstr>
      <vt:lpstr>head_serv_item</vt:lpstr>
      <vt:lpstr>head_serv_WBS</vt:lpstr>
      <vt:lpstr>hh_3rd</vt:lpstr>
      <vt:lpstr>hh_coord</vt:lpstr>
      <vt:lpstr>hh_ctrl</vt:lpstr>
      <vt:lpstr>hh_eletr</vt:lpstr>
      <vt:lpstr>hh_patio</vt:lpstr>
      <vt:lpstr>hh_prj</vt:lpstr>
      <vt:lpstr>hh_prot</vt:lpstr>
      <vt:lpstr>hh_selet</vt:lpstr>
      <vt:lpstr>icms_total</vt:lpstr>
      <vt:lpstr>ipi_total</vt:lpstr>
      <vt:lpstr>iss_total</vt:lpstr>
      <vt:lpstr>linkDB</vt:lpstr>
      <vt:lpstr>liquido</vt:lpstr>
      <vt:lpstr>liquido_com_MN_total</vt:lpstr>
      <vt:lpstr>liquido_sem_MN_total</vt:lpstr>
      <vt:lpstr>mb_pc</vt:lpstr>
      <vt:lpstr>mb_pc_total</vt:lpstr>
      <vt:lpstr>mb_total</vt:lpstr>
      <vt:lpstr>mid_numbering</vt:lpstr>
      <vt:lpstr>mn_pc</vt:lpstr>
      <vt:lpstr>mn_total</vt:lpstr>
      <vt:lpstr>nopat_check</vt:lpstr>
      <vt:lpstr>nopat_com_mn</vt:lpstr>
      <vt:lpstr>nopat_delta</vt:lpstr>
      <vt:lpstr>nopat_sem_mn</vt:lpstr>
      <vt:lpstr>offline_param_tbl1</vt:lpstr>
      <vt:lpstr>offline_param_tbl3</vt:lpstr>
      <vt:lpstr>offline_param_tbl4</vt:lpstr>
      <vt:lpstr>offline_std_tblA</vt:lpstr>
      <vt:lpstr>offline_std_tblB</vt:lpstr>
      <vt:lpstr>offline_tributos1_tbl2</vt:lpstr>
      <vt:lpstr>offline_tributos1_tbl3</vt:lpstr>
      <vt:lpstr>offline_tributos2_tbl1</vt:lpstr>
      <vt:lpstr>offline_tributos2_tbl2</vt:lpstr>
      <vt:lpstr>offline_tributos2_tbl3</vt:lpstr>
      <vt:lpstr>offline_tributos2_tbl4</vt:lpstr>
      <vt:lpstr>opp_total</vt:lpstr>
      <vt:lpstr>over_pc</vt:lpstr>
      <vt:lpstr>painel_total</vt:lpstr>
      <vt:lpstr>pis_cum</vt:lpstr>
      <vt:lpstr>pis_naocum</vt:lpstr>
      <vt:lpstr>pis_total</vt:lpstr>
      <vt:lpstr>prazo_entrega</vt:lpstr>
      <vt:lpstr>preco_bruto_com_ipi</vt:lpstr>
      <vt:lpstr>recuperavel_coberturas_ir_real</vt:lpstr>
      <vt:lpstr>recuperavel_MB_ir_real</vt:lpstr>
      <vt:lpstr>ref_L</vt:lpstr>
      <vt:lpstr>ref_N0</vt:lpstr>
      <vt:lpstr>ref_N1</vt:lpstr>
      <vt:lpstr>ref_N2</vt:lpstr>
      <vt:lpstr>ref_N3</vt:lpstr>
      <vt:lpstr>reidi</vt:lpstr>
      <vt:lpstr>risco_check</vt:lpstr>
      <vt:lpstr>risco_custo_pc</vt:lpstr>
      <vt:lpstr>risco_delta</vt:lpstr>
      <vt:lpstr>risco_pc</vt:lpstr>
      <vt:lpstr>risco_total</vt:lpstr>
      <vt:lpstr>row_mat_end</vt:lpstr>
      <vt:lpstr>row_mat_middle</vt:lpstr>
      <vt:lpstr>row_mat_online</vt:lpstr>
      <vt:lpstr>row_mat_reference</vt:lpstr>
      <vt:lpstr>row_mat_std</vt:lpstr>
      <vt:lpstr>row_std_descr</vt:lpstr>
      <vt:lpstr>row_std_head</vt:lpstr>
      <vt:lpstr>row_std_qtdreal</vt:lpstr>
      <vt:lpstr>serv_col_gdv</vt:lpstr>
      <vt:lpstr>serv_col_item</vt:lpstr>
      <vt:lpstr>serv_col_totalhh</vt:lpstr>
      <vt:lpstr>sobress_pc</vt:lpstr>
      <vt:lpstr>st_total</vt:lpstr>
      <vt:lpstr>std_finalidade</vt:lpstr>
      <vt:lpstr>std_ncm</vt:lpstr>
      <vt:lpstr>std_PL_real</vt:lpstr>
      <vt:lpstr>std_tbl1</vt:lpstr>
      <vt:lpstr>std_tbl2</vt:lpstr>
      <vt:lpstr>std_tbl3</vt:lpstr>
      <vt:lpstr>std_tbl4</vt:lpstr>
      <vt:lpstr>std_tbl5</vt:lpstr>
      <vt:lpstr>std_tbl6</vt:lpstr>
      <vt:lpstr>std_tiponcm</vt:lpstr>
      <vt:lpstr>target_check</vt:lpstr>
      <vt:lpstr>target_delta</vt:lpstr>
      <vt:lpstr>target_valor</vt:lpstr>
      <vt:lpstr>tbl_8020_full</vt:lpstr>
      <vt:lpstr>tbl_8020_itens</vt:lpstr>
      <vt:lpstr>tbl_8020_tofilter</vt:lpstr>
      <vt:lpstr>'Abertura Padrões'!tbl_abertura1</vt:lpstr>
      <vt:lpstr>tbl_abertura1</vt:lpstr>
      <vt:lpstr>'Abertura Padrões'!tbl_abertura2</vt:lpstr>
      <vt:lpstr>tbl_abertura2</vt:lpstr>
      <vt:lpstr>tbl_cambio</vt:lpstr>
      <vt:lpstr>tbl_DIFAL_data</vt:lpstr>
      <vt:lpstr>tbl_DIFAL_NCM</vt:lpstr>
      <vt:lpstr>tbl_DIFAL_UF</vt:lpstr>
      <vt:lpstr>tbl_Escopo</vt:lpstr>
      <vt:lpstr>tbl_evento_pagto</vt:lpstr>
      <vt:lpstr>tbl_hh</vt:lpstr>
      <vt:lpstr>tbl_ICMSinterest_data</vt:lpstr>
      <vt:lpstr>tbl_ICMSinterest_ufdest</vt:lpstr>
      <vt:lpstr>tbl_ICMSinterest_uforig</vt:lpstr>
      <vt:lpstr>tbl_ICMSinterno_data</vt:lpstr>
      <vt:lpstr>tbl_ICMSinterno_NCM</vt:lpstr>
      <vt:lpstr>tbl_ICMSinterno_UF</vt:lpstr>
      <vt:lpstr>tbl_incoterms2010</vt:lpstr>
      <vt:lpstr>tbl_IRPJaux</vt:lpstr>
      <vt:lpstr>tbl_ISS</vt:lpstr>
      <vt:lpstr>tbl_materiais</vt:lpstr>
      <vt:lpstr>tbl_mb</vt:lpstr>
      <vt:lpstr>tbl_MVA</vt:lpstr>
      <vt:lpstr>tbl_NCM_info</vt:lpstr>
      <vt:lpstr>tbl_servicos</vt:lpstr>
      <vt:lpstr>tbl_ST_data</vt:lpstr>
      <vt:lpstr>tbl_ST_NCM</vt:lpstr>
      <vt:lpstr>tbl_ST_UF</vt:lpstr>
      <vt:lpstr>tbl_tipodemargem</vt:lpstr>
      <vt:lpstr>tbl_TipoLinha</vt:lpstr>
      <vt:lpstr>tbl_tipoWBS_mat</vt:lpstr>
      <vt:lpstr>tbl_UF</vt:lpstr>
      <vt:lpstr>tblFinalidade</vt:lpstr>
      <vt:lpstr>tblRegime</vt:lpstr>
      <vt:lpstr>tblSimNao</vt:lpstr>
      <vt:lpstr>tblTipoPM</vt:lpstr>
      <vt:lpstr>tbm_natureza</vt:lpstr>
      <vt:lpstr>Escopo!Titulos_de_impressao</vt:lpstr>
      <vt:lpstr>top_categoria</vt:lpstr>
      <vt:lpstr>top_numbering</vt:lpstr>
      <vt:lpstr>UFdestino</vt:lpstr>
      <vt:lpstr>UForigem</vt:lpstr>
      <vt:lpstr>up_mat</vt:lpstr>
      <vt:lpstr>up_ncm</vt:lpstr>
      <vt:lpstr>up_param</vt:lpstr>
      <vt:lpstr>up_std</vt:lpstr>
      <vt:lpstr>up_trib1</vt:lpstr>
      <vt:lpstr>up_trib2</vt:lpstr>
      <vt:lpstr>USD</vt:lpstr>
      <vt:lpstr>validade</vt:lpstr>
      <vt:lpstr>versao_pp</vt:lpstr>
      <vt:lpstr>zeradora</vt:lpstr>
    </vt:vector>
  </TitlesOfParts>
  <Company>Siemens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Guido</dc:creator>
  <cp:lastModifiedBy>Matheus Furlanis</cp:lastModifiedBy>
  <cp:lastPrinted>2020-05-19T01:50:20Z</cp:lastPrinted>
  <dcterms:created xsi:type="dcterms:W3CDTF">2015-12-29T15:21:18Z</dcterms:created>
  <dcterms:modified xsi:type="dcterms:W3CDTF">2024-09-06T13:26:16Z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0x01010039BB340A9209AB4BB6D09CA71559879C</vt:lpwstr>
  </property>
  <property fmtid="{D5CDD505-2E9C-101B-9397-08002B2CF9AE}" pid="3" name="Order">
    <vt:r8>1307200</vt:r8>
  </property>
  <property fmtid="{D5CDD505-2E9C-101B-9397-08002B2CF9AE}" pid="4" name="MediaServiceImageTags">
    <vt:lpwstr/>
  </property>
</Properties>
</file>